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4.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5.xml" ContentType="application/vnd.openxmlformats-officedocument.drawing+xml"/>
  <Override PartName="/xl/ctrlProps/ctrlProp13.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hidePivotFieldList="1" defaultThemeVersion="124226"/>
  <mc:AlternateContent xmlns:mc="http://schemas.openxmlformats.org/markup-compatibility/2006">
    <mc:Choice Requires="x15">
      <x15ac:absPath xmlns:x15ac="http://schemas.microsoft.com/office/spreadsheetml/2010/11/ac" url="C:\Deal V_SIA\1. Deal Advisory\3. 2016년\Project IT\Model\"/>
    </mc:Choice>
  </mc:AlternateContent>
  <bookViews>
    <workbookView xWindow="0" yWindow="0" windowWidth="20490" windowHeight="7380" tabRatio="920" firstSheet="15" activeTab="32"/>
  </bookViews>
  <sheets>
    <sheet name="Title" sheetId="4" r:id="rId1"/>
    <sheet name="Des" sheetId="6" r:id="rId2"/>
    <sheet name="Terms" sheetId="378" r:id="rId3"/>
    <sheet name="가정" sheetId="402" r:id="rId4"/>
    <sheet name="인터뷰" sheetId="316" r:id="rId5"/>
    <sheet name="DCF(KPMG)&gt;&gt;" sheetId="344" r:id="rId6"/>
    <sheet name="_TM_Result(보고서)" sheetId="393" state="veryHidden" r:id="rId7"/>
    <sheet name="_TM_Result" sheetId="394" state="veryHidden" r:id="rId8"/>
    <sheet name="Result" sheetId="391" r:id="rId9"/>
    <sheet name="WACC" sheetId="383" r:id="rId10"/>
    <sheet name="WACC(보고서)" sheetId="395" r:id="rId11"/>
    <sheet name="_TM_GPCM_Tier1 (2)" sheetId="276" state="veryHidden" r:id="rId12"/>
    <sheet name="_TM_매출액" sheetId="347" state="veryHidden" r:id="rId13"/>
    <sheet name="GTM" sheetId="421" r:id="rId14"/>
    <sheet name="GPCM " sheetId="422" r:id="rId15"/>
    <sheet name="DCF" sheetId="235" r:id="rId16"/>
    <sheet name="Pro forma" sheetId="9" r:id="rId17"/>
    <sheet name="매출액" sheetId="12" r:id="rId18"/>
    <sheet name="매출원가" sheetId="13" r:id="rId19"/>
    <sheet name="SG&amp;A" sheetId="14" r:id="rId20"/>
    <sheet name="노무비" sheetId="415" r:id="rId21"/>
    <sheet name="CapEx&amp;Dep" sheetId="15" r:id="rId22"/>
    <sheet name="WC" sheetId="16" r:id="rId23"/>
    <sheet name="NOA&amp;IBD" sheetId="17" r:id="rId24"/>
    <sheet name="PBC&gt;&gt;" sheetId="331" r:id="rId25"/>
    <sheet name="_TM_매출_세부(연결단순합)" sheetId="392" state="veryHidden" r:id="rId26"/>
    <sheet name="기존(정액)" sheetId="413" r:id="rId27"/>
    <sheet name="그룹사EE" sheetId="416" r:id="rId28"/>
    <sheet name="국내정유회사EE" sheetId="419" r:id="rId29"/>
    <sheet name="태양광산업전망자료" sheetId="420" r:id="rId30"/>
    <sheet name="그룹사투자" sheetId="418" r:id="rId31"/>
    <sheet name="사업계획" sheetId="417" r:id="rId32"/>
    <sheet name="원가구분" sheetId="412" r:id="rId33"/>
    <sheet name="FS&gt;&gt;" sheetId="374" r:id="rId34"/>
    <sheet name="BS" sheetId="405" r:id="rId35"/>
    <sheet name="IS" sheetId="404" r:id="rId36"/>
    <sheet name="CF" sheetId="406" r:id="rId37"/>
    <sheet name="DART" sheetId="403" r:id="rId38"/>
    <sheet name="원가명세서" sheetId="411" r:id="rId39"/>
    <sheet name="CAPEX_주석사항" sheetId="407" r:id="rId40"/>
    <sheet name="IM용 보고서" sheetId="414" r:id="rId41"/>
    <sheet name="유사회사&gt;&gt;" sheetId="300" r:id="rId42"/>
    <sheet name="유사_재무비율" sheetId="379" r:id="rId43"/>
    <sheet name="유사기업IS" sheetId="409" r:id="rId44"/>
    <sheet name="유사기업BS" sheetId="408" r:id="rId45"/>
    <sheet name="Analysis" sheetId="410" r:id="rId46"/>
    <sheet name="유사회사_Des" sheetId="399" r:id="rId47"/>
    <sheet name="유사거래_Des" sheetId="400" r:id="rId48"/>
    <sheet name="Data&gt;&gt;" sheetId="380" r:id="rId49"/>
    <sheet name="Raw&gt;&gt;" sheetId="186" r:id="rId50"/>
    <sheet name="CRP" sheetId="308" r:id="rId51"/>
    <sheet name="Bond" sheetId="309" r:id="rId52"/>
    <sheet name="Macro" sheetId="187" r:id="rId53"/>
    <sheet name="Tax rate" sheetId="317" r:id="rId54"/>
    <sheet name="_TM_WACC_유사회사" sheetId="266" state="veryHidden" r:id="rId55"/>
  </sheets>
  <externalReferences>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s>
  <definedNames>
    <definedName name="_" hidden="1">[1]공문!#REF!</definedName>
    <definedName name="_????" hidden="1">{#N/A,#N/A,TRUE,"1.????";#N/A,#N/A,TRUE,"2.????";#N/A,#N/A,TRUE,"3.????";#N/A,#N/A,TRUE,"4.????";#N/A,#N/A,TRUE,"5.????";#N/A,#N/A,TRUE,"6.????";#N/A,#N/A,TRUE,"7.????";#N/A,#N/A,TRUE,"8.????";#N/A,#N/A,TRUE,"11.????";#N/A,#N/A,TRUE,"12.????";#N/A,#N/A,TRUE,"??";#N/A,#N/A,TRUE,"??";#N/A,#N/A,TRUE,"???? "}</definedName>
    <definedName name="_???????" hidden="1">{#N/A,#N/A,FALSE,"PART-1234-8-12-9(41)";#N/A,#N/A,FALSE,"PARTS-2(3)";#N/A,#N/A,FALSE,"VAN SYSTEM";#N/A,#N/A,FALSE,"PARTS-10(26)";#N/A,#N/A,FALSE,"PART-5-6-7-11(14)";#N/A,#N/A,FALSE,"PARTS-4(3)";#N/A,#N/A,FALSE,"PCLASS"}</definedName>
    <definedName name="_??5??" hidden="1">{#N/A,#N/A,TRUE,"1.????";#N/A,#N/A,TRUE,"2.????";#N/A,#N/A,TRUE,"3.????";#N/A,#N/A,TRUE,"4.????";#N/A,#N/A,TRUE,"5.????";#N/A,#N/A,TRUE,"6.????";#N/A,#N/A,TRUE,"7.????";#N/A,#N/A,TRUE,"8.????";#N/A,#N/A,TRUE,"11.????";#N/A,#N/A,TRUE,"12.????";#N/A,#N/A,TRUE,"??";#N/A,#N/A,TRUE,"??";#N/A,#N/A,TRUE,"???? "}</definedName>
    <definedName name="__" hidden="1">[1]공문!#REF!</definedName>
    <definedName name="____" hidden="1">[1]공문!#REF!</definedName>
    <definedName name="______" hidden="1">[1]공문!#REF!</definedName>
    <definedName name="_______________REv1" hidden="1">#REF!</definedName>
    <definedName name="_______________SH3" hidden="1">{#N/A,#N/A,FALSE,"PART-1234-8-12-9(41)";#N/A,#N/A,FALSE,"PARTS-2(3)";#N/A,#N/A,FALSE,"VAN SYSTEM";#N/A,#N/A,FALSE,"PARTS-10(26)";#N/A,#N/A,FALSE,"PART-5-6-7-11(14)";#N/A,#N/A,FALSE,"PARTS-4(3)";#N/A,#N/A,FALSE,"PCLASS"}</definedName>
    <definedName name="______________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_____________DD1" hidden="1">{#N/A,#N/A,FALSE,"지침";#N/A,#N/A,FALSE,"환경분석";#N/A,#N/A,FALSE,"Sheet16"}</definedName>
    <definedName name="____________REv1" hidden="1">#REF!</definedName>
    <definedName name="____________SH3" hidden="1">{#N/A,#N/A,FALSE,"PART-1234-8-12-9(41)";#N/A,#N/A,FALSE,"PARTS-2(3)";#N/A,#N/A,FALSE,"VAN SYSTEM";#N/A,#N/A,FALSE,"PARTS-10(26)";#N/A,#N/A,FALSE,"PART-5-6-7-11(14)";#N/A,#N/A,FALSE,"PARTS-4(3)";#N/A,#N/A,FALSE,"PCLASS"}</definedName>
    <definedName name="___________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__________A9"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____DD1" hidden="1">{#N/A,#N/A,FALSE,"지침";#N/A,#N/A,FALSE,"환경분석";#N/A,#N/A,FALSE,"Sheet16"}</definedName>
    <definedName name="___________M180" hidden="1">#N/A</definedName>
    <definedName name="___________REv1" hidden="1">#REF!</definedName>
    <definedName name="___________SH3" hidden="1">{#N/A,#N/A,FALSE,"PART-1234-8-12-9(41)";#N/A,#N/A,FALSE,"PARTS-2(3)";#N/A,#N/A,FALSE,"VAN SYSTEM";#N/A,#N/A,FALSE,"PARTS-10(26)";#N/A,#N/A,FALSE,"PART-5-6-7-11(14)";#N/A,#N/A,FALSE,"PARTS-4(3)";#N/A,#N/A,FALSE,"PCLASS"}</definedName>
    <definedName name="__________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_________DD1" hidden="1">{#N/A,#N/A,FALSE,"지침";#N/A,#N/A,FALSE,"환경분석";#N/A,#N/A,FALSE,"Sheet16"}</definedName>
    <definedName name="__________j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_____j1" hidden="1">{#N/A,#N/A,FALSE,"손익표지";#N/A,#N/A,FALSE,"손익계산";#N/A,#N/A,FALSE,"일반관리비";#N/A,#N/A,FALSE,"영업외수익";#N/A,#N/A,FALSE,"영업외비용";#N/A,#N/A,FALSE,"매출액";#N/A,#N/A,FALSE,"요약손익";#N/A,#N/A,FALSE,"요약대차";#N/A,#N/A,FALSE,"매출채권현황";#N/A,#N/A,FALSE,"매출채권명세"}</definedName>
    <definedName name="__________M180" hidden="1">#N/A</definedName>
    <definedName name="__________REv1" hidden="1">#REF!</definedName>
    <definedName name="__________SH3" hidden="1">{#N/A,#N/A,FALSE,"PART-1234-8-12-9(41)";#N/A,#N/A,FALSE,"PARTS-2(3)";#N/A,#N/A,FALSE,"VAN SYSTEM";#N/A,#N/A,FALSE,"PARTS-10(26)";#N/A,#N/A,FALSE,"PART-5-6-7-11(14)";#N/A,#N/A,FALSE,"PARTS-4(3)";#N/A,#N/A,FALSE,"PCLASS"}</definedName>
    <definedName name="_________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________A9"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__DD1" hidden="1">{#N/A,#N/A,FALSE,"지침";#N/A,#N/A,FALSE,"환경분석";#N/A,#N/A,FALSE,"Sheet16"}</definedName>
    <definedName name="_________M180" hidden="1">#N/A</definedName>
    <definedName name="_________NPS2" localSheetId="14"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REv1" hidden="1">#REF!</definedName>
    <definedName name="_________SH3" hidden="1">{#N/A,#N/A,FALSE,"PART-1234-8-12-9(41)";#N/A,#N/A,FALSE,"PARTS-2(3)";#N/A,#N/A,FALSE,"VAN SYSTEM";#N/A,#N/A,FALSE,"PARTS-10(26)";#N/A,#N/A,FALSE,"PART-5-6-7-11(14)";#N/A,#N/A,FALSE,"PARTS-4(3)";#N/A,#N/A,FALSE,"PCLASS"}</definedName>
    <definedName name="_________TEL3" localSheetId="14" hidden="1">{"'tel2'!$B$29:$J$45","'tel2'!$A$5:$G$19","'tel2'!$B$50:$F$57","'tel2'!$B$105:$G$110","'tel2'!$B$63:$H$85","'tel2'!$B$14:$G$18","'tel2'!$B$29:$C$29"}</definedName>
    <definedName name="_________TEL3" hidden="1">{"'tel2'!$B$29:$J$45","'tel2'!$A$5:$G$19","'tel2'!$B$50:$F$57","'tel2'!$B$105:$G$110","'tel2'!$B$63:$H$85","'tel2'!$B$14:$G$18","'tel2'!$B$29:$C$29"}</definedName>
    <definedName name="_________ths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____ths1" hidden="1">{#N/A,#N/A,FALSE,"손익표지";#N/A,#N/A,FALSE,"손익계산";#N/A,#N/A,FALSE,"일반관리비";#N/A,#N/A,FALSE,"영업외수익";#N/A,#N/A,FALSE,"영업외비용";#N/A,#N/A,FALSE,"매출액";#N/A,#N/A,FALSE,"요약손익";#N/A,#N/A,FALSE,"요약대차";#N/A,#N/A,FALSE,"매출채권현황";#N/A,#N/A,FALSE,"매출채권명세"}</definedName>
    <definedName name="________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_______DD1" hidden="1">{#N/A,#N/A,FALSE,"지침";#N/A,#N/A,FALSE,"환경분석";#N/A,#N/A,FALSE,"Sheet16"}</definedName>
    <definedName name="________E1" localSheetId="14" hidden="1">{#N/A,#N/A,FALSE,"KMC최종회의(7월) 자료"}</definedName>
    <definedName name="________E1" hidden="1">{#N/A,#N/A,FALSE,"KMC최종회의(7월) 자료"}</definedName>
    <definedName name="________E2" localSheetId="14" hidden="1">{#N/A,#N/A,FALSE,"KMC최종회의(7월) 자료"}</definedName>
    <definedName name="________E2" hidden="1">{#N/A,#N/A,FALSE,"KMC최종회의(7월) 자료"}</definedName>
    <definedName name="________M180" hidden="1">#N/A</definedName>
    <definedName name="________NPS2" localSheetId="14"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Q5" localSheetId="14" hidden="1">{#N/A,#N/A,FALSE,"KMC최종회의(7월) 자료"}</definedName>
    <definedName name="________Q5" hidden="1">{#N/A,#N/A,FALSE,"KMC최종회의(7월) 자료"}</definedName>
    <definedName name="________Q7" localSheetId="14" hidden="1">{#N/A,#N/A,FALSE,"KMC최종회의(7월) 자료"}</definedName>
    <definedName name="________Q7" hidden="1">{#N/A,#N/A,FALSE,"KMC최종회의(7월) 자료"}</definedName>
    <definedName name="________Q8" localSheetId="14" hidden="1">{#N/A,#N/A,FALSE,"KMC최종회의(7월) 자료"}</definedName>
    <definedName name="________Q8" hidden="1">{#N/A,#N/A,FALSE,"KMC최종회의(7월) 자료"}</definedName>
    <definedName name="________Q9" localSheetId="14" hidden="1">{#N/A,#N/A,FALSE,"KMC최종회의(7월) 자료"}</definedName>
    <definedName name="________Q9" hidden="1">{#N/A,#N/A,FALSE,"KMC최종회의(7월) 자료"}</definedName>
    <definedName name="________REv1" hidden="1">#REF!</definedName>
    <definedName name="________S4" localSheetId="14" hidden="1">{#N/A,#N/A,FALSE,"KMC최종회의(7월) 자료"}</definedName>
    <definedName name="________S4" hidden="1">{#N/A,#N/A,FALSE,"KMC최종회의(7월) 자료"}</definedName>
    <definedName name="________S5" localSheetId="14" hidden="1">{#N/A,#N/A,FALSE,"KMC최종회의(7월) 자료"}</definedName>
    <definedName name="________S5" hidden="1">{#N/A,#N/A,FALSE,"KMC최종회의(7월) 자료"}</definedName>
    <definedName name="________S6" localSheetId="14" hidden="1">{#N/A,#N/A,FALSE,"KMC최종회의(7월) 자료"}</definedName>
    <definedName name="________S6" hidden="1">{#N/A,#N/A,FALSE,"KMC최종회의(7월) 자료"}</definedName>
    <definedName name="________S7" localSheetId="14" hidden="1">{#N/A,#N/A,FALSE,"KMC최종회의(7월) 자료"}</definedName>
    <definedName name="________S7" hidden="1">{#N/A,#N/A,FALSE,"KMC최종회의(7월) 자료"}</definedName>
    <definedName name="________S8" localSheetId="14" hidden="1">{#N/A,#N/A,FALSE,"KMC최종회의(7월) 자료"}</definedName>
    <definedName name="________S8" hidden="1">{#N/A,#N/A,FALSE,"KMC최종회의(7월) 자료"}</definedName>
    <definedName name="________SH3" hidden="1">{#N/A,#N/A,FALSE,"PART-1234-8-12-9(41)";#N/A,#N/A,FALSE,"PARTS-2(3)";#N/A,#N/A,FALSE,"VAN SYSTEM";#N/A,#N/A,FALSE,"PARTS-10(26)";#N/A,#N/A,FALSE,"PART-5-6-7-11(14)";#N/A,#N/A,FALSE,"PARTS-4(3)";#N/A,#N/A,FALSE,"PCLASS"}</definedName>
    <definedName name="________TEL3" localSheetId="14" hidden="1">{"'tel2'!$B$29:$J$45","'tel2'!$A$5:$G$19","'tel2'!$B$50:$F$57","'tel2'!$B$105:$G$110","'tel2'!$B$63:$H$85","'tel2'!$B$14:$G$18","'tel2'!$B$29:$C$29"}</definedName>
    <definedName name="________TEL3" hidden="1">{"'tel2'!$B$29:$J$45","'tel2'!$A$5:$G$19","'tel2'!$B$50:$F$57","'tel2'!$B$105:$G$110","'tel2'!$B$63:$H$85","'tel2'!$B$14:$G$18","'tel2'!$B$29:$C$29"}</definedName>
    <definedName name="________ths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___ths1" hidden="1">{#N/A,#N/A,FALSE,"손익표지";#N/A,#N/A,FALSE,"손익계산";#N/A,#N/A,FALSE,"일반관리비";#N/A,#N/A,FALSE,"영업외수익";#N/A,#N/A,FALSE,"영업외비용";#N/A,#N/A,FALSE,"매출액";#N/A,#N/A,FALSE,"요약손익";#N/A,#N/A,FALSE,"요약대차";#N/A,#N/A,FALSE,"매출채권현황";#N/A,#N/A,FALSE,"매출채권명세"}</definedName>
    <definedName name="_______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_______W1" localSheetId="14" hidden="1">{#N/A,#N/A,FALSE,"KMC최종회의(7월) 자료"}</definedName>
    <definedName name="________W1" hidden="1">{#N/A,#N/A,FALSE,"KMC최종회의(7월) 자료"}</definedName>
    <definedName name="________W2" localSheetId="14" hidden="1">{#N/A,#N/A,FALSE,"KMC최종회의(7월) 자료"}</definedName>
    <definedName name="________W2" hidden="1">{#N/A,#N/A,FALSE,"KMC최종회의(7월) 자료"}</definedName>
    <definedName name="________W3" localSheetId="14" hidden="1">{#N/A,#N/A,FALSE,"KMC최종회의(7월) 자료"}</definedName>
    <definedName name="________W3" hidden="1">{#N/A,#N/A,FALSE,"KMC최종회의(7월) 자료"}</definedName>
    <definedName name="________W4" localSheetId="14" hidden="1">{#N/A,#N/A,FALSE,"KMC최종회의(7월) 자료"}</definedName>
    <definedName name="________W4" hidden="1">{#N/A,#N/A,FALSE,"KMC최종회의(7월) 자료"}</definedName>
    <definedName name="________W5" localSheetId="14" hidden="1">{#N/A,#N/A,FALSE,"KMC최종회의(7월) 자료"}</definedName>
    <definedName name="________W5" hidden="1">{#N/A,#N/A,FALSE,"KMC최종회의(7월) 자료"}</definedName>
    <definedName name="________W6" localSheetId="14" hidden="1">{#N/A,#N/A,FALSE,"KMC최종회의(7월) 자료"}</definedName>
    <definedName name="________W6" hidden="1">{#N/A,#N/A,FALSE,"KMC최종회의(7월) 자료"}</definedName>
    <definedName name="________W7" localSheetId="14" hidden="1">{#N/A,#N/A,FALSE,"KMC최종회의(7월) 자료"}</definedName>
    <definedName name="________W7" hidden="1">{#N/A,#N/A,FALSE,"KMC최종회의(7월) 자료"}</definedName>
    <definedName name="________W8" localSheetId="14" hidden="1">{#N/A,#N/A,FALSE,"KMC최종회의(7월) 자료"}</definedName>
    <definedName name="________W8" hidden="1">{#N/A,#N/A,FALSE,"KMC최종회의(7월) 자료"}</definedName>
    <definedName name="________W9" localSheetId="14" hidden="1">{#N/A,#N/A,FALSE,"KMC최종회의(7월) 자료"}</definedName>
    <definedName name="________W9" hidden="1">{#N/A,#N/A,FALSE,"KMC최종회의(7월) 자료"}</definedName>
    <definedName name="________X3" localSheetId="14" hidden="1">{#N/A,#N/A,FALSE,"KMC최종회의(7월) 자료"}</definedName>
    <definedName name="________X3" hidden="1">{#N/A,#N/A,FALSE,"KMC최종회의(7월) 자료"}</definedName>
    <definedName name="________X4" localSheetId="14" hidden="1">{#N/A,#N/A,FALSE,"KMC최종회의(7월) 자료"}</definedName>
    <definedName name="________X4" hidden="1">{#N/A,#N/A,FALSE,"KMC최종회의(7월) 자료"}</definedName>
    <definedName name="________X5" localSheetId="14" hidden="1">{#N/A,#N/A,FALSE,"KMC최종회의(7월) 자료"}</definedName>
    <definedName name="________X5" hidden="1">{#N/A,#N/A,FALSE,"KMC최종회의(7월) 자료"}</definedName>
    <definedName name="________X6" localSheetId="14" hidden="1">{#N/A,#N/A,FALSE,"KMC최종회의(7월) 자료"}</definedName>
    <definedName name="________X6" hidden="1">{#N/A,#N/A,FALSE,"KMC최종회의(7월) 자료"}</definedName>
    <definedName name="________X7" localSheetId="14" hidden="1">{#N/A,#N/A,FALSE,"KMC최종회의(7월) 자료"}</definedName>
    <definedName name="________X7" hidden="1">{#N/A,#N/A,FALSE,"KMC최종회의(7월) 자료"}</definedName>
    <definedName name="________X8" localSheetId="14" hidden="1">{#N/A,#N/A,FALSE,"KMC최종회의(7월) 자료"}</definedName>
    <definedName name="________X8" hidden="1">{#N/A,#N/A,FALSE,"KMC최종회의(7월) 자료"}</definedName>
    <definedName name="________Z1" localSheetId="14" hidden="1">{#N/A,#N/A,FALSE,"KMC최종회의(7월) 자료"}</definedName>
    <definedName name="________Z1" hidden="1">{#N/A,#N/A,FALSE,"KMC최종회의(7월) 자료"}</definedName>
    <definedName name="________Z2" localSheetId="14" hidden="1">{#N/A,#N/A,FALSE,"KMC최종회의(7월) 자료"}</definedName>
    <definedName name="________Z2" hidden="1">{#N/A,#N/A,FALSE,"KMC최종회의(7월) 자료"}</definedName>
    <definedName name="________Z3" localSheetId="14" hidden="1">{#N/A,#N/A,FALSE,"KMC최종회의(7월) 자료"}</definedName>
    <definedName name="________Z3" hidden="1">{#N/A,#N/A,FALSE,"KMC최종회의(7월) 자료"}</definedName>
    <definedName name="________Z4" localSheetId="14" hidden="1">{#N/A,#N/A,FALSE,"KMC최종회의(7월) 자료"}</definedName>
    <definedName name="________Z4" hidden="1">{#N/A,#N/A,FALSE,"KMC최종회의(7월) 자료"}</definedName>
    <definedName name="________Z5" localSheetId="14" hidden="1">{#N/A,#N/A,FALSE,"KMC최종회의(7월) 자료"}</definedName>
    <definedName name="________Z5" hidden="1">{#N/A,#N/A,FALSE,"KMC최종회의(7월) 자료"}</definedName>
    <definedName name="________Z6" localSheetId="14" hidden="1">{#N/A,#N/A,FALSE,"KMC최종회의(7월) 자료"}</definedName>
    <definedName name="________Z6" hidden="1">{#N/A,#N/A,FALSE,"KMC최종회의(7월) 자료"}</definedName>
    <definedName name="________Z7" localSheetId="14" hidden="1">{#N/A,#N/A,FALSE,"KMC최종회의(7월) 자료"}</definedName>
    <definedName name="________Z7" hidden="1">{#N/A,#N/A,FALSE,"KMC최종회의(7월) 자료"}</definedName>
    <definedName name="________Z8" localSheetId="14" hidden="1">{#N/A,#N/A,FALSE,"KMC최종회의(7월) 자료"}</definedName>
    <definedName name="________Z8" hidden="1">{#N/A,#N/A,FALSE,"KMC최종회의(7월) 자료"}</definedName>
    <definedName name="________Z9" localSheetId="14" hidden="1">{#N/A,#N/A,FALSE,"KMC최종회의(7월) 자료"}</definedName>
    <definedName name="________Z9" hidden="1">{#N/A,#N/A,FALSE,"KMC최종회의(7월) 자료"}</definedName>
    <definedName name="_______A5" localSheetId="14" hidden="1">{#N/A,#N/A,FALSE,"KMC최종회의(7월) 자료"}</definedName>
    <definedName name="_______A5" hidden="1">{#N/A,#N/A,FALSE,"KMC최종회의(7월) 자료"}</definedName>
    <definedName name="_______A6" localSheetId="14" hidden="1">{#N/A,#N/A,FALSE,"KMC최종회의(7월) 자료"}</definedName>
    <definedName name="_______A6" hidden="1">{#N/A,#N/A,FALSE,"KMC최종회의(7월) 자료"}</definedName>
    <definedName name="_______A7" localSheetId="14" hidden="1">{#N/A,#N/A,FALSE,"KMC최종회의(7월) 자료"}</definedName>
    <definedName name="_______A7" hidden="1">{#N/A,#N/A,FALSE,"KMC최종회의(7월) 자료"}</definedName>
    <definedName name="_______A8" localSheetId="14" hidden="1">{#N/A,#N/A,FALSE,"KMC최종회의(7월) 자료"}</definedName>
    <definedName name="_______A8" hidden="1">{#N/A,#N/A,FALSE,"KMC최종회의(7월) 자료"}</definedName>
    <definedName name="_______A9"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DD1" hidden="1">{#N/A,#N/A,FALSE,"지침";#N/A,#N/A,FALSE,"환경분석";#N/A,#N/A,FALSE,"Sheet16"}</definedName>
    <definedName name="_______E1" localSheetId="14" hidden="1">{#N/A,#N/A,FALSE,"KMC최종회의(7월) 자료"}</definedName>
    <definedName name="_______E1" hidden="1">{#N/A,#N/A,FALSE,"KMC최종회의(7월) 자료"}</definedName>
    <definedName name="_______E2" localSheetId="14" hidden="1">{#N/A,#N/A,FALSE,"KMC최종회의(7월) 자료"}</definedName>
    <definedName name="_______E2" hidden="1">{#N/A,#N/A,FALSE,"KMC최종회의(7월) 자료"}</definedName>
    <definedName name="_______f3" localSheetId="14" hidden="1">{"'분양원가'!$B$1:$F$113"}</definedName>
    <definedName name="_______f3" localSheetId="13" hidden="1">{"'분양원가'!$B$1:$F$113"}</definedName>
    <definedName name="_______f3" hidden="1">{"'분양원가'!$B$1:$F$113"}</definedName>
    <definedName name="_______j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__j1" hidden="1">{#N/A,#N/A,FALSE,"손익표지";#N/A,#N/A,FALSE,"손익계산";#N/A,#N/A,FALSE,"일반관리비";#N/A,#N/A,FALSE,"영업외수익";#N/A,#N/A,FALSE,"영업외비용";#N/A,#N/A,FALSE,"매출액";#N/A,#N/A,FALSE,"요약손익";#N/A,#N/A,FALSE,"요약대차";#N/A,#N/A,FALSE,"매출채권현황";#N/A,#N/A,FALSE,"매출채권명세"}</definedName>
    <definedName name="_______jyr6"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jyr6"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M180" hidden="1">#N/A</definedName>
    <definedName name="_______NPS2" localSheetId="14"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Q1" localSheetId="14" hidden="1">{#N/A,#N/A,FALSE,"KMC최종회의(7월) 자료"}</definedName>
    <definedName name="_______Q1" hidden="1">{#N/A,#N/A,FALSE,"KMC최종회의(7월) 자료"}</definedName>
    <definedName name="_______Q2" localSheetId="14" hidden="1">{#N/A,#N/A,FALSE,"KMC최종회의(7월) 자료"}</definedName>
    <definedName name="_______Q2" hidden="1">{#N/A,#N/A,FALSE,"KMC최종회의(7월) 자료"}</definedName>
    <definedName name="_______Q3" localSheetId="14" hidden="1">{#N/A,#N/A,FALSE,"KMC최종회의(7월) 자료"}</definedName>
    <definedName name="_______Q3" hidden="1">{#N/A,#N/A,FALSE,"KMC최종회의(7월) 자료"}</definedName>
    <definedName name="_______Q5" localSheetId="14" hidden="1">{#N/A,#N/A,FALSE,"KMC최종회의(7월) 자료"}</definedName>
    <definedName name="_______Q5" hidden="1">{#N/A,#N/A,FALSE,"KMC최종회의(7월) 자료"}</definedName>
    <definedName name="_______Q7" localSheetId="14" hidden="1">{#N/A,#N/A,FALSE,"KMC최종회의(7월) 자료"}</definedName>
    <definedName name="_______Q7" hidden="1">{#N/A,#N/A,FALSE,"KMC최종회의(7월) 자료"}</definedName>
    <definedName name="_______Q8" localSheetId="14" hidden="1">{#N/A,#N/A,FALSE,"KMC최종회의(7월) 자료"}</definedName>
    <definedName name="_______Q8" hidden="1">{#N/A,#N/A,FALSE,"KMC최종회의(7월) 자료"}</definedName>
    <definedName name="_______Q9" localSheetId="14" hidden="1">{#N/A,#N/A,FALSE,"KMC최종회의(7월) 자료"}</definedName>
    <definedName name="_______Q9" hidden="1">{#N/A,#N/A,FALSE,"KMC최종회의(7월) 자료"}</definedName>
    <definedName name="_______REv1" hidden="1">#REF!</definedName>
    <definedName name="_______S4" localSheetId="14" hidden="1">{#N/A,#N/A,FALSE,"KMC최종회의(7월) 자료"}</definedName>
    <definedName name="_______S4" hidden="1">{#N/A,#N/A,FALSE,"KMC최종회의(7월) 자료"}</definedName>
    <definedName name="_______S5" localSheetId="14" hidden="1">{#N/A,#N/A,FALSE,"KMC최종회의(7월) 자료"}</definedName>
    <definedName name="_______S5" hidden="1">{#N/A,#N/A,FALSE,"KMC최종회의(7월) 자료"}</definedName>
    <definedName name="_______S6" localSheetId="14" hidden="1">{#N/A,#N/A,FALSE,"KMC최종회의(7월) 자료"}</definedName>
    <definedName name="_______S6" hidden="1">{#N/A,#N/A,FALSE,"KMC최종회의(7월) 자료"}</definedName>
    <definedName name="_______S7" localSheetId="14" hidden="1">{#N/A,#N/A,FALSE,"KMC최종회의(7월) 자료"}</definedName>
    <definedName name="_______S7" hidden="1">{#N/A,#N/A,FALSE,"KMC최종회의(7월) 자료"}</definedName>
    <definedName name="_______S8" localSheetId="14" hidden="1">{#N/A,#N/A,FALSE,"KMC최종회의(7월) 자료"}</definedName>
    <definedName name="_______S8" hidden="1">{#N/A,#N/A,FALSE,"KMC최종회의(7월) 자료"}</definedName>
    <definedName name="_______SH3" hidden="1">{#N/A,#N/A,FALSE,"PART-1234-8-12-9(41)";#N/A,#N/A,FALSE,"PARTS-2(3)";#N/A,#N/A,FALSE,"VAN SYSTEM";#N/A,#N/A,FALSE,"PARTS-10(26)";#N/A,#N/A,FALSE,"PART-5-6-7-11(14)";#N/A,#N/A,FALSE,"PARTS-4(3)";#N/A,#N/A,FALSE,"PCLASS"}</definedName>
    <definedName name="_______TEL3" localSheetId="14" hidden="1">{"'tel2'!$B$29:$J$45","'tel2'!$A$5:$G$19","'tel2'!$B$50:$F$57","'tel2'!$B$105:$G$110","'tel2'!$B$63:$H$85","'tel2'!$B$14:$G$18","'tel2'!$B$29:$C$29"}</definedName>
    <definedName name="_______TEL3" hidden="1">{"'tel2'!$B$29:$J$45","'tel2'!$A$5:$G$19","'tel2'!$B$50:$F$57","'tel2'!$B$105:$G$110","'tel2'!$B$63:$H$85","'tel2'!$B$14:$G$18","'tel2'!$B$29:$C$29"}</definedName>
    <definedName name="_______ths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__ths1" hidden="1">{#N/A,#N/A,FALSE,"손익표지";#N/A,#N/A,FALSE,"손익계산";#N/A,#N/A,FALSE,"일반관리비";#N/A,#N/A,FALSE,"영업외수익";#N/A,#N/A,FALSE,"영업외비용";#N/A,#N/A,FALSE,"매출액";#N/A,#N/A,FALSE,"요약손익";#N/A,#N/A,FALSE,"요약대차";#N/A,#N/A,FALSE,"매출채권현황";#N/A,#N/A,FALSE,"매출채권명세"}</definedName>
    <definedName name="______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______W1" localSheetId="14" hidden="1">{#N/A,#N/A,FALSE,"KMC최종회의(7월) 자료"}</definedName>
    <definedName name="_______W1" hidden="1">{#N/A,#N/A,FALSE,"KMC최종회의(7월) 자료"}</definedName>
    <definedName name="_______W2" localSheetId="14" hidden="1">{#N/A,#N/A,FALSE,"KMC최종회의(7월) 자료"}</definedName>
    <definedName name="_______W2" hidden="1">{#N/A,#N/A,FALSE,"KMC최종회의(7월) 자료"}</definedName>
    <definedName name="_______W3" localSheetId="14" hidden="1">{#N/A,#N/A,FALSE,"KMC최종회의(7월) 자료"}</definedName>
    <definedName name="_______W3" hidden="1">{#N/A,#N/A,FALSE,"KMC최종회의(7월) 자료"}</definedName>
    <definedName name="_______W4" localSheetId="14" hidden="1">{#N/A,#N/A,FALSE,"KMC최종회의(7월) 자료"}</definedName>
    <definedName name="_______W4" hidden="1">{#N/A,#N/A,FALSE,"KMC최종회의(7월) 자료"}</definedName>
    <definedName name="_______W5" localSheetId="14" hidden="1">{#N/A,#N/A,FALSE,"KMC최종회의(7월) 자료"}</definedName>
    <definedName name="_______W5" hidden="1">{#N/A,#N/A,FALSE,"KMC최종회의(7월) 자료"}</definedName>
    <definedName name="_______W6" localSheetId="14" hidden="1">{#N/A,#N/A,FALSE,"KMC최종회의(7월) 자료"}</definedName>
    <definedName name="_______W6" hidden="1">{#N/A,#N/A,FALSE,"KMC최종회의(7월) 자료"}</definedName>
    <definedName name="_______W7" localSheetId="14" hidden="1">{#N/A,#N/A,FALSE,"KMC최종회의(7월) 자료"}</definedName>
    <definedName name="_______W7" hidden="1">{#N/A,#N/A,FALSE,"KMC최종회의(7월) 자료"}</definedName>
    <definedName name="_______W8" localSheetId="14" hidden="1">{#N/A,#N/A,FALSE,"KMC최종회의(7월) 자료"}</definedName>
    <definedName name="_______W8" hidden="1">{#N/A,#N/A,FALSE,"KMC최종회의(7월) 자료"}</definedName>
    <definedName name="_______W9" localSheetId="14" hidden="1">{#N/A,#N/A,FALSE,"KMC최종회의(7월) 자료"}</definedName>
    <definedName name="_______W9" hidden="1">{#N/A,#N/A,FALSE,"KMC최종회의(7월) 자료"}</definedName>
    <definedName name="_______X3" localSheetId="14" hidden="1">{#N/A,#N/A,FALSE,"KMC최종회의(7월) 자료"}</definedName>
    <definedName name="_______X3" hidden="1">{#N/A,#N/A,FALSE,"KMC최종회의(7월) 자료"}</definedName>
    <definedName name="_______X4" localSheetId="14" hidden="1">{#N/A,#N/A,FALSE,"KMC최종회의(7월) 자료"}</definedName>
    <definedName name="_______X4" hidden="1">{#N/A,#N/A,FALSE,"KMC최종회의(7월) 자료"}</definedName>
    <definedName name="_______X5" localSheetId="14" hidden="1">{#N/A,#N/A,FALSE,"KMC최종회의(7월) 자료"}</definedName>
    <definedName name="_______X5" hidden="1">{#N/A,#N/A,FALSE,"KMC최종회의(7월) 자료"}</definedName>
    <definedName name="_______X6" localSheetId="14" hidden="1">{#N/A,#N/A,FALSE,"KMC최종회의(7월) 자료"}</definedName>
    <definedName name="_______X6" hidden="1">{#N/A,#N/A,FALSE,"KMC최종회의(7월) 자료"}</definedName>
    <definedName name="_______X7" localSheetId="14" hidden="1">{#N/A,#N/A,FALSE,"KMC최종회의(7월) 자료"}</definedName>
    <definedName name="_______X7" hidden="1">{#N/A,#N/A,FALSE,"KMC최종회의(7월) 자료"}</definedName>
    <definedName name="_______X8" localSheetId="14" hidden="1">{#N/A,#N/A,FALSE,"KMC최종회의(7월) 자료"}</definedName>
    <definedName name="_______X8" hidden="1">{#N/A,#N/A,FALSE,"KMC최종회의(7월) 자료"}</definedName>
    <definedName name="_______Z1" localSheetId="14" hidden="1">{#N/A,#N/A,FALSE,"KMC최종회의(7월) 자료"}</definedName>
    <definedName name="_______Z1" hidden="1">{#N/A,#N/A,FALSE,"KMC최종회의(7월) 자료"}</definedName>
    <definedName name="_______Z2" localSheetId="14" hidden="1">{#N/A,#N/A,FALSE,"KMC최종회의(7월) 자료"}</definedName>
    <definedName name="_______Z2" hidden="1">{#N/A,#N/A,FALSE,"KMC최종회의(7월) 자료"}</definedName>
    <definedName name="_______Z3" localSheetId="14" hidden="1">{#N/A,#N/A,FALSE,"KMC최종회의(7월) 자료"}</definedName>
    <definedName name="_______Z3" hidden="1">{#N/A,#N/A,FALSE,"KMC최종회의(7월) 자료"}</definedName>
    <definedName name="_______Z4" localSheetId="14" hidden="1">{#N/A,#N/A,FALSE,"KMC최종회의(7월) 자료"}</definedName>
    <definedName name="_______Z4" hidden="1">{#N/A,#N/A,FALSE,"KMC최종회의(7월) 자료"}</definedName>
    <definedName name="_______Z5" localSheetId="14" hidden="1">{#N/A,#N/A,FALSE,"KMC최종회의(7월) 자료"}</definedName>
    <definedName name="_______Z5" hidden="1">{#N/A,#N/A,FALSE,"KMC최종회의(7월) 자료"}</definedName>
    <definedName name="_______Z6" localSheetId="14" hidden="1">{#N/A,#N/A,FALSE,"KMC최종회의(7월) 자료"}</definedName>
    <definedName name="_______Z6" hidden="1">{#N/A,#N/A,FALSE,"KMC최종회의(7월) 자료"}</definedName>
    <definedName name="_______Z7" localSheetId="14" hidden="1">{#N/A,#N/A,FALSE,"KMC최종회의(7월) 자료"}</definedName>
    <definedName name="_______Z7" hidden="1">{#N/A,#N/A,FALSE,"KMC최종회의(7월) 자료"}</definedName>
    <definedName name="_______Z8" localSheetId="14" hidden="1">{#N/A,#N/A,FALSE,"KMC최종회의(7월) 자료"}</definedName>
    <definedName name="_______Z8" hidden="1">{#N/A,#N/A,FALSE,"KMC최종회의(7월) 자료"}</definedName>
    <definedName name="_______Z9" localSheetId="14" hidden="1">{#N/A,#N/A,FALSE,"KMC최종회의(7월) 자료"}</definedName>
    <definedName name="_______Z9" hidden="1">{#N/A,#N/A,FALSE,"KMC최종회의(7월) 자료"}</definedName>
    <definedName name="______A4" localSheetId="14" hidden="1">{#N/A,#N/A,FALSE,"KMC최종회의(7월) 자료"}</definedName>
    <definedName name="______A4" hidden="1">{#N/A,#N/A,FALSE,"KMC최종회의(7월) 자료"}</definedName>
    <definedName name="______A5" localSheetId="14" hidden="1">{#N/A,#N/A,FALSE,"KMC최종회의(7월) 자료"}</definedName>
    <definedName name="______A5" hidden="1">{#N/A,#N/A,FALSE,"KMC최종회의(7월) 자료"}</definedName>
    <definedName name="______A6" localSheetId="14" hidden="1">{#N/A,#N/A,FALSE,"KMC최종회의(7월) 자료"}</definedName>
    <definedName name="______A6" hidden="1">{#N/A,#N/A,FALSE,"KMC최종회의(7월) 자료"}</definedName>
    <definedName name="______A7" localSheetId="14" hidden="1">{#N/A,#N/A,FALSE,"KMC최종회의(7월) 자료"}</definedName>
    <definedName name="______A7" hidden="1">{#N/A,#N/A,FALSE,"KMC최종회의(7월) 자료"}</definedName>
    <definedName name="______A8" localSheetId="14" hidden="1">{#N/A,#N/A,FALSE,"KMC최종회의(7월) 자료"}</definedName>
    <definedName name="______A8" hidden="1">{#N/A,#N/A,FALSE,"KMC최종회의(7월) 자료"}</definedName>
    <definedName name="______A9"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_A9" hidden="1">{#N/A,#N/A,FALSE,"손익표지";#N/A,#N/A,FALSE,"손익계산";#N/A,#N/A,FALSE,"일반관리비";#N/A,#N/A,FALSE,"영업외수익";#N/A,#N/A,FALSE,"영업외비용";#N/A,#N/A,FALSE,"매출액";#N/A,#N/A,FALSE,"요약손익";#N/A,#N/A,FALSE,"요약대차";#N/A,#N/A,FALSE,"매출채권현황";#N/A,#N/A,FALSE,"매출채권명세"}</definedName>
    <definedName name="______DD1" hidden="1">{#N/A,#N/A,FALSE,"지침";#N/A,#N/A,FALSE,"환경분석";#N/A,#N/A,FALSE,"Sheet16"}</definedName>
    <definedName name="______E1" localSheetId="14" hidden="1">{#N/A,#N/A,FALSE,"KMC최종회의(7월) 자료"}</definedName>
    <definedName name="______E1" hidden="1">{#N/A,#N/A,FALSE,"KMC최종회의(7월) 자료"}</definedName>
    <definedName name="______E2" localSheetId="14" hidden="1">{#N/A,#N/A,FALSE,"KMC최종회의(7월) 자료"}</definedName>
    <definedName name="______E2" hidden="1">{#N/A,#N/A,FALSE,"KMC최종회의(7월) 자료"}</definedName>
    <definedName name="______j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_j1" hidden="1">{#N/A,#N/A,FALSE,"손익표지";#N/A,#N/A,FALSE,"손익계산";#N/A,#N/A,FALSE,"일반관리비";#N/A,#N/A,FALSE,"영업외수익";#N/A,#N/A,FALSE,"영업외비용";#N/A,#N/A,FALSE,"매출액";#N/A,#N/A,FALSE,"요약손익";#N/A,#N/A,FALSE,"요약대차";#N/A,#N/A,FALSE,"매출채권현황";#N/A,#N/A,FALSE,"매출채권명세"}</definedName>
    <definedName name="______KEY1" localSheetId="14" hidden="1">#REF!</definedName>
    <definedName name="______KEY1" hidden="1">#REF!</definedName>
    <definedName name="______LPS2" localSheetId="14" hidden="1">{#N/A,#N/A,FALSE,"단축1";#N/A,#N/A,FALSE,"단축2";#N/A,#N/A,FALSE,"단축3";#N/A,#N/A,FALSE,"장축";#N/A,#N/A,FALSE,"4WD"}</definedName>
    <definedName name="______LPS2" hidden="1">{#N/A,#N/A,FALSE,"단축1";#N/A,#N/A,FALSE,"단축2";#N/A,#N/A,FALSE,"단축3";#N/A,#N/A,FALSE,"장축";#N/A,#N/A,FALSE,"4WD"}</definedName>
    <definedName name="______M180" hidden="1">#N/A</definedName>
    <definedName name="______NPS2" localSheetId="14"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Q1" localSheetId="14" hidden="1">{#N/A,#N/A,FALSE,"KMC최종회의(7월) 자료"}</definedName>
    <definedName name="______Q1" hidden="1">{#N/A,#N/A,FALSE,"KMC최종회의(7월) 자료"}</definedName>
    <definedName name="______Q2" localSheetId="14" hidden="1">{#N/A,#N/A,FALSE,"KMC최종회의(7월) 자료"}</definedName>
    <definedName name="______Q2" hidden="1">{#N/A,#N/A,FALSE,"KMC최종회의(7월) 자료"}</definedName>
    <definedName name="______Q3" localSheetId="14" hidden="1">{#N/A,#N/A,FALSE,"KMC최종회의(7월) 자료"}</definedName>
    <definedName name="______Q3" hidden="1">{#N/A,#N/A,FALSE,"KMC최종회의(7월) 자료"}</definedName>
    <definedName name="______Q5" localSheetId="14" hidden="1">{#N/A,#N/A,FALSE,"KMC최종회의(7월) 자료"}</definedName>
    <definedName name="______Q5" hidden="1">{#N/A,#N/A,FALSE,"KMC최종회의(7월) 자료"}</definedName>
    <definedName name="______Q7" localSheetId="14" hidden="1">{#N/A,#N/A,FALSE,"KMC최종회의(7월) 자료"}</definedName>
    <definedName name="______Q7" hidden="1">{#N/A,#N/A,FALSE,"KMC최종회의(7월) 자료"}</definedName>
    <definedName name="______Q8" localSheetId="14" hidden="1">{#N/A,#N/A,FALSE,"KMC최종회의(7월) 자료"}</definedName>
    <definedName name="______Q8" hidden="1">{#N/A,#N/A,FALSE,"KMC최종회의(7월) 자료"}</definedName>
    <definedName name="______Q9" localSheetId="14" hidden="1">{#N/A,#N/A,FALSE,"KMC최종회의(7월) 자료"}</definedName>
    <definedName name="______Q9" hidden="1">{#N/A,#N/A,FALSE,"KMC최종회의(7월) 자료"}</definedName>
    <definedName name="______REv1" hidden="1">#REF!</definedName>
    <definedName name="______S1" localSheetId="14" hidden="1">{#N/A,#N/A,FALSE,"KMC최종회의(7월) 자료"}</definedName>
    <definedName name="______S1" hidden="1">{#N/A,#N/A,FALSE,"KMC최종회의(7월) 자료"}</definedName>
    <definedName name="______S2" localSheetId="14" hidden="1">{#N/A,#N/A,FALSE,"KMC최종회의(7월) 자료"}</definedName>
    <definedName name="______S2" hidden="1">{#N/A,#N/A,FALSE,"KMC최종회의(7월) 자료"}</definedName>
    <definedName name="______S3" localSheetId="14" hidden="1">{#N/A,#N/A,FALSE,"KMC최종회의(7월) 자료"}</definedName>
    <definedName name="______S3" hidden="1">{#N/A,#N/A,FALSE,"KMC최종회의(7월) 자료"}</definedName>
    <definedName name="______S4" localSheetId="14" hidden="1">{#N/A,#N/A,FALSE,"KMC최종회의(7월) 자료"}</definedName>
    <definedName name="______S4" hidden="1">{#N/A,#N/A,FALSE,"KMC최종회의(7월) 자료"}</definedName>
    <definedName name="______S5" localSheetId="14" hidden="1">{#N/A,#N/A,FALSE,"KMC최종회의(7월) 자료"}</definedName>
    <definedName name="______S5" hidden="1">{#N/A,#N/A,FALSE,"KMC최종회의(7월) 자료"}</definedName>
    <definedName name="______S6" localSheetId="14" hidden="1">{#N/A,#N/A,FALSE,"KMC최종회의(7월) 자료"}</definedName>
    <definedName name="______S6" hidden="1">{#N/A,#N/A,FALSE,"KMC최종회의(7월) 자료"}</definedName>
    <definedName name="______S7" localSheetId="14" hidden="1">{#N/A,#N/A,FALSE,"KMC최종회의(7월) 자료"}</definedName>
    <definedName name="______S7" hidden="1">{#N/A,#N/A,FALSE,"KMC최종회의(7월) 자료"}</definedName>
    <definedName name="______S8" localSheetId="14" hidden="1">{#N/A,#N/A,FALSE,"KMC최종회의(7월) 자료"}</definedName>
    <definedName name="______S8" hidden="1">{#N/A,#N/A,FALSE,"KMC최종회의(7월) 자료"}</definedName>
    <definedName name="______SH3" hidden="1">{#N/A,#N/A,FALSE,"PART-1234-8-12-9(41)";#N/A,#N/A,FALSE,"PARTS-2(3)";#N/A,#N/A,FALSE,"VAN SYSTEM";#N/A,#N/A,FALSE,"PARTS-10(26)";#N/A,#N/A,FALSE,"PART-5-6-7-11(14)";#N/A,#N/A,FALSE,"PARTS-4(3)";#N/A,#N/A,FALSE,"PCLASS"}</definedName>
    <definedName name="______TEL3" localSheetId="14" hidden="1">{"'tel2'!$B$29:$J$45","'tel2'!$A$5:$G$19","'tel2'!$B$50:$F$57","'tel2'!$B$105:$G$110","'tel2'!$B$63:$H$85","'tel2'!$B$14:$G$18","'tel2'!$B$29:$C$29"}</definedName>
    <definedName name="______TEL3" hidden="1">{"'tel2'!$B$29:$J$45","'tel2'!$A$5:$G$19","'tel2'!$B$50:$F$57","'tel2'!$B$105:$G$110","'tel2'!$B$63:$H$85","'tel2'!$B$14:$G$18","'tel2'!$B$29:$C$29"}</definedName>
    <definedName name="______ths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_ths1" hidden="1">{#N/A,#N/A,FALSE,"손익표지";#N/A,#N/A,FALSE,"손익계산";#N/A,#N/A,FALSE,"일반관리비";#N/A,#N/A,FALSE,"영업외수익";#N/A,#N/A,FALSE,"영업외비용";#N/A,#N/A,FALSE,"매출액";#N/A,#N/A,FALSE,"요약손익";#N/A,#N/A,FALSE,"요약대차";#N/A,#N/A,FALSE,"매출채권현황";#N/A,#N/A,FALSE,"매출채권명세"}</definedName>
    <definedName name="_____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_____W1" localSheetId="14" hidden="1">{#N/A,#N/A,FALSE,"KMC최종회의(7월) 자료"}</definedName>
    <definedName name="______W1" hidden="1">{#N/A,#N/A,FALSE,"KMC최종회의(7월) 자료"}</definedName>
    <definedName name="______W2" localSheetId="14" hidden="1">{#N/A,#N/A,FALSE,"KMC최종회의(7월) 자료"}</definedName>
    <definedName name="______W2" hidden="1">{#N/A,#N/A,FALSE,"KMC최종회의(7월) 자료"}</definedName>
    <definedName name="______W3" localSheetId="14" hidden="1">{#N/A,#N/A,FALSE,"KMC최종회의(7월) 자료"}</definedName>
    <definedName name="______W3" hidden="1">{#N/A,#N/A,FALSE,"KMC최종회의(7월) 자료"}</definedName>
    <definedName name="______W4" localSheetId="14" hidden="1">{#N/A,#N/A,FALSE,"KMC최종회의(7월) 자료"}</definedName>
    <definedName name="______W4" hidden="1">{#N/A,#N/A,FALSE,"KMC최종회의(7월) 자료"}</definedName>
    <definedName name="______W5" localSheetId="14" hidden="1">{#N/A,#N/A,FALSE,"KMC최종회의(7월) 자료"}</definedName>
    <definedName name="______W5" hidden="1">{#N/A,#N/A,FALSE,"KMC최종회의(7월) 자료"}</definedName>
    <definedName name="______W6" localSheetId="14" hidden="1">{#N/A,#N/A,FALSE,"KMC최종회의(7월) 자료"}</definedName>
    <definedName name="______W6" hidden="1">{#N/A,#N/A,FALSE,"KMC최종회의(7월) 자료"}</definedName>
    <definedName name="______W7" localSheetId="14" hidden="1">{#N/A,#N/A,FALSE,"KMC최종회의(7월) 자료"}</definedName>
    <definedName name="______W7" hidden="1">{#N/A,#N/A,FALSE,"KMC최종회의(7월) 자료"}</definedName>
    <definedName name="______W8" localSheetId="14" hidden="1">{#N/A,#N/A,FALSE,"KMC최종회의(7월) 자료"}</definedName>
    <definedName name="______W8" hidden="1">{#N/A,#N/A,FALSE,"KMC최종회의(7월) 자료"}</definedName>
    <definedName name="______W9" localSheetId="14" hidden="1">{#N/A,#N/A,FALSE,"KMC최종회의(7월) 자료"}</definedName>
    <definedName name="______W9" hidden="1">{#N/A,#N/A,FALSE,"KMC최종회의(7월) 자료"}</definedName>
    <definedName name="______X1" localSheetId="14" hidden="1">{#N/A,#N/A,FALSE,"KMC최종회의(7월) 자료"}</definedName>
    <definedName name="______X1" hidden="1">{#N/A,#N/A,FALSE,"KMC최종회의(7월) 자료"}</definedName>
    <definedName name="______X2" localSheetId="14" hidden="1">{#N/A,#N/A,FALSE,"KMC최종회의(7월) 자료"}</definedName>
    <definedName name="______X2" hidden="1">{#N/A,#N/A,FALSE,"KMC최종회의(7월) 자료"}</definedName>
    <definedName name="______X3" localSheetId="14" hidden="1">{#N/A,#N/A,FALSE,"KMC최종회의(7월) 자료"}</definedName>
    <definedName name="______X3" hidden="1">{#N/A,#N/A,FALSE,"KMC최종회의(7월) 자료"}</definedName>
    <definedName name="______X4" localSheetId="14" hidden="1">{#N/A,#N/A,FALSE,"KMC최종회의(7월) 자료"}</definedName>
    <definedName name="______X4" hidden="1">{#N/A,#N/A,FALSE,"KMC최종회의(7월) 자료"}</definedName>
    <definedName name="______X5" localSheetId="14" hidden="1">{#N/A,#N/A,FALSE,"KMC최종회의(7월) 자료"}</definedName>
    <definedName name="______X5" hidden="1">{#N/A,#N/A,FALSE,"KMC최종회의(7월) 자료"}</definedName>
    <definedName name="______X6" localSheetId="14" hidden="1">{#N/A,#N/A,FALSE,"KMC최종회의(7월) 자료"}</definedName>
    <definedName name="______X6" hidden="1">{#N/A,#N/A,FALSE,"KMC최종회의(7월) 자료"}</definedName>
    <definedName name="______X7" localSheetId="14" hidden="1">{#N/A,#N/A,FALSE,"KMC최종회의(7월) 자료"}</definedName>
    <definedName name="______X7" hidden="1">{#N/A,#N/A,FALSE,"KMC최종회의(7월) 자료"}</definedName>
    <definedName name="______X8" localSheetId="14" hidden="1">{#N/A,#N/A,FALSE,"KMC최종회의(7월) 자료"}</definedName>
    <definedName name="______X8" hidden="1">{#N/A,#N/A,FALSE,"KMC최종회의(7월) 자료"}</definedName>
    <definedName name="______XG2" localSheetId="14" hidden="1">{#N/A,#N/A,FALSE,"단축1";#N/A,#N/A,FALSE,"단축2";#N/A,#N/A,FALSE,"단축3";#N/A,#N/A,FALSE,"장축";#N/A,#N/A,FALSE,"4WD"}</definedName>
    <definedName name="______XG2" hidden="1">{#N/A,#N/A,FALSE,"단축1";#N/A,#N/A,FALSE,"단축2";#N/A,#N/A,FALSE,"단축3";#N/A,#N/A,FALSE,"장축";#N/A,#N/A,FALSE,"4WD"}</definedName>
    <definedName name="______Z1" localSheetId="14" hidden="1">{#N/A,#N/A,FALSE,"KMC최종회의(7월) 자료"}</definedName>
    <definedName name="______Z1" hidden="1">{#N/A,#N/A,FALSE,"KMC최종회의(7월) 자료"}</definedName>
    <definedName name="______Z2" localSheetId="14" hidden="1">{#N/A,#N/A,FALSE,"KMC최종회의(7월) 자료"}</definedName>
    <definedName name="______Z2" hidden="1">{#N/A,#N/A,FALSE,"KMC최종회의(7월) 자료"}</definedName>
    <definedName name="______Z3" localSheetId="14" hidden="1">{#N/A,#N/A,FALSE,"KMC최종회의(7월) 자료"}</definedName>
    <definedName name="______Z3" hidden="1">{#N/A,#N/A,FALSE,"KMC최종회의(7월) 자료"}</definedName>
    <definedName name="______Z4" localSheetId="14" hidden="1">{#N/A,#N/A,FALSE,"KMC최종회의(7월) 자료"}</definedName>
    <definedName name="______Z4" hidden="1">{#N/A,#N/A,FALSE,"KMC최종회의(7월) 자료"}</definedName>
    <definedName name="______Z5" localSheetId="14" hidden="1">{#N/A,#N/A,FALSE,"KMC최종회의(7월) 자료"}</definedName>
    <definedName name="______Z5" hidden="1">{#N/A,#N/A,FALSE,"KMC최종회의(7월) 자료"}</definedName>
    <definedName name="______Z6" localSheetId="14" hidden="1">{#N/A,#N/A,FALSE,"KMC최종회의(7월) 자료"}</definedName>
    <definedName name="______Z6" hidden="1">{#N/A,#N/A,FALSE,"KMC최종회의(7월) 자료"}</definedName>
    <definedName name="______Z7" localSheetId="14" hidden="1">{#N/A,#N/A,FALSE,"KMC최종회의(7월) 자료"}</definedName>
    <definedName name="______Z7" hidden="1">{#N/A,#N/A,FALSE,"KMC최종회의(7월) 자료"}</definedName>
    <definedName name="______Z8" localSheetId="14" hidden="1">{#N/A,#N/A,FALSE,"KMC최종회의(7월) 자료"}</definedName>
    <definedName name="______Z8" hidden="1">{#N/A,#N/A,FALSE,"KMC최종회의(7월) 자료"}</definedName>
    <definedName name="______Z9" localSheetId="14" hidden="1">{#N/A,#N/A,FALSE,"KMC최종회의(7월) 자료"}</definedName>
    <definedName name="______Z9" hidden="1">{#N/A,#N/A,FALSE,"KMC최종회의(7월) 자료"}</definedName>
    <definedName name="_____A4" localSheetId="14" hidden="1">{#N/A,#N/A,FALSE,"KMC최종회의(7월) 자료"}</definedName>
    <definedName name="_____A4" hidden="1">{#N/A,#N/A,FALSE,"KMC최종회의(7월) 자료"}</definedName>
    <definedName name="_____A5" localSheetId="14" hidden="1">{#N/A,#N/A,FALSE,"KMC최종회의(7월) 자료"}</definedName>
    <definedName name="_____A5" hidden="1">{#N/A,#N/A,FALSE,"KMC최종회의(7월) 자료"}</definedName>
    <definedName name="_____A6" localSheetId="14" hidden="1">{#N/A,#N/A,FALSE,"KMC최종회의(7월) 자료"}</definedName>
    <definedName name="_____A6" hidden="1">{#N/A,#N/A,FALSE,"KMC최종회의(7월) 자료"}</definedName>
    <definedName name="_____A7" localSheetId="14" hidden="1">{#N/A,#N/A,FALSE,"KMC최종회의(7월) 자료"}</definedName>
    <definedName name="_____A7" hidden="1">{#N/A,#N/A,FALSE,"KMC최종회의(7월) 자료"}</definedName>
    <definedName name="_____A8" localSheetId="14" hidden="1">{#N/A,#N/A,FALSE,"KMC최종회의(7월) 자료"}</definedName>
    <definedName name="_____A8" hidden="1">{#N/A,#N/A,FALSE,"KMC최종회의(7월) 자료"}</definedName>
    <definedName name="_____A9"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A9" hidden="1">{#N/A,#N/A,FALSE,"손익표지";#N/A,#N/A,FALSE,"손익계산";#N/A,#N/A,FALSE,"일반관리비";#N/A,#N/A,FALSE,"영업외수익";#N/A,#N/A,FALSE,"영업외비용";#N/A,#N/A,FALSE,"매출액";#N/A,#N/A,FALSE,"요약손익";#N/A,#N/A,FALSE,"요약대차";#N/A,#N/A,FALSE,"매출채권현황";#N/A,#N/A,FALSE,"매출채권명세"}</definedName>
    <definedName name="_____AS6" localSheetId="14" hidden="1">{#N/A,#N/A,FALSE,"Australien";#N/A,#N/A,FALSE,"Birmingham";#N/A,#N/A,FALSE,"Brasilien";#N/A,#N/A,FALSE,"Prag";#N/A,#N/A,FALSE,"Spanien";#N/A,#N/A,FALSE,"Malaysia ( Com)";#N/A,#N/A,FALSE,"Malaysia (Instr)"}</definedName>
    <definedName name="_____AS6" hidden="1">{#N/A,#N/A,FALSE,"Australien";#N/A,#N/A,FALSE,"Birmingham";#N/A,#N/A,FALSE,"Brasilien";#N/A,#N/A,FALSE,"Prag";#N/A,#N/A,FALSE,"Spanien";#N/A,#N/A,FALSE,"Malaysia ( Com)";#N/A,#N/A,FALSE,"Malaysia (Instr)"}</definedName>
    <definedName name="_____DD1" hidden="1">{#N/A,#N/A,FALSE,"지침";#N/A,#N/A,FALSE,"환경분석";#N/A,#N/A,FALSE,"Sheet16"}</definedName>
    <definedName name="_____E1" localSheetId="14" hidden="1">{#N/A,#N/A,FALSE,"KMC최종회의(7월) 자료"}</definedName>
    <definedName name="_____E1" hidden="1">{#N/A,#N/A,FALSE,"KMC최종회의(7월) 자료"}</definedName>
    <definedName name="_____E2" localSheetId="14" hidden="1">{#N/A,#N/A,FALSE,"KMC최종회의(7월) 자료"}</definedName>
    <definedName name="_____E2" hidden="1">{#N/A,#N/A,FALSE,"KMC최종회의(7월) 자료"}</definedName>
    <definedName name="_____f3" localSheetId="14" hidden="1">{"'분양원가'!$B$1:$F$113"}</definedName>
    <definedName name="_____f3" localSheetId="13" hidden="1">{"'분양원가'!$B$1:$F$113"}</definedName>
    <definedName name="_____f3" hidden="1">{"'분양원가'!$B$1:$F$113"}</definedName>
    <definedName name="_____IO8" localSheetId="14" hidden="1">{#N/A,#N/A,FALSE,"단축1";#N/A,#N/A,FALSE,"단축2";#N/A,#N/A,FALSE,"단축3";#N/A,#N/A,FALSE,"장축";#N/A,#N/A,FALSE,"4WD"}</definedName>
    <definedName name="_____IO8" hidden="1">{#N/A,#N/A,FALSE,"단축1";#N/A,#N/A,FALSE,"단축2";#N/A,#N/A,FALSE,"단축3";#N/A,#N/A,FALSE,"장축";#N/A,#N/A,FALSE,"4WD"}</definedName>
    <definedName name="_____j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j1" hidden="1">{#N/A,#N/A,FALSE,"손익표지";#N/A,#N/A,FALSE,"손익계산";#N/A,#N/A,FALSE,"일반관리비";#N/A,#N/A,FALSE,"영업외수익";#N/A,#N/A,FALSE,"영업외비용";#N/A,#N/A,FALSE,"매출액";#N/A,#N/A,FALSE,"요약손익";#N/A,#N/A,FALSE,"요약대차";#N/A,#N/A,FALSE,"매출채권현황";#N/A,#N/A,FALSE,"매출채권명세"}</definedName>
    <definedName name="_____jyr6"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jyr6"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KEY1" localSheetId="14" hidden="1">#REF!</definedName>
    <definedName name="_____KEY1" hidden="1">#REF!</definedName>
    <definedName name="_____LPS2" localSheetId="14" hidden="1">{#N/A,#N/A,FALSE,"단축1";#N/A,#N/A,FALSE,"단축2";#N/A,#N/A,FALSE,"단축3";#N/A,#N/A,FALSE,"장축";#N/A,#N/A,FALSE,"4WD"}</definedName>
    <definedName name="_____LPS2" hidden="1">{#N/A,#N/A,FALSE,"단축1";#N/A,#N/A,FALSE,"단축2";#N/A,#N/A,FALSE,"단축3";#N/A,#N/A,FALSE,"장축";#N/A,#N/A,FALSE,"4WD"}</definedName>
    <definedName name="_____M180" hidden="1">#N/A</definedName>
    <definedName name="_____NPS2" localSheetId="14"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Q1" localSheetId="14" hidden="1">{#N/A,#N/A,FALSE,"KMC최종회의(7월) 자료"}</definedName>
    <definedName name="_____Q1" hidden="1">{#N/A,#N/A,FALSE,"KMC최종회의(7월) 자료"}</definedName>
    <definedName name="_____Q2" localSheetId="14" hidden="1">{#N/A,#N/A,FALSE,"KMC최종회의(7월) 자료"}</definedName>
    <definedName name="_____Q2" hidden="1">{#N/A,#N/A,FALSE,"KMC최종회의(7월) 자료"}</definedName>
    <definedName name="_____Q3" localSheetId="14" hidden="1">{#N/A,#N/A,FALSE,"KMC최종회의(7월) 자료"}</definedName>
    <definedName name="_____Q3" hidden="1">{#N/A,#N/A,FALSE,"KMC최종회의(7월) 자료"}</definedName>
    <definedName name="_____Q5" localSheetId="14" hidden="1">{#N/A,#N/A,FALSE,"KMC최종회의(7월) 자료"}</definedName>
    <definedName name="_____Q5" hidden="1">{#N/A,#N/A,FALSE,"KMC최종회의(7월) 자료"}</definedName>
    <definedName name="_____Q7" localSheetId="14" hidden="1">{#N/A,#N/A,FALSE,"KMC최종회의(7월) 자료"}</definedName>
    <definedName name="_____Q7" hidden="1">{#N/A,#N/A,FALSE,"KMC최종회의(7월) 자료"}</definedName>
    <definedName name="_____Q8" localSheetId="14" hidden="1">{#N/A,#N/A,FALSE,"KMC최종회의(7월) 자료"}</definedName>
    <definedName name="_____Q8" hidden="1">{#N/A,#N/A,FALSE,"KMC최종회의(7월) 자료"}</definedName>
    <definedName name="_____Q9" localSheetId="14" hidden="1">{#N/A,#N/A,FALSE,"KMC최종회의(7월) 자료"}</definedName>
    <definedName name="_____Q9" hidden="1">{#N/A,#N/A,FALSE,"KMC최종회의(7월) 자료"}</definedName>
    <definedName name="_____REv1" hidden="1">#REF!</definedName>
    <definedName name="_____S1" localSheetId="14" hidden="1">{#N/A,#N/A,FALSE,"KMC최종회의(7월) 자료"}</definedName>
    <definedName name="_____S1" hidden="1">{#N/A,#N/A,FALSE,"KMC최종회의(7월) 자료"}</definedName>
    <definedName name="_____S2" localSheetId="14" hidden="1">{#N/A,#N/A,FALSE,"KMC최종회의(7월) 자료"}</definedName>
    <definedName name="_____S2" hidden="1">{#N/A,#N/A,FALSE,"KMC최종회의(7월) 자료"}</definedName>
    <definedName name="_____S3" localSheetId="14" hidden="1">{#N/A,#N/A,FALSE,"KMC최종회의(7월) 자료"}</definedName>
    <definedName name="_____S3" hidden="1">{#N/A,#N/A,FALSE,"KMC최종회의(7월) 자료"}</definedName>
    <definedName name="_____S4" localSheetId="14" hidden="1">{#N/A,#N/A,FALSE,"KMC최종회의(7월) 자료"}</definedName>
    <definedName name="_____S4" hidden="1">{#N/A,#N/A,FALSE,"KMC최종회의(7월) 자료"}</definedName>
    <definedName name="_____S5" localSheetId="14" hidden="1">{#N/A,#N/A,FALSE,"KMC최종회의(7월) 자료"}</definedName>
    <definedName name="_____S5" hidden="1">{#N/A,#N/A,FALSE,"KMC최종회의(7월) 자료"}</definedName>
    <definedName name="_____S6" localSheetId="14" hidden="1">{#N/A,#N/A,FALSE,"KMC최종회의(7월) 자료"}</definedName>
    <definedName name="_____S6" hidden="1">{#N/A,#N/A,FALSE,"KMC최종회의(7월) 자료"}</definedName>
    <definedName name="_____S7" localSheetId="14" hidden="1">{#N/A,#N/A,FALSE,"KMC최종회의(7월) 자료"}</definedName>
    <definedName name="_____S7" hidden="1">{#N/A,#N/A,FALSE,"KMC최종회의(7월) 자료"}</definedName>
    <definedName name="_____S8" localSheetId="14" hidden="1">{#N/A,#N/A,FALSE,"KMC최종회의(7월) 자료"}</definedName>
    <definedName name="_____S8" hidden="1">{#N/A,#N/A,FALSE,"KMC최종회의(7월) 자료"}</definedName>
    <definedName name="_____SH3" hidden="1">{#N/A,#N/A,FALSE,"PART-1234-8-12-9(41)";#N/A,#N/A,FALSE,"PARTS-2(3)";#N/A,#N/A,FALSE,"VAN SYSTEM";#N/A,#N/A,FALSE,"PARTS-10(26)";#N/A,#N/A,FALSE,"PART-5-6-7-11(14)";#N/A,#N/A,FALSE,"PARTS-4(3)";#N/A,#N/A,FALSE,"PCLASS"}</definedName>
    <definedName name="_____TEL3" localSheetId="14" hidden="1">{"'tel2'!$B$29:$J$45","'tel2'!$A$5:$G$19","'tel2'!$B$50:$F$57","'tel2'!$B$105:$G$110","'tel2'!$B$63:$H$85","'tel2'!$B$14:$G$18","'tel2'!$B$29:$C$29"}</definedName>
    <definedName name="_____TEL3" hidden="1">{"'tel2'!$B$29:$J$45","'tel2'!$A$5:$G$19","'tel2'!$B$50:$F$57","'tel2'!$B$105:$G$110","'tel2'!$B$63:$H$85","'tel2'!$B$14:$G$18","'tel2'!$B$29:$C$29"}</definedName>
    <definedName name="_____ths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_ths1" hidden="1">{#N/A,#N/A,FALSE,"손익표지";#N/A,#N/A,FALSE,"손익계산";#N/A,#N/A,FALSE,"일반관리비";#N/A,#N/A,FALSE,"영업외수익";#N/A,#N/A,FALSE,"영업외비용";#N/A,#N/A,FALSE,"매출액";#N/A,#N/A,FALSE,"요약손익";#N/A,#N/A,FALSE,"요약대차";#N/A,#N/A,FALSE,"매출채권현황";#N/A,#N/A,FALSE,"매출채권명세"}</definedName>
    <definedName name="____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____W1" localSheetId="14" hidden="1">{#N/A,#N/A,FALSE,"KMC최종회의(7월) 자료"}</definedName>
    <definedName name="_____W1" hidden="1">{#N/A,#N/A,FALSE,"KMC최종회의(7월) 자료"}</definedName>
    <definedName name="_____W2" localSheetId="14" hidden="1">{#N/A,#N/A,FALSE,"KMC최종회의(7월) 자료"}</definedName>
    <definedName name="_____W2" hidden="1">{#N/A,#N/A,FALSE,"KMC최종회의(7월) 자료"}</definedName>
    <definedName name="_____W3" localSheetId="14" hidden="1">{#N/A,#N/A,FALSE,"KMC최종회의(7월) 자료"}</definedName>
    <definedName name="_____W3" hidden="1">{#N/A,#N/A,FALSE,"KMC최종회의(7월) 자료"}</definedName>
    <definedName name="_____W4" localSheetId="14" hidden="1">{#N/A,#N/A,FALSE,"KMC최종회의(7월) 자료"}</definedName>
    <definedName name="_____W4" hidden="1">{#N/A,#N/A,FALSE,"KMC최종회의(7월) 자료"}</definedName>
    <definedName name="_____W5" localSheetId="14" hidden="1">{#N/A,#N/A,FALSE,"KMC최종회의(7월) 자료"}</definedName>
    <definedName name="_____W5" hidden="1">{#N/A,#N/A,FALSE,"KMC최종회의(7월) 자료"}</definedName>
    <definedName name="_____W6" localSheetId="14" hidden="1">{#N/A,#N/A,FALSE,"KMC최종회의(7월) 자료"}</definedName>
    <definedName name="_____W6" hidden="1">{#N/A,#N/A,FALSE,"KMC최종회의(7월) 자료"}</definedName>
    <definedName name="_____W7" localSheetId="14" hidden="1">{#N/A,#N/A,FALSE,"KMC최종회의(7월) 자료"}</definedName>
    <definedName name="_____W7" hidden="1">{#N/A,#N/A,FALSE,"KMC최종회의(7월) 자료"}</definedName>
    <definedName name="_____W8" localSheetId="14" hidden="1">{#N/A,#N/A,FALSE,"KMC최종회의(7월) 자료"}</definedName>
    <definedName name="_____W8" hidden="1">{#N/A,#N/A,FALSE,"KMC최종회의(7월) 자료"}</definedName>
    <definedName name="_____W9" localSheetId="14" hidden="1">{#N/A,#N/A,FALSE,"KMC최종회의(7월) 자료"}</definedName>
    <definedName name="_____W9" hidden="1">{#N/A,#N/A,FALSE,"KMC최종회의(7월) 자료"}</definedName>
    <definedName name="_____X1" localSheetId="14" hidden="1">{#N/A,#N/A,FALSE,"KMC최종회의(7월) 자료"}</definedName>
    <definedName name="_____X1" hidden="1">{#N/A,#N/A,FALSE,"KMC최종회의(7월) 자료"}</definedName>
    <definedName name="_____X2" localSheetId="14" hidden="1">{#N/A,#N/A,FALSE,"KMC최종회의(7월) 자료"}</definedName>
    <definedName name="_____X2" hidden="1">{#N/A,#N/A,FALSE,"KMC최종회의(7월) 자료"}</definedName>
    <definedName name="_____X3" localSheetId="14" hidden="1">{#N/A,#N/A,FALSE,"KMC최종회의(7월) 자료"}</definedName>
    <definedName name="_____X3" hidden="1">{#N/A,#N/A,FALSE,"KMC최종회의(7월) 자료"}</definedName>
    <definedName name="_____X4" localSheetId="14" hidden="1">{#N/A,#N/A,FALSE,"KMC최종회의(7월) 자료"}</definedName>
    <definedName name="_____X4" hidden="1">{#N/A,#N/A,FALSE,"KMC최종회의(7월) 자료"}</definedName>
    <definedName name="_____X5" localSheetId="14" hidden="1">{#N/A,#N/A,FALSE,"KMC최종회의(7월) 자료"}</definedName>
    <definedName name="_____X5" hidden="1">{#N/A,#N/A,FALSE,"KMC최종회의(7월) 자료"}</definedName>
    <definedName name="_____X6" localSheetId="14" hidden="1">{#N/A,#N/A,FALSE,"KMC최종회의(7월) 자료"}</definedName>
    <definedName name="_____X6" hidden="1">{#N/A,#N/A,FALSE,"KMC최종회의(7월) 자료"}</definedName>
    <definedName name="_____X7" localSheetId="14" hidden="1">{#N/A,#N/A,FALSE,"KMC최종회의(7월) 자료"}</definedName>
    <definedName name="_____X7" hidden="1">{#N/A,#N/A,FALSE,"KMC최종회의(7월) 자료"}</definedName>
    <definedName name="_____X8" localSheetId="14" hidden="1">{#N/A,#N/A,FALSE,"KMC최종회의(7월) 자료"}</definedName>
    <definedName name="_____X8" hidden="1">{#N/A,#N/A,FALSE,"KMC최종회의(7월) 자료"}</definedName>
    <definedName name="_____XG2" localSheetId="14" hidden="1">{#N/A,#N/A,FALSE,"단축1";#N/A,#N/A,FALSE,"단축2";#N/A,#N/A,FALSE,"단축3";#N/A,#N/A,FALSE,"장축";#N/A,#N/A,FALSE,"4WD"}</definedName>
    <definedName name="_____XG2" hidden="1">{#N/A,#N/A,FALSE,"단축1";#N/A,#N/A,FALSE,"단축2";#N/A,#N/A,FALSE,"단축3";#N/A,#N/A,FALSE,"장축";#N/A,#N/A,FALSE,"4WD"}</definedName>
    <definedName name="_____Z1" localSheetId="14" hidden="1">{#N/A,#N/A,FALSE,"KMC최종회의(7월) 자료"}</definedName>
    <definedName name="_____Z1" hidden="1">{#N/A,#N/A,FALSE,"KMC최종회의(7월) 자료"}</definedName>
    <definedName name="_____Z2" localSheetId="14" hidden="1">{#N/A,#N/A,FALSE,"KMC최종회의(7월) 자료"}</definedName>
    <definedName name="_____Z2" hidden="1">{#N/A,#N/A,FALSE,"KMC최종회의(7월) 자료"}</definedName>
    <definedName name="_____Z3" localSheetId="14" hidden="1">{#N/A,#N/A,FALSE,"KMC최종회의(7월) 자료"}</definedName>
    <definedName name="_____Z3" hidden="1">{#N/A,#N/A,FALSE,"KMC최종회의(7월) 자료"}</definedName>
    <definedName name="_____Z4" localSheetId="14" hidden="1">{#N/A,#N/A,FALSE,"KMC최종회의(7월) 자료"}</definedName>
    <definedName name="_____Z4" hidden="1">{#N/A,#N/A,FALSE,"KMC최종회의(7월) 자료"}</definedName>
    <definedName name="_____Z5" localSheetId="14" hidden="1">{#N/A,#N/A,FALSE,"KMC최종회의(7월) 자료"}</definedName>
    <definedName name="_____Z5" hidden="1">{#N/A,#N/A,FALSE,"KMC최종회의(7월) 자료"}</definedName>
    <definedName name="_____Z6" localSheetId="14" hidden="1">{#N/A,#N/A,FALSE,"KMC최종회의(7월) 자료"}</definedName>
    <definedName name="_____Z6" hidden="1">{#N/A,#N/A,FALSE,"KMC최종회의(7월) 자료"}</definedName>
    <definedName name="_____Z7" localSheetId="14" hidden="1">{#N/A,#N/A,FALSE,"KMC최종회의(7월) 자료"}</definedName>
    <definedName name="_____Z7" hidden="1">{#N/A,#N/A,FALSE,"KMC최종회의(7월) 자료"}</definedName>
    <definedName name="_____Z8" localSheetId="14" hidden="1">{#N/A,#N/A,FALSE,"KMC최종회의(7월) 자료"}</definedName>
    <definedName name="_____Z8" hidden="1">{#N/A,#N/A,FALSE,"KMC최종회의(7월) 자료"}</definedName>
    <definedName name="_____Z9" localSheetId="14" hidden="1">{#N/A,#N/A,FALSE,"KMC최종회의(7월) 자료"}</definedName>
    <definedName name="_____Z9" hidden="1">{#N/A,#N/A,FALSE,"KMC최종회의(7월) 자료"}</definedName>
    <definedName name="____A1" localSheetId="14" hidden="1">{#N/A,#N/A,FALSE,"KMC최종회의(7월) 자료"}</definedName>
    <definedName name="____A1" hidden="1">{#N/A,#N/A,FALSE,"KMC최종회의(7월) 자료"}</definedName>
    <definedName name="____A2" localSheetId="14" hidden="1">{#N/A,#N/A,FALSE,"KMC최종회의(7월) 자료"}</definedName>
    <definedName name="____A2" hidden="1">{#N/A,#N/A,FALSE,"KMC최종회의(7월) 자료"}</definedName>
    <definedName name="____A3" localSheetId="14" hidden="1">{#N/A,#N/A,FALSE,"KMC최종회의(7월) 자료"}</definedName>
    <definedName name="____A3" hidden="1">{#N/A,#N/A,FALSE,"KMC최종회의(7월) 자료"}</definedName>
    <definedName name="____A4" localSheetId="14" hidden="1">{#N/A,#N/A,FALSE,"KMC최종회의(7월) 자료"}</definedName>
    <definedName name="____A4" hidden="1">{#N/A,#N/A,FALSE,"KMC최종회의(7월) 자료"}</definedName>
    <definedName name="____A5" localSheetId="14" hidden="1">{#N/A,#N/A,FALSE,"KMC최종회의(7월) 자료"}</definedName>
    <definedName name="____A5" hidden="1">{#N/A,#N/A,FALSE,"KMC최종회의(7월) 자료"}</definedName>
    <definedName name="____A6" localSheetId="14" hidden="1">{#N/A,#N/A,FALSE,"KMC최종회의(7월) 자료"}</definedName>
    <definedName name="____A6" hidden="1">{#N/A,#N/A,FALSE,"KMC최종회의(7월) 자료"}</definedName>
    <definedName name="____A7" localSheetId="14" hidden="1">{#N/A,#N/A,FALSE,"KMC최종회의(7월) 자료"}</definedName>
    <definedName name="____A7" hidden="1">{#N/A,#N/A,FALSE,"KMC최종회의(7월) 자료"}</definedName>
    <definedName name="____A8" localSheetId="14" hidden="1">{#N/A,#N/A,FALSE,"KMC최종회의(7월) 자료"}</definedName>
    <definedName name="____A8" hidden="1">{#N/A,#N/A,FALSE,"KMC최종회의(7월) 자료"}</definedName>
    <definedName name="____A9" localSheetId="14" hidden="1">{#N/A,#N/A,FALSE,"KMC최종회의(7월) 자료"}</definedName>
    <definedName name="____A9" hidden="1">{#N/A,#N/A,FALSE,"KMC최종회의(7월) 자료"}</definedName>
    <definedName name="____AS6" localSheetId="14" hidden="1">{#N/A,#N/A,FALSE,"Australien";#N/A,#N/A,FALSE,"Birmingham";#N/A,#N/A,FALSE,"Brasilien";#N/A,#N/A,FALSE,"Prag";#N/A,#N/A,FALSE,"Spanien";#N/A,#N/A,FALSE,"Malaysia ( Com)";#N/A,#N/A,FALSE,"Malaysia (Instr)"}</definedName>
    <definedName name="____AS6" hidden="1">{#N/A,#N/A,FALSE,"Australien";#N/A,#N/A,FALSE,"Birmingham";#N/A,#N/A,FALSE,"Brasilien";#N/A,#N/A,FALSE,"Prag";#N/A,#N/A,FALSE,"Spanien";#N/A,#N/A,FALSE,"Malaysia ( Com)";#N/A,#N/A,FALSE,"Malaysia (Instr)"}</definedName>
    <definedName name="____DD1" hidden="1">{#N/A,#N/A,FALSE,"지침";#N/A,#N/A,FALSE,"환경분석";#N/A,#N/A,FALSE,"Sheet16"}</definedName>
    <definedName name="____E1" localSheetId="14" hidden="1">{#N/A,#N/A,FALSE,"KMC최종회의(7월) 자료"}</definedName>
    <definedName name="____E1" hidden="1">{#N/A,#N/A,FALSE,"KMC최종회의(7월) 자료"}</definedName>
    <definedName name="____E2" localSheetId="14" hidden="1">{#N/A,#N/A,FALSE,"KMC최종회의(7월) 자료"}</definedName>
    <definedName name="____E2" hidden="1">{#N/A,#N/A,FALSE,"KMC최종회의(7월) 자료"}</definedName>
    <definedName name="____IO8" localSheetId="14" hidden="1">{#N/A,#N/A,FALSE,"단축1";#N/A,#N/A,FALSE,"단축2";#N/A,#N/A,FALSE,"단축3";#N/A,#N/A,FALSE,"장축";#N/A,#N/A,FALSE,"4WD"}</definedName>
    <definedName name="____IO8" hidden="1">{#N/A,#N/A,FALSE,"단축1";#N/A,#N/A,FALSE,"단축2";#N/A,#N/A,FALSE,"단축3";#N/A,#N/A,FALSE,"장축";#N/A,#N/A,FALSE,"4WD"}</definedName>
    <definedName name="____KEY1" localSheetId="14" hidden="1">#REF!</definedName>
    <definedName name="____KEY1" hidden="1">#REF!</definedName>
    <definedName name="____LPS2" localSheetId="14" hidden="1">{#N/A,#N/A,FALSE,"단축1";#N/A,#N/A,FALSE,"단축2";#N/A,#N/A,FALSE,"단축3";#N/A,#N/A,FALSE,"장축";#N/A,#N/A,FALSE,"4WD"}</definedName>
    <definedName name="____LPS2" hidden="1">{#N/A,#N/A,FALSE,"단축1";#N/A,#N/A,FALSE,"단축2";#N/A,#N/A,FALSE,"단축3";#N/A,#N/A,FALSE,"장축";#N/A,#N/A,FALSE,"4WD"}</definedName>
    <definedName name="____M180" hidden="1">#N/A</definedName>
    <definedName name="____NPS2" localSheetId="14"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Q1" localSheetId="14" hidden="1">{#N/A,#N/A,FALSE,"KMC최종회의(7월) 자료"}</definedName>
    <definedName name="____Q1" hidden="1">{#N/A,#N/A,FALSE,"KMC최종회의(7월) 자료"}</definedName>
    <definedName name="____Q2" localSheetId="14" hidden="1">{#N/A,#N/A,FALSE,"KMC최종회의(7월) 자료"}</definedName>
    <definedName name="____Q2" hidden="1">{#N/A,#N/A,FALSE,"KMC최종회의(7월) 자료"}</definedName>
    <definedName name="____Q3" localSheetId="14" hidden="1">{#N/A,#N/A,FALSE,"KMC최종회의(7월) 자료"}</definedName>
    <definedName name="____Q3" hidden="1">{#N/A,#N/A,FALSE,"KMC최종회의(7월) 자료"}</definedName>
    <definedName name="____Q5" localSheetId="14" hidden="1">{#N/A,#N/A,FALSE,"KMC최종회의(7월) 자료"}</definedName>
    <definedName name="____Q5" hidden="1">{#N/A,#N/A,FALSE,"KMC최종회의(7월) 자료"}</definedName>
    <definedName name="____Q7" localSheetId="14" hidden="1">{#N/A,#N/A,FALSE,"KMC최종회의(7월) 자료"}</definedName>
    <definedName name="____Q7" hidden="1">{#N/A,#N/A,FALSE,"KMC최종회의(7월) 자료"}</definedName>
    <definedName name="____Q8" localSheetId="14" hidden="1">{#N/A,#N/A,FALSE,"KMC최종회의(7월) 자료"}</definedName>
    <definedName name="____Q8" hidden="1">{#N/A,#N/A,FALSE,"KMC최종회의(7월) 자료"}</definedName>
    <definedName name="____Q9" localSheetId="14" hidden="1">{#N/A,#N/A,FALSE,"KMC최종회의(7월) 자료"}</definedName>
    <definedName name="____Q9" hidden="1">{#N/A,#N/A,FALSE,"KMC최종회의(7월) 자료"}</definedName>
    <definedName name="____REv1" hidden="1">#REF!</definedName>
    <definedName name="____S1" localSheetId="14" hidden="1">{#N/A,#N/A,FALSE,"KMC최종회의(7월) 자료"}</definedName>
    <definedName name="____S1" hidden="1">{#N/A,#N/A,FALSE,"KMC최종회의(7월) 자료"}</definedName>
    <definedName name="____S2" localSheetId="14" hidden="1">{#N/A,#N/A,FALSE,"KMC최종회의(7월) 자료"}</definedName>
    <definedName name="____S2" hidden="1">{#N/A,#N/A,FALSE,"KMC최종회의(7월) 자료"}</definedName>
    <definedName name="____S3" localSheetId="14" hidden="1">{#N/A,#N/A,FALSE,"KMC최종회의(7월) 자료"}</definedName>
    <definedName name="____S3" hidden="1">{#N/A,#N/A,FALSE,"KMC최종회의(7월) 자료"}</definedName>
    <definedName name="____S4" localSheetId="14" hidden="1">{#N/A,#N/A,FALSE,"KMC최종회의(7월) 자료"}</definedName>
    <definedName name="____S4" hidden="1">{#N/A,#N/A,FALSE,"KMC최종회의(7월) 자료"}</definedName>
    <definedName name="____S5" localSheetId="14" hidden="1">{#N/A,#N/A,FALSE,"KMC최종회의(7월) 자료"}</definedName>
    <definedName name="____S5" hidden="1">{#N/A,#N/A,FALSE,"KMC최종회의(7월) 자료"}</definedName>
    <definedName name="____S6" localSheetId="14" hidden="1">{#N/A,#N/A,FALSE,"KMC최종회의(7월) 자료"}</definedName>
    <definedName name="____S6" hidden="1">{#N/A,#N/A,FALSE,"KMC최종회의(7월) 자료"}</definedName>
    <definedName name="____S7" localSheetId="14" hidden="1">{#N/A,#N/A,FALSE,"KMC최종회의(7월) 자료"}</definedName>
    <definedName name="____S7" hidden="1">{#N/A,#N/A,FALSE,"KMC최종회의(7월) 자료"}</definedName>
    <definedName name="____S8" localSheetId="14" hidden="1">{#N/A,#N/A,FALSE,"KMC최종회의(7월) 자료"}</definedName>
    <definedName name="____S8" hidden="1">{#N/A,#N/A,FALSE,"KMC최종회의(7월) 자료"}</definedName>
    <definedName name="____SDW1" localSheetId="14" hidden="1">#REF!</definedName>
    <definedName name="____SDW1" hidden="1">#REF!</definedName>
    <definedName name="____SH3" hidden="1">{#N/A,#N/A,FALSE,"PART-1234-8-12-9(41)";#N/A,#N/A,FALSE,"PARTS-2(3)";#N/A,#N/A,FALSE,"VAN SYSTEM";#N/A,#N/A,FALSE,"PARTS-10(26)";#N/A,#N/A,FALSE,"PART-5-6-7-11(14)";#N/A,#N/A,FALSE,"PARTS-4(3)";#N/A,#N/A,FALSE,"PCLASS"}</definedName>
    <definedName name="____TEL3" localSheetId="14" hidden="1">{"'tel2'!$B$29:$J$45","'tel2'!$A$5:$G$19","'tel2'!$B$50:$F$57","'tel2'!$B$105:$G$110","'tel2'!$B$63:$H$85","'tel2'!$B$14:$G$18","'tel2'!$B$29:$C$29"}</definedName>
    <definedName name="____TEL3" hidden="1">{"'tel2'!$B$29:$J$45","'tel2'!$A$5:$G$19","'tel2'!$B$50:$F$57","'tel2'!$B$105:$G$110","'tel2'!$B$63:$H$85","'tel2'!$B$14:$G$18","'tel2'!$B$29:$C$29"}</definedName>
    <definedName name="____ths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_ths1" hidden="1">{#N/A,#N/A,FALSE,"손익표지";#N/A,#N/A,FALSE,"손익계산";#N/A,#N/A,FALSE,"일반관리비";#N/A,#N/A,FALSE,"영업외수익";#N/A,#N/A,FALSE,"영업외비용";#N/A,#N/A,FALSE,"매출액";#N/A,#N/A,FALSE,"요약손익";#N/A,#N/A,FALSE,"요약대차";#N/A,#N/A,FALSE,"매출채권현황";#N/A,#N/A,FALSE,"매출채권명세"}</definedName>
    <definedName name="___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___W1" localSheetId="14" hidden="1">{#N/A,#N/A,FALSE,"KMC최종회의(7월) 자료"}</definedName>
    <definedName name="____W1" hidden="1">{#N/A,#N/A,FALSE,"KMC최종회의(7월) 자료"}</definedName>
    <definedName name="____W2" localSheetId="14" hidden="1">{#N/A,#N/A,FALSE,"KMC최종회의(7월) 자료"}</definedName>
    <definedName name="____W2" hidden="1">{#N/A,#N/A,FALSE,"KMC최종회의(7월) 자료"}</definedName>
    <definedName name="____W3" localSheetId="14" hidden="1">{#N/A,#N/A,FALSE,"KMC최종회의(7월) 자료"}</definedName>
    <definedName name="____W3" hidden="1">{#N/A,#N/A,FALSE,"KMC최종회의(7월) 자료"}</definedName>
    <definedName name="____W4" localSheetId="14" hidden="1">{#N/A,#N/A,FALSE,"KMC최종회의(7월) 자료"}</definedName>
    <definedName name="____W4" hidden="1">{#N/A,#N/A,FALSE,"KMC최종회의(7월) 자료"}</definedName>
    <definedName name="____W5" localSheetId="14" hidden="1">{#N/A,#N/A,FALSE,"KMC최종회의(7월) 자료"}</definedName>
    <definedName name="____W5" hidden="1">{#N/A,#N/A,FALSE,"KMC최종회의(7월) 자료"}</definedName>
    <definedName name="____W6" localSheetId="14" hidden="1">{#N/A,#N/A,FALSE,"KMC최종회의(7월) 자료"}</definedName>
    <definedName name="____W6" hidden="1">{#N/A,#N/A,FALSE,"KMC최종회의(7월) 자료"}</definedName>
    <definedName name="____W7" localSheetId="14" hidden="1">{#N/A,#N/A,FALSE,"KMC최종회의(7월) 자료"}</definedName>
    <definedName name="____W7" hidden="1">{#N/A,#N/A,FALSE,"KMC최종회의(7월) 자료"}</definedName>
    <definedName name="____W8" localSheetId="14" hidden="1">{#N/A,#N/A,FALSE,"KMC최종회의(7월) 자료"}</definedName>
    <definedName name="____W8" hidden="1">{#N/A,#N/A,FALSE,"KMC최종회의(7월) 자료"}</definedName>
    <definedName name="____W9" localSheetId="14" hidden="1">{#N/A,#N/A,FALSE,"KMC최종회의(7월) 자료"}</definedName>
    <definedName name="____W9" hidden="1">{#N/A,#N/A,FALSE,"KMC최종회의(7월) 자료"}</definedName>
    <definedName name="____X1" localSheetId="14" hidden="1">{#N/A,#N/A,FALSE,"KMC최종회의(7월) 자료"}</definedName>
    <definedName name="____X1" hidden="1">{#N/A,#N/A,FALSE,"KMC최종회의(7월) 자료"}</definedName>
    <definedName name="____X2" localSheetId="14" hidden="1">{#N/A,#N/A,FALSE,"KMC최종회의(7월) 자료"}</definedName>
    <definedName name="____X2" hidden="1">{#N/A,#N/A,FALSE,"KMC최종회의(7월) 자료"}</definedName>
    <definedName name="____X3" localSheetId="14" hidden="1">{#N/A,#N/A,FALSE,"KMC최종회의(7월) 자료"}</definedName>
    <definedName name="____X3" hidden="1">{#N/A,#N/A,FALSE,"KMC최종회의(7월) 자료"}</definedName>
    <definedName name="____X4" localSheetId="14" hidden="1">{#N/A,#N/A,FALSE,"KMC최종회의(7월) 자료"}</definedName>
    <definedName name="____X4" hidden="1">{#N/A,#N/A,FALSE,"KMC최종회의(7월) 자료"}</definedName>
    <definedName name="____X5" localSheetId="14" hidden="1">{#N/A,#N/A,FALSE,"KMC최종회의(7월) 자료"}</definedName>
    <definedName name="____X5" hidden="1">{#N/A,#N/A,FALSE,"KMC최종회의(7월) 자료"}</definedName>
    <definedName name="____X6" localSheetId="14" hidden="1">{#N/A,#N/A,FALSE,"KMC최종회의(7월) 자료"}</definedName>
    <definedName name="____X6" hidden="1">{#N/A,#N/A,FALSE,"KMC최종회의(7월) 자료"}</definedName>
    <definedName name="____X7" localSheetId="14" hidden="1">{#N/A,#N/A,FALSE,"KMC최종회의(7월) 자료"}</definedName>
    <definedName name="____X7" hidden="1">{#N/A,#N/A,FALSE,"KMC최종회의(7월) 자료"}</definedName>
    <definedName name="____X8" localSheetId="14" hidden="1">{#N/A,#N/A,FALSE,"KMC최종회의(7월) 자료"}</definedName>
    <definedName name="____X8" hidden="1">{#N/A,#N/A,FALSE,"KMC최종회의(7월) 자료"}</definedName>
    <definedName name="____XG2" localSheetId="14" hidden="1">{#N/A,#N/A,FALSE,"단축1";#N/A,#N/A,FALSE,"단축2";#N/A,#N/A,FALSE,"단축3";#N/A,#N/A,FALSE,"장축";#N/A,#N/A,FALSE,"4WD"}</definedName>
    <definedName name="____XG2" hidden="1">{#N/A,#N/A,FALSE,"단축1";#N/A,#N/A,FALSE,"단축2";#N/A,#N/A,FALSE,"단축3";#N/A,#N/A,FALSE,"장축";#N/A,#N/A,FALSE,"4WD"}</definedName>
    <definedName name="____Z1" localSheetId="14" hidden="1">{#N/A,#N/A,FALSE,"KMC최종회의(7월) 자료"}</definedName>
    <definedName name="____Z1" hidden="1">{#N/A,#N/A,FALSE,"KMC최종회의(7월) 자료"}</definedName>
    <definedName name="____Z2" localSheetId="14" hidden="1">{#N/A,#N/A,FALSE,"KMC최종회의(7월) 자료"}</definedName>
    <definedName name="____Z2" hidden="1">{#N/A,#N/A,FALSE,"KMC최종회의(7월) 자료"}</definedName>
    <definedName name="____Z3" localSheetId="14" hidden="1">{#N/A,#N/A,FALSE,"KMC최종회의(7월) 자료"}</definedName>
    <definedName name="____Z3" hidden="1">{#N/A,#N/A,FALSE,"KMC최종회의(7월) 자료"}</definedName>
    <definedName name="____Z4" localSheetId="14" hidden="1">{#N/A,#N/A,FALSE,"KMC최종회의(7월) 자료"}</definedName>
    <definedName name="____Z4" hidden="1">{#N/A,#N/A,FALSE,"KMC최종회의(7월) 자료"}</definedName>
    <definedName name="____Z5" localSheetId="14" hidden="1">{#N/A,#N/A,FALSE,"KMC최종회의(7월) 자료"}</definedName>
    <definedName name="____Z5" hidden="1">{#N/A,#N/A,FALSE,"KMC최종회의(7월) 자료"}</definedName>
    <definedName name="____Z6" localSheetId="14" hidden="1">{#N/A,#N/A,FALSE,"KMC최종회의(7월) 자료"}</definedName>
    <definedName name="____Z6" hidden="1">{#N/A,#N/A,FALSE,"KMC최종회의(7월) 자료"}</definedName>
    <definedName name="____Z7" localSheetId="14" hidden="1">{#N/A,#N/A,FALSE,"KMC최종회의(7월) 자료"}</definedName>
    <definedName name="____Z7" hidden="1">{#N/A,#N/A,FALSE,"KMC최종회의(7월) 자료"}</definedName>
    <definedName name="____Z8" localSheetId="14" hidden="1">{#N/A,#N/A,FALSE,"KMC최종회의(7월) 자료"}</definedName>
    <definedName name="____Z8" hidden="1">{#N/A,#N/A,FALSE,"KMC최종회의(7월) 자료"}</definedName>
    <definedName name="____Z9" localSheetId="14" hidden="1">{#N/A,#N/A,FALSE,"KMC최종회의(7월) 자료"}</definedName>
    <definedName name="____Z9" hidden="1">{#N/A,#N/A,FALSE,"KMC최종회의(7월) 자료"}</definedName>
    <definedName name="___A1" localSheetId="14" hidden="1">{#N/A,#N/A,FALSE,"KMC최종회의(7월) 자료"}</definedName>
    <definedName name="___A1" hidden="1">{#N/A,#N/A,FALSE,"KMC최종회의(7월) 자료"}</definedName>
    <definedName name="___A5" localSheetId="14" hidden="1">{#N/A,#N/A,FALSE,"KMC최종회의(7월) 자료"}</definedName>
    <definedName name="___A5" hidden="1">{#N/A,#N/A,FALSE,"KMC최종회의(7월) 자료"}</definedName>
    <definedName name="___A6" localSheetId="14" hidden="1">{#N/A,#N/A,FALSE,"KMC최종회의(7월) 자료"}</definedName>
    <definedName name="___A6" hidden="1">{#N/A,#N/A,FALSE,"KMC최종회의(7월) 자료"}</definedName>
    <definedName name="___A6666" localSheetId="14" hidden="1">{#N/A,#N/A,FALSE,"KMC최종회의(7월) 자료"}</definedName>
    <definedName name="___A6666" hidden="1">{#N/A,#N/A,FALSE,"KMC최종회의(7월) 자료"}</definedName>
    <definedName name="___A7" localSheetId="14" hidden="1">{#N/A,#N/A,FALSE,"KMC최종회의(7월) 자료"}</definedName>
    <definedName name="___A7" hidden="1">{#N/A,#N/A,FALSE,"KMC최종회의(7월) 자료"}</definedName>
    <definedName name="___A8" localSheetId="14" hidden="1">{#N/A,#N/A,FALSE,"KMC최종회의(7월) 자료"}</definedName>
    <definedName name="___A8" hidden="1">{#N/A,#N/A,FALSE,"KMC최종회의(7월) 자료"}</definedName>
    <definedName name="___A9"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CVJ1" localSheetId="14" hidden="1">{#N/A,#N/A,FALSE,"KMC최종회의(7월) 자료"}</definedName>
    <definedName name="___CVJ1" hidden="1">{#N/A,#N/A,FALSE,"KMC최종회의(7월) 자료"}</definedName>
    <definedName name="___DD1" hidden="1">{#N/A,#N/A,FALSE,"지침";#N/A,#N/A,FALSE,"환경분석";#N/A,#N/A,FALSE,"Sheet16"}</definedName>
    <definedName name="___E1" localSheetId="14" hidden="1">{#N/A,#N/A,FALSE,"KMC최종회의(7월) 자료"}</definedName>
    <definedName name="___E1" hidden="1">{#N/A,#N/A,FALSE,"KMC최종회의(7월) 자료"}</definedName>
    <definedName name="___E2" localSheetId="14" hidden="1">{#N/A,#N/A,FALSE,"KMC최종회의(7월) 자료"}</definedName>
    <definedName name="___E2" hidden="1">{#N/A,#N/A,FALSE,"KMC최종회의(7월) 자료"}</definedName>
    <definedName name="___j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KEY1" localSheetId="14" hidden="1">#REF!</definedName>
    <definedName name="___KEY1" hidden="1">#REF!</definedName>
    <definedName name="___LPS2" localSheetId="14" hidden="1">{#N/A,#N/A,FALSE,"단축1";#N/A,#N/A,FALSE,"단축2";#N/A,#N/A,FALSE,"단축3";#N/A,#N/A,FALSE,"장축";#N/A,#N/A,FALSE,"4WD"}</definedName>
    <definedName name="___LPS2" hidden="1">{#N/A,#N/A,FALSE,"단축1";#N/A,#N/A,FALSE,"단축2";#N/A,#N/A,FALSE,"단축3";#N/A,#N/A,FALSE,"장축";#N/A,#N/A,FALSE,"4WD"}</definedName>
    <definedName name="___M180" hidden="1">#N/A</definedName>
    <definedName name="___NPS2" localSheetId="14"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Q1" localSheetId="14" hidden="1">{#N/A,#N/A,FALSE,"KMC최종회의(7월) 자료"}</definedName>
    <definedName name="___Q1" hidden="1">{#N/A,#N/A,FALSE,"KMC최종회의(7월) 자료"}</definedName>
    <definedName name="___Q2" localSheetId="14" hidden="1">{#N/A,#N/A,FALSE,"KMC최종회의(7월) 자료"}</definedName>
    <definedName name="___Q2" hidden="1">{#N/A,#N/A,FALSE,"KMC최종회의(7월) 자료"}</definedName>
    <definedName name="___Q3" localSheetId="14" hidden="1">{#N/A,#N/A,FALSE,"KMC최종회의(7월) 자료"}</definedName>
    <definedName name="___Q3" hidden="1">{#N/A,#N/A,FALSE,"KMC최종회의(7월) 자료"}</definedName>
    <definedName name="___Q5" localSheetId="14" hidden="1">{#N/A,#N/A,FALSE,"KMC최종회의(7월) 자료"}</definedName>
    <definedName name="___Q5" hidden="1">{#N/A,#N/A,FALSE,"KMC최종회의(7월) 자료"}</definedName>
    <definedName name="___Q7" localSheetId="14" hidden="1">{#N/A,#N/A,FALSE,"KMC최종회의(7월) 자료"}</definedName>
    <definedName name="___Q7" hidden="1">{#N/A,#N/A,FALSE,"KMC최종회의(7월) 자료"}</definedName>
    <definedName name="___Q8" localSheetId="14" hidden="1">{#N/A,#N/A,FALSE,"KMC최종회의(7월) 자료"}</definedName>
    <definedName name="___Q8" hidden="1">{#N/A,#N/A,FALSE,"KMC최종회의(7월) 자료"}</definedName>
    <definedName name="___Q9" localSheetId="14" hidden="1">{#N/A,#N/A,FALSE,"KMC최종회의(7월) 자료"}</definedName>
    <definedName name="___Q9" hidden="1">{#N/A,#N/A,FALSE,"KMC최종회의(7월) 자료"}</definedName>
    <definedName name="___REv1" hidden="1">#REF!</definedName>
    <definedName name="___S1" localSheetId="14" hidden="1">{#N/A,#N/A,FALSE,"KMC최종회의(7월) 자료"}</definedName>
    <definedName name="___S1" hidden="1">{#N/A,#N/A,FALSE,"KMC최종회의(7월) 자료"}</definedName>
    <definedName name="___S2" localSheetId="14" hidden="1">{#N/A,#N/A,FALSE,"KMC최종회의(7월) 자료"}</definedName>
    <definedName name="___S2" hidden="1">{#N/A,#N/A,FALSE,"KMC최종회의(7월) 자료"}</definedName>
    <definedName name="___S3" localSheetId="14" hidden="1">{#N/A,#N/A,FALSE,"KMC최종회의(7월) 자료"}</definedName>
    <definedName name="___S3" hidden="1">{#N/A,#N/A,FALSE,"KMC최종회의(7월) 자료"}</definedName>
    <definedName name="___S4" localSheetId="14" hidden="1">{#N/A,#N/A,FALSE,"KMC최종회의(7월) 자료"}</definedName>
    <definedName name="___S4" hidden="1">{#N/A,#N/A,FALSE,"KMC최종회의(7월) 자료"}</definedName>
    <definedName name="___S5" localSheetId="14" hidden="1">{#N/A,#N/A,FALSE,"KMC최종회의(7월) 자료"}</definedName>
    <definedName name="___S5" hidden="1">{#N/A,#N/A,FALSE,"KMC최종회의(7월) 자료"}</definedName>
    <definedName name="___S6" localSheetId="14" hidden="1">{#N/A,#N/A,FALSE,"KMC최종회의(7월) 자료"}</definedName>
    <definedName name="___S6" hidden="1">{#N/A,#N/A,FALSE,"KMC최종회의(7월) 자료"}</definedName>
    <definedName name="___S7" localSheetId="14" hidden="1">{#N/A,#N/A,FALSE,"KMC최종회의(7월) 자료"}</definedName>
    <definedName name="___S7" hidden="1">{#N/A,#N/A,FALSE,"KMC최종회의(7월) 자료"}</definedName>
    <definedName name="___S8" localSheetId="14" hidden="1">{#N/A,#N/A,FALSE,"KMC최종회의(7월) 자료"}</definedName>
    <definedName name="___S8" hidden="1">{#N/A,#N/A,FALSE,"KMC최종회의(7월) 자료"}</definedName>
    <definedName name="___SDW1" localSheetId="14" hidden="1">#REF!</definedName>
    <definedName name="___SDW1" hidden="1">#REF!</definedName>
    <definedName name="___SH3" hidden="1">{#N/A,#N/A,FALSE,"PART-1234-8-12-9(41)";#N/A,#N/A,FALSE,"PARTS-2(3)";#N/A,#N/A,FALSE,"VAN SYSTEM";#N/A,#N/A,FALSE,"PARTS-10(26)";#N/A,#N/A,FALSE,"PART-5-6-7-11(14)";#N/A,#N/A,FALSE,"PARTS-4(3)";#N/A,#N/A,FALSE,"PCLASS"}</definedName>
    <definedName name="___T2" localSheetId="14" hidden="1">{#N/A,#N/A,FALSE,"단축1";#N/A,#N/A,FALSE,"단축2";#N/A,#N/A,FALSE,"단축3";#N/A,#N/A,FALSE,"장축";#N/A,#N/A,FALSE,"4WD"}</definedName>
    <definedName name="___T2" hidden="1">{#N/A,#N/A,FALSE,"단축1";#N/A,#N/A,FALSE,"단축2";#N/A,#N/A,FALSE,"단축3";#N/A,#N/A,FALSE,"장축";#N/A,#N/A,FALSE,"4WD"}</definedName>
    <definedName name="___TEL3" localSheetId="14" hidden="1">{"'tel2'!$B$29:$J$45","'tel2'!$A$5:$G$19","'tel2'!$B$50:$F$57","'tel2'!$B$105:$G$110","'tel2'!$B$63:$H$85","'tel2'!$B$14:$G$18","'tel2'!$B$29:$C$29"}</definedName>
    <definedName name="___TEL3" hidden="1">{"'tel2'!$B$29:$J$45","'tel2'!$A$5:$G$19","'tel2'!$B$50:$F$57","'tel2'!$B$105:$G$110","'tel2'!$B$63:$H$85","'tel2'!$B$14:$G$18","'tel2'!$B$29:$C$29"}</definedName>
    <definedName name="___thinkcellcJLz6h3ldkm6274Ojda20A" hidden="1">'[2]Simulation results'!#REF!</definedName>
    <definedName name="___ths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_ths1" hidden="1">{#N/A,#N/A,FALSE,"손익표지";#N/A,#N/A,FALSE,"손익계산";#N/A,#N/A,FALSE,"일반관리비";#N/A,#N/A,FALSE,"영업외수익";#N/A,#N/A,FALSE,"영업외비용";#N/A,#N/A,FALSE,"매출액";#N/A,#N/A,FALSE,"요약손익";#N/A,#N/A,FALSE,"요약대차";#N/A,#N/A,FALSE,"매출채권현황";#N/A,#N/A,FALSE,"매출채권명세"}</definedName>
    <definedName name="__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__W1" localSheetId="14" hidden="1">{#N/A,#N/A,FALSE,"KMC최종회의(7월) 자료"}</definedName>
    <definedName name="___W1" hidden="1">{#N/A,#N/A,FALSE,"KMC최종회의(7월) 자료"}</definedName>
    <definedName name="___W2" localSheetId="14" hidden="1">{#N/A,#N/A,FALSE,"KMC최종회의(7월) 자료"}</definedName>
    <definedName name="___W2" hidden="1">{#N/A,#N/A,FALSE,"KMC최종회의(7월) 자료"}</definedName>
    <definedName name="___W3" localSheetId="14" hidden="1">{#N/A,#N/A,FALSE,"KMC최종회의(7월) 자료"}</definedName>
    <definedName name="___W3" hidden="1">{#N/A,#N/A,FALSE,"KMC최종회의(7월) 자료"}</definedName>
    <definedName name="___W4" localSheetId="14" hidden="1">{#N/A,#N/A,FALSE,"KMC최종회의(7월) 자료"}</definedName>
    <definedName name="___W4" hidden="1">{#N/A,#N/A,FALSE,"KMC최종회의(7월) 자료"}</definedName>
    <definedName name="___W5" localSheetId="14" hidden="1">{#N/A,#N/A,FALSE,"KMC최종회의(7월) 자료"}</definedName>
    <definedName name="___W5" hidden="1">{#N/A,#N/A,FALSE,"KMC최종회의(7월) 자료"}</definedName>
    <definedName name="___W6" localSheetId="14" hidden="1">{#N/A,#N/A,FALSE,"KMC최종회의(7월) 자료"}</definedName>
    <definedName name="___W6" hidden="1">{#N/A,#N/A,FALSE,"KMC최종회의(7월) 자료"}</definedName>
    <definedName name="___W7" localSheetId="14" hidden="1">{#N/A,#N/A,FALSE,"KMC최종회의(7월) 자료"}</definedName>
    <definedName name="___W7" hidden="1">{#N/A,#N/A,FALSE,"KMC최종회의(7월) 자료"}</definedName>
    <definedName name="___W8" localSheetId="14" hidden="1">{#N/A,#N/A,FALSE,"KMC최종회의(7월) 자료"}</definedName>
    <definedName name="___W8" hidden="1">{#N/A,#N/A,FALSE,"KMC최종회의(7월) 자료"}</definedName>
    <definedName name="___W9" localSheetId="14" hidden="1">{#N/A,#N/A,FALSE,"KMC최종회의(7월) 자료"}</definedName>
    <definedName name="___W9" hidden="1">{#N/A,#N/A,FALSE,"KMC최종회의(7월) 자료"}</definedName>
    <definedName name="___X1" localSheetId="14" hidden="1">{#N/A,#N/A,FALSE,"KMC최종회의(7월) 자료"}</definedName>
    <definedName name="___X1" hidden="1">{#N/A,#N/A,FALSE,"KMC최종회의(7월) 자료"}</definedName>
    <definedName name="___X2" localSheetId="14" hidden="1">{#N/A,#N/A,FALSE,"KMC최종회의(7월) 자료"}</definedName>
    <definedName name="___X2" hidden="1">{#N/A,#N/A,FALSE,"KMC최종회의(7월) 자료"}</definedName>
    <definedName name="___X3" localSheetId="14" hidden="1">{#N/A,#N/A,FALSE,"KMC최종회의(7월) 자료"}</definedName>
    <definedName name="___X3" hidden="1">{#N/A,#N/A,FALSE,"KMC최종회의(7월) 자료"}</definedName>
    <definedName name="___X4" localSheetId="14" hidden="1">{#N/A,#N/A,FALSE,"KMC최종회의(7월) 자료"}</definedName>
    <definedName name="___X4" hidden="1">{#N/A,#N/A,FALSE,"KMC최종회의(7월) 자료"}</definedName>
    <definedName name="___X5" localSheetId="14" hidden="1">{#N/A,#N/A,FALSE,"KMC최종회의(7월) 자료"}</definedName>
    <definedName name="___X5" hidden="1">{#N/A,#N/A,FALSE,"KMC최종회의(7월) 자료"}</definedName>
    <definedName name="___X6" localSheetId="14" hidden="1">{#N/A,#N/A,FALSE,"KMC최종회의(7월) 자료"}</definedName>
    <definedName name="___X6" hidden="1">{#N/A,#N/A,FALSE,"KMC최종회의(7월) 자료"}</definedName>
    <definedName name="___X7" localSheetId="14" hidden="1">{#N/A,#N/A,FALSE,"KMC최종회의(7월) 자료"}</definedName>
    <definedName name="___X7" hidden="1">{#N/A,#N/A,FALSE,"KMC최종회의(7월) 자료"}</definedName>
    <definedName name="___X8" localSheetId="14" hidden="1">{#N/A,#N/A,FALSE,"KMC최종회의(7월) 자료"}</definedName>
    <definedName name="___X8" hidden="1">{#N/A,#N/A,FALSE,"KMC최종회의(7월) 자료"}</definedName>
    <definedName name="___XG2" localSheetId="14" hidden="1">{#N/A,#N/A,FALSE,"단축1";#N/A,#N/A,FALSE,"단축2";#N/A,#N/A,FALSE,"단축3";#N/A,#N/A,FALSE,"장축";#N/A,#N/A,FALSE,"4WD"}</definedName>
    <definedName name="___XG2" hidden="1">{#N/A,#N/A,FALSE,"단축1";#N/A,#N/A,FALSE,"단축2";#N/A,#N/A,FALSE,"단축3";#N/A,#N/A,FALSE,"장축";#N/A,#N/A,FALSE,"4WD"}</definedName>
    <definedName name="___Z1" localSheetId="14" hidden="1">{#N/A,#N/A,FALSE,"KMC최종회의(7월) 자료"}</definedName>
    <definedName name="___Z1" hidden="1">{#N/A,#N/A,FALSE,"KMC최종회의(7월) 자료"}</definedName>
    <definedName name="___Z2" localSheetId="14" hidden="1">{#N/A,#N/A,FALSE,"KMC최종회의(7월) 자료"}</definedName>
    <definedName name="___Z2" hidden="1">{#N/A,#N/A,FALSE,"KMC최종회의(7월) 자료"}</definedName>
    <definedName name="___Z3" localSheetId="14" hidden="1">{#N/A,#N/A,FALSE,"KMC최종회의(7월) 자료"}</definedName>
    <definedName name="___Z3" hidden="1">{#N/A,#N/A,FALSE,"KMC최종회의(7월) 자료"}</definedName>
    <definedName name="___Z4" localSheetId="14" hidden="1">{#N/A,#N/A,FALSE,"KMC최종회의(7월) 자료"}</definedName>
    <definedName name="___Z4" hidden="1">{#N/A,#N/A,FALSE,"KMC최종회의(7월) 자료"}</definedName>
    <definedName name="___Z5" localSheetId="14" hidden="1">{#N/A,#N/A,FALSE,"KMC최종회의(7월) 자료"}</definedName>
    <definedName name="___Z5" hidden="1">{#N/A,#N/A,FALSE,"KMC최종회의(7월) 자료"}</definedName>
    <definedName name="___Z6" localSheetId="14" hidden="1">{#N/A,#N/A,FALSE,"KMC최종회의(7월) 자료"}</definedName>
    <definedName name="___Z6" hidden="1">{#N/A,#N/A,FALSE,"KMC최종회의(7월) 자료"}</definedName>
    <definedName name="___Z7" localSheetId="14" hidden="1">{#N/A,#N/A,FALSE,"KMC최종회의(7월) 자료"}</definedName>
    <definedName name="___Z7" hidden="1">{#N/A,#N/A,FALSE,"KMC최종회의(7월) 자료"}</definedName>
    <definedName name="___Z8" localSheetId="14" hidden="1">{#N/A,#N/A,FALSE,"KMC최종회의(7월) 자료"}</definedName>
    <definedName name="___Z8" hidden="1">{#N/A,#N/A,FALSE,"KMC최종회의(7월) 자료"}</definedName>
    <definedName name="___Z9" localSheetId="14" hidden="1">{#N/A,#N/A,FALSE,"KMC최종회의(7월) 자료"}</definedName>
    <definedName name="___Z9" hidden="1">{#N/A,#N/A,FALSE,"KMC최종회의(7월) 자료"}</definedName>
    <definedName name="__10">#REF!</definedName>
    <definedName name="__11">#REF!</definedName>
    <definedName name="__123" localSheetId="14" hidden="1">[3]D!#REF!</definedName>
    <definedName name="__123" localSheetId="13" hidden="1">[3]D!#REF!</definedName>
    <definedName name="__123" localSheetId="27" hidden="1">[3]D!#REF!</definedName>
    <definedName name="__123" localSheetId="20" hidden="1">[3]D!#REF!</definedName>
    <definedName name="__123" hidden="1">[3]D!#REF!</definedName>
    <definedName name="__123Graph_A" localSheetId="14" hidden="1">[4]목표세부명세!#REF!</definedName>
    <definedName name="__123Graph_A" localSheetId="13" hidden="1">[4]목표세부명세!#REF!</definedName>
    <definedName name="__123Graph_A" localSheetId="27" hidden="1">[4]목표세부명세!#REF!</definedName>
    <definedName name="__123Graph_A" localSheetId="20" hidden="1">[4]목표세부명세!#REF!</definedName>
    <definedName name="__123Graph_A" localSheetId="31" hidden="1">[4]목표세부명세!#REF!</definedName>
    <definedName name="__123Graph_A" hidden="1">[4]목표세부명세!#REF!</definedName>
    <definedName name="__123Graph_AF1" hidden="1">'[5]COLOR별 인쇄'!#REF!</definedName>
    <definedName name="__123Graph_AF2" hidden="1">'[5]COLOR별 인쇄'!#REF!</definedName>
    <definedName name="__123Graph_AKNS" hidden="1">[6]Antrag!$E$78:$X$78</definedName>
    <definedName name="__123Graph_AKVS" hidden="1">[6]Antrag!$E$77:$X$77</definedName>
    <definedName name="__123Graph_APRINCIPAL" hidden="1">[7]personal!#REF!</definedName>
    <definedName name="__123Graph_AVALSIF" localSheetId="14" hidden="1">[3]D!#REF!</definedName>
    <definedName name="__123Graph_AVALSIF" localSheetId="13" hidden="1">[3]D!#REF!</definedName>
    <definedName name="__123Graph_AVALSIF" localSheetId="27" hidden="1">[3]D!#REF!</definedName>
    <definedName name="__123Graph_AVALSIF" localSheetId="20" hidden="1">[3]D!#REF!</definedName>
    <definedName name="__123Graph_AVALSIF" hidden="1">[3]D!#REF!</definedName>
    <definedName name="__123Graph_B" localSheetId="14" hidden="1">[4]목표세부명세!#REF!</definedName>
    <definedName name="__123Graph_B" localSheetId="13" hidden="1">[4]목표세부명세!#REF!</definedName>
    <definedName name="__123Graph_B" localSheetId="27" hidden="1">[4]목표세부명세!#REF!</definedName>
    <definedName name="__123Graph_B" localSheetId="20" hidden="1">[4]목표세부명세!#REF!</definedName>
    <definedName name="__123Graph_B" localSheetId="31" hidden="1">[4]목표세부명세!#REF!</definedName>
    <definedName name="__123Graph_B" hidden="1">[4]목표세부명세!#REF!</definedName>
    <definedName name="__123Graph_BCHANGE" localSheetId="14" hidden="1">#REF!</definedName>
    <definedName name="__123Graph_BCHANGE" localSheetId="13" hidden="1">#REF!</definedName>
    <definedName name="__123Graph_BCHANGE" localSheetId="27" hidden="1">#REF!</definedName>
    <definedName name="__123Graph_BCHANGE" localSheetId="20" hidden="1">#REF!</definedName>
    <definedName name="__123Graph_BCHANGE" hidden="1">#REF!</definedName>
    <definedName name="__123Graph_BF1" hidden="1">'[5]COLOR별 인쇄'!#REF!</definedName>
    <definedName name="__123Graph_BF2" hidden="1">'[5]COLOR별 인쇄'!#REF!</definedName>
    <definedName name="__123Graph_C" hidden="1">[8]임차보증금!$U$10:$U$10</definedName>
    <definedName name="__123Graph_D" localSheetId="14" hidden="1">[3]act98!#REF!</definedName>
    <definedName name="__123Graph_D" localSheetId="13" hidden="1">[3]act98!#REF!</definedName>
    <definedName name="__123Graph_D" localSheetId="27" hidden="1">[3]act98!#REF!</definedName>
    <definedName name="__123Graph_D" localSheetId="20" hidden="1">[3]act98!#REF!</definedName>
    <definedName name="__123Graph_D" hidden="1">[3]act98!#REF!</definedName>
    <definedName name="__123Graph_D93TECHMF" localSheetId="14" hidden="1">[3]act98!#REF!</definedName>
    <definedName name="__123Graph_D93TECHMF" localSheetId="13" hidden="1">[3]act98!#REF!</definedName>
    <definedName name="__123Graph_D93TECHMF" localSheetId="27" hidden="1">[3]act98!#REF!</definedName>
    <definedName name="__123Graph_D93TECHMF" localSheetId="20" hidden="1">[3]act98!#REF!</definedName>
    <definedName name="__123Graph_D93TECHMF" hidden="1">[3]act98!#REF!</definedName>
    <definedName name="__123Graph_DCHANGE" localSheetId="14" hidden="1">[3]act98!#REF!</definedName>
    <definedName name="__123Graph_DCHANGE" localSheetId="13" hidden="1">[3]act98!#REF!</definedName>
    <definedName name="__123Graph_DCHANGE" localSheetId="27" hidden="1">[3]act98!#REF!</definedName>
    <definedName name="__123Graph_DCHANGE" localSheetId="20" hidden="1">[3]act98!#REF!</definedName>
    <definedName name="__123Graph_DCHANGE" hidden="1">[3]act98!#REF!</definedName>
    <definedName name="__123Graph_E" localSheetId="14" hidden="1">[3]act98!#REF!</definedName>
    <definedName name="__123Graph_E" localSheetId="13" hidden="1">[3]act98!#REF!</definedName>
    <definedName name="__123Graph_E" localSheetId="27" hidden="1">[3]act98!#REF!</definedName>
    <definedName name="__123Graph_E" localSheetId="20" hidden="1">[3]act98!#REF!</definedName>
    <definedName name="__123Graph_E" hidden="1">[3]act98!#REF!</definedName>
    <definedName name="__123Graph_E93TECHMF" localSheetId="14" hidden="1">[3]act98!#REF!</definedName>
    <definedName name="__123Graph_E93TECHMF" localSheetId="13" hidden="1">[3]act98!#REF!</definedName>
    <definedName name="__123Graph_E93TECHMF" localSheetId="27" hidden="1">[3]act98!#REF!</definedName>
    <definedName name="__123Graph_E93TECHMF" localSheetId="20" hidden="1">[3]act98!#REF!</definedName>
    <definedName name="__123Graph_E93TECHMF" hidden="1">[3]act98!#REF!</definedName>
    <definedName name="__123Graph_ECHANGE" localSheetId="14" hidden="1">[3]act98!#REF!</definedName>
    <definedName name="__123Graph_ECHANGE" localSheetId="13" hidden="1">[3]act98!#REF!</definedName>
    <definedName name="__123Graph_ECHANGE" localSheetId="27" hidden="1">[3]act98!#REF!</definedName>
    <definedName name="__123Graph_ECHANGE" localSheetId="20" hidden="1">[3]act98!#REF!</definedName>
    <definedName name="__123Graph_ECHANGE" hidden="1">[3]act98!#REF!</definedName>
    <definedName name="__123Graph_F" localSheetId="14" hidden="1">[9]Histo!#REF!</definedName>
    <definedName name="__123Graph_F" localSheetId="13" hidden="1">[9]Histo!#REF!</definedName>
    <definedName name="__123Graph_F" localSheetId="27" hidden="1">[9]Histo!#REF!</definedName>
    <definedName name="__123Graph_F" localSheetId="20" hidden="1">[9]Histo!#REF!</definedName>
    <definedName name="__123Graph_F" hidden="1">[9]Histo!#REF!</definedName>
    <definedName name="__123Graph_FEFFECT.MF" localSheetId="14" hidden="1">[10]act!#REF!</definedName>
    <definedName name="__123Graph_FEFFECT.MF" localSheetId="13" hidden="1">[10]act!#REF!</definedName>
    <definedName name="__123Graph_FEFFECT.MF" localSheetId="27" hidden="1">[10]act!#REF!</definedName>
    <definedName name="__123Graph_FEFFECT.MF" localSheetId="20" hidden="1">[10]act!#REF!</definedName>
    <definedName name="__123Graph_FEFFECT.MF" hidden="1">[10]act!#REF!</definedName>
    <definedName name="__123Graph_FRBE" localSheetId="14" hidden="1">[9]Histo!#REF!</definedName>
    <definedName name="__123Graph_FRBE" localSheetId="13" hidden="1">[9]Histo!#REF!</definedName>
    <definedName name="__123Graph_FRBE" localSheetId="27" hidden="1">[9]Histo!#REF!</definedName>
    <definedName name="__123Graph_FRBE" localSheetId="20" hidden="1">[9]Histo!#REF!</definedName>
    <definedName name="__123Graph_FRBE" hidden="1">[9]Histo!#REF!</definedName>
    <definedName name="__123Graph_LBL_A" hidden="1">'[5]COLOR별 인쇄'!#REF!</definedName>
    <definedName name="__123Graph_LBL_AF1" hidden="1">'[5]COLOR별 인쇄'!#REF!</definedName>
    <definedName name="__123Graph_LBL_AF2" hidden="1">'[5]COLOR별 인쇄'!#REF!</definedName>
    <definedName name="__123Graph_LBL_AMVTS.CAP" localSheetId="14" hidden="1">[3]act98!#REF!</definedName>
    <definedName name="__123Graph_LBL_AMVTS.CAP" localSheetId="13" hidden="1">[3]act98!#REF!</definedName>
    <definedName name="__123Graph_LBL_AMVTS.CAP" localSheetId="27" hidden="1">[3]act98!#REF!</definedName>
    <definedName name="__123Graph_LBL_AMVTS.CAP" localSheetId="20" hidden="1">[3]act98!#REF!</definedName>
    <definedName name="__123Graph_LBL_AMVTS.CAP" hidden="1">[3]act98!#REF!</definedName>
    <definedName name="__123Graph_LBL_APRINCIPAL" hidden="1">[7]personal!#REF!</definedName>
    <definedName name="__123Graph_LBL_AVALSIF" localSheetId="14" hidden="1">[3]D!#REF!</definedName>
    <definedName name="__123Graph_LBL_AVALSIF" localSheetId="13" hidden="1">[3]D!#REF!</definedName>
    <definedName name="__123Graph_LBL_AVALSIF" localSheetId="27" hidden="1">[3]D!#REF!</definedName>
    <definedName name="__123Graph_LBL_AVALSIF" localSheetId="20" hidden="1">[3]D!#REF!</definedName>
    <definedName name="__123Graph_LBL_AVALSIF" hidden="1">[3]D!#REF!</definedName>
    <definedName name="__123Graph_LBL_B" hidden="1">'[5]COLOR별 인쇄'!#REF!</definedName>
    <definedName name="__123Graph_LBL_BF1" hidden="1">'[5]COLOR별 인쇄'!#REF!</definedName>
    <definedName name="__123Graph_LBL_BF2" hidden="1">'[5]COLOR별 인쇄'!#REF!</definedName>
    <definedName name="__123Graph_LBL_BMVTS.CAP" localSheetId="14" hidden="1">[3]act98!#REF!</definedName>
    <definedName name="__123Graph_LBL_BMVTS.CAP" localSheetId="13" hidden="1">[3]act98!#REF!</definedName>
    <definedName name="__123Graph_LBL_BMVTS.CAP" localSheetId="27" hidden="1">[3]act98!#REF!</definedName>
    <definedName name="__123Graph_LBL_BMVTS.CAP" localSheetId="20" hidden="1">[3]act98!#REF!</definedName>
    <definedName name="__123Graph_LBL_BMVTS.CAP" hidden="1">[3]act98!#REF!</definedName>
    <definedName name="__123Graph_LBL_BVALSIF" localSheetId="14" hidden="1">[3]D!#REF!</definedName>
    <definedName name="__123Graph_LBL_BVALSIF" localSheetId="13" hidden="1">[3]D!#REF!</definedName>
    <definedName name="__123Graph_LBL_BVALSIF" localSheetId="27" hidden="1">[3]D!#REF!</definedName>
    <definedName name="__123Graph_LBL_BVALSIF" localSheetId="20" hidden="1">[3]D!#REF!</definedName>
    <definedName name="__123Graph_LBL_BVALSIF" hidden="1">[3]D!#REF!</definedName>
    <definedName name="__123Graph_X" localSheetId="14" hidden="1">[6]Antrag!$E$32:$N$32</definedName>
    <definedName name="__123Graph_X" hidden="1">#REF!</definedName>
    <definedName name="__123Graph_XCHANGE" localSheetId="14" hidden="1">[3]act98!#REF!</definedName>
    <definedName name="__123Graph_XCHANGE" localSheetId="13" hidden="1">[3]act98!#REF!</definedName>
    <definedName name="__123Graph_XCHANGE" localSheetId="27" hidden="1">[3]act98!#REF!</definedName>
    <definedName name="__123Graph_XCHANGE" localSheetId="20" hidden="1">[3]act98!#REF!</definedName>
    <definedName name="__123Graph_XCHANGE" hidden="1">[3]act98!#REF!</definedName>
    <definedName name="__123Graph_XEFTECHMF" localSheetId="14" hidden="1">[3]act98!#REF!</definedName>
    <definedName name="__123Graph_XEFTECHMF" localSheetId="13" hidden="1">[3]act98!#REF!</definedName>
    <definedName name="__123Graph_XEFTECHMF" localSheetId="27" hidden="1">[3]act98!#REF!</definedName>
    <definedName name="__123Graph_XEFTECHMF" localSheetId="20" hidden="1">[3]act98!#REF!</definedName>
    <definedName name="__123Graph_XEFTECHMF" hidden="1">[3]act98!#REF!</definedName>
    <definedName name="__123Graph_XF1" hidden="1">'[5]COLOR별 인쇄'!#REF!</definedName>
    <definedName name="__123Graph_XF2" hidden="1">'[5]COLOR별 인쇄'!#REF!</definedName>
    <definedName name="__123Graph_XKNS" hidden="1">[6]Antrag!$E$32:$X$32</definedName>
    <definedName name="__123Graph_XKVS" hidden="1">[6]Antrag!$E$32:$X$32</definedName>
    <definedName name="__6">#REF!</definedName>
    <definedName name="__7">#REF!</definedName>
    <definedName name="__8">#REF!</definedName>
    <definedName name="__9">#REF!</definedName>
    <definedName name="__A02" localSheetId="14" hidden="1">{#N/A,#N/A,FALSE,"단축1";#N/A,#N/A,FALSE,"단축2";#N/A,#N/A,FALSE,"단축3";#N/A,#N/A,FALSE,"장축";#N/A,#N/A,FALSE,"4WD"}</definedName>
    <definedName name="__A02" hidden="1">{#N/A,#N/A,FALSE,"단축1";#N/A,#N/A,FALSE,"단축2";#N/A,#N/A,FALSE,"단축3";#N/A,#N/A,FALSE,"장축";#N/A,#N/A,FALSE,"4WD"}</definedName>
    <definedName name="__A0323" localSheetId="14" hidden="1">{#N/A,#N/A,FALSE,"단축1";#N/A,#N/A,FALSE,"단축2";#N/A,#N/A,FALSE,"단축3";#N/A,#N/A,FALSE,"장축";#N/A,#N/A,FALSE,"4WD"}</definedName>
    <definedName name="__A0323" hidden="1">{#N/A,#N/A,FALSE,"단축1";#N/A,#N/A,FALSE,"단축2";#N/A,#N/A,FALSE,"단축3";#N/A,#N/A,FALSE,"장축";#N/A,#N/A,FALSE,"4WD"}</definedName>
    <definedName name="__A1232" localSheetId="14" hidden="1">{#N/A,#N/A,FALSE,"단축1";#N/A,#N/A,FALSE,"단축2";#N/A,#N/A,FALSE,"단축3";#N/A,#N/A,FALSE,"장축";#N/A,#N/A,FALSE,"4WD"}</definedName>
    <definedName name="__A1232" hidden="1">{#N/A,#N/A,FALSE,"단축1";#N/A,#N/A,FALSE,"단축2";#N/A,#N/A,FALSE,"단축3";#N/A,#N/A,FALSE,"장축";#N/A,#N/A,FALSE,"4WD"}</definedName>
    <definedName name="__A1245" localSheetId="14" hidden="1">{#N/A,#N/A,FALSE,"단축1";#N/A,#N/A,FALSE,"단축2";#N/A,#N/A,FALSE,"단축3";#N/A,#N/A,FALSE,"장축";#N/A,#N/A,FALSE,"4WD"}</definedName>
    <definedName name="__A1245" hidden="1">{#N/A,#N/A,FALSE,"단축1";#N/A,#N/A,FALSE,"단축2";#N/A,#N/A,FALSE,"단축3";#N/A,#N/A,FALSE,"장축";#N/A,#N/A,FALSE,"4WD"}</definedName>
    <definedName name="__A12458" localSheetId="14" hidden="1">{#N/A,#N/A,FALSE,"단축1";#N/A,#N/A,FALSE,"단축2";#N/A,#N/A,FALSE,"단축3";#N/A,#N/A,FALSE,"장축";#N/A,#N/A,FALSE,"4WD"}</definedName>
    <definedName name="__A12458" hidden="1">{#N/A,#N/A,FALSE,"단축1";#N/A,#N/A,FALSE,"단축2";#N/A,#N/A,FALSE,"단축3";#N/A,#N/A,FALSE,"장축";#N/A,#N/A,FALSE,"4WD"}</definedName>
    <definedName name="__A1454" localSheetId="14" hidden="1">{#N/A,#N/A,FALSE,"단축1";#N/A,#N/A,FALSE,"단축2";#N/A,#N/A,FALSE,"단축3";#N/A,#N/A,FALSE,"장축";#N/A,#N/A,FALSE,"4WD"}</definedName>
    <definedName name="__A1454" hidden="1">{#N/A,#N/A,FALSE,"단축1";#N/A,#N/A,FALSE,"단축2";#N/A,#N/A,FALSE,"단축3";#N/A,#N/A,FALSE,"장축";#N/A,#N/A,FALSE,"4WD"}</definedName>
    <definedName name="__a2" hidden="1">{#N/A,#N/A,FALSE,"Hip.Bas";#N/A,#N/A,FALSE,"ventas";#N/A,#N/A,FALSE,"ingre-Año";#N/A,#N/A,FALSE,"ventas-Año";#N/A,#N/A,FALSE,"Costepro";#N/A,#N/A,FALSE,"inversion";#N/A,#N/A,FALSE,"personal";#N/A,#N/A,FALSE,"Gastos-V";#N/A,#N/A,FALSE,"Circulante";#N/A,#N/A,FALSE,"CONSOLI";#N/A,#N/A,FALSE,"Es-Fin";#N/A,#N/A,FALSE,"Margen-P"}</definedName>
    <definedName name="__A21321" localSheetId="14" hidden="1">{#N/A,#N/A,FALSE,"단축1";#N/A,#N/A,FALSE,"단축2";#N/A,#N/A,FALSE,"단축3";#N/A,#N/A,FALSE,"장축";#N/A,#N/A,FALSE,"4WD"}</definedName>
    <definedName name="__A21321" hidden="1">{#N/A,#N/A,FALSE,"단축1";#N/A,#N/A,FALSE,"단축2";#N/A,#N/A,FALSE,"단축3";#N/A,#N/A,FALSE,"장축";#N/A,#N/A,FALSE,"4WD"}</definedName>
    <definedName name="__A5" localSheetId="14" hidden="1">{#N/A,#N/A,FALSE,"KMC최종회의(7월) 자료"}</definedName>
    <definedName name="__A5" hidden="1">{#N/A,#N/A,FALSE,"KMC최종회의(7월) 자료"}</definedName>
    <definedName name="__A6" localSheetId="14" hidden="1">{#N/A,#N/A,FALSE,"KMC최종회의(7월) 자료"}</definedName>
    <definedName name="__A6" hidden="1">{#N/A,#N/A,FALSE,"KMC최종회의(7월) 자료"}</definedName>
    <definedName name="__A6666" localSheetId="14" hidden="1">{#N/A,#N/A,FALSE,"KMC최종회의(7월) 자료"}</definedName>
    <definedName name="__A6666" hidden="1">{#N/A,#N/A,FALSE,"KMC최종회의(7월) 자료"}</definedName>
    <definedName name="__A7" localSheetId="14" hidden="1">{#N/A,#N/A,FALSE,"KMC최종회의(7월) 자료"}</definedName>
    <definedName name="__A7" hidden="1">{#N/A,#N/A,FALSE,"KMC최종회의(7월) 자료"}</definedName>
    <definedName name="__A8" localSheetId="14" hidden="1">{#N/A,#N/A,FALSE,"KMC최종회의(7월) 자료"}</definedName>
    <definedName name="__A8" hidden="1">{#N/A,#N/A,FALSE,"KMC최종회의(7월) 자료"}</definedName>
    <definedName name="__A9"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aa2"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S6" localSheetId="14" hidden="1">{#N/A,#N/A,FALSE,"Australien";#N/A,#N/A,FALSE,"Birmingham";#N/A,#N/A,FALSE,"Brasilien";#N/A,#N/A,FALSE,"Prag";#N/A,#N/A,FALSE,"Spanien";#N/A,#N/A,FALSE,"Malaysia ( Com)";#N/A,#N/A,FALSE,"Malaysia (Instr)"}</definedName>
    <definedName name="__AS6" hidden="1">{#N/A,#N/A,FALSE,"Australien";#N/A,#N/A,FALSE,"Birmingham";#N/A,#N/A,FALSE,"Brasilien";#N/A,#N/A,FALSE,"Prag";#N/A,#N/A,FALSE,"Spanien";#N/A,#N/A,FALSE,"Malaysia ( Com)";#N/A,#N/A,FALSE,"Malaysia (Instr)"}</definedName>
    <definedName name="__c" hidden="1">{#N/A,#N/A,FALSE,"Layout Cash Flow"}</definedName>
    <definedName name="__CL22" localSheetId="14" hidden="1">{#N/A,#N/A,FALSE,"KMC최종회의(7월) 자료"}</definedName>
    <definedName name="__CL22" hidden="1">{#N/A,#N/A,FALSE,"KMC최종회의(7월) 자료"}</definedName>
    <definedName name="__CL222" localSheetId="14" hidden="1">{#N/A,#N/A,FALSE,"KMC최종회의(7월) 자료"}</definedName>
    <definedName name="__CL222" hidden="1">{#N/A,#N/A,FALSE,"KMC최종회의(7월) 자료"}</definedName>
    <definedName name="__CL33" localSheetId="14" hidden="1">{#N/A,#N/A,FALSE,"KMC최종회의(7월) 자료"}</definedName>
    <definedName name="__CL33" hidden="1">{#N/A,#N/A,FALSE,"KMC최종회의(7월) 자료"}</definedName>
    <definedName name="__CVJ1" localSheetId="14" hidden="1">{#N/A,#N/A,FALSE,"KMC최종회의(7월) 자료"}</definedName>
    <definedName name="__CVJ1" hidden="1">{#N/A,#N/A,FALSE,"KMC최종회의(7월) 자료"}</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D1" hidden="1">{#N/A,#N/A,FALSE,"지침";#N/A,#N/A,FALSE,"환경분석";#N/A,#N/A,FALSE,"Sheet16"}</definedName>
    <definedName name="__E1" localSheetId="14" hidden="1">{#N/A,#N/A,FALSE,"KMC최종회의(7월) 자료"}</definedName>
    <definedName name="__E1" hidden="1">{#N/A,#N/A,FALSE,"KMC최종회의(7월) 자료"}</definedName>
    <definedName name="__E2" localSheetId="14" hidden="1">{#N/A,#N/A,FALSE,"KMC최종회의(7월) 자료"}</definedName>
    <definedName name="__E2" hidden="1">{#N/A,#N/A,FALSE,"KMC최종회의(7월) 자료"}</definedName>
    <definedName name="__f3" localSheetId="14" hidden="1">{"'분양원가'!$B$1:$F$113"}</definedName>
    <definedName name="__f3" localSheetId="13" hidden="1">{"'분양원가'!$B$1:$F$113"}</definedName>
    <definedName name="__f3" hidden="1">{"'분양원가'!$B$1:$F$113"}</definedName>
    <definedName name="__FDS_HYPERLINK_TOGGLE_STATE__" hidden="1">"ON"</definedName>
    <definedName name="__I2" hidden="1">{#N/A,#N/A,FALSE,"ACQ_GRAPHS";#N/A,#N/A,FALSE,"T_1 GRAPHS";#N/A,#N/A,FALSE,"T_2 GRAPHS";#N/A,#N/A,FALSE,"COMB_GRAPHS"}</definedName>
    <definedName name="__IntlFixup" hidden="1">TRUE</definedName>
    <definedName name="__IO8" localSheetId="14" hidden="1">{#N/A,#N/A,FALSE,"단축1";#N/A,#N/A,FALSE,"단축2";#N/A,#N/A,FALSE,"단축3";#N/A,#N/A,FALSE,"장축";#N/A,#N/A,FALSE,"4WD"}</definedName>
    <definedName name="__IO8" hidden="1">{#N/A,#N/A,FALSE,"단축1";#N/A,#N/A,FALSE,"단축2";#N/A,#N/A,FALSE,"단축3";#N/A,#N/A,FALSE,"장축";#N/A,#N/A,FALSE,"4WD"}</definedName>
    <definedName name="__j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yr6"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1" localSheetId="14" hidden="1">#REF!</definedName>
    <definedName name="__k1" hidden="1">#REF!</definedName>
    <definedName name="__KEY1" localSheetId="14" hidden="1">#REF!</definedName>
    <definedName name="__KEY1" hidden="1">#REF!</definedName>
    <definedName name="__LPS2" localSheetId="14" hidden="1">{#N/A,#N/A,FALSE,"단축1";#N/A,#N/A,FALSE,"단축2";#N/A,#N/A,FALSE,"단축3";#N/A,#N/A,FALSE,"장축";#N/A,#N/A,FALSE,"4WD"}</definedName>
    <definedName name="__LPS2" hidden="1">{#N/A,#N/A,FALSE,"단축1";#N/A,#N/A,FALSE,"단축2";#N/A,#N/A,FALSE,"단축3";#N/A,#N/A,FALSE,"장축";#N/A,#N/A,FALSE,"4WD"}</definedName>
    <definedName name="__M123" localSheetId="14" hidden="1">{#N/A,#N/A,FALSE,"단축1";#N/A,#N/A,FALSE,"단축2";#N/A,#N/A,FALSE,"단축3";#N/A,#N/A,FALSE,"장축";#N/A,#N/A,FALSE,"4WD"}</definedName>
    <definedName name="__M123" hidden="1">{#N/A,#N/A,FALSE,"단축1";#N/A,#N/A,FALSE,"단축2";#N/A,#N/A,FALSE,"단축3";#N/A,#N/A,FALSE,"장축";#N/A,#N/A,FALSE,"4WD"}</definedName>
    <definedName name="__M180" hidden="1">#N/A</definedName>
    <definedName name="__NPS2" localSheetId="14"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P3" localSheetId="14" hidden="1">{#N/A,#N/A,FALSE,"단축1";#N/A,#N/A,FALSE,"단축2";#N/A,#N/A,FALSE,"단축3";#N/A,#N/A,FALSE,"장축";#N/A,#N/A,FALSE,"4WD"}</definedName>
    <definedName name="__P3" hidden="1">{#N/A,#N/A,FALSE,"단축1";#N/A,#N/A,FALSE,"단축2";#N/A,#N/A,FALSE,"단축3";#N/A,#N/A,FALSE,"장축";#N/A,#N/A,FALSE,"4WD"}</definedName>
    <definedName name="__Q1" localSheetId="14" hidden="1">{#N/A,#N/A,FALSE,"KMC최종회의(7월) 자료"}</definedName>
    <definedName name="__Q1" hidden="1">{#N/A,#N/A,FALSE,"KMC최종회의(7월) 자료"}</definedName>
    <definedName name="__Q2" localSheetId="14" hidden="1">{#N/A,#N/A,FALSE,"KMC최종회의(7월) 자료"}</definedName>
    <definedName name="__Q2" hidden="1">{#N/A,#N/A,FALSE,"KMC최종회의(7월) 자료"}</definedName>
    <definedName name="__Q3" localSheetId="14" hidden="1">{#N/A,#N/A,FALSE,"KMC최종회의(7월) 자료"}</definedName>
    <definedName name="__Q3" hidden="1">{#N/A,#N/A,FALSE,"KMC최종회의(7월) 자료"}</definedName>
    <definedName name="__Q5" localSheetId="14" hidden="1">{#N/A,#N/A,FALSE,"KMC최종회의(7월) 자료"}</definedName>
    <definedName name="__Q5" hidden="1">{#N/A,#N/A,FALSE,"KMC최종회의(7월) 자료"}</definedName>
    <definedName name="__Q7" localSheetId="14" hidden="1">{#N/A,#N/A,FALSE,"KMC최종회의(7월) 자료"}</definedName>
    <definedName name="__Q7" hidden="1">{#N/A,#N/A,FALSE,"KMC최종회의(7월) 자료"}</definedName>
    <definedName name="__Q8" localSheetId="14" hidden="1">{#N/A,#N/A,FALSE,"KMC최종회의(7월) 자료"}</definedName>
    <definedName name="__Q8" hidden="1">{#N/A,#N/A,FALSE,"KMC최종회의(7월) 자료"}</definedName>
    <definedName name="__Q9" localSheetId="14" hidden="1">{#N/A,#N/A,FALSE,"KMC최종회의(7월) 자료"}</definedName>
    <definedName name="__Q9" hidden="1">{#N/A,#N/A,FALSE,"KMC최종회의(7월) 자료"}</definedName>
    <definedName name="__REv1" hidden="1">#REF!</definedName>
    <definedName name="__S1" localSheetId="14" hidden="1">{#N/A,#N/A,FALSE,"KMC최종회의(7월) 자료"}</definedName>
    <definedName name="__S1" hidden="1">{#N/A,#N/A,FALSE,"KMC최종회의(7월) 자료"}</definedName>
    <definedName name="__S2" localSheetId="14" hidden="1">{#N/A,#N/A,FALSE,"KMC최종회의(7월) 자료"}</definedName>
    <definedName name="__S2" hidden="1">{#N/A,#N/A,FALSE,"KMC최종회의(7월) 자료"}</definedName>
    <definedName name="__S3" localSheetId="14" hidden="1">{#N/A,#N/A,FALSE,"KMC최종회의(7월) 자료"}</definedName>
    <definedName name="__S3" hidden="1">{#N/A,#N/A,FALSE,"KMC최종회의(7월) 자료"}</definedName>
    <definedName name="__S4" localSheetId="14" hidden="1">{#N/A,#N/A,FALSE,"KMC최종회의(7월) 자료"}</definedName>
    <definedName name="__S4" hidden="1">{#N/A,#N/A,FALSE,"KMC최종회의(7월) 자료"}</definedName>
    <definedName name="__S5" localSheetId="14" hidden="1">{#N/A,#N/A,FALSE,"KMC최종회의(7월) 자료"}</definedName>
    <definedName name="__S5" hidden="1">{#N/A,#N/A,FALSE,"KMC최종회의(7월) 자료"}</definedName>
    <definedName name="__S6" localSheetId="14" hidden="1">{#N/A,#N/A,FALSE,"KMC최종회의(7월) 자료"}</definedName>
    <definedName name="__S6" hidden="1">{#N/A,#N/A,FALSE,"KMC최종회의(7월) 자료"}</definedName>
    <definedName name="__S7" localSheetId="14" hidden="1">{#N/A,#N/A,FALSE,"KMC최종회의(7월) 자료"}</definedName>
    <definedName name="__S7" hidden="1">{#N/A,#N/A,FALSE,"KMC최종회의(7월) 자료"}</definedName>
    <definedName name="__S8" localSheetId="14" hidden="1">{#N/A,#N/A,FALSE,"KMC최종회의(7월) 자료"}</definedName>
    <definedName name="__S8" hidden="1">{#N/A,#N/A,FALSE,"KMC최종회의(7월) 자료"}</definedName>
    <definedName name="__SH3" hidden="1">{#N/A,#N/A,FALSE,"PART-1234-8-12-9(41)";#N/A,#N/A,FALSE,"PARTS-2(3)";#N/A,#N/A,FALSE,"VAN SYSTEM";#N/A,#N/A,FALSE,"PARTS-10(26)";#N/A,#N/A,FALSE,"PART-5-6-7-11(14)";#N/A,#N/A,FALSE,"PARTS-4(3)";#N/A,#N/A,FALSE,"PCLASS"}</definedName>
    <definedName name="__T2" localSheetId="14" hidden="1">{#N/A,#N/A,FALSE,"단축1";#N/A,#N/A,FALSE,"단축2";#N/A,#N/A,FALSE,"단축3";#N/A,#N/A,FALSE,"장축";#N/A,#N/A,FALSE,"4WD"}</definedName>
    <definedName name="__T2" hidden="1">{#N/A,#N/A,FALSE,"단축1";#N/A,#N/A,FALSE,"단축2";#N/A,#N/A,FALSE,"단축3";#N/A,#N/A,FALSE,"장축";#N/A,#N/A,FALSE,"4WD"}</definedName>
    <definedName name="__TEL3" localSheetId="14" hidden="1">{"'tel2'!$B$29:$J$45","'tel2'!$A$5:$G$19","'tel2'!$B$50:$F$57","'tel2'!$B$105:$G$110","'tel2'!$B$63:$H$85","'tel2'!$B$14:$G$18","'tel2'!$B$29:$C$29"}</definedName>
    <definedName name="__TEL3" hidden="1">{"'tel2'!$B$29:$J$45","'tel2'!$A$5:$G$19","'tel2'!$B$50:$F$57","'tel2'!$B$105:$G$110","'tel2'!$B$63:$H$85","'tel2'!$B$14:$G$18","'tel2'!$B$29:$C$29"}</definedName>
    <definedName name="__ths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_ths1" hidden="1">{#N/A,#N/A,FALSE,"손익표지";#N/A,#N/A,FALSE,"손익계산";#N/A,#N/A,FALSE,"일반관리비";#N/A,#N/A,FALSE,"영업외수익";#N/A,#N/A,FALSE,"영업외비용";#N/A,#N/A,FALSE,"매출액";#N/A,#N/A,FALSE,"요약손익";#N/A,#N/A,FALSE,"요약대차";#N/A,#N/A,FALSE,"매출채권현황";#N/A,#N/A,FALSE,"매출채권명세"}</definedName>
    <definedName name="_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_W1" localSheetId="14" hidden="1">{#N/A,#N/A,FALSE,"KMC최종회의(7월) 자료"}</definedName>
    <definedName name="__W1" hidden="1">{#N/A,#N/A,FALSE,"KMC최종회의(7월) 자료"}</definedName>
    <definedName name="__W2" localSheetId="14" hidden="1">{#N/A,#N/A,FALSE,"KMC최종회의(7월) 자료"}</definedName>
    <definedName name="__W2" hidden="1">{#N/A,#N/A,FALSE,"KMC최종회의(7월) 자료"}</definedName>
    <definedName name="__W3" localSheetId="14" hidden="1">{#N/A,#N/A,FALSE,"KMC최종회의(7월) 자료"}</definedName>
    <definedName name="__W3" hidden="1">{#N/A,#N/A,FALSE,"KMC최종회의(7월) 자료"}</definedName>
    <definedName name="__W4" localSheetId="14" hidden="1">{#N/A,#N/A,FALSE,"KMC최종회의(7월) 자료"}</definedName>
    <definedName name="__W4" hidden="1">{#N/A,#N/A,FALSE,"KMC최종회의(7월) 자료"}</definedName>
    <definedName name="__W5" localSheetId="14" hidden="1">{#N/A,#N/A,FALSE,"KMC최종회의(7월) 자료"}</definedName>
    <definedName name="__W5" hidden="1">{#N/A,#N/A,FALSE,"KMC최종회의(7월) 자료"}</definedName>
    <definedName name="__W6" localSheetId="14" hidden="1">{#N/A,#N/A,FALSE,"KMC최종회의(7월) 자료"}</definedName>
    <definedName name="__W6" hidden="1">{#N/A,#N/A,FALSE,"KMC최종회의(7월) 자료"}</definedName>
    <definedName name="__W7" localSheetId="14" hidden="1">{#N/A,#N/A,FALSE,"KMC최종회의(7월) 자료"}</definedName>
    <definedName name="__W7" hidden="1">{#N/A,#N/A,FALSE,"KMC최종회의(7월) 자료"}</definedName>
    <definedName name="__W8" localSheetId="14" hidden="1">{#N/A,#N/A,FALSE,"KMC최종회의(7월) 자료"}</definedName>
    <definedName name="__W8" hidden="1">{#N/A,#N/A,FALSE,"KMC최종회의(7월) 자료"}</definedName>
    <definedName name="__W9" localSheetId="14" hidden="1">{#N/A,#N/A,FALSE,"KMC최종회의(7월) 자료"}</definedName>
    <definedName name="__W9" hidden="1">{#N/A,#N/A,FALSE,"KMC최종회의(7월) 자료"}</definedName>
    <definedName name="__X1" localSheetId="14" hidden="1">{#N/A,#N/A,FALSE,"KMC최종회의(7월) 자료"}</definedName>
    <definedName name="__X1" hidden="1">{#N/A,#N/A,FALSE,"KMC최종회의(7월) 자료"}</definedName>
    <definedName name="__X2" localSheetId="14" hidden="1">{#N/A,#N/A,FALSE,"KMC최종회의(7월) 자료"}</definedName>
    <definedName name="__X2" hidden="1">{#N/A,#N/A,FALSE,"KMC최종회의(7월) 자료"}</definedName>
    <definedName name="__X3" localSheetId="14" hidden="1">{#N/A,#N/A,FALSE,"KMC최종회의(7월) 자료"}</definedName>
    <definedName name="__X3" hidden="1">{#N/A,#N/A,FALSE,"KMC최종회의(7월) 자료"}</definedName>
    <definedName name="__X4" localSheetId="14" hidden="1">{#N/A,#N/A,FALSE,"KMC최종회의(7월) 자료"}</definedName>
    <definedName name="__X4" hidden="1">{#N/A,#N/A,FALSE,"KMC최종회의(7월) 자료"}</definedName>
    <definedName name="__X5" localSheetId="14" hidden="1">{#N/A,#N/A,FALSE,"KMC최종회의(7월) 자료"}</definedName>
    <definedName name="__X5" hidden="1">{#N/A,#N/A,FALSE,"KMC최종회의(7월) 자료"}</definedName>
    <definedName name="__X6" localSheetId="14" hidden="1">{#N/A,#N/A,FALSE,"KMC최종회의(7월) 자료"}</definedName>
    <definedName name="__X6" hidden="1">{#N/A,#N/A,FALSE,"KMC최종회의(7월) 자료"}</definedName>
    <definedName name="__X7" localSheetId="14" hidden="1">{#N/A,#N/A,FALSE,"KMC최종회의(7월) 자료"}</definedName>
    <definedName name="__X7" hidden="1">{#N/A,#N/A,FALSE,"KMC최종회의(7월) 자료"}</definedName>
    <definedName name="__X8" localSheetId="14" hidden="1">{#N/A,#N/A,FALSE,"KMC최종회의(7월) 자료"}</definedName>
    <definedName name="__X8" hidden="1">{#N/A,#N/A,FALSE,"KMC최종회의(7월) 자료"}</definedName>
    <definedName name="__XG2" localSheetId="14" hidden="1">{#N/A,#N/A,FALSE,"단축1";#N/A,#N/A,FALSE,"단축2";#N/A,#N/A,FALSE,"단축3";#N/A,#N/A,FALSE,"장축";#N/A,#N/A,FALSE,"4WD"}</definedName>
    <definedName name="__XG2" hidden="1">{#N/A,#N/A,FALSE,"단축1";#N/A,#N/A,FALSE,"단축2";#N/A,#N/A,FALSE,"단축3";#N/A,#N/A,FALSE,"장축";#N/A,#N/A,FALSE,"4WD"}</definedName>
    <definedName name="__Z1" localSheetId="14" hidden="1">{#N/A,#N/A,FALSE,"KMC최종회의(7월) 자료"}</definedName>
    <definedName name="__Z1" hidden="1">{#N/A,#N/A,FALSE,"KMC최종회의(7월) 자료"}</definedName>
    <definedName name="__z123" localSheetId="14" hidden="1">{#N/A,#N/A,FALSE,"단축1";#N/A,#N/A,FALSE,"단축2";#N/A,#N/A,FALSE,"단축3";#N/A,#N/A,FALSE,"장축";#N/A,#N/A,FALSE,"4WD"}</definedName>
    <definedName name="__z123" hidden="1">{#N/A,#N/A,FALSE,"단축1";#N/A,#N/A,FALSE,"단축2";#N/A,#N/A,FALSE,"단축3";#N/A,#N/A,FALSE,"장축";#N/A,#N/A,FALSE,"4WD"}</definedName>
    <definedName name="__Z2" localSheetId="14" hidden="1">{#N/A,#N/A,FALSE,"KMC최종회의(7월) 자료"}</definedName>
    <definedName name="__Z2" hidden="1">{#N/A,#N/A,FALSE,"KMC최종회의(7월) 자료"}</definedName>
    <definedName name="__Z3" localSheetId="14" hidden="1">{#N/A,#N/A,FALSE,"KMC최종회의(7월) 자료"}</definedName>
    <definedName name="__Z3" hidden="1">{#N/A,#N/A,FALSE,"KMC최종회의(7월) 자료"}</definedName>
    <definedName name="__Z4" localSheetId="14" hidden="1">{#N/A,#N/A,FALSE,"KMC최종회의(7월) 자료"}</definedName>
    <definedName name="__Z4" hidden="1">{#N/A,#N/A,FALSE,"KMC최종회의(7월) 자료"}</definedName>
    <definedName name="__Z5" localSheetId="14" hidden="1">{#N/A,#N/A,FALSE,"KMC최종회의(7월) 자료"}</definedName>
    <definedName name="__Z5" hidden="1">{#N/A,#N/A,FALSE,"KMC최종회의(7월) 자료"}</definedName>
    <definedName name="__Z6" localSheetId="14" hidden="1">{#N/A,#N/A,FALSE,"KMC최종회의(7월) 자료"}</definedName>
    <definedName name="__Z6" hidden="1">{#N/A,#N/A,FALSE,"KMC최종회의(7월) 자료"}</definedName>
    <definedName name="__Z7" localSheetId="14" hidden="1">{#N/A,#N/A,FALSE,"KMC최종회의(7월) 자료"}</definedName>
    <definedName name="__Z7" hidden="1">{#N/A,#N/A,FALSE,"KMC최종회의(7월) 자료"}</definedName>
    <definedName name="__Z8" localSheetId="14" hidden="1">{#N/A,#N/A,FALSE,"KMC최종회의(7월) 자료"}</definedName>
    <definedName name="__Z8" hidden="1">{#N/A,#N/A,FALSE,"KMC최종회의(7월) 자료"}</definedName>
    <definedName name="__Z9" localSheetId="14" hidden="1">{#N/A,#N/A,FALSE,"KMC최종회의(7월) 자료"}</definedName>
    <definedName name="__Z9" hidden="1">{#N/A,#N/A,FALSE,"KMC최종회의(7월) 자료"}</definedName>
    <definedName name="_1" localSheetId="14" hidden="1">#REF!</definedName>
    <definedName name="_1">#N/A</definedName>
    <definedName name="_1________0_0__123Grap" hidden="1">[11]공문!#REF!</definedName>
    <definedName name="_1__123Graph_A차트_1" localSheetId="14" hidden="1">#REF!</definedName>
    <definedName name="_1__123Graph_A차트_1" hidden="1">#REF!</definedName>
    <definedName name="_10">#REF!</definedName>
    <definedName name="_10____123Graph_A차트_2" hidden="1">#REF!</definedName>
    <definedName name="_10____123Graph_X차트_2" hidden="1">#REF!</definedName>
    <definedName name="_10__123Graph_A차트_1" localSheetId="14" hidden="1">#REF!</definedName>
    <definedName name="_10__123Graph_A차트_1" hidden="1">#REF!</definedName>
    <definedName name="_10__123Graph_A차트_4" localSheetId="14" hidden="1">#REF!</definedName>
    <definedName name="_10__123Graph_A차트_4" hidden="1">#REF!</definedName>
    <definedName name="_101h1_" localSheetId="14" hidden="1">{"'표지'!$B$5"}</definedName>
    <definedName name="_101h1_" hidden="1">{"'표지'!$B$5"}</definedName>
    <definedName name="_107h2_" localSheetId="14" hidden="1">{"'표지'!$B$5"}</definedName>
    <definedName name="_107h2_" hidden="1">{"'표지'!$B$5"}</definedName>
    <definedName name="_1084A3_" localSheetId="14" hidden="1">{#N/A,#N/A,FALSE,"단축1";#N/A,#N/A,FALSE,"단축2";#N/A,#N/A,FALSE,"단축3";#N/A,#N/A,FALSE,"장축";#N/A,#N/A,FALSE,"4WD"}</definedName>
    <definedName name="_1084A3_" hidden="1">{#N/A,#N/A,FALSE,"단축1";#N/A,#N/A,FALSE,"단축2";#N/A,#N/A,FALSE,"단축3";#N/A,#N/A,FALSE,"장축";#N/A,#N/A,FALSE,"4WD"}</definedName>
    <definedName name="_11">#REF!</definedName>
    <definedName name="_11____123Graph_A차트_3" hidden="1">#REF!</definedName>
    <definedName name="_11____123Graph_X차트_3" hidden="1">#REF!</definedName>
    <definedName name="_11__123Graph_A차트_2" localSheetId="14" hidden="1">#REF!</definedName>
    <definedName name="_11__123Graph_A차트_2" hidden="1">#REF!</definedName>
    <definedName name="_11111" hidden="1">[12]득점현황!#REF!</definedName>
    <definedName name="_1119A4444_" localSheetId="14" hidden="1">{#N/A,#N/A,FALSE,"KMC최종회의(7월) 자료"}</definedName>
    <definedName name="_1119A4444_" hidden="1">{#N/A,#N/A,FALSE,"KMC최종회의(7월) 자료"}</definedName>
    <definedName name="_113h3_" localSheetId="14" hidden="1">{"'표지'!$B$5"}</definedName>
    <definedName name="_113h3_" hidden="1">{"'표지'!$B$5"}</definedName>
    <definedName name="_119h4_" localSheetId="14" hidden="1">{"'표지'!$B$5"}</definedName>
    <definedName name="_119h4_" hidden="1">{"'표지'!$B$5"}</definedName>
    <definedName name="_12">#REF!</definedName>
    <definedName name="_12____123Graph_A차트_4" hidden="1">#REF!</definedName>
    <definedName name="_12____123Graph_X차트_4" hidden="1">#REF!</definedName>
    <definedName name="_12__123Graph_A차트_3" localSheetId="14" hidden="1">#REF!</definedName>
    <definedName name="_12__123Graph_A차트_3" hidden="1">#REF!</definedName>
    <definedName name="_1219AS6_" localSheetId="14" hidden="1">{#N/A,#N/A,FALSE,"Australien";#N/A,#N/A,FALSE,"Birmingham";#N/A,#N/A,FALSE,"Brasilien";#N/A,#N/A,FALSE,"Prag";#N/A,#N/A,FALSE,"Spanien";#N/A,#N/A,FALSE,"Malaysia ( Com)";#N/A,#N/A,FALSE,"Malaysia (Instr)"}</definedName>
    <definedName name="_1219AS6_" hidden="1">{#N/A,#N/A,FALSE,"Australien";#N/A,#N/A,FALSE,"Birmingham";#N/A,#N/A,FALSE,"Brasilien";#N/A,#N/A,FALSE,"Prag";#N/A,#N/A,FALSE,"Spanien";#N/A,#N/A,FALSE,"Malaysia ( Com)";#N/A,#N/A,FALSE,"Malaysia (Instr)"}</definedName>
    <definedName name="_125h5_" localSheetId="14" hidden="1">{"'표지'!$B$5"}</definedName>
    <definedName name="_125h5_" hidden="1">{"'표지'!$B$5"}</definedName>
    <definedName name="_1289CL22_" localSheetId="14" hidden="1">{#N/A,#N/A,FALSE,"KMC최종회의(7월) 자료"}</definedName>
    <definedName name="_1289CL22_" hidden="1">{#N/A,#N/A,FALSE,"KMC최종회의(7월) 자료"}</definedName>
    <definedName name="_12A3_" localSheetId="14" hidden="1">{#N/A,#N/A,FALSE,"단축1";#N/A,#N/A,FALSE,"단축2";#N/A,#N/A,FALSE,"단축3";#N/A,#N/A,FALSE,"장축";#N/A,#N/A,FALSE,"4WD"}</definedName>
    <definedName name="_12A3_" hidden="1">{#N/A,#N/A,FALSE,"단축1";#N/A,#N/A,FALSE,"단축2";#N/A,#N/A,FALSE,"단축3";#N/A,#N/A,FALSE,"장축";#N/A,#N/A,FALSE,"4WD"}</definedName>
    <definedName name="_13">#REF!</definedName>
    <definedName name="_13____123Graph_X차트_1" hidden="1">[13]생산량!$B$39:$F$39</definedName>
    <definedName name="_13___123Graph_A차트_1" hidden="1">#REF!</definedName>
    <definedName name="_13__123Graph_A차트_1" localSheetId="14" hidden="1">#REF!</definedName>
    <definedName name="_13__123Graph_A차트_1" hidden="1">#REF!</definedName>
    <definedName name="_13__123Graph_A차트_4" localSheetId="14" hidden="1">#REF!</definedName>
    <definedName name="_13__123Graph_A차트_4" hidden="1">#REF!</definedName>
    <definedName name="_131IO8_" localSheetId="14" hidden="1">{#N/A,#N/A,FALSE,"단축1";#N/A,#N/A,FALSE,"단축2";#N/A,#N/A,FALSE,"단축3";#N/A,#N/A,FALSE,"장축";#N/A,#N/A,FALSE,"4WD"}</definedName>
    <definedName name="_131IO8_" hidden="1">{#N/A,#N/A,FALSE,"단축1";#N/A,#N/A,FALSE,"단축2";#N/A,#N/A,FALSE,"단축3";#N/A,#N/A,FALSE,"장축";#N/A,#N/A,FALSE,"4WD"}</definedName>
    <definedName name="_1322CL222_" localSheetId="14" hidden="1">{#N/A,#N/A,FALSE,"KMC최종회의(7월) 자료"}</definedName>
    <definedName name="_1322CL222_" hidden="1">{#N/A,#N/A,FALSE,"KMC최종회의(7월) 자료"}</definedName>
    <definedName name="_132k1_" localSheetId="14" hidden="1">#REF!</definedName>
    <definedName name="_132k1_" hidden="1">#REF!</definedName>
    <definedName name="_1355CL33_" localSheetId="14" hidden="1">{#N/A,#N/A,FALSE,"KMC최종회의(7월) 자료"}</definedName>
    <definedName name="_1355CL33_" hidden="1">{#N/A,#N/A,FALSE,"KMC최종회의(7월) 자료"}</definedName>
    <definedName name="_138P3_" localSheetId="14" hidden="1">{#N/A,#N/A,FALSE,"단축1";#N/A,#N/A,FALSE,"단축2";#N/A,#N/A,FALSE,"단축3";#N/A,#N/A,FALSE,"장축";#N/A,#N/A,FALSE,"4WD"}</definedName>
    <definedName name="_138P3_" hidden="1">{#N/A,#N/A,FALSE,"단축1";#N/A,#N/A,FALSE,"단축2";#N/A,#N/A,FALSE,"단축3";#N/A,#N/A,FALSE,"장축";#N/A,#N/A,FALSE,"4WD"}</definedName>
    <definedName name="_14">#REF!</definedName>
    <definedName name="_14____123Graph_X차트_2" hidden="1">#REF!</definedName>
    <definedName name="_14___123Graph_A차트_2" hidden="1">#REF!</definedName>
    <definedName name="_14__123Graph_B차트_1" localSheetId="14" hidden="1">#REF!</definedName>
    <definedName name="_14__123Graph_B차트_1" hidden="1">#REF!</definedName>
    <definedName name="_144Q1_" localSheetId="14" hidden="1">{#N/A,#N/A,FALSE,"KMC최종회의(7월) 자료"}</definedName>
    <definedName name="_144Q1_" hidden="1">{#N/A,#N/A,FALSE,"KMC최종회의(7월) 자료"}</definedName>
    <definedName name="_1481EO2_" localSheetId="14" hidden="1">{#N/A,#N/A,FALSE,"신규dep";#N/A,#N/A,FALSE,"신규dep-금형상각후";#N/A,#N/A,FALSE,"신규dep-연구비상각후";#N/A,#N/A,FALSE,"신규dep-기계,공구상각후"}</definedName>
    <definedName name="_1481EO2_" hidden="1">{#N/A,#N/A,FALSE,"신규dep";#N/A,#N/A,FALSE,"신규dep-금형상각후";#N/A,#N/A,FALSE,"신규dep-연구비상각후";#N/A,#N/A,FALSE,"신규dep-기계,공구상각후"}</definedName>
    <definedName name="_14A9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14A9_" hidden="1">{#N/A,#N/A,FALSE,"손익표지";#N/A,#N/A,FALSE,"손익계산";#N/A,#N/A,FALSE,"일반관리비";#N/A,#N/A,FALSE,"영업외수익";#N/A,#N/A,FALSE,"영업외비용";#N/A,#N/A,FALSE,"매출액";#N/A,#N/A,FALSE,"요약손익";#N/A,#N/A,FALSE,"요약대차";#N/A,#N/A,FALSE,"매출채권현황";#N/A,#N/A,FALSE,"매출채권명세"}</definedName>
    <definedName name="_14j1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14j1_" hidden="1">{#N/A,#N/A,FALSE,"손익표지";#N/A,#N/A,FALSE,"손익계산";#N/A,#N/A,FALSE,"일반관리비";#N/A,#N/A,FALSE,"영업외수익";#N/A,#N/A,FALSE,"영업외비용";#N/A,#N/A,FALSE,"매출액";#N/A,#N/A,FALSE,"요약손익";#N/A,#N/A,FALSE,"요약대차";#N/A,#N/A,FALSE,"매출채권현황";#N/A,#N/A,FALSE,"매출채권명세"}</definedName>
    <definedName name="_15">#REF!</definedName>
    <definedName name="_15____123Graph_X차트_3" hidden="1">#REF!</definedName>
    <definedName name="_15___123Graph_A차트_3" hidden="1">#REF!</definedName>
    <definedName name="_15__123Graph_A차트_2" localSheetId="14" hidden="1">#REF!</definedName>
    <definedName name="_15__123Graph_A차트_2" hidden="1">#REF!</definedName>
    <definedName name="_15__123Graph_B차트_4" localSheetId="14" hidden="1">#REF!</definedName>
    <definedName name="_15__123Graph_B차트_4" hidden="1">#REF!</definedName>
    <definedName name="_150Q2_" localSheetId="14" hidden="1">{#N/A,#N/A,FALSE,"KMC최종회의(7월) 자료"}</definedName>
    <definedName name="_150Q2_" hidden="1">{#N/A,#N/A,FALSE,"KMC최종회의(7월) 자료"}</definedName>
    <definedName name="_156Q3_" localSheetId="14" hidden="1">{#N/A,#N/A,FALSE,"KMC최종회의(7월) 자료"}</definedName>
    <definedName name="_156Q3_" hidden="1">{#N/A,#N/A,FALSE,"KMC최종회의(7월) 자료"}</definedName>
    <definedName name="_15A9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15A9_" hidden="1">{#N/A,#N/A,FALSE,"손익표지";#N/A,#N/A,FALSE,"손익계산";#N/A,#N/A,FALSE,"일반관리비";#N/A,#N/A,FALSE,"영업외수익";#N/A,#N/A,FALSE,"영업외비용";#N/A,#N/A,FALSE,"매출액";#N/A,#N/A,FALSE,"요약손익";#N/A,#N/A,FALSE,"요약대차";#N/A,#N/A,FALSE,"매출채권현황";#N/A,#N/A,FALSE,"매출채권명세"}</definedName>
    <definedName name="_16">#REF!</definedName>
    <definedName name="_16____123Graph_X차트_4" hidden="1">#REF!</definedName>
    <definedName name="_16___123Graph_A차트_4" hidden="1">#REF!</definedName>
    <definedName name="_1603IO8_" localSheetId="14" hidden="1">{#N/A,#N/A,FALSE,"단축1";#N/A,#N/A,FALSE,"단축2";#N/A,#N/A,FALSE,"단축3";#N/A,#N/A,FALSE,"장축";#N/A,#N/A,FALSE,"4WD"}</definedName>
    <definedName name="_1603IO8_" hidden="1">{#N/A,#N/A,FALSE,"단축1";#N/A,#N/A,FALSE,"단축2";#N/A,#N/A,FALSE,"단축3";#N/A,#N/A,FALSE,"장축";#N/A,#N/A,FALSE,"4WD"}</definedName>
    <definedName name="_162Q5_" localSheetId="14" hidden="1">{#N/A,#N/A,FALSE,"KMC최종회의(7월) 자료"}</definedName>
    <definedName name="_162Q5_" hidden="1">{#N/A,#N/A,FALSE,"KMC최종회의(7월) 자료"}</definedName>
    <definedName name="_168Q7_" localSheetId="14" hidden="1">{#N/A,#N/A,FALSE,"KMC최종회의(7월) 자료"}</definedName>
    <definedName name="_168Q7_" hidden="1">{#N/A,#N/A,FALSE,"KMC최종회의(7월) 자료"}</definedName>
    <definedName name="_17">#REF!</definedName>
    <definedName name="_17___123Graph_A차트_1" hidden="1">#REF!</definedName>
    <definedName name="_17___123Graph_X차트_1" hidden="1">[13]생산량!$B$39:$F$39</definedName>
    <definedName name="_17__123Graph_A차트_3" localSheetId="14" hidden="1">#REF!</definedName>
    <definedName name="_17__123Graph_A차트_3" hidden="1">#REF!</definedName>
    <definedName name="_17__123Graph_B차트_1" localSheetId="14" hidden="1">#REF!</definedName>
    <definedName name="_17__123Graph_B차트_1" hidden="1">#REF!</definedName>
    <definedName name="_1743Q5_" localSheetId="14" hidden="1">{#N/A,#N/A,FALSE,"KMC최종회의(7월) 자료"}</definedName>
    <definedName name="_1743Q5_" hidden="1">{#N/A,#N/A,FALSE,"KMC최종회의(7월) 자료"}</definedName>
    <definedName name="_174Q8_" localSheetId="14" hidden="1">{#N/A,#N/A,FALSE,"KMC최종회의(7월) 자료"}</definedName>
    <definedName name="_174Q8_" hidden="1">{#N/A,#N/A,FALSE,"KMC최종회의(7월) 자료"}</definedName>
    <definedName name="_1776Q7_" localSheetId="14" hidden="1">{#N/A,#N/A,FALSE,"KMC최종회의(7월) 자료"}</definedName>
    <definedName name="_1776Q7_" hidden="1">{#N/A,#N/A,FALSE,"KMC최종회의(7월) 자료"}</definedName>
    <definedName name="_17A9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17A9_" hidden="1">{#N/A,#N/A,FALSE,"손익표지";#N/A,#N/A,FALSE,"손익계산";#N/A,#N/A,FALSE,"일반관리비";#N/A,#N/A,FALSE,"영업외수익";#N/A,#N/A,FALSE,"영업외비용";#N/A,#N/A,FALSE,"매출액";#N/A,#N/A,FALSE,"요약손익";#N/A,#N/A,FALSE,"요약대차";#N/A,#N/A,FALSE,"매출채권현황";#N/A,#N/A,FALSE,"매출채권명세"}</definedName>
    <definedName name="_18">#REF!</definedName>
    <definedName name="_18___123Graph_A차트_2" hidden="1">#REF!</definedName>
    <definedName name="_18___123Graph_X차트_2" hidden="1">#REF!</definedName>
    <definedName name="_18__123Graph_B차트_4" localSheetId="14" hidden="1">#REF!</definedName>
    <definedName name="_18__123Graph_B차트_4" hidden="1">#REF!</definedName>
    <definedName name="_1809Q8_" localSheetId="14" hidden="1">{#N/A,#N/A,FALSE,"KMC최종회의(7월) 자료"}</definedName>
    <definedName name="_1809Q8_" hidden="1">{#N/A,#N/A,FALSE,"KMC최종회의(7월) 자료"}</definedName>
    <definedName name="_180Q9_" localSheetId="14" hidden="1">{#N/A,#N/A,FALSE,"KMC최종회의(7월) 자료"}</definedName>
    <definedName name="_180Q9_" hidden="1">{#N/A,#N/A,FALSE,"KMC최종회의(7월) 자료"}</definedName>
    <definedName name="_1842Q9_" localSheetId="14" hidden="1">{#N/A,#N/A,FALSE,"KMC최종회의(7월) 자료"}</definedName>
    <definedName name="_1842Q9_" hidden="1">{#N/A,#N/A,FALSE,"KMC최종회의(7월) 자료"}</definedName>
    <definedName name="_186S1_" localSheetId="14" hidden="1">{#N/A,#N/A,FALSE,"KMC최종회의(7월) 자료"}</definedName>
    <definedName name="_186S1_" hidden="1">{#N/A,#N/A,FALSE,"KMC최종회의(7월) 자료"}</definedName>
    <definedName name="_1875S1_" localSheetId="14" hidden="1">{#N/A,#N/A,FALSE,"KMC최종회의(7월) 자료"}</definedName>
    <definedName name="_1875S1_" hidden="1">{#N/A,#N/A,FALSE,"KMC최종회의(7월) 자료"}</definedName>
    <definedName name="_18A4_" localSheetId="14" hidden="1">{#N/A,#N/A,FALSE,"KMC최종회의(7월) 자료"}</definedName>
    <definedName name="_18A4_" hidden="1">{#N/A,#N/A,FALSE,"KMC최종회의(7월) 자료"}</definedName>
    <definedName name="_19">#REF!</definedName>
    <definedName name="_19___123Graph_A차트_3" hidden="1">#REF!</definedName>
    <definedName name="_19___123Graph_X차트_3" hidden="1">#REF!</definedName>
    <definedName name="_19__123Graph_A차트_4" localSheetId="14" hidden="1">#REF!</definedName>
    <definedName name="_19__123Graph_A차트_4" hidden="1">#REF!</definedName>
    <definedName name="_19__123Graph_C차트_1" localSheetId="14" hidden="1">#REF!</definedName>
    <definedName name="_19__123Graph_C차트_1" hidden="1">#REF!</definedName>
    <definedName name="_1908S2_" localSheetId="14" hidden="1">{#N/A,#N/A,FALSE,"KMC최종회의(7월) 자료"}</definedName>
    <definedName name="_1908S2_" hidden="1">{#N/A,#N/A,FALSE,"KMC최종회의(7월) 자료"}</definedName>
    <definedName name="_192S2_" localSheetId="14" hidden="1">{#N/A,#N/A,FALSE,"KMC최종회의(7월) 자료"}</definedName>
    <definedName name="_192S2_" hidden="1">{#N/A,#N/A,FALSE,"KMC최종회의(7월) 자료"}</definedName>
    <definedName name="_1941S3_" localSheetId="14" hidden="1">{#N/A,#N/A,FALSE,"KMC최종회의(7월) 자료"}</definedName>
    <definedName name="_1941S3_" hidden="1">{#N/A,#N/A,FALSE,"KMC최종회의(7월) 자료"}</definedName>
    <definedName name="_1974S4_" localSheetId="14" hidden="1">{#N/A,#N/A,FALSE,"KMC최종회의(7월) 자료"}</definedName>
    <definedName name="_1974S4_" hidden="1">{#N/A,#N/A,FALSE,"KMC최종회의(7월) 자료"}</definedName>
    <definedName name="_198S3_" localSheetId="14" hidden="1">{#N/A,#N/A,FALSE,"KMC최종회의(7월) 자료"}</definedName>
    <definedName name="_198S3_" hidden="1">{#N/A,#N/A,FALSE,"KMC최종회의(7월) 자료"}</definedName>
    <definedName name="_1M180_" hidden="1">#N/A</definedName>
    <definedName name="_2" localSheetId="14" hidden="1">#REF!</definedName>
    <definedName name="_2">#N/A</definedName>
    <definedName name="_2________0_0__123Grap" hidden="1">[11]공문!#REF!</definedName>
    <definedName name="_2_______0_0__123Grap" hidden="1">[11]공문!#REF!</definedName>
    <definedName name="_2____0_S" localSheetId="14" hidden="1">#REF!</definedName>
    <definedName name="_2____0_S" hidden="1">#REF!</definedName>
    <definedName name="_2__123Graph_AChart_1I" hidden="1">'[14]CST-CAPEX'!$X$9:$X$17</definedName>
    <definedName name="_2_0_0__123Grap" hidden="1">[1]공문!#REF!</definedName>
    <definedName name="_20">#REF!</definedName>
    <definedName name="_20___123Graph_A차트_4" hidden="1">#REF!</definedName>
    <definedName name="_20___123Graph_X차트_4" hidden="1">#REF!</definedName>
    <definedName name="_20__123Graph_C차트_4" localSheetId="14" hidden="1">#REF!</definedName>
    <definedName name="_20__123Graph_C차트_4" hidden="1">#REF!</definedName>
    <definedName name="_20020826기본">#REF!</definedName>
    <definedName name="_2007S5_" localSheetId="14" hidden="1">{#N/A,#N/A,FALSE,"KMC최종회의(7월) 자료"}</definedName>
    <definedName name="_2007S5_" hidden="1">{#N/A,#N/A,FALSE,"KMC최종회의(7월) 자료"}</definedName>
    <definedName name="_2040S6_" localSheetId="14" hidden="1">{#N/A,#N/A,FALSE,"KMC최종회의(7월) 자료"}</definedName>
    <definedName name="_2040S6_" hidden="1">{#N/A,#N/A,FALSE,"KMC최종회의(7월) 자료"}</definedName>
    <definedName name="_204S4_" localSheetId="14" hidden="1">{#N/A,#N/A,FALSE,"KMC최종회의(7월) 자료"}</definedName>
    <definedName name="_204S4_" hidden="1">{#N/A,#N/A,FALSE,"KMC최종회의(7월) 자료"}</definedName>
    <definedName name="_2066S7_" localSheetId="14" hidden="1">{#N/A,#N/A,FALSE,"KMC최종회의(7월) 자료"}</definedName>
    <definedName name="_2066S7_" hidden="1">{#N/A,#N/A,FALSE,"KMC최종회의(7월) 자료"}</definedName>
    <definedName name="_2067S7_" localSheetId="14" hidden="1">{#N/A,#N/A,FALSE,"KMC최종회의(7월) 자료"}</definedName>
    <definedName name="_2067S7_" hidden="1">{#N/A,#N/A,FALSE,"KMC최종회의(7월) 자료"}</definedName>
    <definedName name="_2068S7_" localSheetId="14" hidden="1">{#N/A,#N/A,FALSE,"KMC최종회의(7월) 자료"}</definedName>
    <definedName name="_2068S7_" hidden="1">{#N/A,#N/A,FALSE,"KMC최종회의(7월) 자료"}</definedName>
    <definedName name="_2073S7_" localSheetId="14" hidden="1">{#N/A,#N/A,FALSE,"KMC최종회의(7월) 자료"}</definedName>
    <definedName name="_2073S7_" hidden="1">{#N/A,#N/A,FALSE,"KMC최종회의(7월) 자료"}</definedName>
    <definedName name="_2074S8_" localSheetId="14" hidden="1">{#N/A,#N/A,FALSE,"KMC최종회의(7월) 자료"}</definedName>
    <definedName name="_2074S8_" hidden="1">{#N/A,#N/A,FALSE,"KMC최종회의(7월) 자료"}</definedName>
    <definedName name="_2076S8_" localSheetId="14" hidden="1">{#N/A,#N/A,FALSE,"KMC최종회의(7월) 자료"}</definedName>
    <definedName name="_2076S8_" hidden="1">{#N/A,#N/A,FALSE,"KMC최종회의(7월) 자료"}</definedName>
    <definedName name="_2077S8_" localSheetId="14" hidden="1">{#N/A,#N/A,FALSE,"KMC최종회의(7월) 자료"}</definedName>
    <definedName name="_2077S8_" hidden="1">{#N/A,#N/A,FALSE,"KMC최종회의(7월) 자료"}</definedName>
    <definedName name="_2078S8_" localSheetId="14" hidden="1">{#N/A,#N/A,FALSE,"KMC최종회의(7월) 자료"}</definedName>
    <definedName name="_2078S8_" hidden="1">{#N/A,#N/A,FALSE,"KMC최종회의(7월) 자료"}</definedName>
    <definedName name="_2080S8_" localSheetId="14" hidden="1">{#N/A,#N/A,FALSE,"KMC최종회의(7월) 자료"}</definedName>
    <definedName name="_2080S8_" hidden="1">{#N/A,#N/A,FALSE,"KMC최종회의(7월) 자료"}</definedName>
    <definedName name="_2082S8_" localSheetId="14" hidden="1">{#N/A,#N/A,FALSE,"KMC최종회의(7월) 자료"}</definedName>
    <definedName name="_2082S8_" hidden="1">{#N/A,#N/A,FALSE,"KMC최종회의(7월) 자료"}</definedName>
    <definedName name="_2083S8_" localSheetId="14" hidden="1">{#N/A,#N/A,FALSE,"KMC최종회의(7월) 자료"}</definedName>
    <definedName name="_2083S8_" hidden="1">{#N/A,#N/A,FALSE,"KMC최종회의(7월) 자료"}</definedName>
    <definedName name="_2084S8_" localSheetId="14" hidden="1">{#N/A,#N/A,FALSE,"KMC최종회의(7월) 자료"}</definedName>
    <definedName name="_2084S8_" hidden="1">{#N/A,#N/A,FALSE,"KMC최종회의(7월) 자료"}</definedName>
    <definedName name="_2086S8_" localSheetId="14" hidden="1">{#N/A,#N/A,FALSE,"KMC최종회의(7월) 자료"}</definedName>
    <definedName name="_2086S8_" hidden="1">{#N/A,#N/A,FALSE,"KMC최종회의(7월) 자료"}</definedName>
    <definedName name="_2087S8_" localSheetId="14" hidden="1">{#N/A,#N/A,FALSE,"KMC최종회의(7월) 자료"}</definedName>
    <definedName name="_2087S8_" hidden="1">{#N/A,#N/A,FALSE,"KMC최종회의(7월) 자료"}</definedName>
    <definedName name="_2088S8_" localSheetId="14" hidden="1">{#N/A,#N/A,FALSE,"KMC최종회의(7월) 자료"}</definedName>
    <definedName name="_2088S8_" hidden="1">{#N/A,#N/A,FALSE,"KMC최종회의(7월) 자료"}</definedName>
    <definedName name="_2089S8_" localSheetId="14" hidden="1">{#N/A,#N/A,FALSE,"KMC최종회의(7월) 자료"}</definedName>
    <definedName name="_2089S8_" hidden="1">{#N/A,#N/A,FALSE,"KMC최종회의(7월) 자료"}</definedName>
    <definedName name="_2090S8_" localSheetId="14" hidden="1">{#N/A,#N/A,FALSE,"KMC최종회의(7월) 자료"}</definedName>
    <definedName name="_2090S8_" hidden="1">{#N/A,#N/A,FALSE,"KMC최종회의(7월) 자료"}</definedName>
    <definedName name="_2091S8_" localSheetId="14" hidden="1">{#N/A,#N/A,FALSE,"KMC최종회의(7월) 자료"}</definedName>
    <definedName name="_2091S8_" hidden="1">{#N/A,#N/A,FALSE,"KMC최종회의(7월) 자료"}</definedName>
    <definedName name="_2092S8_" localSheetId="14" hidden="1">{#N/A,#N/A,FALSE,"KMC최종회의(7월) 자료"}</definedName>
    <definedName name="_2092S8_" hidden="1">{#N/A,#N/A,FALSE,"KMC최종회의(7월) 자료"}</definedName>
    <definedName name="_2096S8_" localSheetId="14" hidden="1">{#N/A,#N/A,FALSE,"KMC최종회의(7월) 자료"}</definedName>
    <definedName name="_2096S8_" hidden="1">{#N/A,#N/A,FALSE,"KMC최종회의(7월) 자료"}</definedName>
    <definedName name="_2097S8_" localSheetId="14" hidden="1">{#N/A,#N/A,FALSE,"KMC최종회의(7월) 자료"}</definedName>
    <definedName name="_2097S8_" hidden="1">{#N/A,#N/A,FALSE,"KMC최종회의(7월) 자료"}</definedName>
    <definedName name="_2098S8_" localSheetId="14" hidden="1">{#N/A,#N/A,FALSE,"KMC최종회의(7월) 자료"}</definedName>
    <definedName name="_2098S8_" hidden="1">{#N/A,#N/A,FALSE,"KMC최종회의(7월) 자료"}</definedName>
    <definedName name="_20j1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20j1_" hidden="1">{#N/A,#N/A,FALSE,"손익표지";#N/A,#N/A,FALSE,"손익계산";#N/A,#N/A,FALSE,"일반관리비";#N/A,#N/A,FALSE,"영업외수익";#N/A,#N/A,FALSE,"영업외비용";#N/A,#N/A,FALSE,"매출액";#N/A,#N/A,FALSE,"요약손익";#N/A,#N/A,FALSE,"요약대차";#N/A,#N/A,FALSE,"매출채권현황";#N/A,#N/A,FALSE,"매출채권명세"}</definedName>
    <definedName name="_21___123Graph_X차트_1" hidden="1">[13]생산량!$B$39:$F$39</definedName>
    <definedName name="_21___5_0__123Grap" hidden="1">[15]시산표!#REF!</definedName>
    <definedName name="_2106S8_" localSheetId="14" hidden="1">{#N/A,#N/A,FALSE,"KMC최종회의(7월) 자료"}</definedName>
    <definedName name="_2106S8_" hidden="1">{#N/A,#N/A,FALSE,"KMC최종회의(7월) 자료"}</definedName>
    <definedName name="_210S5_" localSheetId="14" hidden="1">{#N/A,#N/A,FALSE,"KMC최종회의(7월) 자료"}</definedName>
    <definedName name="_210S5_" hidden="1">{#N/A,#N/A,FALSE,"KMC최종회의(7월) 자료"}</definedName>
    <definedName name="_2133T2_" localSheetId="14" hidden="1">{#N/A,#N/A,FALSE,"단축1";#N/A,#N/A,FALSE,"단축2";#N/A,#N/A,FALSE,"단축3";#N/A,#N/A,FALSE,"장축";#N/A,#N/A,FALSE,"4WD"}</definedName>
    <definedName name="_2133T2_" hidden="1">{#N/A,#N/A,FALSE,"단축1";#N/A,#N/A,FALSE,"단축2";#N/A,#N/A,FALSE,"단축3";#N/A,#N/A,FALSE,"장축";#N/A,#N/A,FALSE,"4WD"}</definedName>
    <definedName name="_2166W1_" localSheetId="14" hidden="1">{#N/A,#N/A,FALSE,"KMC최종회의(7월) 자료"}</definedName>
    <definedName name="_2166W1_" hidden="1">{#N/A,#N/A,FALSE,"KMC최종회의(7월) 자료"}</definedName>
    <definedName name="_216S6_" localSheetId="14" hidden="1">{#N/A,#N/A,FALSE,"KMC최종회의(7월) 자료"}</definedName>
    <definedName name="_216S6_" hidden="1">{#N/A,#N/A,FALSE,"KMC최종회의(7월) 자료"}</definedName>
    <definedName name="_2199W2_" localSheetId="14" hidden="1">{#N/A,#N/A,FALSE,"KMC최종회의(7월) 자료"}</definedName>
    <definedName name="_2199W2_" hidden="1">{#N/A,#N/A,FALSE,"KMC최종회의(7월) 자료"}</definedName>
    <definedName name="_21A9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21A9_" hidden="1">{#N/A,#N/A,FALSE,"손익표지";#N/A,#N/A,FALSE,"손익계산";#N/A,#N/A,FALSE,"일반관리비";#N/A,#N/A,FALSE,"영업외수익";#N/A,#N/A,FALSE,"영업외비용";#N/A,#N/A,FALSE,"매출액";#N/A,#N/A,FALSE,"요약손익";#N/A,#N/A,FALSE,"요약대차";#N/A,#N/A,FALSE,"매출채권현황";#N/A,#N/A,FALSE,"매출채권명세"}</definedName>
    <definedName name="_22___123Graph_X차트_2" hidden="1">#REF!</definedName>
    <definedName name="_22___7_0__123Grap" hidden="1">[15]시산표!#REF!</definedName>
    <definedName name="_22__123Graph_C차트_1" localSheetId="14" hidden="1">#REF!</definedName>
    <definedName name="_22__123Graph_C차트_1" hidden="1">#REF!</definedName>
    <definedName name="_222S7_" localSheetId="14" hidden="1">{#N/A,#N/A,FALSE,"KMC최종회의(7월) 자료"}</definedName>
    <definedName name="_222S7_" hidden="1">{#N/A,#N/A,FALSE,"KMC최종회의(7월) 자료"}</definedName>
    <definedName name="_2232W3_" localSheetId="14" hidden="1">{#N/A,#N/A,FALSE,"KMC최종회의(7월) 자료"}</definedName>
    <definedName name="_2232W3_" hidden="1">{#N/A,#N/A,FALSE,"KMC최종회의(7월) 자료"}</definedName>
    <definedName name="_2265W4_" localSheetId="14" hidden="1">{#N/A,#N/A,FALSE,"KMC최종회의(7월) 자료"}</definedName>
    <definedName name="_2265W4_" hidden="1">{#N/A,#N/A,FALSE,"KMC최종회의(7월) 자료"}</definedName>
    <definedName name="_228S8_" localSheetId="14" hidden="1">{#N/A,#N/A,FALSE,"KMC최종회의(7월) 자료"}</definedName>
    <definedName name="_228S8_" hidden="1">{#N/A,#N/A,FALSE,"KMC최종회의(7월) 자료"}</definedName>
    <definedName name="_2298W5_" localSheetId="14" hidden="1">{#N/A,#N/A,FALSE,"KMC최종회의(7월) 자료"}</definedName>
    <definedName name="_2298W5_" hidden="1">{#N/A,#N/A,FALSE,"KMC최종회의(7월) 자료"}</definedName>
    <definedName name="_23___123Graph_X차트_3" hidden="1">#REF!</definedName>
    <definedName name="_23___7_0__123Graph_LB" hidden="1">[15]시산표!#REF!</definedName>
    <definedName name="_2331W6_" localSheetId="14" hidden="1">{#N/A,#N/A,FALSE,"KMC최종회의(7월) 자료"}</definedName>
    <definedName name="_2331W6_" hidden="1">{#N/A,#N/A,FALSE,"KMC최종회의(7월) 자료"}</definedName>
    <definedName name="_234W1_" localSheetId="14" hidden="1">{#N/A,#N/A,FALSE,"KMC최종회의(7월) 자료"}</definedName>
    <definedName name="_234W1_" hidden="1">{#N/A,#N/A,FALSE,"KMC최종회의(7월) 자료"}</definedName>
    <definedName name="_2364W7_" localSheetId="14" hidden="1">{#N/A,#N/A,FALSE,"KMC최종회의(7월) 자료"}</definedName>
    <definedName name="_2364W7_" hidden="1">{#N/A,#N/A,FALSE,"KMC최종회의(7월) 자료"}</definedName>
    <definedName name="_2397W8_" localSheetId="14" hidden="1">{#N/A,#N/A,FALSE,"KMC최종회의(7월) 자료"}</definedName>
    <definedName name="_2397W8_" hidden="1">{#N/A,#N/A,FALSE,"KMC최종회의(7월) 자료"}</definedName>
    <definedName name="_24___123Graph_X차트_4" hidden="1">#REF!</definedName>
    <definedName name="_24___9_0__123Grap" hidden="1">[15]시산표!#REF!</definedName>
    <definedName name="_24__123Graph_B차트_1" localSheetId="14" hidden="1">#REF!</definedName>
    <definedName name="_24__123Graph_B차트_1" hidden="1">#REF!</definedName>
    <definedName name="_24__123Graph_C차트_4" localSheetId="14" hidden="1">#REF!</definedName>
    <definedName name="_24__123Graph_C차트_4" hidden="1">#REF!</definedName>
    <definedName name="_24__123Graph_D차트_4" localSheetId="14" hidden="1">#REF!</definedName>
    <definedName name="_24__123Graph_D차트_4" hidden="1">#REF!</definedName>
    <definedName name="_240W2_" localSheetId="14" hidden="1">{#N/A,#N/A,FALSE,"KMC최종회의(7월) 자료"}</definedName>
    <definedName name="_240W2_" hidden="1">{#N/A,#N/A,FALSE,"KMC최종회의(7월) 자료"}</definedName>
    <definedName name="_2430W9_" localSheetId="14" hidden="1">{#N/A,#N/A,FALSE,"KMC최종회의(7월) 자료"}</definedName>
    <definedName name="_2430W9_" hidden="1">{#N/A,#N/A,FALSE,"KMC최종회의(7월) 자료"}</definedName>
    <definedName name="_2463X1_" localSheetId="14" hidden="1">{#N/A,#N/A,FALSE,"KMC최종회의(7월) 자료"}</definedName>
    <definedName name="_2463X1_" hidden="1">{#N/A,#N/A,FALSE,"KMC최종회의(7월) 자료"}</definedName>
    <definedName name="_246W3_" localSheetId="14" hidden="1">{#N/A,#N/A,FALSE,"KMC최종회의(7월) 자료"}</definedName>
    <definedName name="_246W3_" hidden="1">{#N/A,#N/A,FALSE,"KMC최종회의(7월) 자료"}</definedName>
    <definedName name="_2496X2_" localSheetId="14" hidden="1">{#N/A,#N/A,FALSE,"KMC최종회의(7월) 자료"}</definedName>
    <definedName name="_2496X2_" hidden="1">{#N/A,#N/A,FALSE,"KMC최종회의(7월) 자료"}</definedName>
    <definedName name="_24A5_" localSheetId="14" hidden="1">{#N/A,#N/A,FALSE,"KMC최종회의(7월) 자료"}</definedName>
    <definedName name="_24A5_" hidden="1">{#N/A,#N/A,FALSE,"KMC최종회의(7월) 자료"}</definedName>
    <definedName name="_24A9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24A9_" hidden="1">{#N/A,#N/A,FALSE,"손익표지";#N/A,#N/A,FALSE,"손익계산";#N/A,#N/A,FALSE,"일반관리비";#N/A,#N/A,FALSE,"영업외수익";#N/A,#N/A,FALSE,"영업외비용";#N/A,#N/A,FALSE,"매출액";#N/A,#N/A,FALSE,"요약손익";#N/A,#N/A,FALSE,"요약대차";#N/A,#N/A,FALSE,"매출채권현황";#N/A,#N/A,FALSE,"매출채권명세"}</definedName>
    <definedName name="_25___9_0__123Graph_LB" hidden="1">[15]시산표!#REF!</definedName>
    <definedName name="_2529X3_" localSheetId="14" hidden="1">{#N/A,#N/A,FALSE,"KMC최종회의(7월) 자료"}</definedName>
    <definedName name="_2529X3_" hidden="1">{#N/A,#N/A,FALSE,"KMC최종회의(7월) 자료"}</definedName>
    <definedName name="_252W4_" localSheetId="14" hidden="1">{#N/A,#N/A,FALSE,"KMC최종회의(7월) 자료"}</definedName>
    <definedName name="_252W4_" hidden="1">{#N/A,#N/A,FALSE,"KMC최종회의(7월) 자료"}</definedName>
    <definedName name="_2562X4_" localSheetId="14" hidden="1">{#N/A,#N/A,FALSE,"KMC최종회의(7월) 자료"}</definedName>
    <definedName name="_2562X4_" hidden="1">{#N/A,#N/A,FALSE,"KMC최종회의(7월) 자료"}</definedName>
    <definedName name="_258W5_" localSheetId="14" hidden="1">{#N/A,#N/A,FALSE,"KMC최종회의(7월) 자료"}</definedName>
    <definedName name="_258W5_" hidden="1">{#N/A,#N/A,FALSE,"KMC최종회의(7월) 자료"}</definedName>
    <definedName name="_2595X5_" localSheetId="14" hidden="1">{#N/A,#N/A,FALSE,"KMC최종회의(7월) 자료"}</definedName>
    <definedName name="_2595X5_" hidden="1">{#N/A,#N/A,FALSE,"KMC최종회의(7월) 자료"}</definedName>
    <definedName name="_26___5_0__123Grap" hidden="1">[15]시산표!#REF!</definedName>
    <definedName name="_26__0_0__123Grap" hidden="1">[11]공문!#REF!</definedName>
    <definedName name="_26__123Graph_B차트_4" localSheetId="14" hidden="1">#REF!</definedName>
    <definedName name="_26__123Graph_B차트_4" hidden="1">#REF!</definedName>
    <definedName name="_2628X6_" localSheetId="14" hidden="1">{#N/A,#N/A,FALSE,"KMC최종회의(7월) 자료"}</definedName>
    <definedName name="_2628X6_" hidden="1">{#N/A,#N/A,FALSE,"KMC최종회의(7월) 자료"}</definedName>
    <definedName name="_264W6_" localSheetId="14" hidden="1">{#N/A,#N/A,FALSE,"KMC최종회의(7월) 자료"}</definedName>
    <definedName name="_264W6_" hidden="1">{#N/A,#N/A,FALSE,"KMC최종회의(7월) 자료"}</definedName>
    <definedName name="_2661X7_" localSheetId="14" hidden="1">{#N/A,#N/A,FALSE,"KMC최종회의(7월) 자료"}</definedName>
    <definedName name="_2661X7_" hidden="1">{#N/A,#N/A,FALSE,"KMC최종회의(7월) 자료"}</definedName>
    <definedName name="_2694X8_" localSheetId="14" hidden="1">{#N/A,#N/A,FALSE,"KMC최종회의(7월) 자료"}</definedName>
    <definedName name="_2694X8_" hidden="1">{#N/A,#N/A,FALSE,"KMC최종회의(7월) 자료"}</definedName>
    <definedName name="_26A9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26A9_" hidden="1">{#N/A,#N/A,FALSE,"손익표지";#N/A,#N/A,FALSE,"손익계산";#N/A,#N/A,FALSE,"일반관리비";#N/A,#N/A,FALSE,"영업외수익";#N/A,#N/A,FALSE,"영업외비용";#N/A,#N/A,FALSE,"매출액";#N/A,#N/A,FALSE,"요약손익";#N/A,#N/A,FALSE,"요약대차";#N/A,#N/A,FALSE,"매출채권현황";#N/A,#N/A,FALSE,"매출채권명세"}</definedName>
    <definedName name="_27_123Grap" hidden="1">[1]공문!#REF!</definedName>
    <definedName name="_270W7_" localSheetId="14" hidden="1">{#N/A,#N/A,FALSE,"KMC최종회의(7월) 자료"}</definedName>
    <definedName name="_270W7_" hidden="1">{#N/A,#N/A,FALSE,"KMC최종회의(7월) 자료"}</definedName>
    <definedName name="_2727Z1_" localSheetId="14" hidden="1">{#N/A,#N/A,FALSE,"KMC최종회의(7월) 자료"}</definedName>
    <definedName name="_2727Z1_" hidden="1">{#N/A,#N/A,FALSE,"KMC최종회의(7월) 자료"}</definedName>
    <definedName name="_2760Z2_" localSheetId="14" hidden="1">{#N/A,#N/A,FALSE,"KMC최종회의(7월) 자료"}</definedName>
    <definedName name="_2760Z2_" hidden="1">{#N/A,#N/A,FALSE,"KMC최종회의(7월) 자료"}</definedName>
    <definedName name="_276W8_" localSheetId="14" hidden="1">{#N/A,#N/A,FALSE,"KMC최종회의(7월) 자료"}</definedName>
    <definedName name="_276W8_" hidden="1">{#N/A,#N/A,FALSE,"KMC최종회의(7월) 자료"}</definedName>
    <definedName name="_2793Z3_" localSheetId="14" hidden="1">{#N/A,#N/A,FALSE,"KMC최종회의(7월) 자료"}</definedName>
    <definedName name="_2793Z3_" hidden="1">{#N/A,#N/A,FALSE,"KMC최종회의(7월) 자료"}</definedName>
    <definedName name="_27A9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27A9_" hidden="1">{#N/A,#N/A,FALSE,"손익표지";#N/A,#N/A,FALSE,"손익계산";#N/A,#N/A,FALSE,"일반관리비";#N/A,#N/A,FALSE,"영업외수익";#N/A,#N/A,FALSE,"영업외비용";#N/A,#N/A,FALSE,"매출액";#N/A,#N/A,FALSE,"요약손익";#N/A,#N/A,FALSE,"요약대차";#N/A,#N/A,FALSE,"매출채권현황";#N/A,#N/A,FALSE,"매출채권명세"}</definedName>
    <definedName name="_28___7_0__123Grap" hidden="1">[15]시산표!#REF!</definedName>
    <definedName name="_28__123Graph_A차트_1" hidden="1">#REF!</definedName>
    <definedName name="_2826Z4_" localSheetId="14" hidden="1">{#N/A,#N/A,FALSE,"KMC최종회의(7월) 자료"}</definedName>
    <definedName name="_2826Z4_" hidden="1">{#N/A,#N/A,FALSE,"KMC최종회의(7월) 자료"}</definedName>
    <definedName name="_282W9_" localSheetId="14" hidden="1">{#N/A,#N/A,FALSE,"KMC최종회의(7월) 자료"}</definedName>
    <definedName name="_282W9_" hidden="1">{#N/A,#N/A,FALSE,"KMC최종회의(7월) 자료"}</definedName>
    <definedName name="_2859Z5_" localSheetId="14" hidden="1">{#N/A,#N/A,FALSE,"KMC최종회의(7월) 자료"}</definedName>
    <definedName name="_2859Z5_" hidden="1">{#N/A,#N/A,FALSE,"KMC최종회의(7월) 자료"}</definedName>
    <definedName name="_288X1_" localSheetId="14" hidden="1">{#N/A,#N/A,FALSE,"KMC최종회의(7월) 자료"}</definedName>
    <definedName name="_288X1_" hidden="1">{#N/A,#N/A,FALSE,"KMC최종회의(7월) 자료"}</definedName>
    <definedName name="_2892Z6_" localSheetId="14" hidden="1">{#N/A,#N/A,FALSE,"KMC최종회의(7월) 자료"}</definedName>
    <definedName name="_2892Z6_" hidden="1">{#N/A,#N/A,FALSE,"KMC최종회의(7월) 자료"}</definedName>
    <definedName name="_29__123Graph_A차트_2" hidden="1">#REF!</definedName>
    <definedName name="_29__123Graph_D차트_4" localSheetId="14" hidden="1">#REF!</definedName>
    <definedName name="_29__123Graph_D차트_4" hidden="1">#REF!</definedName>
    <definedName name="_2925Z7_" localSheetId="14" hidden="1">{#N/A,#N/A,FALSE,"KMC최종회의(7월) 자료"}</definedName>
    <definedName name="_2925Z7_" hidden="1">{#N/A,#N/A,FALSE,"KMC최종회의(7월) 자료"}</definedName>
    <definedName name="_294X2_" localSheetId="14" hidden="1">{#N/A,#N/A,FALSE,"KMC최종회의(7월) 자료"}</definedName>
    <definedName name="_294X2_" hidden="1">{#N/A,#N/A,FALSE,"KMC최종회의(7월) 자료"}</definedName>
    <definedName name="_2958Z8_" localSheetId="14" hidden="1">{#N/A,#N/A,FALSE,"KMC최종회의(7월) 자료"}</definedName>
    <definedName name="_2958Z8_" hidden="1">{#N/A,#N/A,FALSE,"KMC최종회의(7월) 자료"}</definedName>
    <definedName name="_2991Z9_" localSheetId="14" hidden="1">{#N/A,#N/A,FALSE,"KMC최종회의(7월) 자료"}</definedName>
    <definedName name="_2991Z9_" hidden="1">{#N/A,#N/A,FALSE,"KMC최종회의(7월) 자료"}</definedName>
    <definedName name="_2A9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2A9_" hidden="1">{#N/A,#N/A,FALSE,"손익표지";#N/A,#N/A,FALSE,"손익계산";#N/A,#N/A,FALSE,"일반관리비";#N/A,#N/A,FALSE,"영업외수익";#N/A,#N/A,FALSE,"영업외비용";#N/A,#N/A,FALSE,"매출액";#N/A,#N/A,FALSE,"요약손익";#N/A,#N/A,FALSE,"요약대차";#N/A,#N/A,FALSE,"매출채권현황";#N/A,#N/A,FALSE,"매출채권명세"}</definedName>
    <definedName name="_3" localSheetId="14" hidden="1">#REF!</definedName>
    <definedName name="_3">#N/A</definedName>
    <definedName name="_3_____0_0__123Grap" hidden="1">[11]공문!#REF!</definedName>
    <definedName name="_3__123Graph_AChart_1U" hidden="1">[14]DELINS!$T$5:$T$13</definedName>
    <definedName name="_30___7_0__123Graph_LB" hidden="1">[15]시산표!#REF!</definedName>
    <definedName name="_30__123Graph_A차트_3" hidden="1">#REF!</definedName>
    <definedName name="_300X3_" localSheetId="14" hidden="1">{#N/A,#N/A,FALSE,"KMC최종회의(7월) 자료"}</definedName>
    <definedName name="_300X3_" hidden="1">{#N/A,#N/A,FALSE,"KMC최종회의(7월) 자료"}</definedName>
    <definedName name="_3028__0_S" localSheetId="14" hidden="1">#REF!</definedName>
    <definedName name="_3028__0_S" hidden="1">#REF!</definedName>
    <definedName name="_3029__0_S" localSheetId="14" hidden="1">#REF!</definedName>
    <definedName name="_3029__0_S" hidden="1">#REF!</definedName>
    <definedName name="_306X4_" localSheetId="14" hidden="1">{#N/A,#N/A,FALSE,"KMC최종회의(7월) 자료"}</definedName>
    <definedName name="_306X4_" hidden="1">{#N/A,#N/A,FALSE,"KMC최종회의(7월) 자료"}</definedName>
    <definedName name="_30A6_" localSheetId="14" hidden="1">{#N/A,#N/A,FALSE,"KMC최종회의(7월) 자료"}</definedName>
    <definedName name="_30A6_" hidden="1">{#N/A,#N/A,FALSE,"KMC최종회의(7월) 자료"}</definedName>
    <definedName name="_31__123Graph_A차트_4" hidden="1">#REF!</definedName>
    <definedName name="_31__123Graph_C차트_1" localSheetId="14" hidden="1">#REF!</definedName>
    <definedName name="_31__123Graph_C차트_1" hidden="1">#REF!</definedName>
    <definedName name="_312X5_" localSheetId="14" hidden="1">{#N/A,#N/A,FALSE,"KMC최종회의(7월) 자료"}</definedName>
    <definedName name="_312X5_" hidden="1">{#N/A,#N/A,FALSE,"KMC최종회의(7월) 자료"}</definedName>
    <definedName name="_318X6_" localSheetId="14" hidden="1">{#N/A,#N/A,FALSE,"KMC최종회의(7월) 자료"}</definedName>
    <definedName name="_318X6_" hidden="1">{#N/A,#N/A,FALSE,"KMC최종회의(7월) 자료"}</definedName>
    <definedName name="_32___9_0__123Grap" hidden="1">[15]시산표!#REF!</definedName>
    <definedName name="_32__123Graph_X차트_1" hidden="1">[13]생산량!$B$39:$F$39</definedName>
    <definedName name="_324X7_" localSheetId="14" hidden="1">{#N/A,#N/A,FALSE,"KMC최종회의(7월) 자료"}</definedName>
    <definedName name="_324X7_" hidden="1">{#N/A,#N/A,FALSE,"KMC최종회의(7월) 자료"}</definedName>
    <definedName name="_33__123Graph_X차트_2" hidden="1">#REF!</definedName>
    <definedName name="_330X8_" localSheetId="14" hidden="1">{#N/A,#N/A,FALSE,"KMC최종회의(7월) 자료"}</definedName>
    <definedName name="_330X8_" hidden="1">{#N/A,#N/A,FALSE,"KMC최종회의(7월) 자료"}</definedName>
    <definedName name="_336Z1_" localSheetId="14" hidden="1">{#N/A,#N/A,FALSE,"KMC최종회의(7월) 자료"}</definedName>
    <definedName name="_336Z1_" hidden="1">{#N/A,#N/A,FALSE,"KMC최종회의(7월) 자료"}</definedName>
    <definedName name="_33j1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33j1_" hidden="1">{#N/A,#N/A,FALSE,"손익표지";#N/A,#N/A,FALSE,"손익계산";#N/A,#N/A,FALSE,"일반관리비";#N/A,#N/A,FALSE,"영업외수익";#N/A,#N/A,FALSE,"영업외비용";#N/A,#N/A,FALSE,"매출액";#N/A,#N/A,FALSE,"요약손익";#N/A,#N/A,FALSE,"요약대차";#N/A,#N/A,FALSE,"매출채권현황";#N/A,#N/A,FALSE,"매출채권명세"}</definedName>
    <definedName name="_34___9_0__123Graph_LB" hidden="1">[15]시산표!#REF!</definedName>
    <definedName name="_34__123Graph_C차트_4" localSheetId="14" hidden="1">#REF!</definedName>
    <definedName name="_34__123Graph_C차트_4" hidden="1">#REF!</definedName>
    <definedName name="_34__123Graph_LBL_A차트_1" localSheetId="14" hidden="1">#REF!</definedName>
    <definedName name="_34__123Graph_LBL_A차트_1" hidden="1">#REF!</definedName>
    <definedName name="_34__123Graph_X차트_3" hidden="1">#REF!</definedName>
    <definedName name="_342Z2_" localSheetId="14" hidden="1">{#N/A,#N/A,FALSE,"KMC최종회의(7월) 자료"}</definedName>
    <definedName name="_342Z2_" hidden="1">{#N/A,#N/A,FALSE,"KMC최종회의(7월) 자료"}</definedName>
    <definedName name="_348Z3_" localSheetId="14" hidden="1">{#N/A,#N/A,FALSE,"KMC최종회의(7월) 자료"}</definedName>
    <definedName name="_348Z3_" hidden="1">{#N/A,#N/A,FALSE,"KMC최종회의(7월) 자료"}</definedName>
    <definedName name="_35__123Graph_LBL_A차트_2" localSheetId="14" hidden="1">#REF!</definedName>
    <definedName name="_35__123Graph_LBL_A차트_2" hidden="1">#REF!</definedName>
    <definedName name="_35__123Graph_X차트_4" hidden="1">#REF!</definedName>
    <definedName name="_354Z4_" localSheetId="14" hidden="1">{#N/A,#N/A,FALSE,"KMC최종회의(7월) 자료"}</definedName>
    <definedName name="_354Z4_" hidden="1">{#N/A,#N/A,FALSE,"KMC최종회의(7월) 자료"}</definedName>
    <definedName name="_35A6666_" localSheetId="14" hidden="1">{#N/A,#N/A,FALSE,"KMC최종회의(7월) 자료"}</definedName>
    <definedName name="_35A6666_" hidden="1">{#N/A,#N/A,FALSE,"KMC최종회의(7월) 자료"}</definedName>
    <definedName name="_35j1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35j1_" hidden="1">{#N/A,#N/A,FALSE,"손익표지";#N/A,#N/A,FALSE,"손익계산";#N/A,#N/A,FALSE,"일반관리비";#N/A,#N/A,FALSE,"영업외수익";#N/A,#N/A,FALSE,"영업외비용";#N/A,#N/A,FALSE,"매출액";#N/A,#N/A,FALSE,"요약손익";#N/A,#N/A,FALSE,"요약대차";#N/A,#N/A,FALSE,"매출채권현황";#N/A,#N/A,FALSE,"매출채권명세"}</definedName>
    <definedName name="_36__0_0__123Grap" hidden="1">[11]공문!#REF!</definedName>
    <definedName name="_36__123Graph_LBL_A차트_3" localSheetId="14" hidden="1">#REF!</definedName>
    <definedName name="_36__123Graph_LBL_A차트_3" hidden="1">#REF!</definedName>
    <definedName name="_36__5_0__123Grap" hidden="1">[15]시산표!#REF!</definedName>
    <definedName name="_360Z5_" localSheetId="14" hidden="1">{#N/A,#N/A,FALSE,"KMC최종회의(7월) 자료"}</definedName>
    <definedName name="_360Z5_" hidden="1">{#N/A,#N/A,FALSE,"KMC최종회의(7월) 자료"}</definedName>
    <definedName name="_366Z6_" localSheetId="14" hidden="1">{#N/A,#N/A,FALSE,"KMC최종회의(7월) 자료"}</definedName>
    <definedName name="_366Z6_" hidden="1">{#N/A,#N/A,FALSE,"KMC최종회의(7월) 자료"}</definedName>
    <definedName name="_37__123Graph_LBL_A차트_4" localSheetId="14" hidden="1">#REF!</definedName>
    <definedName name="_37__123Graph_LBL_A차트_4" hidden="1">#REF!</definedName>
    <definedName name="_37__7_0__123Grap" hidden="1">[15]시산표!#REF!</definedName>
    <definedName name="_372Z7_" localSheetId="14" hidden="1">{#N/A,#N/A,FALSE,"KMC최종회의(7월) 자료"}</definedName>
    <definedName name="_372Z7_" hidden="1">{#N/A,#N/A,FALSE,"KMC최종회의(7월) 자료"}</definedName>
    <definedName name="_378Z8_" localSheetId="14" hidden="1">{#N/A,#N/A,FALSE,"KMC최종회의(7월) 자료"}</definedName>
    <definedName name="_378Z8_" hidden="1">{#N/A,#N/A,FALSE,"KMC최종회의(7월) 자료"}</definedName>
    <definedName name="_38__123Graph_LBL_C차트_1" localSheetId="14" hidden="1">#REF!</definedName>
    <definedName name="_38__123Graph_LBL_C차트_1" hidden="1">#REF!</definedName>
    <definedName name="_38__7_0__123Graph_LB" hidden="1">[15]시산표!#REF!</definedName>
    <definedName name="_38_123Grap" hidden="1">[1]공문!#REF!</definedName>
    <definedName name="_384Z9_" localSheetId="14" hidden="1">{#N/A,#N/A,FALSE,"KMC최종회의(7월) 자료"}</definedName>
    <definedName name="_384Z9_" hidden="1">{#N/A,#N/A,FALSE,"KMC최종회의(7월) 자료"}</definedName>
    <definedName name="_389____S" localSheetId="14" hidden="1">#REF!</definedName>
    <definedName name="_389____S" hidden="1">#REF!</definedName>
    <definedName name="_38j1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38j1_" hidden="1">{#N/A,#N/A,FALSE,"손익표지";#N/A,#N/A,FALSE,"손익계산";#N/A,#N/A,FALSE,"일반관리비";#N/A,#N/A,FALSE,"영업외수익";#N/A,#N/A,FALSE,"영업외비용";#N/A,#N/A,FALSE,"매출액";#N/A,#N/A,FALSE,"요약손익";#N/A,#N/A,FALSE,"요약대차";#N/A,#N/A,FALSE,"매출채권현황";#N/A,#N/A,FALSE,"매출채권명세"}</definedName>
    <definedName name="_39__123Graph_A차트_1" hidden="1">#REF!</definedName>
    <definedName name="_39__123Graph_LBL_A차트_1" localSheetId="14" hidden="1">#REF!</definedName>
    <definedName name="_39__123Graph_LBL_A차트_1" hidden="1">#REF!</definedName>
    <definedName name="_39__123Graph_X차트_3" localSheetId="14" hidden="1">#REF!</definedName>
    <definedName name="_39__123Graph_X차트_3" hidden="1">#REF!</definedName>
    <definedName name="_39__9_0__123Grap" hidden="1">[15]시산표!#REF!</definedName>
    <definedName name="_394__0_S" localSheetId="14" hidden="1">#REF!</definedName>
    <definedName name="_394__0_S" hidden="1">#REF!</definedName>
    <definedName name="_4" localSheetId="14" hidden="1">#REF!</definedName>
    <definedName name="_4">#REF!</definedName>
    <definedName name="_4_______0_0__123Grap" hidden="1">[11]공문!#REF!</definedName>
    <definedName name="_4____0_0__123Grap" hidden="1">[11]공문!#REF!</definedName>
    <definedName name="_4__123Graph_AChart_3H" hidden="1">'[14]Costs Savings'!$E$7:$E$22</definedName>
    <definedName name="_4___0_S" localSheetId="14" hidden="1">#REF!</definedName>
    <definedName name="_4___0_S" hidden="1">#REF!</definedName>
    <definedName name="_40__123Graph_A차트_2" hidden="1">#REF!</definedName>
    <definedName name="_40__123Graph_D차트_4" localSheetId="14" hidden="1">#REF!</definedName>
    <definedName name="_40__123Graph_D차트_4" hidden="1">#REF!</definedName>
    <definedName name="_40__123Graph_LBL_A차트_2" localSheetId="14" hidden="1">#REF!</definedName>
    <definedName name="_40__123Graph_LBL_A차트_2" hidden="1">#REF!</definedName>
    <definedName name="_40__9_0__123Graph_LB" hidden="1">[15]시산표!#REF!</definedName>
    <definedName name="_40A9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40A9_" hidden="1">{#N/A,#N/A,FALSE,"손익표지";#N/A,#N/A,FALSE,"손익계산";#N/A,#N/A,FALSE,"일반관리비";#N/A,#N/A,FALSE,"영업외수익";#N/A,#N/A,FALSE,"영업외비용";#N/A,#N/A,FALSE,"매출액";#N/A,#N/A,FALSE,"요약손익";#N/A,#N/A,FALSE,"요약대차";#N/A,#N/A,FALSE,"매출채권현황";#N/A,#N/A,FALSE,"매출채권명세"}</definedName>
    <definedName name="_41__123Graph_A차트_3" hidden="1">#REF!</definedName>
    <definedName name="_41__123Graph_LBL_A차트_3" localSheetId="14" hidden="1">#REF!</definedName>
    <definedName name="_41__123Graph_LBL_A차트_3" hidden="1">#REF!</definedName>
    <definedName name="_41_0_0__123Grap" hidden="1">[11]공문!#REF!</definedName>
    <definedName name="_41A7_" localSheetId="14" hidden="1">{#N/A,#N/A,FALSE,"KMC최종회의(7월) 자료"}</definedName>
    <definedName name="_41A7_" hidden="1">{#N/A,#N/A,FALSE,"KMC최종회의(7월) 자료"}</definedName>
    <definedName name="_42__123Graph_A차트_4" hidden="1">#REF!</definedName>
    <definedName name="_42__123Graph_LBL_A차트_4" localSheetId="14" hidden="1">#REF!</definedName>
    <definedName name="_42__123Graph_LBL_A차트_4" hidden="1">#REF!</definedName>
    <definedName name="_42F" hidden="1">[16]Sheet1!#REF!</definedName>
    <definedName name="_43__123Graph_LBL_C차트_1" localSheetId="14" hidden="1">#REF!</definedName>
    <definedName name="_43__123Graph_LBL_C차트_1" hidden="1">#REF!</definedName>
    <definedName name="_43__123Graph_X차트_1" hidden="1">[13]생산량!$B$39:$F$39</definedName>
    <definedName name="_43_0_F" hidden="1">[16]Sheet1!#REF!</definedName>
    <definedName name="_44__123Graph_X차트_2" hidden="1">#REF!</definedName>
    <definedName name="_44__123Graph_X차트_3" localSheetId="14" hidden="1">#REF!</definedName>
    <definedName name="_44__123Graph_X차트_3" hidden="1">#REF!</definedName>
    <definedName name="_44_0_0" hidden="1">'[17]#REF'!#REF!</definedName>
    <definedName name="_45__123Graph_X차트_3" hidden="1">#REF!</definedName>
    <definedName name="_46__123Graph_X차트_4" hidden="1">#REF!</definedName>
    <definedName name="_47_0_0__123Grap" hidden="1">[1]공문!#REF!</definedName>
    <definedName name="_47A8_" localSheetId="14" hidden="1">{#N/A,#N/A,FALSE,"KMC최종회의(7월) 자료"}</definedName>
    <definedName name="_47A8_" hidden="1">{#N/A,#N/A,FALSE,"KMC최종회의(7월) 자료"}</definedName>
    <definedName name="_48__5_0__123Grap" hidden="1">[15]시산표!#REF!</definedName>
    <definedName name="_48_0_0_F" hidden="1">#REF!</definedName>
    <definedName name="_49_5_0__123Grap" hidden="1">[15]시산표!#REF!</definedName>
    <definedName name="_4j1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4j1_" hidden="1">{#N/A,#N/A,FALSE,"손익표지";#N/A,#N/A,FALSE,"손익계산";#N/A,#N/A,FALSE,"일반관리비";#N/A,#N/A,FALSE,"영업외수익";#N/A,#N/A,FALSE,"영업외비용";#N/A,#N/A,FALSE,"매출액";#N/A,#N/A,FALSE,"요약손익";#N/A,#N/A,FALSE,"요약대차";#N/A,#N/A,FALSE,"매출채권현황";#N/A,#N/A,FALSE,"매출채권명세"}</definedName>
    <definedName name="_5" localSheetId="14" hidden="1">#REF!</definedName>
    <definedName name="_5">#REF!</definedName>
    <definedName name="_5____123Graph_A차트_1" hidden="1">#REF!</definedName>
    <definedName name="_5__123Graph_AChart_3U" hidden="1">[14]DELINS!$T$18:$T$24</definedName>
    <definedName name="_50__7_0__123Grap" hidden="1">[15]시산표!#REF!</definedName>
    <definedName name="_50_7_0__123Grap" hidden="1">[15]시산표!#REF!</definedName>
    <definedName name="_51__123Graph_LBL_A차트_1" localSheetId="14" hidden="1">#REF!</definedName>
    <definedName name="_51__123Graph_LBL_A차트_1" hidden="1">#REF!</definedName>
    <definedName name="_51_7_0__123Graph_LB" hidden="1">[15]시산표!#REF!</definedName>
    <definedName name="_52__7_0__123Graph_LB" hidden="1">[15]시산표!#REF!</definedName>
    <definedName name="_52_9_0__123Grap" hidden="1">[15]시산표!#REF!</definedName>
    <definedName name="_53__123Graph_LBL_A차트_2" localSheetId="14" hidden="1">#REF!</definedName>
    <definedName name="_53__123Graph_LBL_A차트_2" hidden="1">#REF!</definedName>
    <definedName name="_53_9_0__123Graph_LB" hidden="1">[15]시산표!#REF!</definedName>
    <definedName name="_53A9_" localSheetId="14" hidden="1">{#N/A,#N/A,FALSE,"KMC최종회의(7월) 자료"}</definedName>
    <definedName name="_53A9_" hidden="1">{#N/A,#N/A,FALSE,"KMC최종회의(7월) 자료"}</definedName>
    <definedName name="_54__9_0__123Grap" hidden="1">[15]시산표!#REF!</definedName>
    <definedName name="_54j1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54j1_" hidden="1">{#N/A,#N/A,FALSE,"손익표지";#N/A,#N/A,FALSE,"손익계산";#N/A,#N/A,FALSE,"일반관리비";#N/A,#N/A,FALSE,"영업외수익";#N/A,#N/A,FALSE,"영업외비용";#N/A,#N/A,FALSE,"매출액";#N/A,#N/A,FALSE,"요약손익";#N/A,#N/A,FALSE,"요약대차";#N/A,#N/A,FALSE,"매출채권현황";#N/A,#N/A,FALSE,"매출채권명세"}</definedName>
    <definedName name="_55__123Graph_LBL_A차트_3" localSheetId="14" hidden="1">#REF!</definedName>
    <definedName name="_55__123Graph_LBL_A차트_3" hidden="1">#REF!</definedName>
    <definedName name="_56__9_0__123Graph_LB" hidden="1">[15]시산표!#REF!</definedName>
    <definedName name="_56DD1_" hidden="1">{#N/A,#N/A,FALSE,"지침";#N/A,#N/A,FALSE,"환경분석";#N/A,#N/A,FALSE,"Sheet16"}</definedName>
    <definedName name="_57__123Graph_LBL_A차트_4" localSheetId="14" hidden="1">#REF!</definedName>
    <definedName name="_57__123Graph_LBL_A차트_4" hidden="1">#REF!</definedName>
    <definedName name="_57M180_" hidden="1">#N/A</definedName>
    <definedName name="_58_0_0__123Grap" hidden="1">[11]공문!#REF!</definedName>
    <definedName name="_59__123Graph_LBL_C차트_1" localSheetId="14" hidden="1">#REF!</definedName>
    <definedName name="_59__123Graph_LBL_C차트_1" hidden="1">#REF!</definedName>
    <definedName name="_59AS6_" localSheetId="14" hidden="1">{#N/A,#N/A,FALSE,"Australien";#N/A,#N/A,FALSE,"Birmingham";#N/A,#N/A,FALSE,"Brasilien";#N/A,#N/A,FALSE,"Prag";#N/A,#N/A,FALSE,"Spanien";#N/A,#N/A,FALSE,"Malaysia ( Com)";#N/A,#N/A,FALSE,"Malaysia (Instr)"}</definedName>
    <definedName name="_59AS6_" hidden="1">{#N/A,#N/A,FALSE,"Australien";#N/A,#N/A,FALSE,"Birmingham";#N/A,#N/A,FALSE,"Brasilien";#N/A,#N/A,FALSE,"Prag";#N/A,#N/A,FALSE,"Spanien";#N/A,#N/A,FALSE,"Malaysia ( Com)";#N/A,#N/A,FALSE,"Malaysia (Instr)"}</definedName>
    <definedName name="_6">#REF!</definedName>
    <definedName name="_6_____0_0__123Grap" hidden="1">[11]공문!#REF!</definedName>
    <definedName name="_6____123Graph_A차트_2" hidden="1">#REF!</definedName>
    <definedName name="_6__123Graph_XChart_1U" hidden="1">[14]DELINS!$B$5:$B$13</definedName>
    <definedName name="_6__0_S" localSheetId="14" hidden="1">#REF!</definedName>
    <definedName name="_6__0_S" hidden="1">#REF!</definedName>
    <definedName name="_60F" hidden="1">[16]Sheet1!#REF!</definedName>
    <definedName name="_61__123Graph_X차트_3" localSheetId="14" hidden="1">#REF!</definedName>
    <definedName name="_61__123Graph_X차트_3" hidden="1">#REF!</definedName>
    <definedName name="_62_0_F" hidden="1">[16]Sheet1!#REF!</definedName>
    <definedName name="_64_0_0" hidden="1">'[17]#REF'!#REF!</definedName>
    <definedName name="_65CL22_" localSheetId="14" hidden="1">{#N/A,#N/A,FALSE,"KMC최종회의(7월) 자료"}</definedName>
    <definedName name="_65CL22_" hidden="1">{#N/A,#N/A,FALSE,"KMC최종회의(7월) 자료"}</definedName>
    <definedName name="_7">#N/A</definedName>
    <definedName name="_7____123Graph_A차트_3" hidden="1">#REF!</definedName>
    <definedName name="_7__123Graph_A차트_1" localSheetId="14" hidden="1">#REF!</definedName>
    <definedName name="_7__123Graph_A차트_1" hidden="1">#REF!</definedName>
    <definedName name="_71CL222_" localSheetId="14" hidden="1">{#N/A,#N/A,FALSE,"KMC최종회의(7월) 자료"}</definedName>
    <definedName name="_71CL222_" hidden="1">{#N/A,#N/A,FALSE,"KMC최종회의(7월) 자료"}</definedName>
    <definedName name="_72_0_0__123Grap" hidden="1">[1]공문!#REF!</definedName>
    <definedName name="_74_0_0_F" hidden="1">#REF!</definedName>
    <definedName name="_76_0_0__123Grap" hidden="1">[1]공문!#REF!</definedName>
    <definedName name="_76_5_0__123Grap" hidden="1">[15]시산표!#REF!</definedName>
    <definedName name="_77CL33_" localSheetId="14" hidden="1">{#N/A,#N/A,FALSE,"KMC최종회의(7월) 자료"}</definedName>
    <definedName name="_77CL33_" hidden="1">{#N/A,#N/A,FALSE,"KMC최종회의(7월) 자료"}</definedName>
    <definedName name="_78_0_0_F" hidden="1">#REF!</definedName>
    <definedName name="_78_7_0__123Grap" hidden="1">[15]시산표!#REF!</definedName>
    <definedName name="_7A9_"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7A9_" hidden="1">{#N/A,#N/A,FALSE,"손익표지";#N/A,#N/A,FALSE,"손익계산";#N/A,#N/A,FALSE,"일반관리비";#N/A,#N/A,FALSE,"영업외수익";#N/A,#N/A,FALSE,"영업외비용";#N/A,#N/A,FALSE,"매출액";#N/A,#N/A,FALSE,"요약손익";#N/A,#N/A,FALSE,"요약대차";#N/A,#N/A,FALSE,"매출채권현황";#N/A,#N/A,FALSE,"매출채권명세"}</definedName>
    <definedName name="_8">#REF!</definedName>
    <definedName name="_8____0_0__123Grap" hidden="1">[11]공문!#REF!</definedName>
    <definedName name="_8____123Graph_A차트_4" hidden="1">#REF!</definedName>
    <definedName name="_8__123Graph_A차트_2" localSheetId="14" hidden="1">#REF!</definedName>
    <definedName name="_8__123Graph_A차트_2" hidden="1">#REF!</definedName>
    <definedName name="_80_5_0__123Grap" hidden="1">[15]시산표!#REF!</definedName>
    <definedName name="_80_7_0__123Graph_LB" hidden="1">[15]시산표!#REF!</definedName>
    <definedName name="_82_7_0__123Grap" hidden="1">[15]시산표!#REF!</definedName>
    <definedName name="_82_9_0__123Grap" hidden="1">[15]시산표!#REF!</definedName>
    <definedName name="_83D6_" localSheetId="14" hidden="1">{"'표지'!$B$5"}</definedName>
    <definedName name="_83D6_" hidden="1">{"'표지'!$B$5"}</definedName>
    <definedName name="_84_7_0__123Graph_LB" hidden="1">[15]시산표!#REF!</definedName>
    <definedName name="_84_9_0__123Graph_LB" hidden="1">[15]시산표!#REF!</definedName>
    <definedName name="_86_0_0_MatInverse" hidden="1">[18]C!#REF!</definedName>
    <definedName name="_86_9_0__123Grap" hidden="1">[15]시산표!#REF!</definedName>
    <definedName name="_88_9_0__123Graph_LB" hidden="1">[15]시산표!#REF!</definedName>
    <definedName name="_89E1_" localSheetId="14" hidden="1">{#N/A,#N/A,FALSE,"KMC최종회의(7월) 자료"}</definedName>
    <definedName name="_89E1_" hidden="1">{#N/A,#N/A,FALSE,"KMC최종회의(7월) 자료"}</definedName>
    <definedName name="_9">#REF!</definedName>
    <definedName name="_9____123Graph_A차트_1" hidden="1">#REF!</definedName>
    <definedName name="_9____123Graph_X차트_1" hidden="1">[13]생산량!$B$39:$F$39</definedName>
    <definedName name="_9__123Graph_A차트_3" localSheetId="14" hidden="1">#REF!</definedName>
    <definedName name="_9__123Graph_A차트_3" hidden="1">#REF!</definedName>
    <definedName name="_91DD1_" hidden="1">{#N/A,#N/A,FALSE,"지침";#N/A,#N/A,FALSE,"환경분석";#N/A,#N/A,FALSE,"Sheet16"}</definedName>
    <definedName name="_92M180_" hidden="1">#N/A</definedName>
    <definedName name="_95E2_" localSheetId="14" hidden="1">{#N/A,#N/A,FALSE,"KMC최종회의(7월) 자료"}</definedName>
    <definedName name="_95E2_" hidden="1">{#N/A,#N/A,FALSE,"KMC최종회의(7월) 자료"}</definedName>
    <definedName name="_98DD1_" hidden="1">{#N/A,#N/A,FALSE,"지침";#N/A,#N/A,FALSE,"환경분석";#N/A,#N/A,FALSE,"Sheet16"}</definedName>
    <definedName name="_99M180_" hidden="1">#N/A</definedName>
    <definedName name="_A02" localSheetId="14" hidden="1">{#N/A,#N/A,FALSE,"단축1";#N/A,#N/A,FALSE,"단축2";#N/A,#N/A,FALSE,"단축3";#N/A,#N/A,FALSE,"장축";#N/A,#N/A,FALSE,"4WD"}</definedName>
    <definedName name="_A02" hidden="1">{#N/A,#N/A,FALSE,"단축1";#N/A,#N/A,FALSE,"단축2";#N/A,#N/A,FALSE,"단축3";#N/A,#N/A,FALSE,"장축";#N/A,#N/A,FALSE,"4WD"}</definedName>
    <definedName name="_A0323" localSheetId="14" hidden="1">{#N/A,#N/A,FALSE,"단축1";#N/A,#N/A,FALSE,"단축2";#N/A,#N/A,FALSE,"단축3";#N/A,#N/A,FALSE,"장축";#N/A,#N/A,FALSE,"4WD"}</definedName>
    <definedName name="_A0323" hidden="1">{#N/A,#N/A,FALSE,"단축1";#N/A,#N/A,FALSE,"단축2";#N/A,#N/A,FALSE,"단축3";#N/A,#N/A,FALSE,"장축";#N/A,#N/A,FALSE,"4WD"}</definedName>
    <definedName name="_A1" localSheetId="14" hidden="1">{#N/A,#N/A,FALSE,"KMC최종회의(7월) 자료"}</definedName>
    <definedName name="_A1" hidden="1">{#N/A,#N/A,FALSE,"KMC최종회의(7월) 자료"}</definedName>
    <definedName name="_A1232" localSheetId="14" hidden="1">{#N/A,#N/A,FALSE,"단축1";#N/A,#N/A,FALSE,"단축2";#N/A,#N/A,FALSE,"단축3";#N/A,#N/A,FALSE,"장축";#N/A,#N/A,FALSE,"4WD"}</definedName>
    <definedName name="_A1232" hidden="1">{#N/A,#N/A,FALSE,"단축1";#N/A,#N/A,FALSE,"단축2";#N/A,#N/A,FALSE,"단축3";#N/A,#N/A,FALSE,"장축";#N/A,#N/A,FALSE,"4WD"}</definedName>
    <definedName name="_A1245" localSheetId="14" hidden="1">{#N/A,#N/A,FALSE,"단축1";#N/A,#N/A,FALSE,"단축2";#N/A,#N/A,FALSE,"단축3";#N/A,#N/A,FALSE,"장축";#N/A,#N/A,FALSE,"4WD"}</definedName>
    <definedName name="_A1245" hidden="1">{#N/A,#N/A,FALSE,"단축1";#N/A,#N/A,FALSE,"단축2";#N/A,#N/A,FALSE,"단축3";#N/A,#N/A,FALSE,"장축";#N/A,#N/A,FALSE,"4WD"}</definedName>
    <definedName name="_A12458" localSheetId="14" hidden="1">{#N/A,#N/A,FALSE,"단축1";#N/A,#N/A,FALSE,"단축2";#N/A,#N/A,FALSE,"단축3";#N/A,#N/A,FALSE,"장축";#N/A,#N/A,FALSE,"4WD"}</definedName>
    <definedName name="_A12458" hidden="1">{#N/A,#N/A,FALSE,"단축1";#N/A,#N/A,FALSE,"단축2";#N/A,#N/A,FALSE,"단축3";#N/A,#N/A,FALSE,"장축";#N/A,#N/A,FALSE,"4WD"}</definedName>
    <definedName name="_A1454" localSheetId="14" hidden="1">{#N/A,#N/A,FALSE,"단축1";#N/A,#N/A,FALSE,"단축2";#N/A,#N/A,FALSE,"단축3";#N/A,#N/A,FALSE,"장축";#N/A,#N/A,FALSE,"4WD"}</definedName>
    <definedName name="_A1454" hidden="1">{#N/A,#N/A,FALSE,"단축1";#N/A,#N/A,FALSE,"단축2";#N/A,#N/A,FALSE,"단축3";#N/A,#N/A,FALSE,"장축";#N/A,#N/A,FALSE,"4WD"}</definedName>
    <definedName name="_A2" localSheetId="14" hidden="1">{#N/A,#N/A,FALSE,"KMC최종회의(7월) 자료"}</definedName>
    <definedName name="_A2" hidden="1">{#N/A,#N/A,FALSE,"KMC최종회의(7월) 자료"}</definedName>
    <definedName name="_A21321" localSheetId="14" hidden="1">{#N/A,#N/A,FALSE,"단축1";#N/A,#N/A,FALSE,"단축2";#N/A,#N/A,FALSE,"단축3";#N/A,#N/A,FALSE,"장축";#N/A,#N/A,FALSE,"4WD"}</definedName>
    <definedName name="_A21321" hidden="1">{#N/A,#N/A,FALSE,"단축1";#N/A,#N/A,FALSE,"단축2";#N/A,#N/A,FALSE,"단축3";#N/A,#N/A,FALSE,"장축";#N/A,#N/A,FALSE,"4WD"}</definedName>
    <definedName name="_A3" localSheetId="14" hidden="1">{#N/A,#N/A,FALSE,"단축1";#N/A,#N/A,FALSE,"단축2";#N/A,#N/A,FALSE,"단축3";#N/A,#N/A,FALSE,"장축";#N/A,#N/A,FALSE,"4WD"}</definedName>
    <definedName name="_A3" hidden="1">{#N/A,#N/A,FALSE,"단축1";#N/A,#N/A,FALSE,"단축2";#N/A,#N/A,FALSE,"단축3";#N/A,#N/A,FALSE,"장축";#N/A,#N/A,FALSE,"4WD"}</definedName>
    <definedName name="_A4" localSheetId="14" hidden="1">{#N/A,#N/A,FALSE,"KMC최종회의(7월) 자료"}</definedName>
    <definedName name="_A4" hidden="1">{#N/A,#N/A,FALSE,"KMC최종회의(7월) 자료"}</definedName>
    <definedName name="_A5" localSheetId="14" hidden="1">{#N/A,#N/A,FALSE,"KMC최종회의(7월) 자료"}</definedName>
    <definedName name="_A5" hidden="1">{#N/A,#N/A,FALSE,"KMC최종회의(7월) 자료"}</definedName>
    <definedName name="_A6" localSheetId="14" hidden="1">{#N/A,#N/A,FALSE,"KMC최종회의(7월) 자료"}</definedName>
    <definedName name="_A6" hidden="1">{#N/A,#N/A,FALSE,"KMC최종회의(7월) 자료"}</definedName>
    <definedName name="_A6666" localSheetId="14" hidden="1">{#N/A,#N/A,FALSE,"KMC최종회의(7월) 자료"}</definedName>
    <definedName name="_A6666" hidden="1">{#N/A,#N/A,FALSE,"KMC최종회의(7월) 자료"}</definedName>
    <definedName name="_A7" localSheetId="14" hidden="1">{#N/A,#N/A,FALSE,"KMC최종회의(7월) 자료"}</definedName>
    <definedName name="_A7" hidden="1">{#N/A,#N/A,FALSE,"KMC최종회의(7월) 자료"}</definedName>
    <definedName name="_A8" localSheetId="14" hidden="1">{#N/A,#N/A,FALSE,"KMC최종회의(7월) 자료"}</definedName>
    <definedName name="_A8" hidden="1">{#N/A,#N/A,FALSE,"KMC최종회의(7월) 자료"}</definedName>
    <definedName name="_A9"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AS6" localSheetId="14" hidden="1">{#N/A,#N/A,FALSE,"Australien";#N/A,#N/A,FALSE,"Birmingham";#N/A,#N/A,FALSE,"Brasilien";#N/A,#N/A,FALSE,"Prag";#N/A,#N/A,FALSE,"Spanien";#N/A,#N/A,FALSE,"Malaysia ( Com)";#N/A,#N/A,FALSE,"Malaysia (Instr)"}</definedName>
    <definedName name="_AS6" hidden="1">{#N/A,#N/A,FALSE,"Australien";#N/A,#N/A,FALSE,"Birmingham";#N/A,#N/A,FALSE,"Brasilien";#N/A,#N/A,FALSE,"Prag";#N/A,#N/A,FALSE,"Spanien";#N/A,#N/A,FALSE,"Malaysia ( Com)";#N/A,#N/A,FALSE,"Malaysia (Instr)"}</definedName>
    <definedName name="_C">#REF!</definedName>
    <definedName name="_CL22" localSheetId="14" hidden="1">{#N/A,#N/A,FALSE,"KMC최종회의(7월) 자료"}</definedName>
    <definedName name="_CL22" hidden="1">{#N/A,#N/A,FALSE,"KMC최종회의(7월) 자료"}</definedName>
    <definedName name="_CL222" localSheetId="14" hidden="1">{#N/A,#N/A,FALSE,"KMC최종회의(7월) 자료"}</definedName>
    <definedName name="_CL222" hidden="1">{#N/A,#N/A,FALSE,"KMC최종회의(7월) 자료"}</definedName>
    <definedName name="_CL33" localSheetId="14" hidden="1">{#N/A,#N/A,FALSE,"KMC최종회의(7월) 자료"}</definedName>
    <definedName name="_CL33" hidden="1">{#N/A,#N/A,FALSE,"KMC최종회의(7월) 자료"}</definedName>
    <definedName name="_CVJ1" localSheetId="14" hidden="1">{#N/A,#N/A,FALSE,"KMC최종회의(7월) 자료"}</definedName>
    <definedName name="_CVJ1" hidden="1">{#N/A,#N/A,FALSE,"KMC최종회의(7월) 자료"}</definedName>
    <definedName name="_D6" localSheetId="14" hidden="1">{"'표지'!$B$5"}</definedName>
    <definedName name="_D6" hidden="1">{"'표지'!$B$5"}</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1" hidden="1">{#N/A,#N/A,FALSE,"지침";#N/A,#N/A,FALSE,"환경분석";#N/A,#N/A,FALSE,"Sheet16"}</definedName>
    <definedName name="_Dist_Bin" localSheetId="14" hidden="1">#REF!</definedName>
    <definedName name="_Dist_Bin" hidden="1">#REF!</definedName>
    <definedName name="_Dist_Values" localSheetId="14" hidden="1">#REF!</definedName>
    <definedName name="_Dist_Values" hidden="1">#REF!</definedName>
    <definedName name="_E1" localSheetId="14" hidden="1">{#N/A,#N/A,FALSE,"KMC최종회의(7월) 자료"}</definedName>
    <definedName name="_E1" hidden="1">{#N/A,#N/A,FALSE,"KMC최종회의(7월) 자료"}</definedName>
    <definedName name="_E2" localSheetId="14" hidden="1">{#N/A,#N/A,FALSE,"KMC최종회의(7월) 자료"}</definedName>
    <definedName name="_E2" hidden="1">{#N/A,#N/A,FALSE,"KMC최종회의(7월) 자료"}</definedName>
    <definedName name="_f3" localSheetId="14" hidden="1">{"'분양원가'!$B$1:$F$113"}</definedName>
    <definedName name="_f3" localSheetId="13" hidden="1">{"'분양원가'!$B$1:$F$113"}</definedName>
    <definedName name="_f3" hidden="1">{"'분양원가'!$B$1:$F$113"}</definedName>
    <definedName name="_Fill" localSheetId="14" hidden="1">'[19]''94자산'!$A$3:$A$76</definedName>
    <definedName name="_Fill" localSheetId="13" hidden="1">#REF!</definedName>
    <definedName name="_Fill" localSheetId="27" hidden="1">#REF!</definedName>
    <definedName name="_Fill" localSheetId="20" hidden="1">#REF!</definedName>
    <definedName name="_Fill" hidden="1">#REF!</definedName>
    <definedName name="_xlnm._FilterDatabase" localSheetId="14" hidden="1">#REF!</definedName>
    <definedName name="_xlnm._FilterDatabase" localSheetId="13" hidden="1">#REF!</definedName>
    <definedName name="_xlnm._FilterDatabase" localSheetId="27" hidden="1">#REF!</definedName>
    <definedName name="_xlnm._FilterDatabase" localSheetId="20" hidden="1">#REF!</definedName>
    <definedName name="_xlnm._FilterDatabase" localSheetId="31" hidden="1">사업계획!$B$3:$J$298</definedName>
    <definedName name="_xlnm._FilterDatabase" hidden="1">#REF!</definedName>
    <definedName name="_h1" localSheetId="14" hidden="1">{"'표지'!$B$5"}</definedName>
    <definedName name="_h1" hidden="1">{"'표지'!$B$5"}</definedName>
    <definedName name="_h2" localSheetId="14" hidden="1">{"'표지'!$B$5"}</definedName>
    <definedName name="_h2" hidden="1">{"'표지'!$B$5"}</definedName>
    <definedName name="_h3" localSheetId="14" hidden="1">{"'표지'!$B$5"}</definedName>
    <definedName name="_h3" hidden="1">{"'표지'!$B$5"}</definedName>
    <definedName name="_h4" localSheetId="14" hidden="1">{"'표지'!$B$5"}</definedName>
    <definedName name="_h4" hidden="1">{"'표지'!$B$5"}</definedName>
    <definedName name="_h5" localSheetId="14" hidden="1">{"'표지'!$B$5"}</definedName>
    <definedName name="_h5" hidden="1">{"'표지'!$B$5"}</definedName>
    <definedName name="_hjc46" localSheetId="14" hidden="1">#REF!</definedName>
    <definedName name="_hjc46" hidden="1">#REF!</definedName>
    <definedName name="_IO8" localSheetId="14" hidden="1">{#N/A,#N/A,FALSE,"단축1";#N/A,#N/A,FALSE,"단축2";#N/A,#N/A,FALSE,"단축3";#N/A,#N/A,FALSE,"장축";#N/A,#N/A,FALSE,"4WD"}</definedName>
    <definedName name="_IO8" hidden="1">{#N/A,#N/A,FALSE,"단축1";#N/A,#N/A,FALSE,"단축2";#N/A,#N/A,FALSE,"단축3";#N/A,#N/A,FALSE,"장축";#N/A,#N/A,FALSE,"4WD"}</definedName>
    <definedName name="_j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j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_j1" hidden="1">{#N/A,#N/A,FALSE,"손익표지";#N/A,#N/A,FALSE,"손익계산";#N/A,#N/A,FALSE,"일반관리비";#N/A,#N/A,FALSE,"영업외수익";#N/A,#N/A,FALSE,"영업외비용";#N/A,#N/A,FALSE,"매출액";#N/A,#N/A,FALSE,"요약손익";#N/A,#N/A,FALSE,"요약대차";#N/A,#N/A,FALSE,"매출채권현황";#N/A,#N/A,FALSE,"매출채권명세"}</definedName>
    <definedName name="_jyr6"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1" localSheetId="14" hidden="1">#REF!</definedName>
    <definedName name="_k1" hidden="1">#REF!</definedName>
    <definedName name="_K2" hidden="1">#REF!</definedName>
    <definedName name="_KEY" localSheetId="14" hidden="1">#REF!</definedName>
    <definedName name="_KEY" hidden="1">#REF!</definedName>
    <definedName name="_Key1" localSheetId="14" hidden="1">'[19]''94자산'!$A$9:$A$81</definedName>
    <definedName name="_Key1" localSheetId="13" hidden="1">#REF!</definedName>
    <definedName name="_Key1" localSheetId="27" hidden="1">#REF!</definedName>
    <definedName name="_Key1" localSheetId="20" hidden="1">#REF!</definedName>
    <definedName name="_Key1" localSheetId="31" hidden="1">[20]설계내역서!#REF!</definedName>
    <definedName name="_Key1" hidden="1">#REF!</definedName>
    <definedName name="_Key2" localSheetId="14" hidden="1">'[19]''94자산'!$J$9:$J$81</definedName>
    <definedName name="_Key2" localSheetId="13" hidden="1">#REF!</definedName>
    <definedName name="_Key2" localSheetId="27" hidden="1">#REF!</definedName>
    <definedName name="_Key2" localSheetId="20" hidden="1">#REF!</definedName>
    <definedName name="_Key2" localSheetId="31" hidden="1">[20]설계내역서!$C$21</definedName>
    <definedName name="_Key2" hidden="1">#REF!</definedName>
    <definedName name="_Key3" localSheetId="14" hidden="1">#REF!</definedName>
    <definedName name="_Key3" localSheetId="13" hidden="1">#REF!</definedName>
    <definedName name="_Key3" localSheetId="27" hidden="1">#REF!</definedName>
    <definedName name="_Key3" localSheetId="20" hidden="1">#REF!</definedName>
    <definedName name="_Key3" hidden="1">#REF!</definedName>
    <definedName name="_KEY5" hidden="1">#REF!</definedName>
    <definedName name="_key6" hidden="1">#REF!</definedName>
    <definedName name="_kk" hidden="1">#REF!</definedName>
    <definedName name="_lbg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_LG2" hidden="1">{#N/A,#N/A,TRUE,"매출진척-1";#N/A,#N/A,TRUE,"매출진척-2";#N/A,#N/A,TRUE,"제품실적";#N/A,#N/A,TRUE,"RAC";#N/A,#N/A,TRUE,"PAC ";#N/A,#N/A,TRUE,"재고현황";#N/A,#N/A,TRUE,"공지사항"}</definedName>
    <definedName name="_LPS2" localSheetId="14" hidden="1">{#N/A,#N/A,FALSE,"단축1";#N/A,#N/A,FALSE,"단축2";#N/A,#N/A,FALSE,"단축3";#N/A,#N/A,FALSE,"장축";#N/A,#N/A,FALSE,"4WD"}</definedName>
    <definedName name="_LPS2" hidden="1">{#N/A,#N/A,FALSE,"단축1";#N/A,#N/A,FALSE,"단축2";#N/A,#N/A,FALSE,"단축3";#N/A,#N/A,FALSE,"장축";#N/A,#N/A,FALSE,"4WD"}</definedName>
    <definedName name="_M123" localSheetId="14" hidden="1">{#N/A,#N/A,FALSE,"단축1";#N/A,#N/A,FALSE,"단축2";#N/A,#N/A,FALSE,"단축3";#N/A,#N/A,FALSE,"장축";#N/A,#N/A,FALSE,"4WD"}</definedName>
    <definedName name="_M123" hidden="1">{#N/A,#N/A,FALSE,"단축1";#N/A,#N/A,FALSE,"단축2";#N/A,#N/A,FALSE,"단축3";#N/A,#N/A,FALSE,"장축";#N/A,#N/A,FALSE,"4WD"}</definedName>
    <definedName name="_M180" hidden="1">#N/A</definedName>
    <definedName name="_MatInverse_In" hidden="1">#REF!</definedName>
    <definedName name="_MatMult_A" hidden="1">#REF!</definedName>
    <definedName name="_NO98">#REF!</definedName>
    <definedName name="_NPS2" localSheetId="14"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Order1" hidden="1">255</definedName>
    <definedName name="_Order2" hidden="1">255</definedName>
    <definedName name="_order3" hidden="1">255</definedName>
    <definedName name="_order4" hidden="1">0</definedName>
    <definedName name="_P1">#REF!</definedName>
    <definedName name="_P2">#REF!</definedName>
    <definedName name="_P3" localSheetId="14" hidden="1">{#N/A,#N/A,FALSE,"단축1";#N/A,#N/A,FALSE,"단축2";#N/A,#N/A,FALSE,"단축3";#N/A,#N/A,FALSE,"장축";#N/A,#N/A,FALSE,"4WD"}</definedName>
    <definedName name="_P3" localSheetId="13" hidden="1">{#N/A,#N/A,FALSE,"단축1";#N/A,#N/A,FALSE,"단축2";#N/A,#N/A,FALSE,"단축3";#N/A,#N/A,FALSE,"장축";#N/A,#N/A,FALSE,"4WD"}</definedName>
    <definedName name="_P3">#REF!</definedName>
    <definedName name="_P4">#REF!</definedName>
    <definedName name="_Parse_In" localSheetId="14" hidden="1">#REF!</definedName>
    <definedName name="_Parse_In" hidden="1">#REF!</definedName>
    <definedName name="_Parse_Out" localSheetId="14" hidden="1">#REF!</definedName>
    <definedName name="_Parse_Out" localSheetId="13" hidden="1">'[21]980731'!#REF!</definedName>
    <definedName name="_Parse_Out" hidden="1">'[22]980731'!#REF!</definedName>
    <definedName name="_Q1" localSheetId="14" hidden="1">{#N/A,#N/A,FALSE,"KMC최종회의(7월) 자료"}</definedName>
    <definedName name="_Q1" hidden="1">{#N/A,#N/A,FALSE,"KMC최종회의(7월) 자료"}</definedName>
    <definedName name="_Q2" localSheetId="14" hidden="1">{#N/A,#N/A,FALSE,"KMC최종회의(7월) 자료"}</definedName>
    <definedName name="_Q2" hidden="1">{#N/A,#N/A,FALSE,"KMC최종회의(7월) 자료"}</definedName>
    <definedName name="_Q3" localSheetId="14" hidden="1">{#N/A,#N/A,FALSE,"KMC최종회의(7월) 자료"}</definedName>
    <definedName name="_Q3" hidden="1">{#N/A,#N/A,FALSE,"KMC최종회의(7월) 자료"}</definedName>
    <definedName name="_Q5" localSheetId="14" hidden="1">{#N/A,#N/A,FALSE,"KMC최종회의(7월) 자료"}</definedName>
    <definedName name="_Q5" hidden="1">{#N/A,#N/A,FALSE,"KMC최종회의(7월) 자료"}</definedName>
    <definedName name="_Q7" localSheetId="14" hidden="1">{#N/A,#N/A,FALSE,"KMC최종회의(7월) 자료"}</definedName>
    <definedName name="_Q7" hidden="1">{#N/A,#N/A,FALSE,"KMC최종회의(7월) 자료"}</definedName>
    <definedName name="_Q8" localSheetId="14" hidden="1">{#N/A,#N/A,FALSE,"KMC최종회의(7월) 자료"}</definedName>
    <definedName name="_Q8" hidden="1">{#N/A,#N/A,FALSE,"KMC최종회의(7월) 자료"}</definedName>
    <definedName name="_Q9" localSheetId="14" hidden="1">{#N/A,#N/A,FALSE,"KMC최종회의(7월) 자료"}</definedName>
    <definedName name="_Q9" hidden="1">{#N/A,#N/A,FALSE,"KMC최종회의(7월) 자료"}</definedName>
    <definedName name="_RE01">[23]KUNGDEVI!#REF!</definedName>
    <definedName name="_RE02">[23]KUNGDEVI!#REF!</definedName>
    <definedName name="_RE03">[23]KUNGDEVI!#REF!</definedName>
    <definedName name="_RE04">[23]KUNGDEVI!#REF!</definedName>
    <definedName name="_RE05">[23]KUNGDEVI!#REF!</definedName>
    <definedName name="_RE06">[23]KUNGDEVI!#REF!</definedName>
    <definedName name="_RE07">[23]KUNGDEVI!#REF!</definedName>
    <definedName name="_RE08">[23]KUNGDEVI!#REF!</definedName>
    <definedName name="_RE09">[23]KUNGDEVI!#REF!</definedName>
    <definedName name="_RE10">[23]KUNGDEVI!#REF!</definedName>
    <definedName name="_RE100">#REF!</definedName>
    <definedName name="_RE11">[23]KUNGDEVI!#REF!</definedName>
    <definedName name="_RE12">[23]KUNGDEVI!#REF!</definedName>
    <definedName name="_Regression_Int" hidden="1">1</definedName>
    <definedName name="_Regression_Out" localSheetId="14" hidden="1">#REF!</definedName>
    <definedName name="_Regression_Out" hidden="1">#REF!</definedName>
    <definedName name="_Regression_X" localSheetId="14" hidden="1">#REF!</definedName>
    <definedName name="_Regression_X" hidden="1">#REF!</definedName>
    <definedName name="_Regression_Y" localSheetId="14" hidden="1">#REF!</definedName>
    <definedName name="_Regression_Y" hidden="1">#REF!</definedName>
    <definedName name="_REv1" hidden="1">#REF!</definedName>
    <definedName name="_S1" localSheetId="14" hidden="1">{#N/A,#N/A,FALSE,"KMC최종회의(7월) 자료"}</definedName>
    <definedName name="_S1" hidden="1">{#N/A,#N/A,FALSE,"KMC최종회의(7월) 자료"}</definedName>
    <definedName name="_S2" localSheetId="14" hidden="1">{#N/A,#N/A,FALSE,"KMC최종회의(7월) 자료"}</definedName>
    <definedName name="_S2" hidden="1">{#N/A,#N/A,FALSE,"KMC최종회의(7월) 자료"}</definedName>
    <definedName name="_S3" localSheetId="14" hidden="1">{#N/A,#N/A,FALSE,"KMC최종회의(7월) 자료"}</definedName>
    <definedName name="_S3" hidden="1">{#N/A,#N/A,FALSE,"KMC최종회의(7월) 자료"}</definedName>
    <definedName name="_S4" localSheetId="14" hidden="1">{#N/A,#N/A,FALSE,"KMC최종회의(7월) 자료"}</definedName>
    <definedName name="_S4" hidden="1">{#N/A,#N/A,FALSE,"KMC최종회의(7월) 자료"}</definedName>
    <definedName name="_S5" localSheetId="14" hidden="1">{#N/A,#N/A,FALSE,"KMC최종회의(7월) 자료"}</definedName>
    <definedName name="_S5" hidden="1">{#N/A,#N/A,FALSE,"KMC최종회의(7월) 자료"}</definedName>
    <definedName name="_S6" localSheetId="14" hidden="1">{#N/A,#N/A,FALSE,"KMC최종회의(7월) 자료"}</definedName>
    <definedName name="_S6" hidden="1">{#N/A,#N/A,FALSE,"KMC최종회의(7월) 자료"}</definedName>
    <definedName name="_S7" localSheetId="14" hidden="1">{#N/A,#N/A,FALSE,"KMC최종회의(7월) 자료"}</definedName>
    <definedName name="_S7" hidden="1">{#N/A,#N/A,FALSE,"KMC최종회의(7월) 자료"}</definedName>
    <definedName name="_S8" localSheetId="14" hidden="1">{#N/A,#N/A,FALSE,"KMC최종회의(7월) 자료"}</definedName>
    <definedName name="_S8" hidden="1">{#N/A,#N/A,FALSE,"KMC최종회의(7월) 자료"}</definedName>
    <definedName name="_SDW1" localSheetId="14" hidden="1">#REF!</definedName>
    <definedName name="_SDW1" hidden="1">#REF!</definedName>
    <definedName name="_SH3" hidden="1">{#N/A,#N/A,FALSE,"PART-1234-8-12-9(41)";#N/A,#N/A,FALSE,"PARTS-2(3)";#N/A,#N/A,FALSE,"VAN SYSTEM";#N/A,#N/A,FALSE,"PARTS-10(26)";#N/A,#N/A,FALSE,"PART-5-6-7-11(14)";#N/A,#N/A,FALSE,"PARTS-4(3)";#N/A,#N/A,FALSE,"PCLASS"}</definedName>
    <definedName name="_Sort" localSheetId="14" hidden="1">'[19]''94자산'!$A$9:$O$81</definedName>
    <definedName name="_Sort" localSheetId="13" hidden="1">#REF!</definedName>
    <definedName name="_Sort" localSheetId="27" hidden="1">#REF!</definedName>
    <definedName name="_Sort" localSheetId="20" hidden="1">#REF!</definedName>
    <definedName name="_Sort" localSheetId="31" hidden="1">[20]설계내역서!$A$21:$S$1630</definedName>
    <definedName name="_Sort" hidden="1">#REF!</definedName>
    <definedName name="_sort00099" localSheetId="14" hidden="1">#REF!</definedName>
    <definedName name="_sort00099" hidden="1">#REF!</definedName>
    <definedName name="_Sort2" localSheetId="14" hidden="1">#REF!</definedName>
    <definedName name="_Sort2" hidden="1">#REF!</definedName>
    <definedName name="_Sort345" hidden="1">#REF!</definedName>
    <definedName name="_SUM1" localSheetId="14" hidden="1">{#N/A,#N/A,FALSE,"단축1";#N/A,#N/A,FALSE,"단축2";#N/A,#N/A,FALSE,"단축3";#N/A,#N/A,FALSE,"장축";#N/A,#N/A,FALSE,"4WD"}</definedName>
    <definedName name="_SUM1" hidden="1">{#N/A,#N/A,FALSE,"단축1";#N/A,#N/A,FALSE,"단축2";#N/A,#N/A,FALSE,"단축3";#N/A,#N/A,FALSE,"장축";#N/A,#N/A,FALSE,"4WD"}</definedName>
    <definedName name="_T2" localSheetId="14" hidden="1">{#N/A,#N/A,FALSE,"단축1";#N/A,#N/A,FALSE,"단축2";#N/A,#N/A,FALSE,"단축3";#N/A,#N/A,FALSE,"장축";#N/A,#N/A,FALSE,"4WD"}</definedName>
    <definedName name="_T2" hidden="1">{#N/A,#N/A,FALSE,"단축1";#N/A,#N/A,FALSE,"단축2";#N/A,#N/A,FALSE,"단축3";#N/A,#N/A,FALSE,"장축";#N/A,#N/A,FALSE,"4WD"}</definedName>
    <definedName name="_Table1_In1" localSheetId="14" hidden="1">#REF!</definedName>
    <definedName name="_Table1_In1" hidden="1">'[24]업무분장 '!$F$45</definedName>
    <definedName name="_Table1_In2" hidden="1">#REF!</definedName>
    <definedName name="_Table1_Out" localSheetId="14" hidden="1">#REF!</definedName>
    <definedName name="_Table1_Out" hidden="1">'[24]업무분장 '!$F$45</definedName>
    <definedName name="_Table2_In1" hidden="1">#REF!</definedName>
    <definedName name="_Table2_In2" hidden="1">#REF!</definedName>
    <definedName name="_Table2_Out" hidden="1">#REF!</definedName>
    <definedName name="_TEL3" localSheetId="14" hidden="1">{"'tel2'!$B$29:$J$45","'tel2'!$A$5:$G$19","'tel2'!$B$50:$F$57","'tel2'!$B$105:$G$110","'tel2'!$B$63:$H$85","'tel2'!$B$14:$G$18","'tel2'!$B$29:$C$29"}</definedName>
    <definedName name="_TEL3" hidden="1">{"'tel2'!$B$29:$J$45","'tel2'!$A$5:$G$19","'tel2'!$B$50:$F$57","'tel2'!$B$105:$G$110","'tel2'!$B$63:$H$85","'tel2'!$B$14:$G$18","'tel2'!$B$29:$C$29"}</definedName>
    <definedName name="_ths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_ths1" hidden="1">{#N/A,#N/A,FALSE,"손익표지";#N/A,#N/A,FALSE,"손익계산";#N/A,#N/A,FALSE,"일반관리비";#N/A,#N/A,FALSE,"영업외수익";#N/A,#N/A,FALSE,"영업외비용";#N/A,#N/A,FALSE,"매출액";#N/A,#N/A,FALSE,"요약손익";#N/A,#N/A,FALSE,"요약대차";#N/A,#N/A,FALSE,"매출채권현황";#N/A,#N/A,FALSE,"매출채권명세"}</definedName>
    <definedName name="_U1">#REF!</definedName>
    <definedName name="_U10">#REF!</definedName>
    <definedName name="_U11">#REF!</definedName>
    <definedName name="_U12">#REF!</definedName>
    <definedName name="_U13">#REF!</definedName>
    <definedName name="_U14">#REF!</definedName>
    <definedName name="_U15">#REF!</definedName>
    <definedName name="_U16">#REF!</definedName>
    <definedName name="_U17">#REF!</definedName>
    <definedName name="_U18">#REF!</definedName>
    <definedName name="_U19">#REF!</definedName>
    <definedName name="_U2">#REF!</definedName>
    <definedName name="_U3">#REF!</definedName>
    <definedName name="_U4">#REF!</definedName>
    <definedName name="_U5">#REF!</definedName>
    <definedName name="_U6">#REF!</definedName>
    <definedName name="_U7">#REF!</definedName>
    <definedName name="_U8">#REF!</definedName>
    <definedName name="_U9">#REF!</definedName>
    <definedName name="_vtp1"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_W1" localSheetId="14" hidden="1">{#N/A,#N/A,FALSE,"KMC최종회의(7월) 자료"}</definedName>
    <definedName name="_W1" hidden="1">{#N/A,#N/A,FALSE,"KMC최종회의(7월) 자료"}</definedName>
    <definedName name="_W2" localSheetId="14" hidden="1">{#N/A,#N/A,FALSE,"KMC최종회의(7월) 자료"}</definedName>
    <definedName name="_W2" hidden="1">{#N/A,#N/A,FALSE,"KMC최종회의(7월) 자료"}</definedName>
    <definedName name="_W3" localSheetId="14" hidden="1">{#N/A,#N/A,FALSE,"KMC최종회의(7월) 자료"}</definedName>
    <definedName name="_W3" hidden="1">{#N/A,#N/A,FALSE,"KMC최종회의(7월) 자료"}</definedName>
    <definedName name="_W4" localSheetId="14" hidden="1">{#N/A,#N/A,FALSE,"KMC최종회의(7월) 자료"}</definedName>
    <definedName name="_W4" hidden="1">{#N/A,#N/A,FALSE,"KMC최종회의(7월) 자료"}</definedName>
    <definedName name="_W5" localSheetId="14" hidden="1">{#N/A,#N/A,FALSE,"KMC최종회의(7월) 자료"}</definedName>
    <definedName name="_W5" hidden="1">{#N/A,#N/A,FALSE,"KMC최종회의(7월) 자료"}</definedName>
    <definedName name="_W6" localSheetId="14" hidden="1">{#N/A,#N/A,FALSE,"KMC최종회의(7월) 자료"}</definedName>
    <definedName name="_W6" hidden="1">{#N/A,#N/A,FALSE,"KMC최종회의(7월) 자료"}</definedName>
    <definedName name="_W7" localSheetId="14" hidden="1">{#N/A,#N/A,FALSE,"KMC최종회의(7월) 자료"}</definedName>
    <definedName name="_W7" hidden="1">{#N/A,#N/A,FALSE,"KMC최종회의(7월) 자료"}</definedName>
    <definedName name="_W8" localSheetId="14" hidden="1">{#N/A,#N/A,FALSE,"KMC최종회의(7월) 자료"}</definedName>
    <definedName name="_W8" hidden="1">{#N/A,#N/A,FALSE,"KMC최종회의(7월) 자료"}</definedName>
    <definedName name="_W9" localSheetId="14" hidden="1">{#N/A,#N/A,FALSE,"KMC최종회의(7월) 자료"}</definedName>
    <definedName name="_W9" hidden="1">{#N/A,#N/A,FALSE,"KMC최종회의(7월) 자료"}</definedName>
    <definedName name="_X1" localSheetId="14" hidden="1">{#N/A,#N/A,FALSE,"KMC최종회의(7월) 자료"}</definedName>
    <definedName name="_X1" hidden="1">{#N/A,#N/A,FALSE,"KMC최종회의(7월) 자료"}</definedName>
    <definedName name="_X2" localSheetId="14" hidden="1">{#N/A,#N/A,FALSE,"KMC최종회의(7월) 자료"}</definedName>
    <definedName name="_X2" hidden="1">{#N/A,#N/A,FALSE,"KMC최종회의(7월) 자료"}</definedName>
    <definedName name="_X3" localSheetId="14" hidden="1">{#N/A,#N/A,FALSE,"KMC최종회의(7월) 자료"}</definedName>
    <definedName name="_X3" hidden="1">{#N/A,#N/A,FALSE,"KMC최종회의(7월) 자료"}</definedName>
    <definedName name="_X4" localSheetId="14" hidden="1">{#N/A,#N/A,FALSE,"KMC최종회의(7월) 자료"}</definedName>
    <definedName name="_X4" hidden="1">{#N/A,#N/A,FALSE,"KMC최종회의(7월) 자료"}</definedName>
    <definedName name="_X5" localSheetId="14" hidden="1">{#N/A,#N/A,FALSE,"KMC최종회의(7월) 자료"}</definedName>
    <definedName name="_X5" hidden="1">{#N/A,#N/A,FALSE,"KMC최종회의(7월) 자료"}</definedName>
    <definedName name="_X6" localSheetId="14" hidden="1">{#N/A,#N/A,FALSE,"KMC최종회의(7월) 자료"}</definedName>
    <definedName name="_X6" hidden="1">{#N/A,#N/A,FALSE,"KMC최종회의(7월) 자료"}</definedName>
    <definedName name="_X7" localSheetId="14" hidden="1">{#N/A,#N/A,FALSE,"KMC최종회의(7월) 자료"}</definedName>
    <definedName name="_X7" hidden="1">{#N/A,#N/A,FALSE,"KMC최종회의(7월) 자료"}</definedName>
    <definedName name="_X8" localSheetId="14" hidden="1">{#N/A,#N/A,FALSE,"KMC최종회의(7월) 자료"}</definedName>
    <definedName name="_X8" hidden="1">{#N/A,#N/A,FALSE,"KMC최종회의(7월) 자료"}</definedName>
    <definedName name="_XG2" localSheetId="14" hidden="1">{#N/A,#N/A,FALSE,"단축1";#N/A,#N/A,FALSE,"단축2";#N/A,#N/A,FALSE,"단축3";#N/A,#N/A,FALSE,"장축";#N/A,#N/A,FALSE,"4WD"}</definedName>
    <definedName name="_XG2" hidden="1">{#N/A,#N/A,FALSE,"단축1";#N/A,#N/A,FALSE,"단축2";#N/A,#N/A,FALSE,"단축3";#N/A,#N/A,FALSE,"장축";#N/A,#N/A,FALSE,"4WD"}</definedName>
    <definedName name="_XX01">#REF!</definedName>
    <definedName name="_XX02">#REF!</definedName>
    <definedName name="_XX03">#REF!</definedName>
    <definedName name="_XX04">#REF!</definedName>
    <definedName name="_XX05">#REF!</definedName>
    <definedName name="_XX06">#REF!</definedName>
    <definedName name="_XX07">#REF!</definedName>
    <definedName name="_xx08">#REF!</definedName>
    <definedName name="_XX10">#REF!</definedName>
    <definedName name="_XX11">#REF!</definedName>
    <definedName name="_XX12">#REF!</definedName>
    <definedName name="_XX13">#REF!</definedName>
    <definedName name="_XX14">#REF!</definedName>
    <definedName name="_XX20">#REF!</definedName>
    <definedName name="_XX21">#REF!</definedName>
    <definedName name="_XX24">#REF!</definedName>
    <definedName name="_XX25">#REF!</definedName>
    <definedName name="_XX26">#REF!</definedName>
    <definedName name="_XX27">#REF!</definedName>
    <definedName name="_XX28">#REF!</definedName>
    <definedName name="_XX29">#REF!</definedName>
    <definedName name="_XX30">#REF!</definedName>
    <definedName name="_XX31">#REF!</definedName>
    <definedName name="_XX33">#REF!</definedName>
    <definedName name="_XX34">#REF!</definedName>
    <definedName name="_XX35">#REF!</definedName>
    <definedName name="_XX36">#REF!</definedName>
    <definedName name="_XX37">#REF!</definedName>
    <definedName name="_XX38">#REF!</definedName>
    <definedName name="_XX39">#REF!</definedName>
    <definedName name="_Z1" localSheetId="14" hidden="1">{#N/A,#N/A,FALSE,"KMC최종회의(7월) 자료"}</definedName>
    <definedName name="_Z1" hidden="1">{#N/A,#N/A,FALSE,"KMC최종회의(7월) 자료"}</definedName>
    <definedName name="_z123" localSheetId="14" hidden="1">{#N/A,#N/A,FALSE,"단축1";#N/A,#N/A,FALSE,"단축2";#N/A,#N/A,FALSE,"단축3";#N/A,#N/A,FALSE,"장축";#N/A,#N/A,FALSE,"4WD"}</definedName>
    <definedName name="_z123" hidden="1">{#N/A,#N/A,FALSE,"단축1";#N/A,#N/A,FALSE,"단축2";#N/A,#N/A,FALSE,"단축3";#N/A,#N/A,FALSE,"장축";#N/A,#N/A,FALSE,"4WD"}</definedName>
    <definedName name="_Z2" localSheetId="14" hidden="1">{#N/A,#N/A,FALSE,"KMC최종회의(7월) 자료"}</definedName>
    <definedName name="_Z2" hidden="1">{#N/A,#N/A,FALSE,"KMC최종회의(7월) 자료"}</definedName>
    <definedName name="_Z3" localSheetId="14" hidden="1">{#N/A,#N/A,FALSE,"KMC최종회의(7월) 자료"}</definedName>
    <definedName name="_Z3" hidden="1">{#N/A,#N/A,FALSE,"KMC최종회의(7월) 자료"}</definedName>
    <definedName name="_Z4" localSheetId="14" hidden="1">{#N/A,#N/A,FALSE,"KMC최종회의(7월) 자료"}</definedName>
    <definedName name="_Z4" hidden="1">{#N/A,#N/A,FALSE,"KMC최종회의(7월) 자료"}</definedName>
    <definedName name="_Z5" localSheetId="14" hidden="1">{#N/A,#N/A,FALSE,"KMC최종회의(7월) 자료"}</definedName>
    <definedName name="_Z5" hidden="1">{#N/A,#N/A,FALSE,"KMC최종회의(7월) 자료"}</definedName>
    <definedName name="_Z6" localSheetId="14" hidden="1">{#N/A,#N/A,FALSE,"KMC최종회의(7월) 자료"}</definedName>
    <definedName name="_Z6" hidden="1">{#N/A,#N/A,FALSE,"KMC최종회의(7월) 자료"}</definedName>
    <definedName name="_Z7" localSheetId="14" hidden="1">{#N/A,#N/A,FALSE,"KMC최종회의(7월) 자료"}</definedName>
    <definedName name="_Z7" hidden="1">{#N/A,#N/A,FALSE,"KMC최종회의(7월) 자료"}</definedName>
    <definedName name="_Z8" localSheetId="14" hidden="1">{#N/A,#N/A,FALSE,"KMC최종회의(7월) 자료"}</definedName>
    <definedName name="_Z8" hidden="1">{#N/A,#N/A,FALSE,"KMC최종회의(7월) 자료"}</definedName>
    <definedName name="_Z9" localSheetId="14" hidden="1">{#N/A,#N/A,FALSE,"KMC최종회의(7월) 자료"}</definedName>
    <definedName name="_Z9" hidden="1">{#N/A,#N/A,FALSE,"KMC최종회의(7월) 자료"}</definedName>
    <definedName name="\\" localSheetId="14" hidden="1">{#N/A,#N/A,FALSE,"단축1";#N/A,#N/A,FALSE,"단축2";#N/A,#N/A,FALSE,"단축3";#N/A,#N/A,FALSE,"장축";#N/A,#N/A,FALSE,"4WD"}</definedName>
    <definedName name="\\" hidden="1">{#N/A,#N/A,FALSE,"단축1";#N/A,#N/A,FALSE,"단축2";#N/A,#N/A,FALSE,"단축3";#N/A,#N/A,FALSE,"장축";#N/A,#N/A,FALSE,"4WD"}</definedName>
    <definedName name="\a">#N/A</definedName>
    <definedName name="\b">#REF!</definedName>
    <definedName name="\C">#REF!</definedName>
    <definedName name="\d">#N/A</definedName>
    <definedName name="\i">#N/A</definedName>
    <definedName name="\j">#N/A</definedName>
    <definedName name="\m">#N/A</definedName>
    <definedName name="\p">[25]부대공Ⅱ!#REF!</definedName>
    <definedName name="\q">#REF!</definedName>
    <definedName name="\S">#REF!</definedName>
    <definedName name="\v">#N/A</definedName>
    <definedName name="\x">[26]감독1130!#REF!</definedName>
    <definedName name="\z">#N/A</definedName>
    <definedName name="Ⅱ" localSheetId="14" hidden="1">{#N/A,#N/A,FALSE,"정공"}</definedName>
    <definedName name="Ⅱ" hidden="1">{#N/A,#N/A,FALSE,"정공"}</definedName>
    <definedName name="A" localSheetId="14" hidden="1">{#N/A,#N/A,FALSE,"BS";#N/A,#N/A,FALSE,"PL";#N/A,#N/A,FALSE,"처분";#N/A,#N/A,FALSE,"현금";#N/A,#N/A,FALSE,"매출";#N/A,#N/A,FALSE,"원가";#N/A,#N/A,FALSE,"경영"}</definedName>
    <definedName name="A" localSheetId="13" hidden="1">{#N/A,#N/A,FALSE,"BS";#N/A,#N/A,FALSE,"PL";#N/A,#N/A,FALSE,"처분";#N/A,#N/A,FALSE,"현금";#N/A,#N/A,FALSE,"매출";#N/A,#N/A,FALSE,"원가";#N/A,#N/A,FALSE,"경영"}</definedName>
    <definedName name="a" localSheetId="31" hidden="1">{#N/A,#N/A,FALSE,"손익표지";#N/A,#N/A,FALSE,"손익계산";#N/A,#N/A,FALSE,"일반관리비";#N/A,#N/A,FALSE,"영업외수익";#N/A,#N/A,FALSE,"영업외비용";#N/A,#N/A,FALSE,"매출액";#N/A,#N/A,FALSE,"요약손익";#N/A,#N/A,FALSE,"요약대차";#N/A,#N/A,FALSE,"매출채권현황";#N/A,#N/A,FALSE,"매출채권명세"}</definedName>
    <definedName name="A" hidden="1">{#N/A,#N/A,FALSE,"BS";#N/A,#N/A,FALSE,"PL";#N/A,#N/A,FALSE,"처분";#N/A,#N/A,FALSE,"현금";#N/A,#N/A,FALSE,"매출";#N/A,#N/A,FALSE,"원가";#N/A,#N/A,FALSE,"경영"}</definedName>
    <definedName name="a."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A0" localSheetId="14" hidden="1">{#N/A,#N/A,FALSE,"KMC최종회의(7월) 자료"}</definedName>
    <definedName name="A0" hidden="1">{#N/A,#N/A,FALSE,"KMC최종회의(7월) 자료"}</definedName>
    <definedName name="A1_00근거" localSheetId="14" hidden="1">{#N/A,#N/A,FALSE,"단축1";#N/A,#N/A,FALSE,"단축2";#N/A,#N/A,FALSE,"단축3";#N/A,#N/A,FALSE,"장축";#N/A,#N/A,FALSE,"4WD"}</definedName>
    <definedName name="A1_00근거" hidden="1">{#N/A,#N/A,FALSE,"단축1";#N/A,#N/A,FALSE,"단축2";#N/A,#N/A,FALSE,"단축3";#N/A,#N/A,FALSE,"장축";#N/A,#N/A,FALSE,"4WD"}</definedName>
    <definedName name="A9999999999956261" localSheetId="14" hidden="1">{#N/A,#N/A,FALSE,"KMC최종회의(7월) 자료"}</definedName>
    <definedName name="A9999999999956261" hidden="1">{#N/A,#N/A,FALSE,"KMC최종회의(7월) 자료"}</definedName>
    <definedName name="aa" localSheetId="14" hidden="1">{#N/A,#N/A,FALSE,"97년 투자계획 세부내역 "}</definedName>
    <definedName name="aa" localSheetId="13" hidden="1">{#N/A,#N/A,FALSE,"Title Page";#N/A,#N/A,FALSE,"Conclusions";#N/A,#N/A,FALSE,"Assum.";#N/A,#N/A,FALSE,"Sun  DCF-WC-Dep";#N/A,#N/A,FALSE,"MarketValue";#N/A,#N/A,FALSE,"BalSheet";#N/A,#N/A,FALSE,"WACC";#N/A,#N/A,FALSE,"PC+ Info.";#N/A,#N/A,FALSE,"PC+Info_2"}</definedName>
    <definedName name="AA" localSheetId="31">#REF!</definedName>
    <definedName name="aa" hidden="1">{#N/A,#N/A,FALSE,"Title Page";#N/A,#N/A,FALSE,"Conclusions";#N/A,#N/A,FALSE,"Assum.";#N/A,#N/A,FALSE,"Sun  DCF-WC-Dep";#N/A,#N/A,FALSE,"MarketValue";#N/A,#N/A,FALSE,"BalSheet";#N/A,#N/A,FALSE,"WACC";#N/A,#N/A,FALSE,"PC+ Info.";#N/A,#N/A,FALSE,"PC+Info_2"}</definedName>
    <definedName name="aaa" localSheetId="14" hidden="1">{#N/A,#N/A,FALSE,"Title Page";#N/A,#N/A,FALSE,"Conclusions";#N/A,#N/A,FALSE,"Assum.";#N/A,#N/A,FALSE,"Sun  DCF-WC-Dep";#N/A,#N/A,FALSE,"MarketValue";#N/A,#N/A,FALSE,"BalSheet";#N/A,#N/A,FALSE,"WACC";#N/A,#N/A,FALSE,"PC+ Info.";#N/A,#N/A,FALSE,"PC+Info_2"}</definedName>
    <definedName name="aaa" localSheetId="13" hidden="1">{#N/A,#N/A,FALSE,"Title Page";#N/A,#N/A,FALSE,"Conclusions";#N/A,#N/A,FALSE,"Assum.";#N/A,#N/A,FALSE,"Sun  DCF-WC-Dep";#N/A,#N/A,FALSE,"MarketValue";#N/A,#N/A,FALSE,"BalSheet";#N/A,#N/A,FALSE,"WACC";#N/A,#N/A,FALSE,"PC+ Info.";#N/A,#N/A,FALSE,"PC+Info_2"}</definedName>
    <definedName name="AAA" localSheetId="31">[27]연간점유!$HW$7817</definedName>
    <definedName name="aaa" hidden="1">{#N/A,#N/A,FALSE,"Title Page";#N/A,#N/A,FALSE,"Conclusions";#N/A,#N/A,FALSE,"Assum.";#N/A,#N/A,FALSE,"Sun  DCF-WC-Dep";#N/A,#N/A,FALSE,"MarketValue";#N/A,#N/A,FALSE,"BalSheet";#N/A,#N/A,FALSE,"WACC";#N/A,#N/A,FALSE,"PC+ Info.";#N/A,#N/A,FALSE,"PC+Info_2"}</definedName>
    <definedName name="AAA_DOCTOPS" hidden="1">"AAA_SET"</definedName>
    <definedName name="AAA_duser" hidden="1">"OFF"</definedName>
    <definedName name="AAAA" localSheetId="14" hidden="1">{"ten year ratios",#N/A,TRUE,"PROFIT_LOSS";"ten year ratios",#N/A,TRUE,"Ratios";"ten yr opex and capex",#N/A,TRUE,"1996 budget";"ten year revenues",#N/A,TRUE,"Revenue_1996-2004";"ten year payroll",#N/A,TRUE,"Payroll"}</definedName>
    <definedName name="AAAA" localSheetId="13" hidden="1">{"ten year ratios",#N/A,TRUE,"PROFIT_LOSS";"ten year ratios",#N/A,TRUE,"Ratios";"ten yr opex and capex",#N/A,TRUE,"1996 budget";"ten year revenues",#N/A,TRUE,"Revenue_1996-2004";"ten year payroll",#N/A,TRUE,"Payroll"}</definedName>
    <definedName name="aaaa" localSheetId="31" hidden="1">{#N/A,#N/A,FALSE,"손익표지";#N/A,#N/A,FALSE,"손익계산";#N/A,#N/A,FALSE,"일반관리비";#N/A,#N/A,FALSE,"영업외수익";#N/A,#N/A,FALSE,"영업외비용";#N/A,#N/A,FALSE,"매출액";#N/A,#N/A,FALSE,"요약손익";#N/A,#N/A,FALSE,"요약대차";#N/A,#N/A,FALSE,"매출채권현황";#N/A,#N/A,FALSE,"매출채권명세"}</definedName>
    <definedName name="AAAA" hidden="1">{"ten year ratios",#N/A,TRUE,"PROFIT_LOSS";"ten year ratios",#N/A,TRUE,"Ratios";"ten yr opex and capex",#N/A,TRUE,"1996 budget";"ten year revenues",#N/A,TRUE,"Revenue_1996-2004";"ten year payroll",#N/A,TRUE,"Payroll"}</definedName>
    <definedName name="aaaaa" localSheetId="14" hidden="1">{#N/A,#N/A,FALSE,"Title Page";#N/A,#N/A,FALSE,"Conclusions";#N/A,#N/A,FALSE,"Assum.";#N/A,#N/A,FALSE,"Sun  DCF-WC-Dep";#N/A,#N/A,FALSE,"MarketValue";#N/A,#N/A,FALSE,"BalSheet";#N/A,#N/A,FALSE,"WACC";#N/A,#N/A,FALSE,"PC+ Info.";#N/A,#N/A,FALSE,"PC+Info_2"}</definedName>
    <definedName name="aaaaa" localSheetId="13" hidden="1">{#N/A,#N/A,FALSE,"Title Page";#N/A,#N/A,FALSE,"Conclusions";#N/A,#N/A,FALSE,"Assum.";#N/A,#N/A,FALSE,"Sun  DCF-WC-Dep";#N/A,#N/A,FALSE,"MarketValue";#N/A,#N/A,FALSE,"BalSheet";#N/A,#N/A,FALSE,"WACC";#N/A,#N/A,FALSE,"PC+ Info.";#N/A,#N/A,FALSE,"PC+Info_2"}</definedName>
    <definedName name="aaaaa" hidden="1">{#N/A,#N/A,FALSE,"Title Page";#N/A,#N/A,FALSE,"Conclusions";#N/A,#N/A,FALSE,"Assum.";#N/A,#N/A,FALSE,"Sun  DCF-WC-Dep";#N/A,#N/A,FALSE,"MarketValue";#N/A,#N/A,FALSE,"BalSheet";#N/A,#N/A,FALSE,"WACC";#N/A,#N/A,FALSE,"PC+ Info.";#N/A,#N/A,FALSE,"PC+Info_2"}</definedName>
    <definedName name="aaaaaa" localSheetId="14" hidden="1">{#N/A,#N/A,FALSE,"Title Page";#N/A,#N/A,FALSE,"Conclusions";#N/A,#N/A,FALSE,"Assum.";#N/A,#N/A,FALSE,"Sun  DCF-WC-Dep";#N/A,#N/A,FALSE,"MarketValue";#N/A,#N/A,FALSE,"BalSheet";#N/A,#N/A,FALSE,"WACC";#N/A,#N/A,FALSE,"PC+ Info.";#N/A,#N/A,FALSE,"PC+Info_2"}</definedName>
    <definedName name="aaaaaa" localSheetId="13" hidden="1">{#N/A,#N/A,FALSE,"Title Page";#N/A,#N/A,FALSE,"Conclusions";#N/A,#N/A,FALSE,"Assum.";#N/A,#N/A,FALSE,"Sun  DCF-WC-Dep";#N/A,#N/A,FALSE,"MarketValue";#N/A,#N/A,FALSE,"BalSheet";#N/A,#N/A,FALSE,"WACC";#N/A,#N/A,FALSE,"PC+ Info.";#N/A,#N/A,FALSE,"PC+Info_2"}</definedName>
    <definedName name="aaaaaa" hidden="1">{#N/A,#N/A,FALSE,"Title Page";#N/A,#N/A,FALSE,"Conclusions";#N/A,#N/A,FALSE,"Assum.";#N/A,#N/A,FALSE,"Sun  DCF-WC-Dep";#N/A,#N/A,FALSE,"MarketValue";#N/A,#N/A,FALSE,"BalSheet";#N/A,#N/A,FALSE,"WACC";#N/A,#N/A,FALSE,"PC+ Info.";#N/A,#N/A,FALSE,"PC+Info_2"}</definedName>
    <definedName name="AAAAAAA" localSheetId="14" hidden="1">{#N/A,#N/A,TRUE,"Y생산";#N/A,#N/A,TRUE,"Y판매";#N/A,#N/A,TRUE,"Y총물량";#N/A,#N/A,TRUE,"Y능력";#N/A,#N/A,TRUE,"YKD"}</definedName>
    <definedName name="AAAAAAA" hidden="1">{#N/A,#N/A,TRUE,"Y생산";#N/A,#N/A,TRUE,"Y판매";#N/A,#N/A,TRUE,"Y총물량";#N/A,#N/A,TRUE,"Y능력";#N/A,#N/A,TRUE,"YKD"}</definedName>
    <definedName name="AAAAS" localSheetId="14" hidden="1">{#N/A,#N/A,FALSE,"정공"}</definedName>
    <definedName name="AAAAS" hidden="1">{#N/A,#N/A,FALSE,"정공"}</definedName>
    <definedName name="AAAS" hidden="1">[4]자바라1!#REF!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b" hidden="1">{#N/A,#N/A,FALSE,"Hip.Bas";#N/A,#N/A,FALSE,"ventas";#N/A,#N/A,FALSE,"ingre-Año";#N/A,#N/A,FALSE,"ventas-Año";#N/A,#N/A,FALSE,"Costepro";#N/A,#N/A,FALSE,"inversion";#N/A,#N/A,FALSE,"personal";#N/A,#N/A,FALSE,"Gastos-V";#N/A,#N/A,FALSE,"Circulante";#N/A,#N/A,FALSE,"CONSOLI";#N/A,#N/A,FALSE,"Es-Fin";#N/A,#N/A,FALSE,"Margen-P"}</definedName>
    <definedName name="aaif" localSheetId="14" hidden="1">{#N/A,#N/A,FALSE,"단축1";#N/A,#N/A,FALSE,"단축2";#N/A,#N/A,FALSE,"단축3";#N/A,#N/A,FALSE,"장축";#N/A,#N/A,FALSE,"4WD"}</definedName>
    <definedName name="aaif" hidden="1">{#N/A,#N/A,FALSE,"단축1";#N/A,#N/A,FALSE,"단축2";#N/A,#N/A,FALSE,"단축3";#N/A,#N/A,FALSE,"장축";#N/A,#N/A,FALSE,"4WD"}</definedName>
    <definedName name="AAM" localSheetId="14" hidden="1">{#N/A,#N/A,FALSE,"정공"}</definedName>
    <definedName name="AAM" hidden="1">{#N/A,#N/A,FALSE,"정공"}</definedName>
    <definedName name="AAS" localSheetId="14" hidden="1">{#N/A,#N/A,FALSE,"정공"}</definedName>
    <definedName name="AAS" hidden="1">{#N/A,#N/A,FALSE,"정공"}</definedName>
    <definedName name="AB" localSheetId="14" hidden="1">#REF!</definedName>
    <definedName name="ab">#REF!</definedName>
    <definedName name="abc" localSheetId="14" hidden="1">{"srf1",#N/A,FALSE,"Sheet1";"rf2",#N/A,FALSE,"Sheet1"}</definedName>
    <definedName name="ABC" hidden="1">{#N/A,#N/A,FALSE,"손익표지";#N/A,#N/A,FALSE,"손익계산";#N/A,#N/A,FALSE,"일반관리비";#N/A,#N/A,FALSE,"영업외수익";#N/A,#N/A,FALSE,"영업외비용";#N/A,#N/A,FALSE,"매출액";#N/A,#N/A,FALSE,"요약손익";#N/A,#N/A,FALSE,"요약대차";#N/A,#N/A,FALSE,"매출채권현황";#N/A,#N/A,FALSE,"매출채권명세"}</definedName>
    <definedName name="abcde" localSheetId="14" hidden="1">{#N/A,#N/A,FALSE,"Title Page";#N/A,#N/A,FALSE,"Conclusions";#N/A,#N/A,FALSE,"Assum.";#N/A,#N/A,FALSE,"Sun  DCF-WC-Dep";#N/A,#N/A,FALSE,"MarketValue";#N/A,#N/A,FALSE,"BalSheet";#N/A,#N/A,FALSE,"WACC";#N/A,#N/A,FALSE,"PC+ Info.";#N/A,#N/A,FALSE,"PC+Info_2"}</definedName>
    <definedName name="abcde" localSheetId="13" hidden="1">{#N/A,#N/A,FALSE,"Title Page";#N/A,#N/A,FALSE,"Conclusions";#N/A,#N/A,FALSE,"Assum.";#N/A,#N/A,FALSE,"Sun  DCF-WC-Dep";#N/A,#N/A,FALSE,"MarketValue";#N/A,#N/A,FALSE,"BalSheet";#N/A,#N/A,FALSE,"WACC";#N/A,#N/A,FALSE,"PC+ Info.";#N/A,#N/A,FALSE,"PC+Info_2"}</definedName>
    <definedName name="abcde" hidden="1">{#N/A,#N/A,FALSE,"Title Page";#N/A,#N/A,FALSE,"Conclusions";#N/A,#N/A,FALSE,"Assum.";#N/A,#N/A,FALSE,"Sun  DCF-WC-Dep";#N/A,#N/A,FALSE,"MarketValue";#N/A,#N/A,FALSE,"BalSheet";#N/A,#N/A,FALSE,"WACC";#N/A,#N/A,FALSE,"PC+ Info.";#N/A,#N/A,FALSE,"PC+Info_2"}</definedName>
    <definedName name="ABCDEF" localSheetId="14" hidden="1">{#N/A,#N/A,FALSE,"정공"}</definedName>
    <definedName name="ABCDEF" hidden="1">{#N/A,#N/A,FALSE,"정공"}</definedName>
    <definedName name="ABCD관리" localSheetId="14" hidden="1">{#N/A,#N/A,FALSE,"정공"}</definedName>
    <definedName name="ABCD관리" hidden="1">{#N/A,#N/A,FALSE,"정공"}</definedName>
    <definedName name="ABD" hidden="1">{#N/A,#N/A,FALSE,"지침";#N/A,#N/A,FALSE,"환경분석";#N/A,#N/A,FALSE,"Sheet16"}</definedName>
    <definedName name="ABG" hidden="1">{#N/A,#N/A,FALSE,"지침";#N/A,#N/A,FALSE,"환경분석";#N/A,#N/A,FALSE,"Sheet16"}</definedName>
    <definedName name="abgfdrt" localSheetId="14" hidden="1">{#N/A,#N/A,FALSE,"KMC최종회의(7월) 자료"}</definedName>
    <definedName name="abgfdrt" hidden="1">{#N/A,#N/A,FALSE,"KMC최종회의(7월) 자료"}</definedName>
    <definedName name="ABX" hidden="1">{#N/A,#N/A,FALSE,"지침";#N/A,#N/A,FALSE,"환경분석";#N/A,#N/A,FALSE,"Sheet16"}</definedName>
    <definedName name="abz자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abz자료" hidden="1">{#N/A,#N/A,FALSE,"손익표지";#N/A,#N/A,FALSE,"손익계산";#N/A,#N/A,FALSE,"일반관리비";#N/A,#N/A,FALSE,"영업외수익";#N/A,#N/A,FALSE,"영업외비용";#N/A,#N/A,FALSE,"매출액";#N/A,#N/A,FALSE,"요약손익";#N/A,#N/A,FALSE,"요약대차";#N/A,#N/A,FALSE,"매출채권현황";#N/A,#N/A,FALSE,"매출채권명세"}</definedName>
    <definedName name="AC" hidden="1">#REF!</definedName>
    <definedName name="ACB" localSheetId="14" hidden="1">{#N/A,#N/A,FALSE,"단축1";#N/A,#N/A,FALSE,"단축2";#N/A,#N/A,FALSE,"단축3";#N/A,#N/A,FALSE,"장축";#N/A,#N/A,FALSE,"4WD"}</definedName>
    <definedName name="ACB" hidden="1">{#N/A,#N/A,FALSE,"단축1";#N/A,#N/A,FALSE,"단축2";#N/A,#N/A,FALSE,"단축3";#N/A,#N/A,FALSE,"장축";#N/A,#N/A,FALSE,"4WD"}</definedName>
    <definedName name="Access_Button" hidden="1">"X4월자금_Sheet8_List"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localSheetId="14" hidden="1">"c:\wiz32\xl\acclink.mdb"</definedName>
    <definedName name="AccessDatabase" hidden="1">"A:\4월자금.mdb"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ef" localSheetId="14" hidden="1">{#N/A,#N/A,FALSE,"정공"}</definedName>
    <definedName name="adef" hidden="1">{#N/A,#N/A,FALSE,"정공"}</definedName>
    <definedName name="adfadf" hidden="1">{#N/A,#N/A,FALSE,"Hip.Bas";#N/A,#N/A,FALSE,"ventas";#N/A,#N/A,FALSE,"ingre-Año";#N/A,#N/A,FALSE,"ventas-Año";#N/A,#N/A,FALSE,"Costepro";#N/A,#N/A,FALSE,"inversion";#N/A,#N/A,FALSE,"personal";#N/A,#N/A,FALSE,"Gastos-V";#N/A,#N/A,FALSE,"Circulante";#N/A,#N/A,FALSE,"CONSOLI";#N/A,#N/A,FALSE,"Es-Fin";#N/A,#N/A,FALSE,"Margen-P"}</definedName>
    <definedName name="adfge" localSheetId="14" hidden="1">{#N/A,#N/A,TRUE,"Y생산";#N/A,#N/A,TRUE,"Y판매";#N/A,#N/A,TRUE,"Y총물량";#N/A,#N/A,TRUE,"Y능력";#N/A,#N/A,TRUE,"YKD"}</definedName>
    <definedName name="adfge" hidden="1">{#N/A,#N/A,TRUE,"Y생산";#N/A,#N/A,TRUE,"Y판매";#N/A,#N/A,TRUE,"Y총물량";#N/A,#N/A,TRUE,"Y능력";#N/A,#N/A,TRUE,"YKD"}</definedName>
    <definedName name="ADGG" localSheetId="14" hidden="1">{#N/A,#N/A,TRUE,"Y생산";#N/A,#N/A,TRUE,"Y판매";#N/A,#N/A,TRUE,"Y총물량";#N/A,#N/A,TRUE,"Y능력";#N/A,#N/A,TRUE,"YKD"}</definedName>
    <definedName name="ADGG" hidden="1">{#N/A,#N/A,TRUE,"Y생산";#N/A,#N/A,TRUE,"Y판매";#N/A,#N/A,TRUE,"Y총물량";#N/A,#N/A,TRUE,"Y능력";#N/A,#N/A,TRUE,"YKD"}</definedName>
    <definedName name="ADS" hidden="1">{#N/A,#N/A,FALSE,"지침";#N/A,#N/A,FALSE,"환경분석";#N/A,#N/A,FALSE,"Sheet16"}</definedName>
    <definedName name="ADSDF" localSheetId="14" hidden="1">{#N/A,#N/A,TRUE,"Y생산";#N/A,#N/A,TRUE,"Y판매";#N/A,#N/A,TRUE,"Y총물량";#N/A,#N/A,TRUE,"Y능력";#N/A,#N/A,TRUE,"YKD"}</definedName>
    <definedName name="ADSDF" hidden="1">{#N/A,#N/A,TRUE,"Y생산";#N/A,#N/A,TRUE,"Y판매";#N/A,#N/A,TRUE,"Y총물량";#N/A,#N/A,TRUE,"Y능력";#N/A,#N/A,TRUE,"YKD"}</definedName>
    <definedName name="ADSF" hidden="1">{#N/A,#N/A,TRUE,"매출진척-1";#N/A,#N/A,TRUE,"매출진척-2";#N/A,#N/A,TRUE,"제품실적";#N/A,#N/A,TRUE,"RAC";#N/A,#N/A,TRUE,"PAC ";#N/A,#N/A,TRUE,"재고현황";#N/A,#N/A,TRUE,"공지사항"}</definedName>
    <definedName name="aeatr" hidden="1">{#N/A,#N/A,TRUE,"DIVISION-MTH";"MANUFACTURING",#N/A,TRUE,"MANUF-MTH";#N/A,#N/A,TRUE,"TRADING-MTH";#N/A,#N/A,TRUE,"DIV-COSTS-MTH"}</definedName>
    <definedName name="AERHTRJN" localSheetId="14" hidden="1">{#N/A,#N/A,TRUE,"Y생산";#N/A,#N/A,TRUE,"Y판매";#N/A,#N/A,TRUE,"Y총물량";#N/A,#N/A,TRUE,"Y능력";#N/A,#N/A,TRUE,"YKD"}</definedName>
    <definedName name="AERHTRJN" hidden="1">{#N/A,#N/A,TRUE,"Y생산";#N/A,#N/A,TRUE,"Y판매";#N/A,#N/A,TRUE,"Y총물량";#N/A,#N/A,TRUE,"Y능력";#N/A,#N/A,TRUE,"YKD"}</definedName>
    <definedName name="AERWGFDB" localSheetId="14" hidden="1">{#N/A,#N/A,FALSE,"96 3월물량표";#N/A,#N/A,FALSE,"96 4월물량표";#N/A,#N/A,FALSE,"96 5월물량표"}</definedName>
    <definedName name="AERWGFDB" hidden="1">{#N/A,#N/A,FALSE,"96 3월물량표";#N/A,#N/A,FALSE,"96 4월물량표";#N/A,#N/A,FALSE,"96 5월물량표"}</definedName>
    <definedName name="aewr" hidden="1">{"mgmt forecast",#N/A,FALSE,"Mgmt Forecast";"dcf table",#N/A,FALSE,"Mgmt Forecast";"sensitivity",#N/A,FALSE,"Mgmt Forecast";"table inputs",#N/A,FALSE,"Mgmt Forecast";"calculations",#N/A,FALSE,"Mgmt Forecast"}</definedName>
    <definedName name="afdadfasdfsd" hidden="1">{#N/A,#N/A,FALSE,"Hip.Bas";#N/A,#N/A,FALSE,"ventas";#N/A,#N/A,FALSE,"ingre-Año";#N/A,#N/A,FALSE,"ventas-Año";#N/A,#N/A,FALSE,"Costepro";#N/A,#N/A,FALSE,"inversion";#N/A,#N/A,FALSE,"personal";#N/A,#N/A,FALSE,"Gastos-V";#N/A,#N/A,FALSE,"Circulante";#N/A,#N/A,FALSE,"CONSOLI";#N/A,#N/A,FALSE,"Es-Fin";#N/A,#N/A,FALSE,"Margen-P"}</definedName>
    <definedName name="afdsasd" hidden="1">{#N/A,#N/A,FALSE,"Hip.Bas";#N/A,#N/A,FALSE,"ventas";#N/A,#N/A,FALSE,"ingre-Año";#N/A,#N/A,FALSE,"ventas-Año";#N/A,#N/A,FALSE,"Costepro";#N/A,#N/A,FALSE,"inversion";#N/A,#N/A,FALSE,"personal";#N/A,#N/A,FALSE,"Gastos-V";#N/A,#N/A,FALSE,"Circulante";#N/A,#N/A,FALSE,"CONSOLI";#N/A,#N/A,FALSE,"Es-Fin";#N/A,#N/A,FALSE,"Margen-P"}</definedName>
    <definedName name="aff" localSheetId="14" hidden="1">{#N/A,#N/A,FALSE,"단축1";#N/A,#N/A,FALSE,"단축2";#N/A,#N/A,FALSE,"단축3";#N/A,#N/A,FALSE,"장축";#N/A,#N/A,FALSE,"4WD"}</definedName>
    <definedName name="aff" hidden="1">{#N/A,#N/A,FALSE,"단축1";#N/A,#N/A,FALSE,"단축2";#N/A,#N/A,FALSE,"단축3";#N/A,#N/A,FALSE,"장축";#N/A,#N/A,FALSE,"4WD"}</definedName>
    <definedName name="AJU2002년가공손익" localSheetId="14" hidden="1">{#N/A,#N/A,FALSE,"정공"}</definedName>
    <definedName name="AJU2002년가공손익" hidden="1">{#N/A,#N/A,FALSE,"정공"}</definedName>
    <definedName name="akrka123" localSheetId="14" hidden="1">{#N/A,#N/A,TRUE,"Y생산";#N/A,#N/A,TRUE,"Y판매";#N/A,#N/A,TRUE,"Y총물량";#N/A,#N/A,TRUE,"Y능력";#N/A,#N/A,TRUE,"YKD"}</definedName>
    <definedName name="akrka123" hidden="1">{#N/A,#N/A,TRUE,"Y생산";#N/A,#N/A,TRUE,"Y판매";#N/A,#N/A,TRUE,"Y총물량";#N/A,#N/A,TRUE,"Y능력";#N/A,#N/A,TRUE,"YKD"}</definedName>
    <definedName name="ANFFIDRpGHLR" hidden="1">{#N/A,#N/A,FALSE,"PART-1234-8-12-9(41)";#N/A,#N/A,FALSE,"PARTS-2(3)";#N/A,#N/A,FALSE,"VAN SYSTEM";#N/A,#N/A,FALSE,"PARTS-10(26)";#N/A,#N/A,FALSE,"PART-5-6-7-11(14)";#N/A,#N/A,FALSE,"PARTS-4(3)";#N/A,#N/A,FALSE,"PCLASS"}</definedName>
    <definedName name="ANJDI" localSheetId="14" hidden="1">{#N/A,#N/A,FALSE,"손익표지";#N/A,#N/A,FALSE,"손익계산";#N/A,#N/A,FALSE,"일반관리비";#N/A,#N/A,FALSE,"영업외수익";#N/A,#N/A,FALSE,"영업외비용";#N/A,#N/A,FALSE,"매출액";#N/A,#N/A,FALSE,"요약손익";#N/A,#N/A,FALSE,"요약대차";#N/A,#N/A,FALSE,"매출채권현황";#N/A,#N/A,FALSE,"매출채권명세"}</definedName>
    <definedName name="ANJDI" hidden="1">{#N/A,#N/A,FALSE,"손익표지";#N/A,#N/A,FALSE,"손익계산";#N/A,#N/A,FALSE,"일반관리비";#N/A,#N/A,FALSE,"영업외수익";#N/A,#N/A,FALSE,"영업외비용";#N/A,#N/A,FALSE,"매출액";#N/A,#N/A,FALSE,"요약손익";#N/A,#N/A,FALSE,"요약대차";#N/A,#N/A,FALSE,"매출채권현황";#N/A,#N/A,FALSE,"매출채권명세"}</definedName>
    <definedName name="anscount" hidden="1">1</definedName>
    <definedName name="AOCNFTHSDLR" localSheetId="14" hidden="1">{#N/A,#N/A,FALSE,"정공"}</definedName>
    <definedName name="AOCNFTHSDLR" hidden="1">{#N/A,#N/A,FALSE,"정공"}</definedName>
    <definedName name="aq" localSheetId="14" hidden="1">{#N/A,#N/A,FALSE,"손익표지";#N/A,#N/A,FALSE,"손익계산";#N/A,#N/A,FALSE,"일반관리비";#N/A,#N/A,FALSE,"영업외수익";#N/A,#N/A,FALSE,"영업외비용";#N/A,#N/A,FALSE,"매출액";#N/A,#N/A,FALSE,"요약손익";#N/A,#N/A,FALSE,"요약대차";#N/A,#N/A,FALSE,"매출채권현황";#N/A,#N/A,FALSE,"매출채권명세"}</definedName>
    <definedName name="aq" hidden="1">{#N/A,#N/A,FALSE,"손익표지";#N/A,#N/A,FALSE,"손익계산";#N/A,#N/A,FALSE,"일반관리비";#N/A,#N/A,FALSE,"영업외수익";#N/A,#N/A,FALSE,"영업외비용";#N/A,#N/A,FALSE,"매출액";#N/A,#N/A,FALSE,"요약손익";#N/A,#N/A,FALSE,"요약대차";#N/A,#N/A,FALSE,"매출채권현황";#N/A,#N/A,FALSE,"매출채권명세"}</definedName>
    <definedName name="AQP" localSheetId="14" hidden="1">{#N/A,#N/A,FALSE,"96 3월물량표";#N/A,#N/A,FALSE,"96 4월물량표";#N/A,#N/A,FALSE,"96 5월물량표"}</definedName>
    <definedName name="AQP" hidden="1">{#N/A,#N/A,FALSE,"96 3월물량표";#N/A,#N/A,FALSE,"96 4월물량표";#N/A,#N/A,FALSE,"96 5월물량표"}</definedName>
    <definedName name="aqz" localSheetId="14" hidden="1">{#N/A,#N/A,FALSE,"KMC최종회의(7월) 자료"}</definedName>
    <definedName name="aqz" hidden="1">{#N/A,#N/A,FALSE,"KMC최종회의(7월) 자료"}</definedName>
    <definedName name="aregy" localSheetId="14" hidden="1">{#N/A,#N/A,TRUE,"Y생산";#N/A,#N/A,TRUE,"Y판매";#N/A,#N/A,TRUE,"Y총물량";#N/A,#N/A,TRUE,"Y능력";#N/A,#N/A,TRUE,"YKD"}</definedName>
    <definedName name="aregy" hidden="1">{#N/A,#N/A,TRUE,"Y생산";#N/A,#N/A,TRUE,"Y판매";#N/A,#N/A,TRUE,"Y총물량";#N/A,#N/A,TRUE,"Y능력";#N/A,#N/A,TRUE,"YKD"}</definedName>
    <definedName name="as" localSheetId="14" hidden="1">{#N/A,#N/A,FALSE,"PART-1234-8-12-9(41)";#N/A,#N/A,FALSE,"PARTS-2(3)";#N/A,#N/A,FALSE,"VAN SYSTEM";#N/A,#N/A,FALSE,"PARTS-10(26)";#N/A,#N/A,FALSE,"PART-5-6-7-11(14)";#N/A,#N/A,FALSE,"PARTS-4(3)";#N/A,#N/A,FALSE,"PCLASS"}</definedName>
    <definedName name="as" localSheetId="13" hidden="1">{#N/A,#N/A,FALSE,"손익표지";#N/A,#N/A,FALSE,"손익계산";#N/A,#N/A,FALSE,"일반관리비";#N/A,#N/A,FALSE,"영업외수익";#N/A,#N/A,FALSE,"영업외비용";#N/A,#N/A,FALSE,"매출액";#N/A,#N/A,FALSE,"요약손익";#N/A,#N/A,FALSE,"요약대차";#N/A,#N/A,FALSE,"매출채권현황";#N/A,#N/A,FALSE,"매출채권명세"}</definedName>
    <definedName name="as">#REF!</definedName>
    <definedName name="AS2DocOpenMode" hidden="1">"AS2DocumentEdit"</definedName>
    <definedName name="AS2HasNoAutoHeaderFooter" hidden="1">" "</definedName>
    <definedName name="AS2ReportLS" hidden="1">1</definedName>
    <definedName name="AS2StaticLS" localSheetId="14" hidden="1">#REF!</definedName>
    <definedName name="AS2StaticLS" localSheetId="13" hidden="1">#REF!</definedName>
    <definedName name="AS2StaticLS" localSheetId="27" hidden="1">#REF!</definedName>
    <definedName name="AS2StaticLS" localSheetId="20" hidden="1">#REF!</definedName>
    <definedName name="AS2StaticLS" hidden="1">#REF!</definedName>
    <definedName name="AS2SyncStepLS" hidden="1">0</definedName>
    <definedName name="AS2TickmarkLS" localSheetId="14" hidden="1">#REF!</definedName>
    <definedName name="AS2TickmarkLS" localSheetId="13" hidden="1">#REF!</definedName>
    <definedName name="AS2TickmarkLS" localSheetId="27" hidden="1">#REF!</definedName>
    <definedName name="AS2TickmarkLS" localSheetId="20" hidden="1">#REF!</definedName>
    <definedName name="AS2TickmarkLS" hidden="1">#REF!</definedName>
    <definedName name="AS2VersionLS" hidden="1">300</definedName>
    <definedName name="asasasws" localSheetId="14" hidden="1">{#N/A,#N/A,FALSE,"단축1";#N/A,#N/A,FALSE,"단축2";#N/A,#N/A,FALSE,"단축3";#N/A,#N/A,FALSE,"장축";#N/A,#N/A,FALSE,"4WD"}</definedName>
    <definedName name="asasasws" hidden="1">{#N/A,#N/A,FALSE,"단축1";#N/A,#N/A,FALSE,"단축2";#N/A,#N/A,FALSE,"단축3";#N/A,#N/A,FALSE,"장축";#N/A,#N/A,FALSE,"4WD"}</definedName>
    <definedName name="asdf" localSheetId="14" hidden="1">{"by departments",#N/A,TRUE,"FORECAST";"cap_headcount",#N/A,TRUE,"FORECAST";"summary",#N/A,TRUE,"FORECAST"}</definedName>
    <definedName name="asdf" localSheetId="13" hidden="1">{"by departments",#N/A,TRUE,"FORECAST";"cap_headcount",#N/A,TRUE,"FORECAST";"summary",#N/A,TRUE,"FORECAST"}</definedName>
    <definedName name="asdf" hidden="1">{"by departments",#N/A,TRUE,"FORECAST";"cap_headcount",#N/A,TRUE,"FORECAST";"summary",#N/A,TRUE,"FORECAST"}</definedName>
    <definedName name="asdfa" hidden="1">{#N/A,#N/A,FALSE,"PART-1234-8-12-9(41)";#N/A,#N/A,FALSE,"PARTS-2(3)";#N/A,#N/A,FALSE,"VAN SYSTEM";#N/A,#N/A,FALSE,"PARTS-10(26)";#N/A,#N/A,FALSE,"PART-5-6-7-11(14)";#N/A,#N/A,FALSE,"PARTS-4(3)";#N/A,#N/A,FALSE,"PCLASS"}</definedName>
    <definedName name="asdfas" hidden="1">[1]공문!#REF!</definedName>
    <definedName name="asdfasdfasdf" localSheetId="14" hidden="1">{"SUMMARY",#N/A,TRUE,"SUMMARY";"compare",#N/A,TRUE,"Vs. Bus Plan";"ratios",#N/A,TRUE,"Ratios";"REVENUE",#N/A,TRUE,"Revenue";"expenses",#N/A,TRUE,"1996 budget";"payroll",#N/A,TRUE,"Payroll"}</definedName>
    <definedName name="asdfasdfasdf" localSheetId="13" hidden="1">{"SUMMARY",#N/A,TRUE,"SUMMARY";"compare",#N/A,TRUE,"Vs. Bus Plan";"ratios",#N/A,TRUE,"Ratios";"REVENUE",#N/A,TRUE,"Revenue";"expenses",#N/A,TRUE,"1996 budget";"payroll",#N/A,TRUE,"Payroll"}</definedName>
    <definedName name="asdfasdfasdf" hidden="1">{"SUMMARY",#N/A,TRUE,"SUMMARY";"compare",#N/A,TRUE,"Vs. Bus Plan";"ratios",#N/A,TRUE,"Ratios";"REVENUE",#N/A,TRUE,"Revenue";"expenses",#N/A,TRUE,"1996 budget";"payroll",#N/A,TRUE,"Payroll"}</definedName>
    <definedName name="asdfasffffffffffffff" localSheetId="14"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localSheetId="13"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GFSDG" localSheetId="14" hidden="1">{#N/A,#N/A,FALSE,"96 3월물량표";#N/A,#N/A,FALSE,"96 4월물량표";#N/A,#N/A,FALSE,"96 5월물량표"}</definedName>
    <definedName name="ASDGFSDG" hidden="1">{#N/A,#N/A,FALSE,"96 3월물량표";#N/A,#N/A,FALSE,"96 4월물량표";#N/A,#N/A,FALSE,"96 5월물량표"}</definedName>
    <definedName name="asefq" localSheetId="14" hidden="1">{#N/A,#N/A,FALSE,"96 3월물량표";#N/A,#N/A,FALSE,"96 4월물량표";#N/A,#N/A,FALSE,"96 5월물량표"}</definedName>
    <definedName name="asefq" hidden="1">{#N/A,#N/A,FALSE,"96 3월물량표";#N/A,#N/A,FALSE,"96 4월물량표";#N/A,#N/A,FALSE,"96 5월물량표"}</definedName>
    <definedName name="asewa" localSheetId="14" hidden="1">{#N/A,#N/A,FALSE,"KMC최종회의(7월) 자료"}</definedName>
    <definedName name="asewa" hidden="1">{#N/A,#N/A,FALSE,"KMC최종회의(7월) 자료"}</definedName>
    <definedName name="asfdasfdasdf"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ASQ" hidden="1">{#N/A,#N/A,FALSE,"PART-1234-8-12-9(41)";#N/A,#N/A,FALSE,"PARTS-2(3)";#N/A,#N/A,FALSE,"VAN SYSTEM";#N/A,#N/A,FALSE,"PARTS-10(26)";#N/A,#N/A,FALSE,"PART-5-6-7-11(14)";#N/A,#N/A,FALSE,"PARTS-4(3)";#N/A,#N/A,FALSE,"PCLASS"}</definedName>
    <definedName name="ASS" localSheetId="14" hidden="1">{#N/A,#N/A,FALSE,"단축1";#N/A,#N/A,FALSE,"단축2";#N/A,#N/A,FALSE,"단축3";#N/A,#N/A,FALSE,"장축";#N/A,#N/A,FALSE,"4WD"}</definedName>
    <definedName name="ASS" hidden="1">{#N/A,#N/A,FALSE,"단축1";#N/A,#N/A,FALSE,"단축2";#N/A,#N/A,FALSE,"단축3";#N/A,#N/A,FALSE,"장축";#N/A,#N/A,FALSE,"4WD"}</definedName>
    <definedName name="ASSDDD" localSheetId="14" hidden="1">{#N/A,#N/A,FALSE,"단축1";#N/A,#N/A,FALSE,"단축2";#N/A,#N/A,FALSE,"단축3";#N/A,#N/A,FALSE,"장축";#N/A,#N/A,FALSE,"4WD"}</definedName>
    <definedName name="ASSDDD" hidden="1">{#N/A,#N/A,FALSE,"단축1";#N/A,#N/A,FALSE,"단축2";#N/A,#N/A,FALSE,"단축3";#N/A,#N/A,FALSE,"장축";#N/A,#N/A,FALSE,"4WD"}</definedName>
    <definedName name="assdewdwe" localSheetId="14" hidden="1">{#N/A,#N/A,FALSE,"단축1";#N/A,#N/A,FALSE,"단축2";#N/A,#N/A,FALSE,"단축3";#N/A,#N/A,FALSE,"장축";#N/A,#N/A,FALSE,"4WD"}</definedName>
    <definedName name="assdewdwe" hidden="1">{#N/A,#N/A,FALSE,"단축1";#N/A,#N/A,FALSE,"단축2";#N/A,#N/A,FALSE,"단축3";#N/A,#N/A,FALSE,"장축";#N/A,#N/A,FALSE,"4WD"}</definedName>
    <definedName name="ASSSS" localSheetId="14" hidden="1">{#N/A,#N/A,FALSE,"단축1";#N/A,#N/A,FALSE,"단축2";#N/A,#N/A,FALSE,"단축3";#N/A,#N/A,FALSE,"장축";#N/A,#N/A,FALSE,"4WD"}</definedName>
    <definedName name="ASSSS" hidden="1">{#N/A,#N/A,FALSE,"단축1";#N/A,#N/A,FALSE,"단축2";#N/A,#N/A,FALSE,"단축3";#N/A,#N/A,FALSE,"장축";#N/A,#N/A,FALSE,"4WD"}</definedName>
    <definedName name="audrey3852" localSheetId="14" hidden="1">{#N/A,#N/A,FALSE,"BS";#N/A,#N/A,FALSE,"PL";#N/A,#N/A,FALSE,"처분";#N/A,#N/A,FALSE,"현금";#N/A,#N/A,FALSE,"매출";#N/A,#N/A,FALSE,"원가";#N/A,#N/A,FALSE,"경영"}</definedName>
    <definedName name="audrey3852" localSheetId="13" hidden="1">{#N/A,#N/A,FALSE,"BS";#N/A,#N/A,FALSE,"PL";#N/A,#N/A,FALSE,"처분";#N/A,#N/A,FALSE,"현금";#N/A,#N/A,FALSE,"매출";#N/A,#N/A,FALSE,"원가";#N/A,#N/A,FALSE,"경영"}</definedName>
    <definedName name="audrey3852" hidden="1">{#N/A,#N/A,FALSE,"BS";#N/A,#N/A,FALSE,"PL";#N/A,#N/A,FALSE,"처분";#N/A,#N/A,FALSE,"현금";#N/A,#N/A,FALSE,"매출";#N/A,#N/A,FALSE,"원가";#N/A,#N/A,FALSE,"경영"}</definedName>
    <definedName name="AV" localSheetId="14" hidden="1">{#N/A,#N/A,FALSE,"KMC최종회의(7월) 자료"}</definedName>
    <definedName name="AV" hidden="1">{#N/A,#N/A,FALSE,"KMC최종회의(7월) 자료"}</definedName>
    <definedName name="awefgdvb" localSheetId="14" hidden="1">{#N/A,#N/A,TRUE,"Y생산";#N/A,#N/A,TRUE,"Y판매";#N/A,#N/A,TRUE,"Y총물량";#N/A,#N/A,TRUE,"Y능력";#N/A,#N/A,TRUE,"YKD"}</definedName>
    <definedName name="awefgdvb" hidden="1">{#N/A,#N/A,TRUE,"Y생산";#N/A,#N/A,TRUE,"Y판매";#N/A,#N/A,TRUE,"Y총물량";#N/A,#N/A,TRUE,"Y능력";#N/A,#N/A,TRUE,"YKD"}</definedName>
    <definedName name="AWEGDFBV" localSheetId="14" hidden="1">{#N/A,#N/A,TRUE,"Y생산";#N/A,#N/A,TRUE,"Y판매";#N/A,#N/A,TRUE,"Y총물량";#N/A,#N/A,TRUE,"Y능력";#N/A,#N/A,TRUE,"YKD"}</definedName>
    <definedName name="AWEGDFBV" hidden="1">{#N/A,#N/A,TRUE,"Y생산";#N/A,#N/A,TRUE,"Y판매";#N/A,#N/A,TRUE,"Y총물량";#N/A,#N/A,TRUE,"Y능력";#N/A,#N/A,TRUE,"YKD"}</definedName>
    <definedName name="AWEGERHBDFB" localSheetId="14" hidden="1">{#N/A,#N/A,TRUE,"Y생산";#N/A,#N/A,TRUE,"Y판매";#N/A,#N/A,TRUE,"Y총물량";#N/A,#N/A,TRUE,"Y능력";#N/A,#N/A,TRUE,"YKD"}</definedName>
    <definedName name="AWEGERHBDFB" hidden="1">{#N/A,#N/A,TRUE,"Y생산";#N/A,#N/A,TRUE,"Y판매";#N/A,#N/A,TRUE,"Y총물량";#N/A,#N/A,TRUE,"Y능력";#N/A,#N/A,TRUE,"YKD"}</definedName>
    <definedName name="AWERGERGH" localSheetId="14" hidden="1">{#N/A,#N/A,FALSE,"96 3월물량표";#N/A,#N/A,FALSE,"96 4월물량표";#N/A,#N/A,FALSE,"96 5월물량표"}</definedName>
    <definedName name="AWERGERGH" hidden="1">{#N/A,#N/A,FALSE,"96 3월물량표";#N/A,#N/A,FALSE,"96 4월물량표";#N/A,#N/A,FALSE,"96 5월물량표"}</definedName>
    <definedName name="awert" hidden="1">{#N/A,#N/A,FALSE,"ORIX CSC"}</definedName>
    <definedName name="AWETDFBV" localSheetId="14" hidden="1">{#N/A,#N/A,TRUE,"Y생산";#N/A,#N/A,TRUE,"Y판매";#N/A,#N/A,TRUE,"Y총물량";#N/A,#N/A,TRUE,"Y능력";#N/A,#N/A,TRUE,"YKD"}</definedName>
    <definedName name="AWETDFBV" hidden="1">{#N/A,#N/A,TRUE,"Y생산";#N/A,#N/A,TRUE,"Y판매";#N/A,#N/A,TRUE,"Y총물량";#N/A,#N/A,TRUE,"Y능력";#N/A,#N/A,TRUE,"YKD"}</definedName>
    <definedName name="axc" localSheetId="14" hidden="1">#REF!</definedName>
    <definedName name="axc" hidden="1">#REF!</definedName>
    <definedName name="axcdf" localSheetId="14" hidden="1">{#N/A,#N/A,FALSE,"정공"}</definedName>
    <definedName name="axcdf" hidden="1">{#N/A,#N/A,FALSE,"정공"}</definedName>
    <definedName name="axxs" localSheetId="14" hidden="1">{#N/A,#N/A,FALSE,"KMC최종회의(7월) 자료"}</definedName>
    <definedName name="axxs" hidden="1">{#N/A,#N/A,FALSE,"KMC최종회의(7월) 자료"}</definedName>
    <definedName name="b" localSheetId="14" hidden="1">{"'경매 schedule'!$A$1:$Y$78"}</definedName>
    <definedName name="b">#REF!</definedName>
    <definedName name="B2B사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B2B사업" hidden="1">{#N/A,#N/A,FALSE,"손익표지";#N/A,#N/A,FALSE,"손익계산";#N/A,#N/A,FALSE,"일반관리비";#N/A,#N/A,FALSE,"영업외수익";#N/A,#N/A,FALSE,"영업외비용";#N/A,#N/A,FALSE,"매출액";#N/A,#N/A,FALSE,"요약손익";#N/A,#N/A,FALSE,"요약대차";#N/A,#N/A,FALSE,"매출채권현황";#N/A,#N/A,FALSE,"매출채권명세"}</definedName>
    <definedName name="BARC" localSheetId="14" hidden="1">{#N/A,#N/A,FALSE,"손익표지";#N/A,#N/A,FALSE,"손익계산";#N/A,#N/A,FALSE,"일반관리비";#N/A,#N/A,FALSE,"영업외수익";#N/A,#N/A,FALSE,"영업외비용";#N/A,#N/A,FALSE,"매출액";#N/A,#N/A,FALSE,"요약손익";#N/A,#N/A,FALSE,"요약대차";#N/A,#N/A,FALSE,"매출채권현황";#N/A,#N/A,FALSE,"매출채권명세"}</definedName>
    <definedName name="BARC" localSheetId="13" hidden="1">{#N/A,#N/A,FALSE,"손익표지";#N/A,#N/A,FALSE,"손익계산";#N/A,#N/A,FALSE,"일반관리비";#N/A,#N/A,FALSE,"영업외수익";#N/A,#N/A,FALSE,"영업외비용";#N/A,#N/A,FALSE,"매출액";#N/A,#N/A,FALSE,"요약손익";#N/A,#N/A,FALSE,"요약대차";#N/A,#N/A,FALSE,"매출채권현황";#N/A,#N/A,FALSE,"매출채권명세"}</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b" localSheetId="14" hidden="1">{#N/A,#N/A,FALSE,"손익표지";#N/A,#N/A,FALSE,"손익계산";#N/A,#N/A,FALSE,"일반관리비";#N/A,#N/A,FALSE,"영업외수익";#N/A,#N/A,FALSE,"영업외비용";#N/A,#N/A,FALSE,"매출액";#N/A,#N/A,FALSE,"요약손익";#N/A,#N/A,FALSE,"요약대차";#N/A,#N/A,FALSE,"매출채권현황";#N/A,#N/A,FALSE,"매출채권명세"}</definedName>
    <definedName name="bb" localSheetId="13" hidden="1">{#N/A,#N/A,FALSE,"손익표지";#N/A,#N/A,FALSE,"손익계산";#N/A,#N/A,FALSE,"일반관리비";#N/A,#N/A,FALSE,"영업외수익";#N/A,#N/A,FALSE,"영업외비용";#N/A,#N/A,FALSE,"매출액";#N/A,#N/A,FALSE,"요약손익";#N/A,#N/A,FALSE,"요약대차";#N/A,#N/A,FALSE,"매출채권현황";#N/A,#N/A,FALSE,"매출채권명세"}</definedName>
    <definedName name="bb" hidden="1">{#N/A,#N/A,FALSE,"손익표지";#N/A,#N/A,FALSE,"손익계산";#N/A,#N/A,FALSE,"일반관리비";#N/A,#N/A,FALSE,"영업외수익";#N/A,#N/A,FALSE,"영업외비용";#N/A,#N/A,FALSE,"매출액";#N/A,#N/A,FALSE,"요약손익";#N/A,#N/A,FALSE,"요약대차";#N/A,#N/A,FALSE,"매출채권현황";#N/A,#N/A,FALSE,"매출채권명세"}</definedName>
    <definedName name="BBB" localSheetId="14" hidden="1">[28]송전기본!#REF!</definedName>
    <definedName name="BBB" localSheetId="13" hidden="1">[28]송전기본!#REF!</definedName>
    <definedName name="BBB">[27]연간점유!$HW$7817</definedName>
    <definedName name="bbbb" localSheetId="14" hidden="1">{#N/A,#N/A,FALSE,"Title Page";#N/A,#N/A,FALSE,"Conclusions";#N/A,#N/A,FALSE,"Assum.";#N/A,#N/A,FALSE,"Sun  DCF-WC-Dep";#N/A,#N/A,FALSE,"MarketValue";#N/A,#N/A,FALSE,"BalSheet";#N/A,#N/A,FALSE,"WACC";#N/A,#N/A,FALSE,"PC+ Info.";#N/A,#N/A,FALSE,"PC+Info_2"}</definedName>
    <definedName name="bbbb" localSheetId="13" hidden="1">{#N/A,#N/A,FALSE,"Title Page";#N/A,#N/A,FALSE,"Conclusions";#N/A,#N/A,FALSE,"Assum.";#N/A,#N/A,FALSE,"Sun  DCF-WC-Dep";#N/A,#N/A,FALSE,"MarketValue";#N/A,#N/A,FALSE,"BalSheet";#N/A,#N/A,FALSE,"WACC";#N/A,#N/A,FALSE,"PC+ Info.";#N/A,#N/A,FALSE,"PC+Info_2"}</definedName>
    <definedName name="bbbb" hidden="1">{#N/A,#N/A,FALSE,"Title Page";#N/A,#N/A,FALSE,"Conclusions";#N/A,#N/A,FALSE,"Assum.";#N/A,#N/A,FALSE,"Sun  DCF-WC-Dep";#N/A,#N/A,FALSE,"MarketValue";#N/A,#N/A,FALSE,"BalSheet";#N/A,#N/A,FALSE,"WACC";#N/A,#N/A,FALSE,"PC+ Info.";#N/A,#N/A,FALSE,"PC+Info_2"}</definedName>
    <definedName name="bbbbb" hidden="1">{#N/A,#N/A,FALSE,"Hip.Bas";#N/A,#N/A,FALSE,"ventas";#N/A,#N/A,FALSE,"ingre-Año";#N/A,#N/A,FALSE,"ventas-Año";#N/A,#N/A,FALSE,"Costepro";#N/A,#N/A,FALSE,"inversion";#N/A,#N/A,FALSE,"personal";#N/A,#N/A,FALSE,"Gastos-V";#N/A,#N/A,FALSE,"Circulante";#N/A,#N/A,FALSE,"CONSOLI";#N/A,#N/A,FALSE,"Es-Fin";#N/A,#N/A,FALSE,"Margen-P"}</definedName>
    <definedName name="bbbbbgf" localSheetId="14" hidden="1">{#N/A,#N/A,FALSE,"KMC최종회의(7월) 자료"}</definedName>
    <definedName name="bbbbbgf" hidden="1">{#N/A,#N/A,FALSE,"KMC최종회의(7월) 자료"}</definedName>
    <definedName name="bbdsssss" localSheetId="14" hidden="1">{#N/A,#N/A,FALSE,"KMC최종회의(7월) 자료"}</definedName>
    <definedName name="bbdsssss" hidden="1">{#N/A,#N/A,FALSE,"KMC최종회의(7월) 자료"}</definedName>
    <definedName name="Belt" localSheetId="14" hidden="1">{#N/A,#N/A,FALSE,"손익표지";#N/A,#N/A,FALSE,"손익계산";#N/A,#N/A,FALSE,"일반관리비";#N/A,#N/A,FALSE,"영업외수익";#N/A,#N/A,FALSE,"영업외비용";#N/A,#N/A,FALSE,"매출액";#N/A,#N/A,FALSE,"요약손익";#N/A,#N/A,FALSE,"요약대차";#N/A,#N/A,FALSE,"매출채권현황";#N/A,#N/A,FALSE,"매출채권명세"}</definedName>
    <definedName name="Belt" localSheetId="13" hidden="1">{#N/A,#N/A,FALSE,"손익표지";#N/A,#N/A,FALSE,"손익계산";#N/A,#N/A,FALSE,"일반관리비";#N/A,#N/A,FALSE,"영업외수익";#N/A,#N/A,FALSE,"영업외비용";#N/A,#N/A,FALSE,"매출액";#N/A,#N/A,FALSE,"요약손익";#N/A,#N/A,FALSE,"요약대차";#N/A,#N/A,FALSE,"매출채권현황";#N/A,#N/A,FALSE,"매출채권명세"}</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P비교" localSheetId="14" hidden="1">{#N/A,#N/A,FALSE,"정공"}</definedName>
    <definedName name="BEP비교" hidden="1">{#N/A,#N/A,FALSE,"정공"}</definedName>
    <definedName name="bg">#REF!</definedName>
    <definedName name="BG_Del" hidden="1">15</definedName>
    <definedName name="BG_Ins" hidden="1">4</definedName>
    <definedName name="BG_Mod" hidden="1">6</definedName>
    <definedName name="BGJK" localSheetId="14" hidden="1">{#N/A,#N/A,FALSE,"단축1";#N/A,#N/A,FALSE,"단축2";#N/A,#N/A,FALSE,"단축3";#N/A,#N/A,FALSE,"장축";#N/A,#N/A,FALSE,"4WD"}</definedName>
    <definedName name="BGJK" hidden="1">{#N/A,#N/A,FALSE,"단축1";#N/A,#N/A,FALSE,"단축2";#N/A,#N/A,FALSE,"단축3";#N/A,#N/A,FALSE,"장축";#N/A,#N/A,FALSE,"4WD"}</definedName>
    <definedName name="BIO_FF" localSheetId="14" hidden="1">{#N/A,#N/A,FALSE,"손익표지";#N/A,#N/A,FALSE,"손익계산";#N/A,#N/A,FALSE,"일반관리비";#N/A,#N/A,FALSE,"영업외수익";#N/A,#N/A,FALSE,"영업외비용";#N/A,#N/A,FALSE,"매출액";#N/A,#N/A,FALSE,"요약손익";#N/A,#N/A,FALSE,"요약대차";#N/A,#N/A,FALSE,"매출채권현황";#N/A,#N/A,FALSE,"매출채권명세"}</definedName>
    <definedName name="BIO_FF" localSheetId="13" hidden="1">{#N/A,#N/A,FALSE,"손익표지";#N/A,#N/A,FALSE,"손익계산";#N/A,#N/A,FALSE,"일반관리비";#N/A,#N/A,FALSE,"영업외수익";#N/A,#N/A,FALSE,"영업외비용";#N/A,#N/A,FALSE,"매출액";#N/A,#N/A,FALSE,"요약손익";#N/A,#N/A,FALSE,"요약대차";#N/A,#N/A,FALSE,"매출채권현황";#N/A,#N/A,FALSE,"매출채권명세"}</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3" hidden="1">#REF!</definedName>
    <definedName name="BLPH4" hidden="1">#REF!</definedName>
    <definedName name="BLPH5" hidden="1">#REF!</definedName>
    <definedName name="BLPH6" hidden="1">#REF!</definedName>
    <definedName name="BLPH62" hidden="1">#REF!</definedName>
    <definedName name="BLPH63"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8" hidden="1">#REF!</definedName>
    <definedName name="BLPH9" hidden="1">#REF!</definedName>
    <definedName name="BLPI1" hidden="1">#REF!</definedName>
    <definedName name="BLPI3" hidden="1">#REF!</definedName>
    <definedName name="bn" hidden="1">{#N/A,#N/A,FALSE,"Aging Summary";#N/A,#N/A,FALSE,"Ratio Analysis";#N/A,#N/A,FALSE,"Test 120 Day Accts";#N/A,#N/A,FALSE,"Tickmarks"}</definedName>
    <definedName name="bnnn" hidden="1">{"mgmt forecast",#N/A,FALSE,"Mgmt Forecast";"dcf table",#N/A,FALSE,"Mgmt Forecast";"sensitivity",#N/A,FALSE,"Mgmt Forecast";"table inputs",#N/A,FALSE,"Mgmt Forecast";"calculations",#N/A,FALSE,"Mgmt Forecast"}</definedName>
    <definedName name="book1" localSheetId="14" hidden="1">{#N/A,#N/A,TRUE,"Y생산";#N/A,#N/A,TRUE,"Y판매";#N/A,#N/A,TRUE,"Y총물량";#N/A,#N/A,TRUE,"Y능력";#N/A,#N/A,TRUE,"YKD"}</definedName>
    <definedName name="book1" hidden="1">{#N/A,#N/A,TRUE,"Y생산";#N/A,#N/A,TRUE,"Y판매";#N/A,#N/A,TRUE,"Y총물량";#N/A,#N/A,TRUE,"Y능력";#N/A,#N/A,TRUE,"YKD"}</definedName>
    <definedName name="book3" localSheetId="14" hidden="1">#REF!</definedName>
    <definedName name="book3" hidden="1">#REF!</definedName>
    <definedName name="bsc" localSheetId="14" hidden="1">{#N/A,#N/A,FALSE,"손익표지";#N/A,#N/A,FALSE,"손익계산";#N/A,#N/A,FALSE,"일반관리비";#N/A,#N/A,FALSE,"영업외수익";#N/A,#N/A,FALSE,"영업외비용";#N/A,#N/A,FALSE,"매출액";#N/A,#N/A,FALSE,"요약손익";#N/A,#N/A,FALSE,"요약대차";#N/A,#N/A,FALSE,"매출채권현황";#N/A,#N/A,FALSE,"매출채권명세"}</definedName>
    <definedName name="bsc" localSheetId="13" hidden="1">{#N/A,#N/A,FALSE,"손익표지";#N/A,#N/A,FALSE,"손익계산";#N/A,#N/A,FALSE,"일반관리비";#N/A,#N/A,FALSE,"영업외수익";#N/A,#N/A,FALSE,"영업외비용";#N/A,#N/A,FALSE,"매출액";#N/A,#N/A,FALSE,"요약손익";#N/A,#N/A,FALSE,"요약대차";#N/A,#N/A,FALSE,"매출채권현황";#N/A,#N/A,FALSE,"매출채권명세"}</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차이내역" localSheetId="14" hidden="1">{#N/A,#N/A,FALSE,"정공"}</definedName>
    <definedName name="BS차이내역" hidden="1">{#N/A,#N/A,FALSE,"정공"}</definedName>
    <definedName name="BYG" localSheetId="14" hidden="1">{#N/A,#N/A,FALSE,"손익표지";#N/A,#N/A,FALSE,"손익계산";#N/A,#N/A,FALSE,"일반관리비";#N/A,#N/A,FALSE,"영업외수익";#N/A,#N/A,FALSE,"영업외비용";#N/A,#N/A,FALSE,"매출액";#N/A,#N/A,FALSE,"요약손익";#N/A,#N/A,FALSE,"요약대차";#N/A,#N/A,FALSE,"매출채권현황";#N/A,#N/A,FALSE,"매출채권명세"}</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삼">#REF!</definedName>
    <definedName name="C_">[29]일반관리비!#REF!</definedName>
    <definedName name="CAE해석" localSheetId="14" hidden="1">{#N/A,#N/A,FALSE,"단축1";#N/A,#N/A,FALSE,"단축2";#N/A,#N/A,FALSE,"단축3";#N/A,#N/A,FALSE,"장축";#N/A,#N/A,FALSE,"4WD"}</definedName>
    <definedName name="CAE해석" hidden="1">{#N/A,#N/A,FALSE,"단축1";#N/A,#N/A,FALSE,"단축2";#N/A,#N/A,FALSE,"단축3";#N/A,#N/A,FALSE,"장축";#N/A,#N/A,FALSE,"4WD"}</definedName>
    <definedName name="CAPA" localSheetId="14" hidden="1">{#N/A,#N/A,FALSE,"단축1";#N/A,#N/A,FALSE,"단축2";#N/A,#N/A,FALSE,"단축3";#N/A,#N/A,FALSE,"장축";#N/A,#N/A,FALSE,"4WD"}</definedName>
    <definedName name="CAPA" hidden="1">{#N/A,#N/A,FALSE,"단축1";#N/A,#N/A,FALSE,"단축2";#N/A,#N/A,FALSE,"단축3";#N/A,#N/A,FALSE,"장축";#N/A,#N/A,FALSE,"4WD"}</definedName>
    <definedName name="capitalized" localSheetId="14" hidden="1">{#N/A,#N/A,FALSE,"Title Page";#N/A,#N/A,FALSE,"Conclusions";#N/A,#N/A,FALSE,"Assum.";#N/A,#N/A,FALSE,"Sun  DCF-WC-Dep";#N/A,#N/A,FALSE,"MarketValue";#N/A,#N/A,FALSE,"BalSheet";#N/A,#N/A,FALSE,"WACC";#N/A,#N/A,FALSE,"PC+ Info.";#N/A,#N/A,FALSE,"PC+Info_2"}</definedName>
    <definedName name="capitalized" localSheetId="13" hidden="1">{#N/A,#N/A,FALSE,"Title Page";#N/A,#N/A,FALSE,"Conclusions";#N/A,#N/A,FALSE,"Assum.";#N/A,#N/A,FALSE,"Sun  DCF-WC-Dep";#N/A,#N/A,FALSE,"MarketValue";#N/A,#N/A,FALSE,"BalSheet";#N/A,#N/A,FALSE,"WACC";#N/A,#N/A,FALSE,"PC+ Info.";#N/A,#N/A,FALSE,"PC+Info_2"}</definedName>
    <definedName name="capitalized" hidden="1">{#N/A,#N/A,FALSE,"Title Page";#N/A,#N/A,FALSE,"Conclusions";#N/A,#N/A,FALSE,"Assum.";#N/A,#N/A,FALSE,"Sun  DCF-WC-Dep";#N/A,#N/A,FALSE,"MarketValue";#N/A,#N/A,FALSE,"BalSheet";#N/A,#N/A,FALSE,"WACC";#N/A,#N/A,FALSE,"PC+ Info.";#N/A,#N/A,FALSE,"PC+Info_2"}</definedName>
    <definedName name="CAS" localSheetId="14"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SH" hidden="1">{#N/A,#N/A,FALSE,"PART-1234-8-12-9(41)";#N/A,#N/A,FALSE,"PARTS-2(3)";#N/A,#N/A,FALSE,"VAN SYSTEM";#N/A,#N/A,FALSE,"PARTS-10(26)";#N/A,#N/A,FALSE,"PART-5-6-7-11(14)";#N/A,#N/A,FALSE,"PARTS-4(3)";#N/A,#N/A,FALSE,"PCLASS"}</definedName>
    <definedName name="catch방안" localSheetId="14"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c" localSheetId="14" hidden="1">{#N/A,#N/A,FALSE,"손익표지";#N/A,#N/A,FALSE,"손익계산";#N/A,#N/A,FALSE,"일반관리비";#N/A,#N/A,FALSE,"영업외수익";#N/A,#N/A,FALSE,"영업외비용";#N/A,#N/A,FALSE,"매출액";#N/A,#N/A,FALSE,"요약손익";#N/A,#N/A,FALSE,"요약대차";#N/A,#N/A,FALSE,"매출채권현황";#N/A,#N/A,FALSE,"매출채권명세"}</definedName>
    <definedName name="cc" localSheetId="13" hidden="1">{#N/A,#N/A,FALSE,"손익표지";#N/A,#N/A,FALSE,"손익계산";#N/A,#N/A,FALSE,"일반관리비";#N/A,#N/A,FALSE,"영업외수익";#N/A,#N/A,FALSE,"영업외비용";#N/A,#N/A,FALSE,"매출액";#N/A,#N/A,FALSE,"요약손익";#N/A,#N/A,FALSE,"요약대차";#N/A,#N/A,FALSE,"매출채권현황";#N/A,#N/A,FALSE,"매출채권명세"}</definedName>
    <definedName name="cc" hidden="1">{#N/A,#N/A,FALSE,"손익표지";#N/A,#N/A,FALSE,"손익계산";#N/A,#N/A,FALSE,"일반관리비";#N/A,#N/A,FALSE,"영업외수익";#N/A,#N/A,FALSE,"영업외비용";#N/A,#N/A,FALSE,"매출액";#N/A,#N/A,FALSE,"요약손익";#N/A,#N/A,FALSE,"요약대차";#N/A,#N/A,FALSE,"매출채권현황";#N/A,#N/A,FALSE,"매출채권명세"}</definedName>
    <definedName name="CCCCCCCCCCCCCC" localSheetId="14" hidden="1">{#N/A,#N/A,FALSE,"KMC최종회의(7월) 자료"}</definedName>
    <definedName name="CCCCCCCCCCCCCC" hidden="1">{#N/A,#N/A,FALSE,"KMC최종회의(7월) 자료"}</definedName>
    <definedName name="CF요인" hidden="1">#REF!</definedName>
    <definedName name="CHD" localSheetId="14"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13"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31"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OI" localSheetId="14" hidden="1">{#N/A,#N/A,FALSE,"PART-1234-8-12-9(41)";#N/A,#N/A,FALSE,"PARTS-2(3)";#N/A,#N/A,FALSE,"VAN SYSTEM";#N/A,#N/A,FALSE,"PARTS-10(26)";#N/A,#N/A,FALSE,"PART-5-6-7-11(14)";#N/A,#N/A,FALSE,"PARTS-4(3)";#N/A,#N/A,FALSE,"PCLASS"}</definedName>
    <definedName name="choi" hidden="1">{#N/A,#N/A,FALSE,"Australien";#N/A,#N/A,FALSE,"Birmingham";#N/A,#N/A,FALSE,"Brasilien";#N/A,#N/A,FALSE,"Prag";#N/A,#N/A,FALSE,"Spanien";#N/A,#N/A,FALSE,"Malaysia ( Com)";#N/A,#N/A,FALSE,"Malaysia (Instr)"}</definedName>
    <definedName name="ci" localSheetId="14" hidden="1">{#N/A,#N/A,FALSE,"단축1";#N/A,#N/A,FALSE,"단축2";#N/A,#N/A,FALSE,"단축3";#N/A,#N/A,FALSE,"장축";#N/A,#N/A,FALSE,"4WD"}</definedName>
    <definedName name="ci" hidden="1">{#N/A,#N/A,FALSE,"단축1";#N/A,#N/A,FALSE,"단축2";#N/A,#N/A,FALSE,"단축3";#N/A,#N/A,FALSE,"장축";#N/A,#N/A,FALSE,"4WD"}</definedName>
    <definedName name="ck" localSheetId="14" hidden="1">{"'분양원가'!$B$1:$F$113"}</definedName>
    <definedName name="ck" localSheetId="13" hidden="1">{"'분양원가'!$B$1:$F$113"}</definedName>
    <definedName name="ck" hidden="1">{"'분양원가'!$B$1:$F$113"}</definedName>
    <definedName name="claims" hidden="1">{#N/A,#N/A,TRUE,"DIVISION-MTH";"MANUFACTURING",#N/A,TRUE,"MANUF-MTH";#N/A,#N/A,TRUE,"TRADING-MTH";#N/A,#N/A,TRUE,"DIV-COSTS-MTH"}</definedName>
    <definedName name="CompanyName" localSheetId="14" hidden="1">#REF!</definedName>
    <definedName name="CompanyName" localSheetId="13" hidden="1">#REF!</definedName>
    <definedName name="CompanyName" localSheetId="27" hidden="1">#REF!</definedName>
    <definedName name="CompanyName" localSheetId="20" hidden="1">#REF!</definedName>
    <definedName name="CompanyName" hidden="1">#REF!</definedName>
    <definedName name="CONCEPT" localSheetId="14" hidden="1">{#N/A,#N/A,FALSE,"단축1";#N/A,#N/A,FALSE,"단축2";#N/A,#N/A,FALSE,"단축3";#N/A,#N/A,FALSE,"장축";#N/A,#N/A,FALSE,"4WD"}</definedName>
    <definedName name="CONCEPT" hidden="1">{#N/A,#N/A,FALSE,"단축1";#N/A,#N/A,FALSE,"단축2";#N/A,#N/A,FALSE,"단축3";#N/A,#N/A,FALSE,"장축";#N/A,#N/A,FALSE,"4WD"}</definedName>
    <definedName name="conter" hidden="1">{#N/A,#N/A,FALSE,"PART-1234-8-12-9(41)";#N/A,#N/A,FALSE,"PARTS-2(3)";#N/A,#N/A,FALSE,"VAN SYSTEM";#N/A,#N/A,FALSE,"PARTS-10(26)";#N/A,#N/A,FALSE,"PART-5-6-7-11(14)";#N/A,#N/A,FALSE,"PARTS-4(3)";#N/A,#N/A,FALSE,"PCLASS"}</definedName>
    <definedName name="COURSE" localSheetId="14" hidden="1">{#N/A,#N/A,FALSE,"KMC최종회의(7월) 자료"}</definedName>
    <definedName name="COURSE" hidden="1">{#N/A,#N/A,FALSE,"KMC최종회의(7월) 자료"}</definedName>
    <definedName name="csas" localSheetId="14" hidden="1">{#N/A,#N/A,FALSE,"KMC최종회의(7월) 자료"}</definedName>
    <definedName name="csas" hidden="1">{#N/A,#N/A,FALSE,"KMC최종회의(7월) 자료"}</definedName>
    <definedName name="ct" hidden="1">#REF!</definedName>
    <definedName name="CUMUP">#REF!</definedName>
    <definedName name="cvcvcvcv" hidden="1">{#N/A,#N/A,FALSE,"Hip.Bas";#N/A,#N/A,FALSE,"ventas";#N/A,#N/A,FALSE,"ingre-Año";#N/A,#N/A,FALSE,"ventas-Año";#N/A,#N/A,FALSE,"Costepro";#N/A,#N/A,FALSE,"inversion";#N/A,#N/A,FALSE,"personal";#N/A,#N/A,FALSE,"Gastos-V";#N/A,#N/A,FALSE,"Circulante";#N/A,#N/A,FALSE,"CONSOLI";#N/A,#N/A,FALSE,"Es-Fin";#N/A,#N/A,FALSE,"Margen-P"}</definedName>
    <definedName name="cvj" localSheetId="14" hidden="1">{#N/A,#N/A,FALSE,"KMC최종회의(7월) 자료"}</definedName>
    <definedName name="cvj" hidden="1">{#N/A,#N/A,FALSE,"KMC최종회의(7월) 자료"}</definedName>
    <definedName name="D" localSheetId="14" hidden="1">{#N/A,#N/A,FALSE,"97년 투자계획 세부내역 "}</definedName>
    <definedName name="d" hidden="1">{#N/A,#N/A,FALSE,"손익표지";#N/A,#N/A,FALSE,"손익계산";#N/A,#N/A,FALSE,"일반관리비";#N/A,#N/A,FALSE,"영업외수익";#N/A,#N/A,FALSE,"영업외비용";#N/A,#N/A,FALSE,"매출액";#N/A,#N/A,FALSE,"요약손익";#N/A,#N/A,FALSE,"요약대차";#N/A,#N/A,FALSE,"매출채권현황";#N/A,#N/A,FALSE,"매출채권명세"}</definedName>
    <definedName name="DAS" hidden="1">{#N/A,#N/A,FALSE,"지침";#N/A,#N/A,FALSE,"환경분석";#N/A,#N/A,FALSE,"Sheet16"}</definedName>
    <definedName name="_xlnm.Database">#REF!</definedName>
    <definedName name="date">[30]감가상각!$B$68</definedName>
    <definedName name="dbehgu" localSheetId="14" hidden="1">{#N/A,#N/A,FALSE,"손익표지";#N/A,#N/A,FALSE,"손익계산";#N/A,#N/A,FALSE,"일반관리비";#N/A,#N/A,FALSE,"영업외수익";#N/A,#N/A,FALSE,"영업외비용";#N/A,#N/A,FALSE,"매출액";#N/A,#N/A,FALSE,"요약손익";#N/A,#N/A,FALSE,"요약대차";#N/A,#N/A,FALSE,"매출채권현황";#N/A,#N/A,FALSE,"매출채권명세"}</definedName>
    <definedName name="dbehgu" hidden="1">{#N/A,#N/A,FALSE,"손익표지";#N/A,#N/A,FALSE,"손익계산";#N/A,#N/A,FALSE,"일반관리비";#N/A,#N/A,FALSE,"영업외수익";#N/A,#N/A,FALSE,"영업외비용";#N/A,#N/A,FALSE,"매출액";#N/A,#N/A,FALSE,"요약손익";#N/A,#N/A,FALSE,"요약대차";#N/A,#N/A,FALSE,"매출채권현황";#N/A,#N/A,FALSE,"매출채권명세"}</definedName>
    <definedName name="DC" localSheetId="14" hidden="1">{#N/A,#N/A,FALSE,"단축1";#N/A,#N/A,FALSE,"단축2";#N/A,#N/A,FALSE,"단축3";#N/A,#N/A,FALSE,"장축";#N/A,#N/A,FALSE,"4WD"}</definedName>
    <definedName name="DC" hidden="1">{#N/A,#N/A,FALSE,"단축1";#N/A,#N/A,FALSE,"단축2";#N/A,#N/A,FALSE,"단축3";#N/A,#N/A,FALSE,"장축";#N/A,#N/A,FALSE,"4WD"}</definedName>
    <definedName name="dd" localSheetId="14" hidden="1">{#N/A,#N/A,FALSE,"BS";#N/A,#N/A,FALSE,"PL";#N/A,#N/A,FALSE,"처분";#N/A,#N/A,FALSE,"현금";#N/A,#N/A,FALSE,"매출";#N/A,#N/A,FALSE,"원가";#N/A,#N/A,FALSE,"경영"}</definedName>
    <definedName name="dd" localSheetId="13" hidden="1">{#N/A,#N/A,FALSE,"BS";#N/A,#N/A,FALSE,"PL";#N/A,#N/A,FALSE,"처분";#N/A,#N/A,FALSE,"현금";#N/A,#N/A,FALSE,"매출";#N/A,#N/A,FALSE,"원가";#N/A,#N/A,FALSE,"경영"}</definedName>
    <definedName name="dd" hidden="1">{#N/A,#N/A,FALSE,"BS";#N/A,#N/A,FALSE,"PL";#N/A,#N/A,FALSE,"처분";#N/A,#N/A,FALSE,"현금";#N/A,#N/A,FALSE,"매출";#N/A,#N/A,FALSE,"원가";#N/A,#N/A,FALSE,"경영"}</definedName>
    <definedName name="dda" hidden="1">#REF!</definedName>
    <definedName name="ddd" localSheetId="14" hidden="1">{"by departments",#N/A,TRUE,"FORECAST";"cap_headcount",#N/A,TRUE,"FORECAST";"summary",#N/A,TRUE,"FORECAST"}</definedName>
    <definedName name="ddd" localSheetId="13" hidden="1">{"by departments",#N/A,TRUE,"FORECAST";"cap_headcount",#N/A,TRUE,"FORECAST";"summary",#N/A,TRUE,"FORECAST"}</definedName>
    <definedName name="DDD" localSheetId="31" hidden="1">{#N/A,#N/A,FALSE,"손익표지";#N/A,#N/A,FALSE,"손익계산";#N/A,#N/A,FALSE,"일반관리비";#N/A,#N/A,FALSE,"영업외수익";#N/A,#N/A,FALSE,"영업외비용";#N/A,#N/A,FALSE,"매출액";#N/A,#N/A,FALSE,"요약손익";#N/A,#N/A,FALSE,"요약대차";#N/A,#N/A,FALSE,"매출채권현황";#N/A,#N/A,FALSE,"매출채권명세"}</definedName>
    <definedName name="ddd" hidden="1">{"by departments",#N/A,TRUE,"FORECAST";"cap_headcount",#N/A,TRUE,"FORECAST";"summary",#N/A,TRUE,"FORECAST"}</definedName>
    <definedName name="dddd" hidden="1">{#N/A,#N/A,FALSE,"Aging Summary";#N/A,#N/A,FALSE,"Ratio Analysis";#N/A,#N/A,FALSE,"Test 120 Day Accts";#N/A,#N/A,FALSE,"Tickmarks"}</definedName>
    <definedName name="DDDDD" localSheetId="14" hidden="1">{#N/A,#N/A,FALSE,"96 3월물량표";#N/A,#N/A,FALSE,"96 4월물량표";#N/A,#N/A,FALSE,"96 5월물량표"}</definedName>
    <definedName name="DDDDD" hidden="1">{#N/A,#N/A,FALSE,"96 3월물량표";#N/A,#N/A,FALSE,"96 4월물량표";#N/A,#N/A,FALSE,"96 5월물량표"}</definedName>
    <definedName name="dddfg" localSheetId="14" hidden="1">{#N/A,#N/A,FALSE,"정공"}</definedName>
    <definedName name="dddfg" hidden="1">{#N/A,#N/A,FALSE,"정공"}</definedName>
    <definedName name="DDE" localSheetId="14" hidden="1">{#N/A,#N/A,FALSE,"단축1";#N/A,#N/A,FALSE,"단축2";#N/A,#N/A,FALSE,"단축3";#N/A,#N/A,FALSE,"장축";#N/A,#N/A,FALSE,"4WD"}</definedName>
    <definedName name="DDE" hidden="1">{#N/A,#N/A,FALSE,"단축1";#N/A,#N/A,FALSE,"단축2";#N/A,#N/A,FALSE,"단축3";#N/A,#N/A,FALSE,"장축";#N/A,#N/A,FALSE,"4WD"}</definedName>
    <definedName name="dDFA" localSheetId="14" hidden="1">{#N/A,#N/A,FALSE,"단축1";#N/A,#N/A,FALSE,"단축2";#N/A,#N/A,FALSE,"단축3";#N/A,#N/A,FALSE,"장축";#N/A,#N/A,FALSE,"4WD"}</definedName>
    <definedName name="dDFA" hidden="1">{#N/A,#N/A,FALSE,"단축1";#N/A,#N/A,FALSE,"단축2";#N/A,#N/A,FALSE,"단축3";#N/A,#N/A,FALSE,"장축";#N/A,#N/A,FALSE,"4WD"}</definedName>
    <definedName name="DDong" hidden="1">{#N/A,#N/A,FALSE,"지침";#N/A,#N/A,FALSE,"환경분석";#N/A,#N/A,FALSE,"Sheet16"}</definedName>
    <definedName name="DDR" hidden="1">{#N/A,#N/A,FALSE,"지침";#N/A,#N/A,FALSE,"환경분석";#N/A,#N/A,FALSE,"Sheet16"}</definedName>
    <definedName name="deds" hidden="1">{#N/A,#N/A,FALSE,"Layout GuV"}</definedName>
    <definedName name="DEWDEWFQEW" localSheetId="14" hidden="1">{#N/A,#N/A,FALSE,"단축1";#N/A,#N/A,FALSE,"단축2";#N/A,#N/A,FALSE,"단축3";#N/A,#N/A,FALSE,"장축";#N/A,#N/A,FALSE,"4WD"}</definedName>
    <definedName name="DEWDEWFQEW" hidden="1">{#N/A,#N/A,FALSE,"단축1";#N/A,#N/A,FALSE,"단축2";#N/A,#N/A,FALSE,"단축3";#N/A,#N/A,FALSE,"장축";#N/A,#N/A,FALSE,"4WD"}</definedName>
    <definedName name="df" localSheetId="14" hidden="1">{#N/A,#N/A,TRUE,"DIVISION-MTH";"MANUFACTURING",#N/A,TRUE,"MANUF-MTH";#N/A,#N/A,TRUE,"TRADING-MTH";#N/A,#N/A,TRUE,"DIV-COSTS-MTH"}</definedName>
    <definedName name="DF" hidden="1">{#N/A,#N/A,FALSE,"손익표지";#N/A,#N/A,FALSE,"손익계산";#N/A,#N/A,FALSE,"일반관리비";#N/A,#N/A,FALSE,"영업외수익";#N/A,#N/A,FALSE,"영업외비용";#N/A,#N/A,FALSE,"매출액";#N/A,#N/A,FALSE,"요약손익";#N/A,#N/A,FALSE,"요약대차";#N/A,#N/A,FALSE,"매출채권현황";#N/A,#N/A,FALSE,"매출채권명세"}</definedName>
    <definedName name="DFA" localSheetId="14" hidden="1">{#N/A,#N/A,FALSE,"단축1";#N/A,#N/A,FALSE,"단축2";#N/A,#N/A,FALSE,"단축3";#N/A,#N/A,FALSE,"장축";#N/A,#N/A,FALSE,"4WD"}</definedName>
    <definedName name="DFA" hidden="1">{#N/A,#N/A,FALSE,"단축1";#N/A,#N/A,FALSE,"단축2";#N/A,#N/A,FALSE,"단축3";#N/A,#N/A,FALSE,"장축";#N/A,#N/A,FALSE,"4WD"}</definedName>
    <definedName name="DFASDFDS" localSheetId="14"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13" hidden="1">{#N/A,#N/A,FALSE,"손익표지";#N/A,#N/A,FALSE,"손익계산";#N/A,#N/A,FALSE,"일반관리비";#N/A,#N/A,FALSE,"영업외수익";#N/A,#N/A,FALSE,"영업외비용";#N/A,#N/A,FALSE,"매출액";#N/A,#N/A,FALSE,"요약손익";#N/A,#N/A,FALSE,"요약대차";#N/A,#N/A,FALSE,"매출채권현황";#N/A,#N/A,FALSE,"매출채권명세"}</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B"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FFGHHJJKLLL" hidden="1">{#N/A,#N/A,FALSE,"PART-1234-8-12-9(41)";#N/A,#N/A,FALSE,"PARTS-2(3)";#N/A,#N/A,FALSE,"VAN SYSTEM";#N/A,#N/A,FALSE,"PARTS-10(26)";#N/A,#N/A,FALSE,"PART-5-6-7-11(14)";#N/A,#N/A,FALSE,"PARTS-4(3)";#N/A,#N/A,FALSE,"PCLASS"}</definedName>
    <definedName name="dfg" hidden="1">{#N/A,#N/A,FALSE,"PART-1234-8-12-9(41)";#N/A,#N/A,FALSE,"PARTS-2(3)";#N/A,#N/A,FALSE,"VAN SYSTEM";#N/A,#N/A,FALSE,"PARTS-10(26)";#N/A,#N/A,FALSE,"PART-5-6-7-11(14)";#N/A,#N/A,FALSE,"PARTS-4(3)";#N/A,#N/A,FALSE,"PCLASS"}</definedName>
    <definedName name="dfgbbn" localSheetId="14" hidden="1">{#N/A,#N/A,TRUE,"Y생산";#N/A,#N/A,TRUE,"Y판매";#N/A,#N/A,TRUE,"Y총물량";#N/A,#N/A,TRUE,"Y능력";#N/A,#N/A,TRUE,"YKD"}</definedName>
    <definedName name="dfgbbn" hidden="1">{#N/A,#N/A,TRUE,"Y생산";#N/A,#N/A,TRUE,"Y판매";#N/A,#N/A,TRUE,"Y총물량";#N/A,#N/A,TRUE,"Y능력";#N/A,#N/A,TRUE,"YKD"}</definedName>
    <definedName name="DFGGGHHH" hidden="1">{#N/A,#N/A,FALSE,"PART-1234-8-12-9(41)";#N/A,#N/A,FALSE,"PARTS-2(3)";#N/A,#N/A,FALSE,"VAN SYSTEM";#N/A,#N/A,FALSE,"PARTS-10(26)";#N/A,#N/A,FALSE,"PART-5-6-7-11(14)";#N/A,#N/A,FALSE,"PARTS-4(3)";#N/A,#N/A,FALSE,"PCLASS"}</definedName>
    <definedName name="DFGGHHHHHJHJJ"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DFGHHHJK" hidden="1">{#N/A,#N/A,FALSE,"PART-1234-8-12-9(41)";#N/A,#N/A,FALSE,"PARTS-2(3)";#N/A,#N/A,FALSE,"VAN SYSTEM";#N/A,#N/A,FALSE,"PARTS-10(26)";#N/A,#N/A,FALSE,"PART-5-6-7-11(14)";#N/A,#N/A,FALSE,"PARTS-4(3)";#N/A,#N/A,FALSE,"PCLASS"}</definedName>
    <definedName name="DFGHHJK" hidden="1">{#N/A,#N/A,FALSE,"PART-1234-8-12-9(41)";#N/A,#N/A,FALSE,"PARTS-2(3)";#N/A,#N/A,FALSE,"VAN SYSTEM";#N/A,#N/A,FALSE,"PARTS-10(26)";#N/A,#N/A,FALSE,"PART-5-6-7-11(14)";#N/A,#N/A,FALSE,"PARTS-4(3)";#N/A,#N/A,FALSE,"PCLASS"}</definedName>
    <definedName name="DFGHJKLLL" hidden="1">{#N/A,#N/A,FALSE,"PART-1234-8-12-9(41)";#N/A,#N/A,FALSE,"PARTS-2(3)";#N/A,#N/A,FALSE,"VAN SYSTEM";#N/A,#N/A,FALSE,"PARTS-10(26)";#N/A,#N/A,FALSE,"PART-5-6-7-11(14)";#N/A,#N/A,FALSE,"PARTS-4(3)";#N/A,#N/A,FALSE,"PCLASS"}</definedName>
    <definedName name="dfgsdg" hidden="1">{#N/A,#N/A,FALSE,"PART-1234-8-12-9(41)";#N/A,#N/A,FALSE,"PARTS-2(3)";#N/A,#N/A,FALSE,"VAN SYSTEM";#N/A,#N/A,FALSE,"PARTS-10(26)";#N/A,#N/A,FALSE,"PART-5-6-7-11(14)";#N/A,#N/A,FALSE,"PARTS-4(3)";#N/A,#N/A,FALSE,"PCLASS"}</definedName>
    <definedName name="dfhfghj" hidden="1">{#N/A,#N/A,FALSE,"PART-1234-8-12-9(41)";#N/A,#N/A,FALSE,"PARTS-2(3)";#N/A,#N/A,FALSE,"VAN SYSTEM";#N/A,#N/A,FALSE,"PARTS-10(26)";#N/A,#N/A,FALSE,"PART-5-6-7-11(14)";#N/A,#N/A,FALSE,"PARTS-4(3)";#N/A,#N/A,FALSE,"PCLASS"}</definedName>
    <definedName name="dfhgsfhsf" hidden="1">{#N/A,#N/A,FALSE,"PART-1234-8-12-9(41)";#N/A,#N/A,FALSE,"PARTS-2(3)";#N/A,#N/A,FALSE,"VAN SYSTEM";#N/A,#N/A,FALSE,"PARTS-10(26)";#N/A,#N/A,FALSE,"PART-5-6-7-11(14)";#N/A,#N/A,FALSE,"PARTS-4(3)";#N/A,#N/A,FALSE,"PCLASS"}</definedName>
    <definedName name="DFHJ" localSheetId="14" hidden="1">{#N/A,#N/A,FALSE,"BS";#N/A,#N/A,FALSE,"PL";#N/A,#N/A,FALSE,"처분";#N/A,#N/A,FALSE,"현금";#N/A,#N/A,FALSE,"매출";#N/A,#N/A,FALSE,"원가";#N/A,#N/A,FALSE,"경영"}</definedName>
    <definedName name="DFHJ" localSheetId="13" hidden="1">{#N/A,#N/A,FALSE,"BS";#N/A,#N/A,FALSE,"PL";#N/A,#N/A,FALSE,"처분";#N/A,#N/A,FALSE,"현금";#N/A,#N/A,FALSE,"매출";#N/A,#N/A,FALSE,"원가";#N/A,#N/A,FALSE,"경영"}</definedName>
    <definedName name="DFHJ" hidden="1">{#N/A,#N/A,FALSE,"BS";#N/A,#N/A,FALSE,"PL";#N/A,#N/A,FALSE,"처분";#N/A,#N/A,FALSE,"현금";#N/A,#N/A,FALSE,"매출";#N/A,#N/A,FALSE,"원가";#N/A,#N/A,FALSE,"경영"}</definedName>
    <definedName name="dfjhgsj" localSheetId="14" hidden="1">{#N/A,#N/A,FALSE,"손익표지";#N/A,#N/A,FALSE,"손익계산";#N/A,#N/A,FALSE,"일반관리비";#N/A,#N/A,FALSE,"영업외수익";#N/A,#N/A,FALSE,"영업외비용";#N/A,#N/A,FALSE,"매출액";#N/A,#N/A,FALSE,"요약손익";#N/A,#N/A,FALSE,"요약대차";#N/A,#N/A,FALSE,"매출채권현황";#N/A,#N/A,FALSE,"매출채권명세"}</definedName>
    <definedName name="dfjhgsj" hidden="1">{#N/A,#N/A,FALSE,"손익표지";#N/A,#N/A,FALSE,"손익계산";#N/A,#N/A,FALSE,"일반관리비";#N/A,#N/A,FALSE,"영업외수익";#N/A,#N/A,FALSE,"영업외비용";#N/A,#N/A,FALSE,"매출액";#N/A,#N/A,FALSE,"요약손익";#N/A,#N/A,FALSE,"요약대차";#N/A,#N/A,FALSE,"매출채권현황";#N/A,#N/A,FALSE,"매출채권명세"}</definedName>
    <definedName name="DFMEA" localSheetId="14" hidden="1">{#N/A,#N/A,FALSE,"단축1";#N/A,#N/A,FALSE,"단축2";#N/A,#N/A,FALSE,"단축3";#N/A,#N/A,FALSE,"장축";#N/A,#N/A,FALSE,"4WD"}</definedName>
    <definedName name="DFMEA" hidden="1">{#N/A,#N/A,FALSE,"단축1";#N/A,#N/A,FALSE,"단축2";#N/A,#N/A,FALSE,"단축3";#N/A,#N/A,FALSE,"장축";#N/A,#N/A,FALSE,"4WD"}</definedName>
    <definedName name="dfsdfasdf" hidden="1">{#N/A,#N/A,FALSE,"Hip.Bas";#N/A,#N/A,FALSE,"ventas";#N/A,#N/A,FALSE,"ingre-Año";#N/A,#N/A,FALSE,"ventas-Año";#N/A,#N/A,FALSE,"Costepro";#N/A,#N/A,FALSE,"inversion";#N/A,#N/A,FALSE,"personal";#N/A,#N/A,FALSE,"Gastos-V";#N/A,#N/A,FALSE,"Circulante";#N/A,#N/A,FALSE,"CONSOLI";#N/A,#N/A,FALSE,"Es-Fin";#N/A,#N/A,FALSE,"Margen-P"}</definedName>
    <definedName name="dfvgfg" localSheetId="14" hidden="1">{#N/A,#N/A,FALSE,"BS";#N/A,#N/A,FALSE,"PL";#N/A,#N/A,FALSE,"처분";#N/A,#N/A,FALSE,"현금";#N/A,#N/A,FALSE,"매출";#N/A,#N/A,FALSE,"원가";#N/A,#N/A,FALSE,"경영"}</definedName>
    <definedName name="dfvgfg" localSheetId="13" hidden="1">{#N/A,#N/A,FALSE,"BS";#N/A,#N/A,FALSE,"PL";#N/A,#N/A,FALSE,"처분";#N/A,#N/A,FALSE,"현금";#N/A,#N/A,FALSE,"매출";#N/A,#N/A,FALSE,"원가";#N/A,#N/A,FALSE,"경영"}</definedName>
    <definedName name="dfvgfg" hidden="1">{#N/A,#N/A,FALSE,"BS";#N/A,#N/A,FALSE,"PL";#N/A,#N/A,FALSE,"처분";#N/A,#N/A,FALSE,"현금";#N/A,#N/A,FALSE,"매출";#N/A,#N/A,FALSE,"원가";#N/A,#N/A,FALSE,"경영"}</definedName>
    <definedName name="dgadg"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DGF" localSheetId="14" hidden="1">{#N/A,#N/A,FALSE,"단축1";#N/A,#N/A,FALSE,"단축2";#N/A,#N/A,FALSE,"단축3";#N/A,#N/A,FALSE,"장축";#N/A,#N/A,FALSE,"4WD"}</definedName>
    <definedName name="DGF" hidden="1">{#N/A,#N/A,FALSE,"단축1";#N/A,#N/A,FALSE,"단축2";#N/A,#N/A,FALSE,"단축3";#N/A,#N/A,FALSE,"장축";#N/A,#N/A,FALSE,"4WD"}</definedName>
    <definedName name="dgfhgf" hidden="1">{#N/A,#N/A,FALSE,"ORIX CSC"}</definedName>
    <definedName name="dgfrhg" localSheetId="14" hidden="1">{#N/A,#N/A,TRUE,"Y생산";#N/A,#N/A,TRUE,"Y판매";#N/A,#N/A,TRUE,"Y총물량";#N/A,#N/A,TRUE,"Y능력";#N/A,#N/A,TRUE,"YKD"}</definedName>
    <definedName name="dgfrhg" hidden="1">{#N/A,#N/A,TRUE,"Y생산";#N/A,#N/A,TRUE,"Y판매";#N/A,#N/A,TRUE,"Y총물량";#N/A,#N/A,TRUE,"Y능력";#N/A,#N/A,TRUE,"YKD"}</definedName>
    <definedName name="DGJSRGH" localSheetId="14" hidden="1">{#N/A,#N/A,FALSE,"단축1";#N/A,#N/A,FALSE,"단축2";#N/A,#N/A,FALSE,"단축3";#N/A,#N/A,FALSE,"장축";#N/A,#N/A,FALSE,"4WD"}</definedName>
    <definedName name="DGJSRGH" hidden="1">{#N/A,#N/A,FALSE,"단축1";#N/A,#N/A,FALSE,"단축2";#N/A,#N/A,FALSE,"단축3";#N/A,#N/A,FALSE,"장축";#N/A,#N/A,FALSE,"4WD"}</definedName>
    <definedName name="dh" localSheetId="14" hidden="1">{#N/A,#N/A,FALSE,"손익표지";#N/A,#N/A,FALSE,"손익계산";#N/A,#N/A,FALSE,"일반관리비";#N/A,#N/A,FALSE,"영업외수익";#N/A,#N/A,FALSE,"영업외비용";#N/A,#N/A,FALSE,"매출액";#N/A,#N/A,FALSE,"요약손익";#N/A,#N/A,FALSE,"요약대차";#N/A,#N/A,FALSE,"매출채권현황";#N/A,#N/A,FALSE,"매출채권명세"}</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fls" localSheetId="14" hidden="1">{#N/A,#N/A,FALSE,"손익표지";#N/A,#N/A,FALSE,"손익계산";#N/A,#N/A,FALSE,"일반관리비";#N/A,#N/A,FALSE,"영업외수익";#N/A,#N/A,FALSE,"영업외비용";#N/A,#N/A,FALSE,"매출액";#N/A,#N/A,FALSE,"요약손익";#N/A,#N/A,FALSE,"요약대차";#N/A,#N/A,FALSE,"매출채권현황";#N/A,#N/A,FALSE,"매출채권명세"}</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gdh" hidden="1">{"mgmt forecast",#N/A,FALSE,"Mgmt Forecast";"dcf table",#N/A,FALSE,"Mgmt Forecast";"sensitivity",#N/A,FALSE,"Mgmt Forecast";"table inputs",#N/A,FALSE,"Mgmt Forecast";"calculations",#N/A,FALSE,"Mgmt Forecast"}</definedName>
    <definedName name="DIDTLR" localSheetId="14" hidden="1">{#N/A,#N/A,FALSE,"KMC최종회의(7월) 자료"}</definedName>
    <definedName name="DIDTLR" hidden="1">{#N/A,#N/A,FALSE,"KMC최종회의(7월) 자료"}</definedName>
    <definedName name="dj"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DJDJDJD"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DJFHJ" localSheetId="14" hidden="1">{#N/A,#N/A,FALSE,"단축1";#N/A,#N/A,FALSE,"단축2";#N/A,#N/A,FALSE,"단축3";#N/A,#N/A,FALSE,"장축";#N/A,#N/A,FALSE,"4WD"}</definedName>
    <definedName name="DJFHJ" hidden="1">{#N/A,#N/A,FALSE,"단축1";#N/A,#N/A,FALSE,"단축2";#N/A,#N/A,FALSE,"단축3";#N/A,#N/A,FALSE,"장축";#N/A,#N/A,FALSE,"4WD"}</definedName>
    <definedName name="djfkajre" localSheetId="14" hidden="1">{#N/A,#N/A,FALSE,"손익표지";#N/A,#N/A,FALSE,"손익계산";#N/A,#N/A,FALSE,"일반관리비";#N/A,#N/A,FALSE,"영업외수익";#N/A,#N/A,FALSE,"영업외비용";#N/A,#N/A,FALSE,"매출액";#N/A,#N/A,FALSE,"요약손익";#N/A,#N/A,FALSE,"요약대차";#N/A,#N/A,FALSE,"매출채권현황";#N/A,#N/A,FALSE,"매출채권명세"}</definedName>
    <definedName name="djfkajre" hidden="1">{#N/A,#N/A,FALSE,"손익표지";#N/A,#N/A,FALSE,"손익계산";#N/A,#N/A,FALSE,"일반관리비";#N/A,#N/A,FALSE,"영업외수익";#N/A,#N/A,FALSE,"영업외비용";#N/A,#N/A,FALSE,"매출액";#N/A,#N/A,FALSE,"요약손익";#N/A,#N/A,FALSE,"요약대차";#N/A,#N/A,FALSE,"매출채권현황";#N/A,#N/A,FALSE,"매출채권명세"}</definedName>
    <definedName name="DJGHJ" localSheetId="14" hidden="1">{#N/A,#N/A,FALSE,"단축1";#N/A,#N/A,FALSE,"단축2";#N/A,#N/A,FALSE,"단축3";#N/A,#N/A,FALSE,"장축";#N/A,#N/A,FALSE,"4WD"}</definedName>
    <definedName name="DJGHJ" hidden="1">{#N/A,#N/A,FALSE,"단축1";#N/A,#N/A,FALSE,"단축2";#N/A,#N/A,FALSE,"단축3";#N/A,#N/A,FALSE,"장축";#N/A,#N/A,FALSE,"4WD"}</definedName>
    <definedName name="DJHD" localSheetId="14" hidden="1">{#N/A,#N/A,FALSE,"단축1";#N/A,#N/A,FALSE,"단축2";#N/A,#N/A,FALSE,"단축3";#N/A,#N/A,FALSE,"장축";#N/A,#N/A,FALSE,"4WD"}</definedName>
    <definedName name="DJHD" hidden="1">{#N/A,#N/A,FALSE,"단축1";#N/A,#N/A,FALSE,"단축2";#N/A,#N/A,FALSE,"단축3";#N/A,#N/A,FALSE,"장축";#N/A,#N/A,FALSE,"4WD"}</definedName>
    <definedName name="DJQ" hidden="1">{#N/A,#N/A,FALSE,"PART-1234-8-12-9(41)";#N/A,#N/A,FALSE,"PARTS-2(3)";#N/A,#N/A,FALSE,"VAN SYSTEM";#N/A,#N/A,FALSE,"PARTS-10(26)";#N/A,#N/A,FALSE,"PART-5-6-7-11(14)";#N/A,#N/A,FALSE,"PARTS-4(3)";#N/A,#N/A,FALSE,"PCLASS"}</definedName>
    <definedName name="dkdk" localSheetId="14" hidden="1">{"'미착금액'!$A$4:$G$14"}</definedName>
    <definedName name="dkdk" localSheetId="13" hidden="1">{"'미착금액'!$A$4:$G$14"}</definedName>
    <definedName name="dkdk" hidden="1">{"'미착금액'!$A$4:$G$14"}</definedName>
    <definedName name="DKDKDKD"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dkf" localSheetId="14" hidden="1">{#N/A,#N/A,FALSE,"단축1";#N/A,#N/A,FALSE,"단축2";#N/A,#N/A,FALSE,"단축3";#N/A,#N/A,FALSE,"장축";#N/A,#N/A,FALSE,"4WD"}</definedName>
    <definedName name="dkf" hidden="1">{#N/A,#N/A,FALSE,"단축1";#N/A,#N/A,FALSE,"단축2";#N/A,#N/A,FALSE,"단축3";#N/A,#N/A,FALSE,"장축";#N/A,#N/A,FALSE,"4WD"}</definedName>
    <definedName name="DKS"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DLAKL" localSheetId="14" hidden="1">{#N/A,#N/A,TRUE,"Y생산";#N/A,#N/A,TRUE,"Y판매";#N/A,#N/A,TRUE,"Y총물량";#N/A,#N/A,TRUE,"Y능력";#N/A,#N/A,TRUE,"YKD"}</definedName>
    <definedName name="DLAKL" hidden="1">{#N/A,#N/A,TRUE,"Y생산";#N/A,#N/A,TRUE,"Y판매";#N/A,#N/A,TRUE,"Y총물량";#N/A,#N/A,TRUE,"Y능력";#N/A,#N/A,TRUE,"YKD"}</definedName>
    <definedName name="DLATL" localSheetId="14" hidden="1">{#N/A,#N/A,FALSE,"단축1";#N/A,#N/A,FALSE,"단축2";#N/A,#N/A,FALSE,"단축3";#N/A,#N/A,FALSE,"장축";#N/A,#N/A,FALSE,"4WD"}</definedName>
    <definedName name="DLATL" hidden="1">{#N/A,#N/A,FALSE,"단축1";#N/A,#N/A,FALSE,"단축2";#N/A,#N/A,FALSE,"단축3";#N/A,#N/A,FALSE,"장축";#N/A,#N/A,FALSE,"4WD"}</definedName>
    <definedName name="DLEHD" localSheetId="14" hidden="1">{#N/A,#N/A,FALSE,"정공"}</definedName>
    <definedName name="DLEHD" hidden="1">{#N/A,#N/A,FALSE,"정공"}</definedName>
    <definedName name="DLRHD" localSheetId="14" hidden="1">{#N/A,#N/A,FALSE,"KMC최종회의(7월) 자료"}</definedName>
    <definedName name="DLRHD" hidden="1">{#N/A,#N/A,FALSE,"KMC최종회의(7월) 자료"}</definedName>
    <definedName name="DLS" localSheetId="14" hidden="1">{#N/A,#N/A,TRUE,"Y생산";#N/A,#N/A,TRUE,"Y판매";#N/A,#N/A,TRUE,"Y총물량";#N/A,#N/A,TRUE,"Y능력";#N/A,#N/A,TRUE,"YKD"}</definedName>
    <definedName name="DLS" hidden="1">{#N/A,#N/A,TRUE,"Y생산";#N/A,#N/A,TRUE,"Y판매";#N/A,#N/A,TRUE,"Y총물량";#N/A,#N/A,TRUE,"Y능력";#N/A,#N/A,TRUE,"YKD"}</definedName>
    <definedName name="DLTKDSJ" hidden="1">{#N/A,#N/A,FALSE,"PART-1234-8-12-9(41)";#N/A,#N/A,FALSE,"PARTS-2(3)";#N/A,#N/A,FALSE,"VAN SYSTEM";#N/A,#N/A,FALSE,"PARTS-10(26)";#N/A,#N/A,FALSE,"PART-5-6-7-11(14)";#N/A,#N/A,FALSE,"PARTS-4(3)";#N/A,#N/A,FALSE,"PCLASS"}</definedName>
    <definedName name="dluqdn" localSheetId="14" hidden="1">#REF!</definedName>
    <definedName name="dluqdn" hidden="1">#REF!</definedName>
    <definedName name="DME_BeforeCloseCompleted" hidden="1">"True"</definedName>
    <definedName name="DME_LocalFile" hidden="1">"True"</definedName>
    <definedName name="dn" localSheetId="14" hidden="1">{"'5'!$A$1:$BB$147"}</definedName>
    <definedName name="dn" hidden="1">{"'5'!$A$1:$BB$147"}</definedName>
    <definedName name="DNFL" hidden="1">{#N/A,#N/A,FALSE,"PART-1234-8-12-9(41)";#N/A,#N/A,FALSE,"PARTS-2(3)";#N/A,#N/A,FALSE,"VAN SYSTEM";#N/A,#N/A,FALSE,"PARTS-10(26)";#N/A,#N/A,FALSE,"PART-5-6-7-11(14)";#N/A,#N/A,FALSE,"PARTS-4(3)";#N/A,#N/A,FALSE,"PCLASS"}</definedName>
    <definedName name="DOGUB">#REF!</definedName>
    <definedName name="DOM" localSheetId="14" hidden="1">{"'tel2'!$B$29:$J$45","'tel2'!$A$5:$G$19","'tel2'!$B$50:$F$57","'tel2'!$B$105:$G$110","'tel2'!$B$63:$H$85","'tel2'!$B$14:$G$18","'tel2'!$B$29:$C$29"}</definedName>
    <definedName name="DOM" hidden="1">{"'tel2'!$B$29:$J$45","'tel2'!$A$5:$G$19","'tel2'!$B$50:$F$57","'tel2'!$B$105:$G$110","'tel2'!$B$63:$H$85","'tel2'!$B$14:$G$18","'tel2'!$B$29:$C$29"}</definedName>
    <definedName name="DRECXES" localSheetId="14" hidden="1">{#N/A,#N/A,FALSE,"KMC최종회의(7월) 자료"}</definedName>
    <definedName name="DRECXES" hidden="1">{#N/A,#N/A,FALSE,"KMC최종회의(7월) 자료"}</definedName>
    <definedName name="DRIVEABILITY" localSheetId="14" hidden="1">{#N/A,#N/A,FALSE,"단축1";#N/A,#N/A,FALSE,"단축2";#N/A,#N/A,FALSE,"단축3";#N/A,#N/A,FALSE,"장축";#N/A,#N/A,FALSE,"4WD"}</definedName>
    <definedName name="DRIVEABILITY" hidden="1">{#N/A,#N/A,FALSE,"단축1";#N/A,#N/A,FALSE,"단축2";#N/A,#N/A,FALSE,"단축3";#N/A,#N/A,FALSE,"장축";#N/A,#N/A,FALSE,"4WD"}</definedName>
    <definedName name="ds" localSheetId="14" hidden="1">{#N/A,#N/A,FALSE,"손익표지";#N/A,#N/A,FALSE,"손익계산";#N/A,#N/A,FALSE,"일반관리비";#N/A,#N/A,FALSE,"영업외수익";#N/A,#N/A,FALSE,"영업외비용";#N/A,#N/A,FALSE,"매출액";#N/A,#N/A,FALSE,"요약손익";#N/A,#N/A,FALSE,"요약대차";#N/A,#N/A,FALSE,"매출채권현황";#N/A,#N/A,FALSE,"매출채권명세"}</definedName>
    <definedName name="ds" hidden="1">{#N/A,#N/A,FALSE,"손익표지";#N/A,#N/A,FALSE,"손익계산";#N/A,#N/A,FALSE,"일반관리비";#N/A,#N/A,FALSE,"영업외수익";#N/A,#N/A,FALSE,"영업외비용";#N/A,#N/A,FALSE,"매출액";#N/A,#N/A,FALSE,"요약손익";#N/A,#N/A,FALSE,"요약대차";#N/A,#N/A,FALSE,"매출채권현황";#N/A,#N/A,FALSE,"매출채권명세"}</definedName>
    <definedName name="dsa" localSheetId="14" hidden="1">{#N/A,#N/A,FALSE,"KMC최종회의(7월) 자료"}</definedName>
    <definedName name="dsa" hidden="1">{#N/A,#N/A,FALSE,"KMC최종회의(7월) 자료"}</definedName>
    <definedName name="DSAFAHSDHFDHF" localSheetId="14"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13" hidden="1">{#N/A,#N/A,FALSE,"손익표지";#N/A,#N/A,FALSE,"손익계산";#N/A,#N/A,FALSE,"일반관리비";#N/A,#N/A,FALSE,"영업외수익";#N/A,#N/A,FALSE,"영업외비용";#N/A,#N/A,FALSE,"매출액";#N/A,#N/A,FALSE,"요약손익";#N/A,#N/A,FALSE,"요약대차";#N/A,#N/A,FALSE,"매출채권현황";#N/A,#N/A,FALSE,"매출채권명세"}</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asf" localSheetId="14" hidden="1">{#N/A,#N/A,FALSE,"KMC최종회의(7월) 자료"}</definedName>
    <definedName name="dsasf" hidden="1">{#N/A,#N/A,FALSE,"KMC최종회의(7월) 자료"}</definedName>
    <definedName name="dsewq" localSheetId="14" hidden="1">{#N/A,#N/A,FALSE,"KMC최종회의(7월) 자료"}</definedName>
    <definedName name="dsewq" hidden="1">{#N/A,#N/A,FALSE,"KMC최종회의(7월) 자료"}</definedName>
    <definedName name="dsfwe" localSheetId="14" hidden="1">{#N/A,#N/A,TRUE,"Y생산";#N/A,#N/A,TRUE,"Y판매";#N/A,#N/A,TRUE,"Y총물량";#N/A,#N/A,TRUE,"Y능력";#N/A,#N/A,TRUE,"YKD"}</definedName>
    <definedName name="dsfwe" hidden="1">{#N/A,#N/A,TRUE,"Y생산";#N/A,#N/A,TRUE,"Y판매";#N/A,#N/A,TRUE,"Y총물량";#N/A,#N/A,TRUE,"Y능력";#N/A,#N/A,TRUE,"YKD"}</definedName>
    <definedName name="dud" hidden="1">{#N/A,#N/A,FALSE,"Aging Summary";#N/A,#N/A,FALSE,"Ratio Analysis";#N/A,#N/A,FALSE,"Test 120 Day Accts";#N/A,#N/A,FALSE,"Tickmarks"}</definedName>
    <definedName name="dusrn" localSheetId="14" hidden="1">#REF!</definedName>
    <definedName name="dusrn" hidden="1">#REF!</definedName>
    <definedName name="e" localSheetId="14"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e" hidden="1">{#N/A,#N/A,FALSE,"손익표지";#N/A,#N/A,FALSE,"손익계산";#N/A,#N/A,FALSE,"일반관리비";#N/A,#N/A,FALSE,"영업외수익";#N/A,#N/A,FALSE,"영업외비용";#N/A,#N/A,FALSE,"매출액";#N/A,#N/A,FALSE,"요약손익";#N/A,#N/A,FALSE,"요약대차";#N/A,#N/A,FALSE,"매출채권현황";#N/A,#N/A,FALSE,"매출채권명세"}</definedName>
    <definedName name="E32E2" localSheetId="14" hidden="1">{#N/A,#N/A,FALSE,"단축1";#N/A,#N/A,FALSE,"단축2";#N/A,#N/A,FALSE,"단축3";#N/A,#N/A,FALSE,"장축";#N/A,#N/A,FALSE,"4WD"}</definedName>
    <definedName name="E32E2" hidden="1">{#N/A,#N/A,FALSE,"단축1";#N/A,#N/A,FALSE,"단축2";#N/A,#N/A,FALSE,"단축3";#N/A,#N/A,FALSE,"장축";#N/A,#N/A,FALSE,"4WD"}</definedName>
    <definedName name="e32r" localSheetId="14" hidden="1">[4]목표세부명세!#REF!</definedName>
    <definedName name="e32r" hidden="1">[4]목표세부명세!#REF!</definedName>
    <definedName name="ea" localSheetId="14" hidden="1">#REF!</definedName>
    <definedName name="ea" hidden="1">#REF!</definedName>
    <definedName name="EADAF" localSheetId="14" hidden="1">{#N/A,#N/A,FALSE,"단축1";#N/A,#N/A,FALSE,"단축2";#N/A,#N/A,FALSE,"단축3";#N/A,#N/A,FALSE,"장축";#N/A,#N/A,FALSE,"4WD"}</definedName>
    <definedName name="EADAF" hidden="1">{#N/A,#N/A,FALSE,"단축1";#N/A,#N/A,FALSE,"단축2";#N/A,#N/A,FALSE,"단축3";#N/A,#N/A,FALSE,"장축";#N/A,#N/A,FALSE,"4WD"}</definedName>
    <definedName name="EAWR" localSheetId="14" hidden="1">{#N/A,#N/A,FALSE,"단축1";#N/A,#N/A,FALSE,"단축2";#N/A,#N/A,FALSE,"단축3";#N/A,#N/A,FALSE,"장축";#N/A,#N/A,FALSE,"4WD"}</definedName>
    <definedName name="EAWR" hidden="1">{#N/A,#N/A,FALSE,"단축1";#N/A,#N/A,FALSE,"단축2";#N/A,#N/A,FALSE,"단축3";#N/A,#N/A,FALSE,"장축";#N/A,#N/A,FALSE,"4WD"}</definedName>
    <definedName name="ECART" localSheetId="14" hidden="1">{"Frgen",#N/A,FALSE,"A";"Résu",#N/A,FALSE,"A"}</definedName>
    <definedName name="ECART" localSheetId="13" hidden="1">{"Frgen",#N/A,FALSE,"A";"Résu",#N/A,FALSE,"A"}</definedName>
    <definedName name="ECART" hidden="1">{"Frgen",#N/A,FALSE,"A";"Résu",#N/A,FALSE,"A"}</definedName>
    <definedName name="ECC" localSheetId="14" hidden="1">{#N/A,#N/A,FALSE,"KMC최종회의(7월) 자료"}</definedName>
    <definedName name="ECC" hidden="1">{#N/A,#N/A,FALSE,"KMC최종회의(7월) 자료"}</definedName>
    <definedName name="ee" localSheetId="14" hidden="1">{#N/A,#N/A,FALSE,"97년 투자계획 세부내역 "}</definedName>
    <definedName name="ee" hidden="1">{#N/A,#N/A,FALSE,"손익표지";#N/A,#N/A,FALSE,"손익계산";#N/A,#N/A,FALSE,"일반관리비";#N/A,#N/A,FALSE,"영업외수익";#N/A,#N/A,FALSE,"영업외비용";#N/A,#N/A,FALSE,"매출액";#N/A,#N/A,FALSE,"요약손익";#N/A,#N/A,FALSE,"요약대차";#N/A,#N/A,FALSE,"매출채권현황";#N/A,#N/A,FALSE,"매출채권명세"}</definedName>
    <definedName name="EEDD" localSheetId="14" hidden="1">{#N/A,#N/A,FALSE,"KMC최종회의(7월) 자료"}</definedName>
    <definedName name="EEDD" hidden="1">{#N/A,#N/A,FALSE,"KMC최종회의(7월) 자료"}</definedName>
    <definedName name="EEE" localSheetId="14"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13" hidden="1">{#N/A,#N/A,FALSE,"손익표지";#N/A,#N/A,FALSE,"손익계산";#N/A,#N/A,FALSE,"일반관리비";#N/A,#N/A,FALSE,"영업외수익";#N/A,#N/A,FALSE,"영업외비용";#N/A,#N/A,FALSE,"매출액";#N/A,#N/A,FALSE,"요약손익";#N/A,#N/A,FALSE,"요약대차";#N/A,#N/A,FALSE,"매출채권현황";#N/A,#N/A,FALSE,"매출채권명세"}</definedName>
    <definedName name="EEE" hidden="1">{#N/A,#N/A,FALSE,"손익표지";#N/A,#N/A,FALSE,"손익계산";#N/A,#N/A,FALSE,"일반관리비";#N/A,#N/A,FALSE,"영업외수익";#N/A,#N/A,FALSE,"영업외비용";#N/A,#N/A,FALSE,"매출액";#N/A,#N/A,FALSE,"요약손익";#N/A,#N/A,FALSE,"요약대차";#N/A,#N/A,FALSE,"매출채권현황";#N/A,#N/A,FALSE,"매출채권명세"}</definedName>
    <definedName name="eeee" localSheetId="14" hidden="1">{#N/A,#N/A,FALSE,"손익표지";#N/A,#N/A,FALSE,"손익계산";#N/A,#N/A,FALSE,"일반관리비";#N/A,#N/A,FALSE,"영업외수익";#N/A,#N/A,FALSE,"영업외비용";#N/A,#N/A,FALSE,"매출액";#N/A,#N/A,FALSE,"요약손익";#N/A,#N/A,FALSE,"요약대차";#N/A,#N/A,FALSE,"매출채권현황";#N/A,#N/A,FALSE,"매출채권명세"}</definedName>
    <definedName name="eeee" localSheetId="13" hidden="1">{#N/A,#N/A,FALSE,"손익표지";#N/A,#N/A,FALSE,"손익계산";#N/A,#N/A,FALSE,"일반관리비";#N/A,#N/A,FALSE,"영업외수익";#N/A,#N/A,FALSE,"영업외비용";#N/A,#N/A,FALSE,"매출액";#N/A,#N/A,FALSE,"요약손익";#N/A,#N/A,FALSE,"요약대차";#N/A,#N/A,FALSE,"매출채권현황";#N/A,#N/A,FALSE,"매출채권명세"}</definedName>
    <definedName name="eeee" hidden="1">{#N/A,#N/A,FALSE,"손익표지";#N/A,#N/A,FALSE,"손익계산";#N/A,#N/A,FALSE,"일반관리비";#N/A,#N/A,FALSE,"영업외수익";#N/A,#N/A,FALSE,"영업외비용";#N/A,#N/A,FALSE,"매출액";#N/A,#N/A,FALSE,"요약손익";#N/A,#N/A,FALSE,"요약대차";#N/A,#N/A,FALSE,"매출채권현황";#N/A,#N/A,FALSE,"매출채권명세"}</definedName>
    <definedName name="EEEEE" localSheetId="14" hidden="1">{#N/A,#N/A,FALSE,"손익표지";#N/A,#N/A,FALSE,"손익계산";#N/A,#N/A,FALSE,"일반관리비";#N/A,#N/A,FALSE,"영업외수익";#N/A,#N/A,FALSE,"영업외비용";#N/A,#N/A,FALSE,"매출액";#N/A,#N/A,FALSE,"요약손익";#N/A,#N/A,FALSE,"요약대차";#N/A,#N/A,FALSE,"매출채권현황";#N/A,#N/A,FALSE,"매출채권명세"}</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localSheetId="14" hidden="1">{#N/A,#N/A,FALSE,"손익표지";#N/A,#N/A,FALSE,"손익계산";#N/A,#N/A,FALSE,"일반관리비";#N/A,#N/A,FALSE,"영업외수익";#N/A,#N/A,FALSE,"영업외비용";#N/A,#N/A,FALSE,"매출액";#N/A,#N/A,FALSE,"요약손익";#N/A,#N/A,FALSE,"요약대차";#N/A,#N/A,FALSE,"매출채권현황";#N/A,#N/A,FALSE,"매출채권명세"}</definedName>
    <definedName name="EEEEEE" hidden="1">{#N/A,#N/A,FALSE,"손익표지";#N/A,#N/A,FALSE,"손익계산";#N/A,#N/A,FALSE,"일반관리비";#N/A,#N/A,FALSE,"영업외수익";#N/A,#N/A,FALSE,"영업외비용";#N/A,#N/A,FALSE,"매출액";#N/A,#N/A,FALSE,"요약손익";#N/A,#N/A,FALSE,"요약대차";#N/A,#N/A,FALSE,"매출채권현황";#N/A,#N/A,FALSE,"매출채권명세"}</definedName>
    <definedName name="efaef" localSheetId="14" hidden="1">{#N/A,#N/A,TRUE,"Y생산";#N/A,#N/A,TRUE,"Y판매";#N/A,#N/A,TRUE,"Y총물량";#N/A,#N/A,TRUE,"Y능력";#N/A,#N/A,TRUE,"YKD"}</definedName>
    <definedName name="efaef" hidden="1">{#N/A,#N/A,TRUE,"Y생산";#N/A,#N/A,TRUE,"Y판매";#N/A,#N/A,TRUE,"Y총물량";#N/A,#N/A,TRUE,"Y능력";#N/A,#N/A,TRUE,"YKD"}</definedName>
    <definedName name="EFFOG" localSheetId="14" hidden="1">{#N/A,#N/A,FALSE,"단축1";#N/A,#N/A,FALSE,"단축2";#N/A,#N/A,FALSE,"단축3";#N/A,#N/A,FALSE,"장축";#N/A,#N/A,FALSE,"4WD"}</definedName>
    <definedName name="EFFOG" hidden="1">{#N/A,#N/A,FALSE,"단축1";#N/A,#N/A,FALSE,"단축2";#N/A,#N/A,FALSE,"단축3";#N/A,#N/A,FALSE,"장축";#N/A,#N/A,FALSE,"4WD"}</definedName>
    <definedName name="EF제동" localSheetId="14" hidden="1">{#N/A,#N/A,FALSE,"단축1";#N/A,#N/A,FALSE,"단축2";#N/A,#N/A,FALSE,"단축3";#N/A,#N/A,FALSE,"장축";#N/A,#N/A,FALSE,"4WD"}</definedName>
    <definedName name="EF제동" hidden="1">{#N/A,#N/A,FALSE,"단축1";#N/A,#N/A,FALSE,"단축2";#N/A,#N/A,FALSE,"단축3";#N/A,#N/A,FALSE,"장축";#N/A,#N/A,FALSE,"4WD"}</definedName>
    <definedName name="egtth" localSheetId="14" hidden="1">{#N/A,#N/A,FALSE,"96 3월물량표";#N/A,#N/A,FALSE,"96 4월물량표";#N/A,#N/A,FALSE,"96 5월물량표"}</definedName>
    <definedName name="egtth" hidden="1">{#N/A,#N/A,FALSE,"96 3월물량표";#N/A,#N/A,FALSE,"96 4월물량표";#N/A,#N/A,FALSE,"96 5월물량표"}</definedName>
    <definedName name="ek" localSheetId="14" hidden="1">{#N/A,#N/A,FALSE,"KMC최종회의(7월) 자료"}</definedName>
    <definedName name="ek" hidden="1">{#N/A,#N/A,FALSE,"KMC최종회의(7월) 자료"}</definedName>
    <definedName name="EKDKD.LJFL" localSheetId="14"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o" localSheetId="14" hidden="1">{#N/A,#N/A,FALSE,"BS";#N/A,#N/A,FALSE,"PL";#N/A,#N/A,FALSE,"처분";#N/A,#N/A,FALSE,"현금";#N/A,#N/A,FALSE,"매출";#N/A,#N/A,FALSE,"원가";#N/A,#N/A,FALSE,"경영"}</definedName>
    <definedName name="eo" localSheetId="13" hidden="1">{#N/A,#N/A,FALSE,"BS";#N/A,#N/A,FALSE,"PL";#N/A,#N/A,FALSE,"처분";#N/A,#N/A,FALSE,"현금";#N/A,#N/A,FALSE,"매출";#N/A,#N/A,FALSE,"원가";#N/A,#N/A,FALSE,"경영"}</definedName>
    <definedName name="eo" hidden="1">{#N/A,#N/A,FALSE,"BS";#N/A,#N/A,FALSE,"PL";#N/A,#N/A,FALSE,"처분";#N/A,#N/A,FALSE,"현금";#N/A,#N/A,FALSE,"매출";#N/A,#N/A,FALSE,"원가";#N/A,#N/A,FALSE,"경영"}</definedName>
    <definedName name="EO계획" localSheetId="14" hidden="1">#REF!</definedName>
    <definedName name="EO계획" hidden="1">#REF!</definedName>
    <definedName name="EO정리" localSheetId="14" hidden="1">{#N/A,#N/A,FALSE,"단축1";#N/A,#N/A,FALSE,"단축2";#N/A,#N/A,FALSE,"단축3";#N/A,#N/A,FALSE,"장축";#N/A,#N/A,FALSE,"4WD"}</definedName>
    <definedName name="EO정리" hidden="1">{#N/A,#N/A,FALSE,"단축1";#N/A,#N/A,FALSE,"단축2";#N/A,#N/A,FALSE,"단축3";#N/A,#N/A,FALSE,"장축";#N/A,#N/A,FALSE,"4WD"}</definedName>
    <definedName name="EQWGTWEG" localSheetId="14" hidden="1">{#N/A,#N/A,TRUE,"Y생산";#N/A,#N/A,TRUE,"Y판매";#N/A,#N/A,TRUE,"Y총물량";#N/A,#N/A,TRUE,"Y능력";#N/A,#N/A,TRUE,"YKD"}</definedName>
    <definedName name="EQWGTWEG" hidden="1">{#N/A,#N/A,TRUE,"Y생산";#N/A,#N/A,TRUE,"Y판매";#N/A,#N/A,TRUE,"Y총물량";#N/A,#N/A,TRUE,"Y능력";#N/A,#N/A,TRUE,"YKD"}</definedName>
    <definedName name="er" localSheetId="14" hidden="1">{#N/A,#N/A,FALSE,"손익표지";#N/A,#N/A,FALSE,"손익계산";#N/A,#N/A,FALSE,"일반관리비";#N/A,#N/A,FALSE,"영업외수익";#N/A,#N/A,FALSE,"영업외비용";#N/A,#N/A,FALSE,"매출액";#N/A,#N/A,FALSE,"요약손익";#N/A,#N/A,FALSE,"요약대차";#N/A,#N/A,FALSE,"매출채권현황";#N/A,#N/A,FALSE,"매출채권명세"}</definedName>
    <definedName name="er" localSheetId="13" hidden="1">{#N/A,#N/A,FALSE,"손익표지";#N/A,#N/A,FALSE,"손익계산";#N/A,#N/A,FALSE,"일반관리비";#N/A,#N/A,FALSE,"영업외수익";#N/A,#N/A,FALSE,"영업외비용";#N/A,#N/A,FALSE,"매출액";#N/A,#N/A,FALSE,"요약손익";#N/A,#N/A,FALSE,"요약대차";#N/A,#N/A,FALSE,"매출채권현황";#N/A,#N/A,FALSE,"매출채권명세"}</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AWYGDFBG" localSheetId="14" hidden="1">{#N/A,#N/A,TRUE,"Y생산";#N/A,#N/A,TRUE,"Y판매";#N/A,#N/A,TRUE,"Y총물량";#N/A,#N/A,TRUE,"Y능력";#N/A,#N/A,TRUE,"YKD"}</definedName>
    <definedName name="ERAWYGDFBG" hidden="1">{#N/A,#N/A,TRUE,"Y생산";#N/A,#N/A,TRUE,"Y판매";#N/A,#N/A,TRUE,"Y총물량";#N/A,#N/A,TRUE,"Y능력";#N/A,#N/A,TRUE,"YKD"}</definedName>
    <definedName name="ERDT" localSheetId="14" hidden="1">{#N/A,#N/A,FALSE,"KMC최종회의(7월) 자료"}</definedName>
    <definedName name="ERDT" hidden="1">{#N/A,#N/A,FALSE,"KMC최종회의(7월) 자료"}</definedName>
    <definedName name="ere" hidden="1">{"orixcsc",#N/A,FALSE,"ORIX CSC";"orixcsc2",#N/A,FALSE,"ORIX CSC"}</definedName>
    <definedName name="ergdag" localSheetId="14" hidden="1">{#N/A,#N/A,FALSE,"96 3월물량표";#N/A,#N/A,FALSE,"96 4월물량표";#N/A,#N/A,FALSE,"96 5월물량표"}</definedName>
    <definedName name="ergdag" hidden="1">{#N/A,#N/A,FALSE,"96 3월물량표";#N/A,#N/A,FALSE,"96 4월물량표";#N/A,#N/A,FALSE,"96 5월물량표"}</definedName>
    <definedName name="ERGERG" hidden="1">[31]자바라1!#REF!</definedName>
    <definedName name="ergsdfg" localSheetId="14" hidden="1">{#N/A,#N/A,TRUE,"Y생산";#N/A,#N/A,TRUE,"Y판매";#N/A,#N/A,TRUE,"Y총물량";#N/A,#N/A,TRUE,"Y능력";#N/A,#N/A,TRUE,"YKD"}</definedName>
    <definedName name="ergsdfg" hidden="1">{#N/A,#N/A,TRUE,"Y생산";#N/A,#N/A,TRUE,"Y판매";#N/A,#N/A,TRUE,"Y총물량";#N/A,#N/A,TRUE,"Y능력";#N/A,#N/A,TRUE,"YKD"}</definedName>
    <definedName name="erh" localSheetId="14" hidden="1">{#N/A,#N/A,FALSE,"96 3월물량표";#N/A,#N/A,FALSE,"96 4월물량표";#N/A,#N/A,FALSE,"96 5월물량표"}</definedName>
    <definedName name="erh" hidden="1">{#N/A,#N/A,FALSE,"96 3월물량표";#N/A,#N/A,FALSE,"96 4월물량표";#N/A,#N/A,FALSE,"96 5월물량표"}</definedName>
    <definedName name="ERHGFBN" localSheetId="14" hidden="1">{#N/A,#N/A,TRUE,"Y생산";#N/A,#N/A,TRUE,"Y판매";#N/A,#N/A,TRUE,"Y총물량";#N/A,#N/A,TRUE,"Y능력";#N/A,#N/A,TRUE,"YKD"}</definedName>
    <definedName name="ERHGFBN" hidden="1">{#N/A,#N/A,TRUE,"Y생산";#N/A,#N/A,TRUE,"Y판매";#N/A,#N/A,TRUE,"Y총물량";#N/A,#N/A,TRUE,"Y능력";#N/A,#N/A,TRUE,"YKD"}</definedName>
    <definedName name="erhgfh" localSheetId="14" hidden="1">{#N/A,#N/A,TRUE,"Y생산";#N/A,#N/A,TRUE,"Y판매";#N/A,#N/A,TRUE,"Y총물량";#N/A,#N/A,TRUE,"Y능력";#N/A,#N/A,TRUE,"YKD"}</definedName>
    <definedName name="erhgfh" hidden="1">{#N/A,#N/A,TRUE,"Y생산";#N/A,#N/A,TRUE,"Y판매";#N/A,#N/A,TRUE,"Y총물량";#N/A,#N/A,TRUE,"Y능력";#N/A,#N/A,TRUE,"YKD"}</definedName>
    <definedName name="ERHGN" localSheetId="14" hidden="1">{#N/A,#N/A,FALSE,"96 3월물량표";#N/A,#N/A,FALSE,"96 4월물량표";#N/A,#N/A,FALSE,"96 5월물량표"}</definedName>
    <definedName name="ERHGN" hidden="1">{#N/A,#N/A,FALSE,"96 3월물량표";#N/A,#N/A,FALSE,"96 4월물량표";#N/A,#N/A,FALSE,"96 5월물량표"}</definedName>
    <definedName name="ERHTH" localSheetId="14" hidden="1">{#N/A,#N/A,TRUE,"Y생산";#N/A,#N/A,TRUE,"Y판매";#N/A,#N/A,TRUE,"Y총물량";#N/A,#N/A,TRUE,"Y능력";#N/A,#N/A,TRUE,"YKD"}</definedName>
    <definedName name="ERHTH" hidden="1">{#N/A,#N/A,TRUE,"Y생산";#N/A,#N/A,TRUE,"Y판매";#N/A,#N/A,TRUE,"Y총물량";#N/A,#N/A,TRUE,"Y능력";#N/A,#N/A,TRUE,"YKD"}</definedName>
    <definedName name="erhyhtj" localSheetId="14" hidden="1">{#N/A,#N/A,TRUE,"Y생산";#N/A,#N/A,TRUE,"Y판매";#N/A,#N/A,TRUE,"Y총물량";#N/A,#N/A,TRUE,"Y능력";#N/A,#N/A,TRUE,"YKD"}</definedName>
    <definedName name="erhyhtj" hidden="1">{#N/A,#N/A,TRUE,"Y생산";#N/A,#N/A,TRUE,"Y판매";#N/A,#N/A,TRUE,"Y총물량";#N/A,#N/A,TRUE,"Y능력";#N/A,#N/A,TRUE,"YKD"}</definedName>
    <definedName name="ers" localSheetId="14" hidden="1">{#N/A,#N/A,FALSE,"96 3월물량표";#N/A,#N/A,FALSE,"96 4월물량표";#N/A,#N/A,FALSE,"96 5월물량표"}</definedName>
    <definedName name="ers" hidden="1">{#N/A,#N/A,FALSE,"96 3월물량표";#N/A,#N/A,FALSE,"96 4월물량표";#N/A,#N/A,FALSE,"96 5월물량표"}</definedName>
    <definedName name="ert" localSheetId="14" hidden="1">{"orixcsc",#N/A,FALSE,"ORIX CSC";"orixcsc2",#N/A,FALSE,"ORIX CSC"}</definedName>
    <definedName name="ert" hidden="1">{#N/A,#N/A,TRUE,"Y생산";#N/A,#N/A,TRUE,"Y판매";#N/A,#N/A,TRUE,"Y총물량";#N/A,#N/A,TRUE,"Y능력";#N/A,#N/A,TRUE,"YKD"}</definedName>
    <definedName name="ery" localSheetId="14" hidden="1">{#N/A,#N/A,TRUE,"Y생산";#N/A,#N/A,TRUE,"Y판매";#N/A,#N/A,TRUE,"Y총물량";#N/A,#N/A,TRUE,"Y능력";#N/A,#N/A,TRUE,"YKD"}</definedName>
    <definedName name="ery" hidden="1">{#N/A,#N/A,TRUE,"Y생산";#N/A,#N/A,TRUE,"Y판매";#N/A,#N/A,TRUE,"Y총물량";#N/A,#N/A,TRUE,"Y능력";#N/A,#N/A,TRUE,"YKD"}</definedName>
    <definedName name="eryh" localSheetId="14" hidden="1">{#N/A,#N/A,TRUE,"Y생산";#N/A,#N/A,TRUE,"Y판매";#N/A,#N/A,TRUE,"Y총물량";#N/A,#N/A,TRUE,"Y능력";#N/A,#N/A,TRUE,"YKD"}</definedName>
    <definedName name="eryh" hidden="1">{#N/A,#N/A,TRUE,"Y생산";#N/A,#N/A,TRUE,"Y판매";#N/A,#N/A,TRUE,"Y총물량";#N/A,#N/A,TRUE,"Y능력";#N/A,#N/A,TRUE,"YKD"}</definedName>
    <definedName name="eryhghnj" localSheetId="14" hidden="1">{#N/A,#N/A,TRUE,"Y생산";#N/A,#N/A,TRUE,"Y판매";#N/A,#N/A,TRUE,"Y총물량";#N/A,#N/A,TRUE,"Y능력";#N/A,#N/A,TRUE,"YKD"}</definedName>
    <definedName name="eryhghnj" hidden="1">{#N/A,#N/A,TRUE,"Y생산";#N/A,#N/A,TRUE,"Y판매";#N/A,#N/A,TRUE,"Y총물량";#N/A,#N/A,TRUE,"Y능력";#N/A,#N/A,TRUE,"YKD"}</definedName>
    <definedName name="ERYIU" localSheetId="14" hidden="1">{#N/A,#N/A,FALSE,"BS";#N/A,#N/A,FALSE,"PL";#N/A,#N/A,FALSE,"처분";#N/A,#N/A,FALSE,"현금";#N/A,#N/A,FALSE,"매출";#N/A,#N/A,FALSE,"원가";#N/A,#N/A,FALSE,"경영"}</definedName>
    <definedName name="ERYIU" localSheetId="13" hidden="1">{#N/A,#N/A,FALSE,"BS";#N/A,#N/A,FALSE,"PL";#N/A,#N/A,FALSE,"처분";#N/A,#N/A,FALSE,"현금";#N/A,#N/A,FALSE,"매출";#N/A,#N/A,FALSE,"원가";#N/A,#N/A,FALSE,"경영"}</definedName>
    <definedName name="ERYIU" hidden="1">{#N/A,#N/A,FALSE,"BS";#N/A,#N/A,FALSE,"PL";#N/A,#N/A,FALSE,"처분";#N/A,#N/A,FALSE,"현금";#N/A,#N/A,FALSE,"매출";#N/A,#N/A,FALSE,"원가";#N/A,#N/A,FALSE,"경영"}</definedName>
    <definedName name="eryry" localSheetId="14"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13" hidden="1">{#N/A,#N/A,FALSE,"손익표지";#N/A,#N/A,FALSE,"손익계산";#N/A,#N/A,FALSE,"일반관리비";#N/A,#N/A,FALSE,"영업외수익";#N/A,#N/A,FALSE,"영업외비용";#N/A,#N/A,FALSE,"매출액";#N/A,#N/A,FALSE,"요약손익";#N/A,#N/A,FALSE,"요약대차";#N/A,#N/A,FALSE,"매출채권현황";#N/A,#N/A,FALSE,"매출채권명세"}</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t">#N/A</definedName>
    <definedName name="ETRYU" localSheetId="14" hidden="1">{#N/A,#N/A,FALSE,"단축1";#N/A,#N/A,FALSE,"단축2";#N/A,#N/A,FALSE,"단축3";#N/A,#N/A,FALSE,"장축";#N/A,#N/A,FALSE,"4WD"}</definedName>
    <definedName name="ETRYU" hidden="1">{#N/A,#N/A,FALSE,"단축1";#N/A,#N/A,FALSE,"단축2";#N/A,#N/A,FALSE,"단축3";#N/A,#N/A,FALSE,"장축";#N/A,#N/A,FALSE,"4WD"}</definedName>
    <definedName name="ETYUI" localSheetId="14" hidden="1">{#N/A,#N/A,FALSE,"단축1";#N/A,#N/A,FALSE,"단축2";#N/A,#N/A,FALSE,"단축3";#N/A,#N/A,FALSE,"장축";#N/A,#N/A,FALSE,"4WD"}</definedName>
    <definedName name="ETYUI" hidden="1">{#N/A,#N/A,FALSE,"단축1";#N/A,#N/A,FALSE,"단축2";#N/A,#N/A,FALSE,"단축3";#N/A,#N/A,FALSE,"장축";#N/A,#N/A,FALSE,"4WD"}</definedName>
    <definedName name="EURO3"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EV__LASTREFTIME__" hidden="1">"2006-04-18 오후 4:15:31"</definedName>
    <definedName name="ew" localSheetId="14" hidden="1">{#N/A,#N/A,FALSE,"손익표지";#N/A,#N/A,FALSE,"손익계산";#N/A,#N/A,FALSE,"일반관리비";#N/A,#N/A,FALSE,"영업외수익";#N/A,#N/A,FALSE,"영업외비용";#N/A,#N/A,FALSE,"매출액";#N/A,#N/A,FALSE,"요약손익";#N/A,#N/A,FALSE,"요약대차";#N/A,#N/A,FALSE,"매출채권현황";#N/A,#N/A,FALSE,"매출채권명세"}</definedName>
    <definedName name="ew" localSheetId="13" hidden="1">{#N/A,#N/A,FALSE,"손익표지";#N/A,#N/A,FALSE,"손익계산";#N/A,#N/A,FALSE,"일반관리비";#N/A,#N/A,FALSE,"영업외수익";#N/A,#N/A,FALSE,"영업외비용";#N/A,#N/A,FALSE,"매출액";#N/A,#N/A,FALSE,"요약손익";#N/A,#N/A,FALSE,"요약대차";#N/A,#N/A,FALSE,"매출채권현황";#N/A,#N/A,FALSE,"매출채권명세"}</definedName>
    <definedName name="ew" hidden="1">{#N/A,#N/A,FALSE,"손익표지";#N/A,#N/A,FALSE,"손익계산";#N/A,#N/A,FALSE,"일반관리비";#N/A,#N/A,FALSE,"영업외수익";#N/A,#N/A,FALSE,"영업외비용";#N/A,#N/A,FALSE,"매출액";#N/A,#N/A,FALSE,"요약손익";#N/A,#N/A,FALSE,"요약대차";#N/A,#N/A,FALSE,"매출채권현황";#N/A,#N/A,FALSE,"매출채권명세"}</definedName>
    <definedName name="ewer" localSheetId="14" hidden="1">{#N/A,#N/A,FALSE,"KMC최종회의(7월) 자료"}</definedName>
    <definedName name="ewer" hidden="1">{#N/A,#N/A,FALSE,"KMC최종회의(7월) 자료"}</definedName>
    <definedName name="EWGERBGDFB" localSheetId="14" hidden="1">{#N/A,#N/A,FALSE,"96 3월물량표";#N/A,#N/A,FALSE,"96 4월물량표";#N/A,#N/A,FALSE,"96 5월물량표"}</definedName>
    <definedName name="EWGERBGDFB" hidden="1">{#N/A,#N/A,FALSE,"96 3월물량표";#N/A,#N/A,FALSE,"96 4월물량표";#N/A,#N/A,FALSE,"96 5월물량표"}</definedName>
    <definedName name="ewrwer" hidden="1">{#N/A,#N/A,FALSE,"ORIX CSC"}</definedName>
    <definedName name="ewrwr" localSheetId="14"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13"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Y" localSheetId="14" hidden="1">{#N/A,#N/A,FALSE,"단축1";#N/A,#N/A,FALSE,"단축2";#N/A,#N/A,FALSE,"단축3";#N/A,#N/A,FALSE,"장축";#N/A,#N/A,FALSE,"4WD"}</definedName>
    <definedName name="EWY" hidden="1">{#N/A,#N/A,FALSE,"단축1";#N/A,#N/A,FALSE,"단축2";#N/A,#N/A,FALSE,"단축3";#N/A,#N/A,FALSE,"장축";#N/A,#N/A,FALSE,"4WD"}</definedName>
    <definedName name="EYRU" localSheetId="14" hidden="1">{#N/A,#N/A,FALSE,"단축1";#N/A,#N/A,FALSE,"단축2";#N/A,#N/A,FALSE,"단축3";#N/A,#N/A,FALSE,"장축";#N/A,#N/A,FALSE,"4WD"}</definedName>
    <definedName name="EYRU" hidden="1">{#N/A,#N/A,FALSE,"단축1";#N/A,#N/A,FALSE,"단축2";#N/A,#N/A,FALSE,"단축3";#N/A,#N/A,FALSE,"장축";#N/A,#N/A,FALSE,"4WD"}</definedName>
    <definedName name="eyuhhgfh" localSheetId="14" hidden="1">{#N/A,#N/A,TRUE,"Y생산";#N/A,#N/A,TRUE,"Y판매";#N/A,#N/A,TRUE,"Y총물량";#N/A,#N/A,TRUE,"Y능력";#N/A,#N/A,TRUE,"YKD"}</definedName>
    <definedName name="eyuhhgfh" hidden="1">{#N/A,#N/A,TRUE,"Y생산";#N/A,#N/A,TRUE,"Y판매";#N/A,#N/A,TRUE,"Y총물량";#N/A,#N/A,TRUE,"Y능력";#N/A,#N/A,TRUE,"YKD"}</definedName>
    <definedName name="f" localSheetId="14" hidden="1">{#N/A,#N/A,FALSE,"BS";#N/A,#N/A,FALSE,"PL";#N/A,#N/A,FALSE,"처분";#N/A,#N/A,FALSE,"현금";#N/A,#N/A,FALSE,"매출";#N/A,#N/A,FALSE,"원가";#N/A,#N/A,FALSE,"경영"}</definedName>
    <definedName name="f" localSheetId="13" hidden="1">{#N/A,#N/A,FALSE,"BS";#N/A,#N/A,FALSE,"PL";#N/A,#N/A,FALSE,"처분";#N/A,#N/A,FALSE,"현금";#N/A,#N/A,FALSE,"매출";#N/A,#N/A,FALSE,"원가";#N/A,#N/A,FALSE,"경영"}</definedName>
    <definedName name="f" localSheetId="31" hidden="1">{#N/A,#N/A,FALSE,"손익표지";#N/A,#N/A,FALSE,"손익계산";#N/A,#N/A,FALSE,"일반관리비";#N/A,#N/A,FALSE,"영업외수익";#N/A,#N/A,FALSE,"영업외비용";#N/A,#N/A,FALSE,"매출액";#N/A,#N/A,FALSE,"요약손익";#N/A,#N/A,FALSE,"요약대차";#N/A,#N/A,FALSE,"매출채권현황";#N/A,#N/A,FALSE,"매출채권명세"}</definedName>
    <definedName name="f" hidden="1">{#N/A,#N/A,FALSE,"BS";#N/A,#N/A,FALSE,"PL";#N/A,#N/A,FALSE,"처분";#N/A,#N/A,FALSE,"현금";#N/A,#N/A,FALSE,"매출";#N/A,#N/A,FALSE,"원가";#N/A,#N/A,FALSE,"경영"}</definedName>
    <definedName name="F.CHART" localSheetId="14" hidden="1">{#N/A,#N/A,FALSE,"KMC최종회의(7월) 자료"}</definedName>
    <definedName name="F.CHART" hidden="1">{#N/A,#N/A,FALSE,"KMC최종회의(7월) 자료"}</definedName>
    <definedName name="fasdfa" hidden="1">{#N/A,#N/A,FALSE,"PART-1234-8-12-9(41)";#N/A,#N/A,FALSE,"PARTS-2(3)";#N/A,#N/A,FALSE,"VAN SYSTEM";#N/A,#N/A,FALSE,"PARTS-10(26)";#N/A,#N/A,FALSE,"PART-5-6-7-11(14)";#N/A,#N/A,FALSE,"PARTS-4(3)";#N/A,#N/A,FALSE,"PCLASS"}</definedName>
    <definedName name="fasdsadfsaf"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asdsadfsaf"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bvnvcb" localSheetId="14" hidden="1">{#N/A,#N/A,FALSE,"96 3월물량표";#N/A,#N/A,FALSE,"96 4월물량표";#N/A,#N/A,FALSE,"96 5월물량표"}</definedName>
    <definedName name="fbvnvcb" hidden="1">{#N/A,#N/A,FALSE,"96 3월물량표";#N/A,#N/A,FALSE,"96 4월물량표";#N/A,#N/A,FALSE,"96 5월물량표"}</definedName>
    <definedName name="fd"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d" hidden="1">{#N/A,#N/A,FALSE,"손익표지";#N/A,#N/A,FALSE,"손익계산";#N/A,#N/A,FALSE,"일반관리비";#N/A,#N/A,FALSE,"영업외수익";#N/A,#N/A,FALSE,"영업외비용";#N/A,#N/A,FALSE,"매출액";#N/A,#N/A,FALSE,"요약손익";#N/A,#N/A,FALSE,"요약대차";#N/A,#N/A,FALSE,"매출채권현황";#N/A,#N/A,FALSE,"매출채권명세"}</definedName>
    <definedName name="fdfd"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dfd"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dfd" hidden="1">{#N/A,#N/A,FALSE,"손익표지";#N/A,#N/A,FALSE,"손익계산";#N/A,#N/A,FALSE,"일반관리비";#N/A,#N/A,FALSE,"영업외수익";#N/A,#N/A,FALSE,"영업외비용";#N/A,#N/A,FALSE,"매출액";#N/A,#N/A,FALSE,"요약손익";#N/A,#N/A,FALSE,"요약대차";#N/A,#N/A,FALSE,"매출채권현황";#N/A,#N/A,FALSE,"매출채권명세"}</definedName>
    <definedName name="fdghea" localSheetId="14" hidden="1">{#N/A,#N/A,TRUE,"Y생산";#N/A,#N/A,TRUE,"Y판매";#N/A,#N/A,TRUE,"Y총물량";#N/A,#N/A,TRUE,"Y능력";#N/A,#N/A,TRUE,"YKD"}</definedName>
    <definedName name="fdghea" hidden="1">{#N/A,#N/A,TRUE,"Y생산";#N/A,#N/A,TRUE,"Y판매";#N/A,#N/A,TRUE,"Y총물량";#N/A,#N/A,TRUE,"Y능력";#N/A,#N/A,TRUE,"YKD"}</definedName>
    <definedName name="fdgs"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dgs"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JGDFHJ" localSheetId="14" hidden="1">{#N/A,#N/A,FALSE,"단축1";#N/A,#N/A,FALSE,"단축2";#N/A,#N/A,FALSE,"단축3";#N/A,#N/A,FALSE,"장축";#N/A,#N/A,FALSE,"4WD"}</definedName>
    <definedName name="FDJGDFHJ" hidden="1">{#N/A,#N/A,FALSE,"단축1";#N/A,#N/A,FALSE,"단축2";#N/A,#N/A,FALSE,"단축3";#N/A,#N/A,FALSE,"장축";#N/A,#N/A,FALSE,"4WD"}</definedName>
    <definedName name="fdkjkj" localSheetId="14" hidden="1">{#N/A,#N/A,FALSE,"단축1";#N/A,#N/A,FALSE,"단축2";#N/A,#N/A,FALSE,"단축3";#N/A,#N/A,FALSE,"장축";#N/A,#N/A,FALSE,"4WD"}</definedName>
    <definedName name="fdkjkj" hidden="1">{#N/A,#N/A,FALSE,"단축1";#N/A,#N/A,FALSE,"단축2";#N/A,#N/A,FALSE,"단축3";#N/A,#N/A,FALSE,"장축";#N/A,#N/A,FALSE,"4WD"}</definedName>
    <definedName name="fds" hidden="1">{#N/A,#N/A,FALSE,"Hip.Bas";#N/A,#N/A,FALSE,"ventas";#N/A,#N/A,FALSE,"ingre-Año";#N/A,#N/A,FALSE,"ventas-Año";#N/A,#N/A,FALSE,"Costepro";#N/A,#N/A,FALSE,"inversion";#N/A,#N/A,FALSE,"personal";#N/A,#N/A,FALSE,"Gastos-V";#N/A,#N/A,FALSE,"Circulante";#N/A,#N/A,FALSE,"CONSOLI";#N/A,#N/A,FALSE,"Es-Fin";#N/A,#N/A,FALSE,"Margen-P"}</definedName>
    <definedName name="fdsa" localSheetId="14" hidden="1">{#N/A,#N/A,FALSE,"단축1";#N/A,#N/A,FALSE,"단축2";#N/A,#N/A,FALSE,"단축3";#N/A,#N/A,FALSE,"장축";#N/A,#N/A,FALSE,"4WD"}</definedName>
    <definedName name="fdsa" hidden="1">{#N/A,#N/A,FALSE,"단축1";#N/A,#N/A,FALSE,"단축2";#N/A,#N/A,FALSE,"단축3";#N/A,#N/A,FALSE,"장축";#N/A,#N/A,FALSE,"4WD"}</definedName>
    <definedName name="FEWQ" localSheetId="14" hidden="1">{#N/A,#N/A,FALSE,"단축1";#N/A,#N/A,FALSE,"단축2";#N/A,#N/A,FALSE,"단축3";#N/A,#N/A,FALSE,"장축";#N/A,#N/A,FALSE,"4WD"}</definedName>
    <definedName name="FEWQ" hidden="1">{#N/A,#N/A,FALSE,"단축1";#N/A,#N/A,FALSE,"단축2";#N/A,#N/A,FALSE,"단축3";#N/A,#N/A,FALSE,"장축";#N/A,#N/A,FALSE,"4WD"}</definedName>
    <definedName name="FF" localSheetId="14" hidden="1">{#N/A,#N/A,FALSE,"PART-1234-8-12-9(41)";#N/A,#N/A,FALSE,"PARTS-2(3)";#N/A,#N/A,FALSE,"VAN SYSTEM";#N/A,#N/A,FALSE,"PARTS-10(26)";#N/A,#N/A,FALSE,"PART-5-6-7-11(14)";#N/A,#N/A,FALSE,"PARTS-4(3)";#N/A,#N/A,FALSE,"PCLASS"}</definedName>
    <definedName name="ff" hidden="1">{#N/A,#N/A,FALSE,"손익표지";#N/A,#N/A,FALSE,"손익계산";#N/A,#N/A,FALSE,"일반관리비";#N/A,#N/A,FALSE,"영업외수익";#N/A,#N/A,FALSE,"영업외비용";#N/A,#N/A,FALSE,"매출액";#N/A,#N/A,FALSE,"요약손익";#N/A,#N/A,FALSE,"요약대차";#N/A,#N/A,FALSE,"매출채권현황";#N/A,#N/A,FALSE,"매출채권명세"}</definedName>
    <definedName name="fff" localSheetId="14" hidden="1">{"mgmt forecast",#N/A,FALSE,"Mgmt Forecast";"dcf table",#N/A,FALSE,"Mgmt Forecast";"sensitivity",#N/A,FALSE,"Mgmt Forecast";"table inputs",#N/A,FALSE,"Mgmt Forecast";"calculations",#N/A,FALSE,"Mgmt Forecast"}</definedName>
    <definedName name="F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fff"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fff" hidden="1">{#N/A,#N/A,FALSE,"손익표지";#N/A,#N/A,FALSE,"손익계산";#N/A,#N/A,FALSE,"일반관리비";#N/A,#N/A,FALSE,"영업외수익";#N/A,#N/A,FALSE,"영업외비용";#N/A,#N/A,FALSE,"매출액";#N/A,#N/A,FALSE,"요약손익";#N/A,#N/A,FALSE,"요약대차";#N/A,#N/A,FALSE,"매출채권현황";#N/A,#N/A,FALSE,"매출채권명세"}</definedName>
    <definedName name="FFFFF" localSheetId="14" hidden="1">{#N/A,#N/A,TRUE,"Y생산";#N/A,#N/A,TRUE,"Y판매";#N/A,#N/A,TRUE,"Y총물량";#N/A,#N/A,TRUE,"Y능력";#N/A,#N/A,TRUE,"YKD"}</definedName>
    <definedName name="FFFFF" hidden="1">{#N/A,#N/A,TRUE,"Y생산";#N/A,#N/A,TRUE,"Y판매";#N/A,#N/A,TRUE,"Y총물량";#N/A,#N/A,TRUE,"Y능력";#N/A,#N/A,TRUE,"YKD"}</definedName>
    <definedName name="FFFFFDD" localSheetId="14" hidden="1">{#N/A,#N/A,FALSE,"정공"}</definedName>
    <definedName name="FFFFFDD" hidden="1">{#N/A,#N/A,FALSE,"정공"}</definedName>
    <definedName name="FFFFFFFFF" localSheetId="14" hidden="1">{#N/A,#N/A,FALSE,"정공"}</definedName>
    <definedName name="FFFFFFFFF" hidden="1">{#N/A,#N/A,FALSE,"정공"}</definedName>
    <definedName name="ffggghhjjj" hidden="1">{#N/A,#N/A,FALSE,"PART-1234-8-12-9(41)";#N/A,#N/A,FALSE,"PARTS-2(3)";#N/A,#N/A,FALSE,"VAN SYSTEM";#N/A,#N/A,FALSE,"PARTS-10(26)";#N/A,#N/A,FALSE,"PART-5-6-7-11(14)";#N/A,#N/A,FALSE,"PARTS-4(3)";#N/A,#N/A,FALSE,"PCLASS"}</definedName>
    <definedName name="fg"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FGF" localSheetId="14" hidden="1">{#N/A,#N/A,FALSE,"단축1";#N/A,#N/A,FALSE,"단축2";#N/A,#N/A,FALSE,"단축3";#N/A,#N/A,FALSE,"장축";#N/A,#N/A,FALSE,"4WD"}</definedName>
    <definedName name="FGF" hidden="1">{#N/A,#N/A,FALSE,"단축1";#N/A,#N/A,FALSE,"단축2";#N/A,#N/A,FALSE,"단축3";#N/A,#N/A,FALSE,"장축";#N/A,#N/A,FALSE,"4WD"}</definedName>
    <definedName name="fgh" hidden="1">{#N/A,#N/A,FALSE,"PART-1234-8-12-9(41)";#N/A,#N/A,FALSE,"PARTS-2(3)";#N/A,#N/A,FALSE,"VAN SYSTEM";#N/A,#N/A,FALSE,"PARTS-10(26)";#N/A,#N/A,FALSE,"PART-5-6-7-11(14)";#N/A,#N/A,FALSE,"PARTS-4(3)";#N/A,#N/A,FALSE,"PCLASS"}</definedName>
    <definedName name="fghfgh"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hj"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FGHHJKL" hidden="1">{#N/A,#N/A,FALSE,"PART-1234-8-12-9(41)";#N/A,#N/A,FALSE,"PARTS-2(3)";#N/A,#N/A,FALSE,"VAN SYSTEM";#N/A,#N/A,FALSE,"PARTS-10(26)";#N/A,#N/A,FALSE,"PART-5-6-7-11(14)";#N/A,#N/A,FALSE,"PARTS-4(3)";#N/A,#N/A,FALSE,"PCLASS"}</definedName>
    <definedName name="FGHJKJKLKLLLL" hidden="1">{#N/A,#N/A,FALSE,"PART-1234-8-12-9(41)";#N/A,#N/A,FALSE,"PARTS-2(3)";#N/A,#N/A,FALSE,"VAN SYSTEM";#N/A,#N/A,FALSE,"PARTS-10(26)";#N/A,#N/A,FALSE,"PART-5-6-7-11(14)";#N/A,#N/A,FALSE,"PARTS-4(3)";#N/A,#N/A,FALSE,"PCLASS"}</definedName>
    <definedName name="FGHJKKJK" hidden="1">{#N/A,#N/A,FALSE,"PART-1234-8-12-9(41)";#N/A,#N/A,FALSE,"PARTS-2(3)";#N/A,#N/A,FALSE,"VAN SYSTEM";#N/A,#N/A,FALSE,"PARTS-10(26)";#N/A,#N/A,FALSE,"PART-5-6-7-11(14)";#N/A,#N/A,FALSE,"PARTS-4(3)";#N/A,#N/A,FALSE,"PCLASS"}</definedName>
    <definedName name="fghjkkl"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FGHJKL" hidden="1">{#N/A,#N/A,FALSE,"PART-1234-8-12-9(41)";#N/A,#N/A,FALSE,"PARTS-2(3)";#N/A,#N/A,FALSE,"VAN SYSTEM";#N/A,#N/A,FALSE,"PARTS-10(26)";#N/A,#N/A,FALSE,"PART-5-6-7-11(14)";#N/A,#N/A,FALSE,"PARTS-4(3)";#N/A,#N/A,FALSE,"PCLASS"}</definedName>
    <definedName name="FGHJKLLLLLL" hidden="1">{#N/A,#N/A,FALSE,"PART-1234-8-12-9(41)";#N/A,#N/A,FALSE,"PARTS-2(3)";#N/A,#N/A,FALSE,"VAN SYSTEM";#N/A,#N/A,FALSE,"PARTS-10(26)";#N/A,#N/A,FALSE,"PART-5-6-7-11(14)";#N/A,#N/A,FALSE,"PARTS-4(3)";#N/A,#N/A,FALSE,"PCLASS"}</definedName>
    <definedName name="FGHJKLLOP" hidden="1">{#N/A,#N/A,FALSE,"PART-1234-8-12-9(41)";#N/A,#N/A,FALSE,"PARTS-2(3)";#N/A,#N/A,FALSE,"VAN SYSTEM";#N/A,#N/A,FALSE,"PARTS-10(26)";#N/A,#N/A,FALSE,"PART-5-6-7-11(14)";#N/A,#N/A,FALSE,"PARTS-4(3)";#N/A,#N/A,FALSE,"PCLASS"}</definedName>
    <definedName name="FGT" localSheetId="14" hidden="1">{#N/A,#N/A,FALSE,"단축1";#N/A,#N/A,FALSE,"단축2";#N/A,#N/A,FALSE,"단축3";#N/A,#N/A,FALSE,"장축";#N/A,#N/A,FALSE,"4WD"}</definedName>
    <definedName name="FGT" hidden="1">{#N/A,#N/A,FALSE,"단축1";#N/A,#N/A,FALSE,"단축2";#N/A,#N/A,FALSE,"단축3";#N/A,#N/A,FALSE,"장축";#N/A,#N/A,FALSE,"4WD"}</definedName>
    <definedName name="fgvh" localSheetId="14" hidden="1">{#N/A,#N/A,TRUE,"Y생산";#N/A,#N/A,TRUE,"Y판매";#N/A,#N/A,TRUE,"Y총물량";#N/A,#N/A,TRUE,"Y능력";#N/A,#N/A,TRUE,"YKD"}</definedName>
    <definedName name="fgvh" hidden="1">{#N/A,#N/A,TRUE,"Y생산";#N/A,#N/A,TRUE,"Y판매";#N/A,#N/A,TRUE,"Y총물량";#N/A,#N/A,TRUE,"Y능력";#N/A,#N/A,TRUE,"YKD"}</definedName>
    <definedName name="FH" localSheetId="14" hidden="1">{#N/A,#N/A,FALSE,"단축1";#N/A,#N/A,FALSE,"단축2";#N/A,#N/A,FALSE,"단축3";#N/A,#N/A,FALSE,"장축";#N/A,#N/A,FALSE,"4WD"}</definedName>
    <definedName name="FH" hidden="1">{#N/A,#N/A,FALSE,"단축1";#N/A,#N/A,FALSE,"단축2";#N/A,#N/A,FALSE,"단축3";#N/A,#N/A,FALSE,"장축";#N/A,#N/A,FALSE,"4WD"}</definedName>
    <definedName name="fhf"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ield_name">#REF!</definedName>
    <definedName name="file">[30]감가상각!$B$67</definedName>
    <definedName name="file1">[32]감가상각!$B$58</definedName>
    <definedName name="findingss" hidden="1">{#N/A,#N/A,FALSE,"Aging Summary";#N/A,#N/A,FALSE,"Ratio Analysis";#N/A,#N/A,FALSE,"Test 120 Day Accts";#N/A,#N/A,FALSE,"Tickmarks"}</definedName>
    <definedName name="FJ" localSheetId="14" hidden="1">{#N/A,#N/A,FALSE,"단축1";#N/A,#N/A,FALSE,"단축2";#N/A,#N/A,FALSE,"단축3";#N/A,#N/A,FALSE,"장축";#N/A,#N/A,FALSE,"4WD"}</definedName>
    <definedName name="FJ" hidden="1">{#N/A,#N/A,FALSE,"단축1";#N/A,#N/A,FALSE,"단축2";#N/A,#N/A,FALSE,"단축3";#N/A,#N/A,FALSE,"장축";#N/A,#N/A,FALSE,"4WD"}</definedName>
    <definedName name="FJD" localSheetId="14" hidden="1">{#N/A,#N/A,FALSE,"단축1";#N/A,#N/A,FALSE,"단축2";#N/A,#N/A,FALSE,"단축3";#N/A,#N/A,FALSE,"장축";#N/A,#N/A,FALSE,"4WD"}</definedName>
    <definedName name="FJD" hidden="1">{#N/A,#N/A,FALSE,"단축1";#N/A,#N/A,FALSE,"단축2";#N/A,#N/A,FALSE,"단축3";#N/A,#N/A,FALSE,"장축";#N/A,#N/A,FALSE,"4WD"}</definedName>
    <definedName name="FJFKJFKF" localSheetId="14" hidden="1">{#N/A,#N/A,FALSE,"단축1";#N/A,#N/A,FALSE,"단축2";#N/A,#N/A,FALSE,"단축3";#N/A,#N/A,FALSE,"장축";#N/A,#N/A,FALSE,"4WD"}</definedName>
    <definedName name="FJFKJFKF" hidden="1">{#N/A,#N/A,FALSE,"단축1";#N/A,#N/A,FALSE,"단축2";#N/A,#N/A,FALSE,"단축3";#N/A,#N/A,FALSE,"장축";#N/A,#N/A,FALSE,"4WD"}</definedName>
    <definedName name="fjhfgdj"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M" localSheetId="14" hidden="1">{#N/A,#N/A,FALSE,"단축1";#N/A,#N/A,FALSE,"단축2";#N/A,#N/A,FALSE,"단축3";#N/A,#N/A,FALSE,"장축";#N/A,#N/A,FALSE,"4WD"}</definedName>
    <definedName name="FJM" hidden="1">{#N/A,#N/A,FALSE,"단축1";#N/A,#N/A,FALSE,"단축2";#N/A,#N/A,FALSE,"단축3";#N/A,#N/A,FALSE,"장축";#N/A,#N/A,FALSE,"4WD"}</definedName>
    <definedName name="FJOJOOJJOEFJOEFJO" localSheetId="14" hidden="1">{#N/A,#N/A,FALSE,"단축1";#N/A,#N/A,FALSE,"단축2";#N/A,#N/A,FALSE,"단축3";#N/A,#N/A,FALSE,"장축";#N/A,#N/A,FALSE,"4WD"}</definedName>
    <definedName name="FJOJOOJJOEFJOEFJO" hidden="1">{#N/A,#N/A,FALSE,"단축1";#N/A,#N/A,FALSE,"단축2";#N/A,#N/A,FALSE,"단축3";#N/A,#N/A,FALSE,"장축";#N/A,#N/A,FALSE,"4WD"}</definedName>
    <definedName name="FK" localSheetId="14" hidden="1">{#N/A,#N/A,FALSE,"단축1";#N/A,#N/A,FALSE,"단축2";#N/A,#N/A,FALSE,"단축3";#N/A,#N/A,FALSE,"장축";#N/A,#N/A,FALSE,"4WD"}</definedName>
    <definedName name="FK" hidden="1">{#N/A,#N/A,FALSE,"단축1";#N/A,#N/A,FALSE,"단축2";#N/A,#N/A,FALSE,"단축3";#N/A,#N/A,FALSE,"장축";#N/A,#N/A,FALSE,"4WD"}</definedName>
    <definedName name="fkfk" localSheetId="14" hidden="1">{"'5'!$A$1:$BB$147"}</definedName>
    <definedName name="fkfk" hidden="1">{"'5'!$A$1:$BB$147"}</definedName>
    <definedName name="fkla" localSheetId="14" hidden="1">{#N/A,#N/A,TRUE,"Y생산";#N/A,#N/A,TRUE,"Y판매";#N/A,#N/A,TRUE,"Y총물량";#N/A,#N/A,TRUE,"Y능력";#N/A,#N/A,TRUE,"YKD"}</definedName>
    <definedName name="fkla" hidden="1">{#N/A,#N/A,TRUE,"Y생산";#N/A,#N/A,TRUE,"Y판매";#N/A,#N/A,TRUE,"Y총물량";#N/A,#N/A,TRUE,"Y능력";#N/A,#N/A,TRUE,"YKD"}</definedName>
    <definedName name="FKO" localSheetId="14" hidden="1">{#N/A,#N/A,FALSE,"단축1";#N/A,#N/A,FALSE,"단축2";#N/A,#N/A,FALSE,"단축3";#N/A,#N/A,FALSE,"장축";#N/A,#N/A,FALSE,"4WD"}</definedName>
    <definedName name="FKO" hidden="1">{#N/A,#N/A,FALSE,"단축1";#N/A,#N/A,FALSE,"단축2";#N/A,#N/A,FALSE,"단축3";#N/A,#N/A,FALSE,"장축";#N/A,#N/A,FALSE,"4WD"}</definedName>
    <definedName name="FLEXIBLE.T.L" localSheetId="14" hidden="1">{#N/A,#N/A,FALSE,"단축1";#N/A,#N/A,FALSE,"단축2";#N/A,#N/A,FALSE,"단축3";#N/A,#N/A,FALSE,"장축";#N/A,#N/A,FALSE,"4WD"}</definedName>
    <definedName name="FLEXIBLE.T.L" hidden="1">{#N/A,#N/A,FALSE,"단축1";#N/A,#N/A,FALSE,"단축2";#N/A,#N/A,FALSE,"단축3";#N/A,#N/A,FALSE,"장축";#N/A,#N/A,FALSE,"4WD"}</definedName>
    <definedName name="FLOW" localSheetId="14" hidden="1">{#N/A,#N/A,FALSE,"KMC최종회의(7월) 자료"}</definedName>
    <definedName name="FLOW" hidden="1">{#N/A,#N/A,FALSE,"KMC최종회의(7월) 자료"}</definedName>
    <definedName name="FMEA" localSheetId="14" hidden="1">{#N/A,#N/A,FALSE,"단축1";#N/A,#N/A,FALSE,"단축2";#N/A,#N/A,FALSE,"단축3";#N/A,#N/A,FALSE,"장축";#N/A,#N/A,FALSE,"4WD"}</definedName>
    <definedName name="FMEA" hidden="1">{#N/A,#N/A,FALSE,"단축1";#N/A,#N/A,FALSE,"단축2";#N/A,#N/A,FALSE,"단축3";#N/A,#N/A,FALSE,"장축";#N/A,#N/A,FALSE,"4WD"}</definedName>
    <definedName name="FMEA양식갑" localSheetId="14" hidden="1">{#N/A,#N/A,FALSE,"단축1";#N/A,#N/A,FALSE,"단축2";#N/A,#N/A,FALSE,"단축3";#N/A,#N/A,FALSE,"장축";#N/A,#N/A,FALSE,"4WD"}</definedName>
    <definedName name="FMEA양식갑" hidden="1">{#N/A,#N/A,FALSE,"단축1";#N/A,#N/A,FALSE,"단축2";#N/A,#N/A,FALSE,"단축3";#N/A,#N/A,FALSE,"장축";#N/A,#N/A,FALSE,"4WD"}</definedName>
    <definedName name="FMEA양식설계갑" localSheetId="14" hidden="1">{#N/A,#N/A,FALSE,"단축1";#N/A,#N/A,FALSE,"단축2";#N/A,#N/A,FALSE,"단축3";#N/A,#N/A,FALSE,"장축";#N/A,#N/A,FALSE,"4WD"}</definedName>
    <definedName name="FMEA양식설계갑" hidden="1">{#N/A,#N/A,FALSE,"단축1";#N/A,#N/A,FALSE,"단축2";#N/A,#N/A,FALSE,"단축3";#N/A,#N/A,FALSE,"장축";#N/A,#N/A,FALSE,"4WD"}</definedName>
    <definedName name="fmea양식설계정" localSheetId="14" hidden="1">{#N/A,#N/A,FALSE,"단축1";#N/A,#N/A,FALSE,"단축2";#N/A,#N/A,FALSE,"단축3";#N/A,#N/A,FALSE,"장축";#N/A,#N/A,FALSE,"4WD"}</definedName>
    <definedName name="fmea양식설계정" hidden="1">{#N/A,#N/A,FALSE,"단축1";#N/A,#N/A,FALSE,"단축2";#N/A,#N/A,FALSE,"단축3";#N/A,#N/A,FALSE,"장축";#N/A,#N/A,FALSE,"4WD"}</definedName>
    <definedName name="FMEA양식정" localSheetId="14" hidden="1">{#N/A,#N/A,FALSE,"단축1";#N/A,#N/A,FALSE,"단축2";#N/A,#N/A,FALSE,"단축3";#N/A,#N/A,FALSE,"장축";#N/A,#N/A,FALSE,"4WD"}</definedName>
    <definedName name="FMEA양식정" hidden="1">{#N/A,#N/A,FALSE,"단축1";#N/A,#N/A,FALSE,"단축2";#N/A,#N/A,FALSE,"단축3";#N/A,#N/A,FALSE,"장축";#N/A,#N/A,FALSE,"4WD"}</definedName>
    <definedName name="FOB가" localSheetId="14" hidden="1">{#N/A,#N/A,FALSE,"단축1";#N/A,#N/A,FALSE,"단축2";#N/A,#N/A,FALSE,"단축3";#N/A,#N/A,FALSE,"장축";#N/A,#N/A,FALSE,"4WD"}</definedName>
    <definedName name="FOB가" hidden="1">{#N/A,#N/A,FALSE,"단축1";#N/A,#N/A,FALSE,"단축2";#N/A,#N/A,FALSE,"단축3";#N/A,#N/A,FALSE,"장축";#N/A,#N/A,FALSE,"4WD"}</definedName>
    <definedName name="ForecastPeriod" hidden="1">[33]Reference!$C$26:$F$40</definedName>
    <definedName name="Format_AT_Actual_List">#REF!</definedName>
    <definedName name="FO투입시UPH조정" localSheetId="14" hidden="1">{#N/A,#N/A,FALSE,"단축1";#N/A,#N/A,FALSE,"단축2";#N/A,#N/A,FALSE,"단축3";#N/A,#N/A,FALSE,"장축";#N/A,#N/A,FALSE,"4WD"}</definedName>
    <definedName name="FO투입시UPH조정" hidden="1">{#N/A,#N/A,FALSE,"단축1";#N/A,#N/A,FALSE,"단축2";#N/A,#N/A,FALSE,"단축3";#N/A,#N/A,FALSE,"장축";#N/A,#N/A,FALSE,"4WD"}</definedName>
    <definedName name="fre">[34]ins!#REF!</definedName>
    <definedName name="frmotor" localSheetId="14" hidden="1">{#N/A,#N/A,FALSE,"단축1";#N/A,#N/A,FALSE,"단축2";#N/A,#N/A,FALSE,"단축3";#N/A,#N/A,FALSE,"장축";#N/A,#N/A,FALSE,"4WD"}</definedName>
    <definedName name="frmotor" hidden="1">{#N/A,#N/A,FALSE,"단축1";#N/A,#N/A,FALSE,"단축2";#N/A,#N/A,FALSE,"단축3";#N/A,#N/A,FALSE,"장축";#N/A,#N/A,FALSE,"4WD"}</definedName>
    <definedName name="FRONT" localSheetId="14" hidden="1">{#N/A,#N/A,FALSE,"단축1";#N/A,#N/A,FALSE,"단축2";#N/A,#N/A,FALSE,"단축3";#N/A,#N/A,FALSE,"장축";#N/A,#N/A,FALSE,"4WD"}</definedName>
    <definedName name="FRONT" hidden="1">{#N/A,#N/A,FALSE,"단축1";#N/A,#N/A,FALSE,"단축2";#N/A,#N/A,FALSE,"단축3";#N/A,#N/A,FALSE,"장축";#N/A,#N/A,FALSE,"4WD"}</definedName>
    <definedName name="FS" localSheetId="14" hidden="1">{#N/A,#N/A,FALSE,"BS";#N/A,#N/A,FALSE,"PL";#N/A,#N/A,FALSE,"처분";#N/A,#N/A,FALSE,"현금";#N/A,#N/A,FALSE,"매출";#N/A,#N/A,FALSE,"원가";#N/A,#N/A,FALSE,"경영"}</definedName>
    <definedName name="FS" localSheetId="13" hidden="1">{#N/A,#N/A,FALSE,"BS";#N/A,#N/A,FALSE,"PL";#N/A,#N/A,FALSE,"처분";#N/A,#N/A,FALSE,"현금";#N/A,#N/A,FALSE,"매출";#N/A,#N/A,FALSE,"원가";#N/A,#N/A,FALSE,"경영"}</definedName>
    <definedName name="FS" hidden="1">{#N/A,#N/A,FALSE,"BS";#N/A,#N/A,FALSE,"PL";#N/A,#N/A,FALSE,"처분";#N/A,#N/A,FALSE,"현금";#N/A,#N/A,FALSE,"매출";#N/A,#N/A,FALSE,"원가";#N/A,#N/A,FALSE,"경영"}</definedName>
    <definedName name="fsdfasdfa" hidden="1">{#N/A,#N/A,FALSE,"Hip.Bas";#N/A,#N/A,FALSE,"ventas";#N/A,#N/A,FALSE,"ingre-Año";#N/A,#N/A,FALSE,"ventas-Año";#N/A,#N/A,FALSE,"Costepro";#N/A,#N/A,FALSE,"inversion";#N/A,#N/A,FALSE,"personal";#N/A,#N/A,FALSE,"Gastos-V";#N/A,#N/A,FALSE,"Circulante";#N/A,#N/A,FALSE,"CONSOLI";#N/A,#N/A,FALSE,"Es-Fin";#N/A,#N/A,FALSE,"Margen-P"}</definedName>
    <definedName name="fsf" localSheetId="14" hidden="1">{#N/A,#N/A,FALSE,"BS";#N/A,#N/A,FALSE,"PL";#N/A,#N/A,FALSE,"처분";#N/A,#N/A,FALSE,"현금";#N/A,#N/A,FALSE,"매출";#N/A,#N/A,FALSE,"원가";#N/A,#N/A,FALSE,"경영"}</definedName>
    <definedName name="fsf" localSheetId="13" hidden="1">{#N/A,#N/A,FALSE,"BS";#N/A,#N/A,FALSE,"PL";#N/A,#N/A,FALSE,"처분";#N/A,#N/A,FALSE,"현금";#N/A,#N/A,FALSE,"매출";#N/A,#N/A,FALSE,"원가";#N/A,#N/A,FALSE,"경영"}</definedName>
    <definedName name="fsf" hidden="1">{#N/A,#N/A,FALSE,"BS";#N/A,#N/A,FALSE,"PL";#N/A,#N/A,FALSE,"처분";#N/A,#N/A,FALSE,"현금";#N/A,#N/A,FALSE,"매출";#N/A,#N/A,FALSE,"원가";#N/A,#N/A,FALSE,"경영"}</definedName>
    <definedName name="FVNGHMGHM" localSheetId="14" hidden="1">{#N/A,#N/A,TRUE,"Y생산";#N/A,#N/A,TRUE,"Y판매";#N/A,#N/A,TRUE,"Y총물량";#N/A,#N/A,TRUE,"Y능력";#N/A,#N/A,TRUE,"YKD"}</definedName>
    <definedName name="FVNGHMGHM" hidden="1">{#N/A,#N/A,TRUE,"Y생산";#N/A,#N/A,TRUE,"Y판매";#N/A,#N/A,TRUE,"Y총물량";#N/A,#N/A,TRUE,"Y능력";#N/A,#N/A,TRUE,"YKD"}</definedName>
    <definedName name="G" localSheetId="31">'[35] 견적서'!#REF!</definedName>
    <definedName name="g">가정!$E$60</definedName>
    <definedName name="GAL" localSheetId="14" hidden="1">#REF!</definedName>
    <definedName name="GAL" hidden="1">#REF!</definedName>
    <definedName name="gdsd" localSheetId="14" hidden="1">{#N/A,#N/A,FALSE,"KMC최종회의(7월) 자료"}</definedName>
    <definedName name="gdsd" hidden="1">{#N/A,#N/A,FALSE,"KMC최종회의(7월) 자료"}</definedName>
    <definedName name="gdyu" localSheetId="14" hidden="1">{#N/A,#N/A,FALSE,"96 3월물량표";#N/A,#N/A,FALSE,"96 4월물량표";#N/A,#N/A,FALSE,"96 5월물량표"}</definedName>
    <definedName name="gdyu" hidden="1">{#N/A,#N/A,FALSE,"96 3월물량표";#N/A,#N/A,FALSE,"96 4월물량표";#N/A,#N/A,FALSE,"96 5월물량표"}</definedName>
    <definedName name="gfbn" localSheetId="14" hidden="1">{#N/A,#N/A,TRUE,"Y생산";#N/A,#N/A,TRUE,"Y판매";#N/A,#N/A,TRUE,"Y총물량";#N/A,#N/A,TRUE,"Y능력";#N/A,#N/A,TRUE,"YKD"}</definedName>
    <definedName name="gfbn" hidden="1">{#N/A,#N/A,TRUE,"Y생산";#N/A,#N/A,TRUE,"Y판매";#N/A,#N/A,TRUE,"Y총물량";#N/A,#N/A,TRUE,"Y능력";#N/A,#N/A,TRUE,"YKD"}</definedName>
    <definedName name="GFD" localSheetId="14" hidden="1">{#N/A,#N/A,FALSE,"단축1";#N/A,#N/A,FALSE,"단축2";#N/A,#N/A,FALSE,"단축3";#N/A,#N/A,FALSE,"장축";#N/A,#N/A,FALSE,"4WD"}</definedName>
    <definedName name="GFD" hidden="1">{#N/A,#N/A,FALSE,"단축1";#N/A,#N/A,FALSE,"단축2";#N/A,#N/A,FALSE,"단축3";#N/A,#N/A,FALSE,"장축";#N/A,#N/A,FALSE,"4WD"}</definedName>
    <definedName name="gfdgd" localSheetId="14"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13" hidden="1">{#N/A,#N/A,FALSE,"손익표지";#N/A,#N/A,FALSE,"손익계산";#N/A,#N/A,FALSE,"일반관리비";#N/A,#N/A,FALSE,"영업외수익";#N/A,#N/A,FALSE,"영업외비용";#N/A,#N/A,FALSE,"매출액";#N/A,#N/A,FALSE,"요약손익";#N/A,#N/A,FALSE,"요약대차";#N/A,#N/A,FALSE,"매출채권현황";#N/A,#N/A,FALSE,"매출채권명세"}</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14"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gyt" localSheetId="14" hidden="1">{"'5'!$A$1:$BB$147"}</definedName>
    <definedName name="gfgyt" hidden="1">{"'5'!$A$1:$BB$147"}</definedName>
    <definedName name="gfh" localSheetId="14" hidden="1">{#N/A,#N/A,FALSE,"96 3월물량표";#N/A,#N/A,FALSE,"96 4월물량표";#N/A,#N/A,FALSE,"96 5월물량표"}</definedName>
    <definedName name="gfh" hidden="1">{#N/A,#N/A,FALSE,"96 3월물량표";#N/A,#N/A,FALSE,"96 4월물량표";#N/A,#N/A,FALSE,"96 5월물량표"}</definedName>
    <definedName name="gfhery" localSheetId="14" hidden="1">{#N/A,#N/A,FALSE,"96 3월물량표";#N/A,#N/A,FALSE,"96 4월물량표";#N/A,#N/A,FALSE,"96 5월물량표"}</definedName>
    <definedName name="gfhery" hidden="1">{#N/A,#N/A,FALSE,"96 3월물량표";#N/A,#N/A,FALSE,"96 4월물량표";#N/A,#N/A,FALSE,"96 5월물량표"}</definedName>
    <definedName name="gfhfg" localSheetId="14"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13" hidden="1">{#N/A,#N/A,FALSE,"손익표지";#N/A,#N/A,FALSE,"손익계산";#N/A,#N/A,FALSE,"일반관리비";#N/A,#N/A,FALSE,"영업외수익";#N/A,#N/A,FALSE,"영업외비용";#N/A,#N/A,FALSE,"매출액";#N/A,#N/A,FALSE,"요약손익";#N/A,#N/A,FALSE,"요약대차";#N/A,#N/A,FALSE,"매출채권현황";#N/A,#N/A,FALSE,"매출채권명세"}</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14"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13"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hj" localSheetId="14" hidden="1">{#N/A,#N/A,TRUE,"Y생산";#N/A,#N/A,TRUE,"Y판매";#N/A,#N/A,TRUE,"Y총물량";#N/A,#N/A,TRUE,"Y능력";#N/A,#N/A,TRUE,"YKD"}</definedName>
    <definedName name="gfhj" hidden="1">{#N/A,#N/A,TRUE,"Y생산";#N/A,#N/A,TRUE,"Y판매";#N/A,#N/A,TRUE,"Y총물량";#N/A,#N/A,TRUE,"Y능력";#N/A,#N/A,TRUE,"YKD"}</definedName>
    <definedName name="gfj" localSheetId="14" hidden="1">{#N/A,#N/A,TRUE,"Y생산";#N/A,#N/A,TRUE,"Y판매";#N/A,#N/A,TRUE,"Y총물량";#N/A,#N/A,TRUE,"Y능력";#N/A,#N/A,TRUE,"YKD"}</definedName>
    <definedName name="gfj" hidden="1">{#N/A,#N/A,TRUE,"Y생산";#N/A,#N/A,TRUE,"Y판매";#N/A,#N/A,TRUE,"Y총물량";#N/A,#N/A,TRUE,"Y능력";#N/A,#N/A,TRUE,"YKD"}</definedName>
    <definedName name="GFJG" localSheetId="14" hidden="1">{#N/A,#N/A,FALSE,"단축1";#N/A,#N/A,FALSE,"단축2";#N/A,#N/A,FALSE,"단축3";#N/A,#N/A,FALSE,"장축";#N/A,#N/A,FALSE,"4WD"}</definedName>
    <definedName name="GFJG" hidden="1">{#N/A,#N/A,FALSE,"단축1";#N/A,#N/A,FALSE,"단축2";#N/A,#N/A,FALSE,"단축3";#N/A,#N/A,FALSE,"장축";#N/A,#N/A,FALSE,"4WD"}</definedName>
    <definedName name="GFK" localSheetId="14" hidden="1">{#N/A,#N/A,FALSE,"단축1";#N/A,#N/A,FALSE,"단축2";#N/A,#N/A,FALSE,"단축3";#N/A,#N/A,FALSE,"장축";#N/A,#N/A,FALSE,"4WD"}</definedName>
    <definedName name="GFK" hidden="1">{#N/A,#N/A,FALSE,"단축1";#N/A,#N/A,FALSE,"단축2";#N/A,#N/A,FALSE,"단축3";#N/A,#N/A,FALSE,"장축";#N/A,#N/A,FALSE,"4WD"}</definedName>
    <definedName name="GFKI" localSheetId="14" hidden="1">{#N/A,#N/A,FALSE,"단축1";#N/A,#N/A,FALSE,"단축2";#N/A,#N/A,FALSE,"단축3";#N/A,#N/A,FALSE,"장축";#N/A,#N/A,FALSE,"4WD"}</definedName>
    <definedName name="GFKI" hidden="1">{#N/A,#N/A,FALSE,"단축1";#N/A,#N/A,FALSE,"단축2";#N/A,#N/A,FALSE,"단축3";#N/A,#N/A,FALSE,"장축";#N/A,#N/A,FALSE,"4WD"}</definedName>
    <definedName name="GFKJ" localSheetId="14" hidden="1">{#N/A,#N/A,FALSE,"단축1";#N/A,#N/A,FALSE,"단축2";#N/A,#N/A,FALSE,"단축3";#N/A,#N/A,FALSE,"장축";#N/A,#N/A,FALSE,"4WD"}</definedName>
    <definedName name="GFKJ" hidden="1">{#N/A,#N/A,FALSE,"단축1";#N/A,#N/A,FALSE,"단축2";#N/A,#N/A,FALSE,"단축3";#N/A,#N/A,FALSE,"장축";#N/A,#N/A,FALSE,"4WD"}</definedName>
    <definedName name="gfld" localSheetId="14" hidden="1">{#N/A,#N/A,TRUE,"Y생산";#N/A,#N/A,TRUE,"Y판매";#N/A,#N/A,TRUE,"Y총물량";#N/A,#N/A,TRUE,"Y능력";#N/A,#N/A,TRUE,"YKD"}</definedName>
    <definedName name="gfld" hidden="1">{#N/A,#N/A,TRUE,"Y생산";#N/A,#N/A,TRUE,"Y판매";#N/A,#N/A,TRUE,"Y총물량";#N/A,#N/A,TRUE,"Y능력";#N/A,#N/A,TRUE,"YKD"}</definedName>
    <definedName name="GFN" localSheetId="14" hidden="1">{#N/A,#N/A,FALSE,"단축1";#N/A,#N/A,FALSE,"단축2";#N/A,#N/A,FALSE,"단축3";#N/A,#N/A,FALSE,"장축";#N/A,#N/A,FALSE,"4WD"}</definedName>
    <definedName name="GFN" hidden="1">{#N/A,#N/A,FALSE,"단축1";#N/A,#N/A,FALSE,"단축2";#N/A,#N/A,FALSE,"단축3";#N/A,#N/A,FALSE,"장축";#N/A,#N/A,FALSE,"4WD"}</definedName>
    <definedName name="gggg"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 localSheetId="14" hidden="1">{#N/A,#N/A,FALSE,"단축1";#N/A,#N/A,FALSE,"단축2";#N/A,#N/A,FALSE,"단축3";#N/A,#N/A,FALSE,"장축";#N/A,#N/A,FALSE,"4WD"}</definedName>
    <definedName name="GGGGG" hidden="1">{#N/A,#N/A,FALSE,"단축1";#N/A,#N/A,FALSE,"단축2";#N/A,#N/A,FALSE,"단축3";#N/A,#N/A,FALSE,"장축";#N/A,#N/A,FALSE,"4WD"}</definedName>
    <definedName name="GGGGGG" localSheetId="14" hidden="1">{#N/A,#N/A,FALSE,"정공"}</definedName>
    <definedName name="GGGGGG" hidden="1">{#N/A,#N/A,FALSE,"정공"}</definedName>
    <definedName name="ggggghhhjj" hidden="1">{#N/A,#N/A,FALSE,"PART-1234-8-12-9(41)";#N/A,#N/A,FALSE,"PARTS-2(3)";#N/A,#N/A,FALSE,"VAN SYSTEM";#N/A,#N/A,FALSE,"PARTS-10(26)";#N/A,#N/A,FALSE,"PART-5-6-7-11(14)";#N/A,#N/A,FALSE,"PARTS-4(3)";#N/A,#N/A,FALSE,"PCLASS"}</definedName>
    <definedName name="gh" localSheetId="14" hidden="1">{#N/A,#N/A,TRUE,"Y생산";#N/A,#N/A,TRUE,"Y판매";#N/A,#N/A,TRUE,"Y총물량";#N/A,#N/A,TRUE,"Y능력";#N/A,#N/A,TRUE,"YKD"}</definedName>
    <definedName name="gh" hidden="1">{#N/A,#N/A,TRUE,"Y생산";#N/A,#N/A,TRUE,"Y판매";#N/A,#N/A,TRUE,"Y총물량";#N/A,#N/A,TRUE,"Y능력";#N/A,#N/A,TRUE,"YKD"}</definedName>
    <definedName name="ghd" hidden="1">{#N/A,#N/A,FALSE,"-ST.PER1";#N/A,#N/A,FALSE,"-ST.PER2";#N/A,#N/A,FALSE,"+ST.HIS.PER1";#N/A,#N/A,FALSE,"+ST.HIS.PER2";#N/A,#N/A,FALSE,"+ST.STD.PER1";#N/A,#N/A,FALSE,"+ST.STD.PER2"}</definedName>
    <definedName name="GHGFHGFDHGFHGFFFFFFFFFFF" localSheetId="14" hidden="1">{#N/A,#N/A,FALSE,"신규dep";#N/A,#N/A,FALSE,"신규dep-금형상각후";#N/A,#N/A,FALSE,"신규dep-연구비상각후";#N/A,#N/A,FALSE,"신규dep-기계,공구상각후"}</definedName>
    <definedName name="GHGFHGFDHGFHGFFFFFFFFFFF" hidden="1">{#N/A,#N/A,FALSE,"신규dep";#N/A,#N/A,FALSE,"신규dep-금형상각후";#N/A,#N/A,FALSE,"신규dep-연구비상각후";#N/A,#N/A,FALSE,"신규dep-기계,공구상각후"}</definedName>
    <definedName name="GHGHGH" localSheetId="14" hidden="1">{"'미착금액'!$A$4:$G$14"}</definedName>
    <definedName name="GHGHGH" localSheetId="13" hidden="1">{"'미착금액'!$A$4:$G$14"}</definedName>
    <definedName name="GHGHGH" hidden="1">{"'미착금액'!$A$4:$G$14"}</definedName>
    <definedName name="ghhghd" hidden="1">{"mgmt forecast",#N/A,FALSE,"Mgmt Forecast";"dcf table",#N/A,FALSE,"Mgmt Forecast";"sensitivity",#N/A,FALSE,"Mgmt Forecast";"table inputs",#N/A,FALSE,"Mgmt Forecast";"calculations",#N/A,FALSE,"Mgmt Forecast"}</definedName>
    <definedName name="ghhhg" hidden="1">{#N/A,#N/A,FALSE,"ORIX CSC"}</definedName>
    <definedName name="ghj" localSheetId="14" hidden="1">{#N/A,#N/A,FALSE,"96 3월물량표";#N/A,#N/A,FALSE,"96 4월물량표";#N/A,#N/A,FALSE,"96 5월물량표"}</definedName>
    <definedName name="ghj" hidden="1">{#N/A,#N/A,FALSE,"96 3월물량표";#N/A,#N/A,FALSE,"96 4월물량표";#N/A,#N/A,FALSE,"96 5월물량표"}</definedName>
    <definedName name="ghjg" localSheetId="14"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13" hidden="1">{#N/A,#N/A,FALSE,"손익표지";#N/A,#N/A,FALSE,"손익계산";#N/A,#N/A,FALSE,"일반관리비";#N/A,#N/A,FALSE,"영업외수익";#N/A,#N/A,FALSE,"영업외비용";#N/A,#N/A,FALSE,"매출액";#N/A,#N/A,FALSE,"요약손익";#N/A,#N/A,FALSE,"요약대차";#N/A,#N/A,FALSE,"매출채권현황";#N/A,#N/A,FALSE,"매출채권명세"}</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14"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JKL" hidden="1">{#N/A,#N/A,FALSE,"PART-1234-8-12-9(41)";#N/A,#N/A,FALSE,"PARTS-2(3)";#N/A,#N/A,FALSE,"VAN SYSTEM";#N/A,#N/A,FALSE,"PARTS-10(26)";#N/A,#N/A,FALSE,"PART-5-6-7-11(14)";#N/A,#N/A,FALSE,"PARTS-4(3)";#N/A,#N/A,FALSE,"PCLASS"}</definedName>
    <definedName name="GHJKLL" hidden="1">{#N/A,#N/A,FALSE,"PART-1234-8-12-9(41)";#N/A,#N/A,FALSE,"PARTS-2(3)";#N/A,#N/A,FALSE,"VAN SYSTEM";#N/A,#N/A,FALSE,"PARTS-10(26)";#N/A,#N/A,FALSE,"PART-5-6-7-11(14)";#N/A,#N/A,FALSE,"PARTS-4(3)";#N/A,#N/A,FALSE,"PCLASS"}</definedName>
    <definedName name="ghjuio" hidden="1">{#N/A,#N/A,FALSE,"PART-1234-8-12-9(41)";#N/A,#N/A,FALSE,"PARTS-2(3)";#N/A,#N/A,FALSE,"VAN SYSTEM";#N/A,#N/A,FALSE,"PARTS-10(26)";#N/A,#N/A,FALSE,"PART-5-6-7-11(14)";#N/A,#N/A,FALSE,"PARTS-4(3)";#N/A,#N/A,FALSE,"PCLASS"}</definedName>
    <definedName name="ghjy" localSheetId="14" hidden="1">{#N/A,#N/A,TRUE,"Y생산";#N/A,#N/A,TRUE,"Y판매";#N/A,#N/A,TRUE,"Y총물량";#N/A,#N/A,TRUE,"Y능력";#N/A,#N/A,TRUE,"YKD"}</definedName>
    <definedName name="ghjy" hidden="1">{#N/A,#N/A,TRUE,"Y생산";#N/A,#N/A,TRUE,"Y판매";#N/A,#N/A,TRUE,"Y총물량";#N/A,#N/A,TRUE,"Y능력";#N/A,#N/A,TRUE,"YKD"}</definedName>
    <definedName name="GHKJHKJHKJHJK" localSheetId="14" hidden="1">{"'5'!$A$1:$BB$147"}</definedName>
    <definedName name="GHKJHKJHKJHJK" hidden="1">{"'5'!$A$1:$BB$147"}</definedName>
    <definedName name="GHRLF">#REF!</definedName>
    <definedName name="ghudjk" localSheetId="14" hidden="1">{#N/A,#N/A,FALSE,"정공"}</definedName>
    <definedName name="ghudjk" hidden="1">{#N/A,#N/A,FALSE,"정공"}</definedName>
    <definedName name="GHUTGHF" localSheetId="14" hidden="1">{#N/A,#N/A,FALSE,"96 3월물량표";#N/A,#N/A,FALSE,"96 4월물량표";#N/A,#N/A,FALSE,"96 5월물량표"}</definedName>
    <definedName name="GHUTGHF" hidden="1">{#N/A,#N/A,FALSE,"96 3월물량표";#N/A,#N/A,FALSE,"96 4월물량표";#N/A,#N/A,FALSE,"96 5월물량표"}</definedName>
    <definedName name="GI" localSheetId="14" hidden="1">{#N/A,#N/A,FALSE,"단축1";#N/A,#N/A,FALSE,"단축2";#N/A,#N/A,FALSE,"단축3";#N/A,#N/A,FALSE,"장축";#N/A,#N/A,FALSE,"4WD"}</definedName>
    <definedName name="GI" hidden="1">{#N/A,#N/A,FALSE,"단축1";#N/A,#N/A,FALSE,"단축2";#N/A,#N/A,FALSE,"단축3";#N/A,#N/A,FALSE,"장축";#N/A,#N/A,FALSE,"4WD"}</definedName>
    <definedName name="gj" localSheetId="14" hidden="1">{#N/A,#N/A,FALSE,"96 3월물량표";#N/A,#N/A,FALSE,"96 4월물량표";#N/A,#N/A,FALSE,"96 5월물량표"}</definedName>
    <definedName name="gj" hidden="1">{#N/A,#N/A,FALSE,"96 3월물량표";#N/A,#N/A,FALSE,"96 4월물량표";#N/A,#N/A,FALSE,"96 5월물량표"}</definedName>
    <definedName name="gjk" localSheetId="14" hidden="1">{#N/A,#N/A,TRUE,"Y생산";#N/A,#N/A,TRUE,"Y판매";#N/A,#N/A,TRUE,"Y총물량";#N/A,#N/A,TRUE,"Y능력";#N/A,#N/A,TRUE,"YKD"}</definedName>
    <definedName name="gjk" hidden="1">{#N/A,#N/A,TRUE,"Y생산";#N/A,#N/A,TRUE,"Y판매";#N/A,#N/A,TRUE,"Y총물량";#N/A,#N/A,TRUE,"Y능력";#N/A,#N/A,TRUE,"YKD"}</definedName>
    <definedName name="GJKGJK" localSheetId="14" hidden="1">{#N/A,#N/A,FALSE,"단축1";#N/A,#N/A,FALSE,"단축2";#N/A,#N/A,FALSE,"단축3";#N/A,#N/A,FALSE,"장축";#N/A,#N/A,FALSE,"4WD"}</definedName>
    <definedName name="GJKGJK" hidden="1">{#N/A,#N/A,FALSE,"단축1";#N/A,#N/A,FALSE,"단축2";#N/A,#N/A,FALSE,"단축3";#N/A,#N/A,FALSE,"장축";#N/A,#N/A,FALSE,"4WD"}</definedName>
    <definedName name="GJM" localSheetId="14" hidden="1">{#N/A,#N/A,FALSE,"단축1";#N/A,#N/A,FALSE,"단축2";#N/A,#N/A,FALSE,"단축3";#N/A,#N/A,FALSE,"장축";#N/A,#N/A,FALSE,"4WD"}</definedName>
    <definedName name="GJM" hidden="1">{#N/A,#N/A,FALSE,"단축1";#N/A,#N/A,FALSE,"단축2";#N/A,#N/A,FALSE,"단축3";#N/A,#N/A,FALSE,"장축";#N/A,#N/A,FALSE,"4WD"}</definedName>
    <definedName name="GK" localSheetId="14" hidden="1">{#N/A,#N/A,FALSE,"단축1";#N/A,#N/A,FALSE,"단축2";#N/A,#N/A,FALSE,"단축3";#N/A,#N/A,FALSE,"장축";#N/A,#N/A,FALSE,"4WD"}</definedName>
    <definedName name="GK" hidden="1">{#N/A,#N/A,FALSE,"단축1";#N/A,#N/A,FALSE,"단축2";#N/A,#N/A,FALSE,"단축3";#N/A,#N/A,FALSE,"장축";#N/A,#N/A,FALSE,"4WD"}</definedName>
    <definedName name="GKFGK" localSheetId="14" hidden="1">{"'5'!$A$1:$BB$147"}</definedName>
    <definedName name="GKFGK" hidden="1">{"'5'!$A$1:$BB$147"}</definedName>
    <definedName name="gkjyl" localSheetId="14" hidden="1">{#N/A,#N/A,FALSE,"정공"}</definedName>
    <definedName name="gkjyl" hidden="1">{#N/A,#N/A,FALSE,"정공"}</definedName>
    <definedName name="GKS" localSheetId="14" hidden="1">{#N/A,#N/A,FALSE,"단축1";#N/A,#N/A,FALSE,"단축2";#N/A,#N/A,FALSE,"단축3";#N/A,#N/A,FALSE,"장축";#N/A,#N/A,FALSE,"4WD"}</definedName>
    <definedName name="GKS" hidden="1">{#N/A,#N/A,FALSE,"단축1";#N/A,#N/A,FALSE,"단축2";#N/A,#N/A,FALSE,"단축3";#N/A,#N/A,FALSE,"장축";#N/A,#N/A,FALSE,"4WD"}</definedName>
    <definedName name="gnxcvb" localSheetId="14" hidden="1">{#N/A,#N/A,TRUE,"Y생산";#N/A,#N/A,TRUE,"Y판매";#N/A,#N/A,TRUE,"Y총물량";#N/A,#N/A,TRUE,"Y능력";#N/A,#N/A,TRUE,"YKD"}</definedName>
    <definedName name="gnxcvb" hidden="1">{#N/A,#N/A,TRUE,"Y생산";#N/A,#N/A,TRUE,"Y판매";#N/A,#N/A,TRUE,"Y총물량";#N/A,#N/A,TRUE,"Y능력";#N/A,#N/A,TRUE,"YKD"}</definedName>
    <definedName name="graph" hidden="1">[36]생산량!$B$39:$F$39</definedName>
    <definedName name="growth" hidden="1">{#N/A,#N/A,FALSE,"Hip.Bas";#N/A,#N/A,FALSE,"ventas";#N/A,#N/A,FALSE,"ingre-Año";#N/A,#N/A,FALSE,"ventas-Año";#N/A,#N/A,FALSE,"Costepro";#N/A,#N/A,FALSE,"inversion";#N/A,#N/A,FALSE,"personal";#N/A,#N/A,FALSE,"Gastos-V";#N/A,#N/A,FALSE,"Circulante";#N/A,#N/A,FALSE,"CONSOLI";#N/A,#N/A,FALSE,"Es-Fin";#N/A,#N/A,FALSE,"Margen-P"}</definedName>
    <definedName name="growth2" hidden="1">{#N/A,#N/A,FALSE,"Hip.Bas";#N/A,#N/A,FALSE,"ventas";#N/A,#N/A,FALSE,"ingre-Año";#N/A,#N/A,FALSE,"ventas-Año";#N/A,#N/A,FALSE,"Costepro";#N/A,#N/A,FALSE,"inversion";#N/A,#N/A,FALSE,"personal";#N/A,#N/A,FALSE,"Gastos-V";#N/A,#N/A,FALSE,"Circulante";#N/A,#N/A,FALSE,"CONSOLI";#N/A,#N/A,FALSE,"Es-Fin";#N/A,#N/A,FALSE,"Margen-P"}</definedName>
    <definedName name="growth3" hidden="1">{#N/A,#N/A,FALSE,"Hip.Bas";#N/A,#N/A,FALSE,"ventas";#N/A,#N/A,FALSE,"ingre-Año";#N/A,#N/A,FALSE,"ventas-Año";#N/A,#N/A,FALSE,"Costepro";#N/A,#N/A,FALSE,"inversion";#N/A,#N/A,FALSE,"personal";#N/A,#N/A,FALSE,"Gastos-V";#N/A,#N/A,FALSE,"Circulante";#N/A,#N/A,FALSE,"CONSOLI";#N/A,#N/A,FALSE,"Es-Fin";#N/A,#N/A,FALSE,"Margen-P"}</definedName>
    <definedName name="grwoth" hidden="1">{#N/A,#N/A,FALSE,"Hip.Bas";#N/A,#N/A,FALSE,"ventas";#N/A,#N/A,FALSE,"ingre-Año";#N/A,#N/A,FALSE,"ventas-Año";#N/A,#N/A,FALSE,"Costepro";#N/A,#N/A,FALSE,"inversion";#N/A,#N/A,FALSE,"personal";#N/A,#N/A,FALSE,"Gastos-V";#N/A,#N/A,FALSE,"Circulante";#N/A,#N/A,FALSE,"CONSOLI";#N/A,#N/A,FALSE,"Es-Fin";#N/A,#N/A,FALSE,"Margen-P"}</definedName>
    <definedName name="grwoth3" hidden="1">{#N/A,#N/A,FALSE,"Hip.Bas";#N/A,#N/A,FALSE,"ventas";#N/A,#N/A,FALSE,"ingre-Año";#N/A,#N/A,FALSE,"ventas-Año";#N/A,#N/A,FALSE,"Costepro";#N/A,#N/A,FALSE,"inversion";#N/A,#N/A,FALSE,"personal";#N/A,#N/A,FALSE,"Gastos-V";#N/A,#N/A,FALSE,"Circulante";#N/A,#N/A,FALSE,"CONSOLI";#N/A,#N/A,FALSE,"Es-Fin";#N/A,#N/A,FALSE,"Margen-P"}</definedName>
    <definedName name="gsrnaerg" localSheetId="14" hidden="1">{#N/A,#N/A,TRUE,"Y생산";#N/A,#N/A,TRUE,"Y판매";#N/A,#N/A,TRUE,"Y총물량";#N/A,#N/A,TRUE,"Y능력";#N/A,#N/A,TRUE,"YKD"}</definedName>
    <definedName name="gsrnaerg" hidden="1">{#N/A,#N/A,TRUE,"Y생산";#N/A,#N/A,TRUE,"Y판매";#N/A,#N/A,TRUE,"Y총물량";#N/A,#N/A,TRUE,"Y능력";#N/A,#N/A,TRUE,"YKD"}</definedName>
    <definedName name="guig8yu" localSheetId="14" hidden="1">{#VALUE!,#N/A,FALSE,0;#N/A,#N/A,FALSE,0;#N/A,#N/A,FALSE,0;#N/A,#N/A,FALSE,0;#N/A,#N/A,FALSE,0}</definedName>
    <definedName name="guig8yu" hidden="1">{#VALUE!,#N/A,FALSE,0;#N/A,#N/A,FALSE,0;#N/A,#N/A,FALSE,0;#N/A,#N/A,FALSE,0;#N/A,#N/A,FALSE,0}</definedName>
    <definedName name="GUS"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GVGG" localSheetId="14" hidden="1">{#N/A,#N/A,FALSE,"단축1";#N/A,#N/A,FALSE,"단축2";#N/A,#N/A,FALSE,"단축3";#N/A,#N/A,FALSE,"장축";#N/A,#N/A,FALSE,"4WD"}</definedName>
    <definedName name="GVGG" hidden="1">{#N/A,#N/A,FALSE,"단축1";#N/A,#N/A,FALSE,"단축2";#N/A,#N/A,FALSE,"단축3";#N/A,#N/A,FALSE,"장축";#N/A,#N/A,FALSE,"4WD"}</definedName>
    <definedName name="GVI" localSheetId="14" hidden="1">{#N/A,#N/A,FALSE,"단축1";#N/A,#N/A,FALSE,"단축2";#N/A,#N/A,FALSE,"단축3";#N/A,#N/A,FALSE,"장축";#N/A,#N/A,FALSE,"4WD"}</definedName>
    <definedName name="GVI" hidden="1">{#N/A,#N/A,FALSE,"단축1";#N/A,#N/A,FALSE,"단축2";#N/A,#N/A,FALSE,"단축3";#N/A,#N/A,FALSE,"장축";#N/A,#N/A,FALSE,"4WD"}</definedName>
    <definedName name="GYIO" localSheetId="14" hidden="1">{#N/A,#N/A,FALSE,"BS";#N/A,#N/A,FALSE,"PL";#N/A,#N/A,FALSE,"처분";#N/A,#N/A,FALSE,"현금";#N/A,#N/A,FALSE,"매출";#N/A,#N/A,FALSE,"원가";#N/A,#N/A,FALSE,"경영"}</definedName>
    <definedName name="GYIO" localSheetId="13" hidden="1">{#N/A,#N/A,FALSE,"BS";#N/A,#N/A,FALSE,"PL";#N/A,#N/A,FALSE,"처분";#N/A,#N/A,FALSE,"현금";#N/A,#N/A,FALSE,"매출";#N/A,#N/A,FALSE,"원가";#N/A,#N/A,FALSE,"경영"}</definedName>
    <definedName name="GYIO" hidden="1">{#N/A,#N/A,FALSE,"BS";#N/A,#N/A,FALSE,"PL";#N/A,#N/A,FALSE,"처분";#N/A,#N/A,FALSE,"현금";#N/A,#N/A,FALSE,"매출";#N/A,#N/A,FALSE,"원가";#N/A,#N/A,FALSE,"경영"}</definedName>
    <definedName name="h" localSheetId="14"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h" hidden="1">{#N/A,#N/A,FALSE,"손익표지";#N/A,#N/A,FALSE,"손익계산";#N/A,#N/A,FALSE,"일반관리비";#N/A,#N/A,FALSE,"영업외수익";#N/A,#N/A,FALSE,"영업외비용";#N/A,#N/A,FALSE,"매출액";#N/A,#N/A,FALSE,"요약손익";#N/A,#N/A,FALSE,"요약대차";#N/A,#N/A,FALSE,"매출채권현황";#N/A,#N/A,FALSE,"매출채권명세"}</definedName>
    <definedName name="H3직행율1" localSheetId="14" hidden="1">{#N/A,#N/A,TRUE,"Y생산";#N/A,#N/A,TRUE,"Y판매";#N/A,#N/A,TRUE,"Y총물량";#N/A,#N/A,TRUE,"Y능력";#N/A,#N/A,TRUE,"YKD"}</definedName>
    <definedName name="H3직행율1" hidden="1">{#N/A,#N/A,TRUE,"Y생산";#N/A,#N/A,TRUE,"Y판매";#N/A,#N/A,TRUE,"Y총물량";#N/A,#N/A,TRUE,"Y능력";#N/A,#N/A,TRUE,"YKD"}</definedName>
    <definedName name="HB" localSheetId="14" hidden="1">{#N/A,#N/A,FALSE,"단축1";#N/A,#N/A,FALSE,"단축2";#N/A,#N/A,FALSE,"단축3";#N/A,#N/A,FALSE,"장축";#N/A,#N/A,FALSE,"4WD"}</definedName>
    <definedName name="HB" hidden="1">{#N/A,#N/A,FALSE,"단축1";#N/A,#N/A,FALSE,"단축2";#N/A,#N/A,FALSE,"단축3";#N/A,#N/A,FALSE,"장축";#N/A,#N/A,FALSE,"4WD"}</definedName>
    <definedName name="HDCOSMOS" hidden="1">#REF!</definedName>
    <definedName name="HFG" localSheetId="14" hidden="1">{#N/A,#N/A,TRUE,"Y생산";#N/A,#N/A,TRUE,"Y판매";#N/A,#N/A,TRUE,"Y총물량";#N/A,#N/A,TRUE,"Y능력";#N/A,#N/A,TRUE,"YKD"}</definedName>
    <definedName name="HFG" hidden="1">{#N/A,#N/A,TRUE,"Y생산";#N/A,#N/A,TRUE,"Y판매";#N/A,#N/A,TRUE,"Y총물량";#N/A,#N/A,TRUE,"Y능력";#N/A,#N/A,TRUE,"YKD"}</definedName>
    <definedName name="HGF" localSheetId="14"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13" hidden="1">{#N/A,#N/A,FALSE,"손익표지";#N/A,#N/A,FALSE,"손익계산";#N/A,#N/A,FALSE,"일반관리비";#N/A,#N/A,FALSE,"영업외수익";#N/A,#N/A,FALSE,"영업외비용";#N/A,#N/A,FALSE,"매출액";#N/A,#N/A,FALSE,"요약손익";#N/A,#N/A,FALSE,"요약대차";#N/A,#N/A,FALSE,"매출채권현황";#N/A,#N/A,FALSE,"매출채권명세"}</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FDHFDGH" localSheetId="14" hidden="1">{#N/A,#N/A,FALSE,"단축1";#N/A,#N/A,FALSE,"단축2";#N/A,#N/A,FALSE,"단축3";#N/A,#N/A,FALSE,"장축";#N/A,#N/A,FALSE,"4WD"}</definedName>
    <definedName name="HGFDHFDGH" hidden="1">{#N/A,#N/A,FALSE,"단축1";#N/A,#N/A,FALSE,"단축2";#N/A,#N/A,FALSE,"단축3";#N/A,#N/A,FALSE,"장축";#N/A,#N/A,FALSE,"4WD"}</definedName>
    <definedName name="hgfh" localSheetId="14" hidden="1">{#N/A,#N/A,FALSE,"96 3월물량표";#N/A,#N/A,FALSE,"96 4월물량표";#N/A,#N/A,FALSE,"96 5월물량표"}</definedName>
    <definedName name="hgfh" hidden="1">{#N/A,#N/A,FALSE,"96 3월물량표";#N/A,#N/A,FALSE,"96 4월물량표";#N/A,#N/A,FALSE,"96 5월물량표"}</definedName>
    <definedName name="HGI" localSheetId="14" hidden="1">{#N/A,#N/A,FALSE,"단축1";#N/A,#N/A,FALSE,"단축2";#N/A,#N/A,FALSE,"단축3";#N/A,#N/A,FALSE,"장축";#N/A,#N/A,FALSE,"4WD"}</definedName>
    <definedName name="HGI" hidden="1">{#N/A,#N/A,FALSE,"단축1";#N/A,#N/A,FALSE,"단축2";#N/A,#N/A,FALSE,"단축3";#N/A,#N/A,FALSE,"장축";#N/A,#N/A,FALSE,"4WD"}</definedName>
    <definedName name="HGKJ" localSheetId="14" hidden="1">{#N/A,#N/A,FALSE,"단축1";#N/A,#N/A,FALSE,"단축2";#N/A,#N/A,FALSE,"단축3";#N/A,#N/A,FALSE,"장축";#N/A,#N/A,FALSE,"4WD"}</definedName>
    <definedName name="HGKJ" hidden="1">{#N/A,#N/A,FALSE,"단축1";#N/A,#N/A,FALSE,"단축2";#N/A,#N/A,FALSE,"단축3";#N/A,#N/A,FALSE,"장축";#N/A,#N/A,FALSE,"4WD"}</definedName>
    <definedName name="hgmjbv" localSheetId="14" hidden="1">{#N/A,#N/A,TRUE,"Y생산";#N/A,#N/A,TRUE,"Y판매";#N/A,#N/A,TRUE,"Y총물량";#N/A,#N/A,TRUE,"Y능력";#N/A,#N/A,TRUE,"YKD"}</definedName>
    <definedName name="hgmjbv" hidden="1">{#N/A,#N/A,TRUE,"Y생산";#N/A,#N/A,TRUE,"Y판매";#N/A,#N/A,TRUE,"Y총물량";#N/A,#N/A,TRUE,"Y능력";#N/A,#N/A,TRUE,"YKD"}</definedName>
    <definedName name="hgrth" hidden="1">{"orixcsc",#N/A,FALSE,"ORIX CSC";"orixcsc2",#N/A,FALSE,"ORIX CSC"}</definedName>
    <definedName name="HGVGGGFGFGFGFGFGFGGGHVHGGVHHBGVHFTGKJFHSDKHFLKSHDFKLHSDKHFKSDHFLKSHDKLFJHSD" localSheetId="14" hidden="1">{#N/A,#N/A,FALSE,"단축1";#N/A,#N/A,FALSE,"단축2";#N/A,#N/A,FALSE,"단축3";#N/A,#N/A,FALSE,"장축";#N/A,#N/A,FALSE,"4WD"}</definedName>
    <definedName name="HGVGGGFGFGFGFGFGFGGGHVHGGVHHBGVHFTGKJFHSDKHFLKSHDFKLHSDKHFKSDHFLKSHDKLFJHSD" hidden="1">{#N/A,#N/A,FALSE,"단축1";#N/A,#N/A,FALSE,"단축2";#N/A,#N/A,FALSE,"단축3";#N/A,#N/A,FALSE,"장축";#N/A,#N/A,FALSE,"4WD"}</definedName>
    <definedName name="HGVI" localSheetId="14" hidden="1">{#N/A,#N/A,FALSE,"단축1";#N/A,#N/A,FALSE,"단축2";#N/A,#N/A,FALSE,"단축3";#N/A,#N/A,FALSE,"장축";#N/A,#N/A,FALSE,"4WD"}</definedName>
    <definedName name="HGVI" hidden="1">{#N/A,#N/A,FALSE,"단축1";#N/A,#N/A,FALSE,"단축2";#N/A,#N/A,FALSE,"단축3";#N/A,#N/A,FALSE,"장축";#N/A,#N/A,FALSE,"4WD"}</definedName>
    <definedName name="hh" localSheetId="14" hidden="1">{#N/A,#N/A,FALSE,"손익표지";#N/A,#N/A,FALSE,"손익계산";#N/A,#N/A,FALSE,"일반관리비";#N/A,#N/A,FALSE,"영업외수익";#N/A,#N/A,FALSE,"영업외비용";#N/A,#N/A,FALSE,"매출액";#N/A,#N/A,FALSE,"요약손익";#N/A,#N/A,FALSE,"요약대차";#N/A,#N/A,FALSE,"매출채권현황";#N/A,#N/A,FALSE,"매출채권명세"}</definedName>
    <definedName name="hh" localSheetId="13" hidden="1">{#N/A,#N/A,FALSE,"손익표지";#N/A,#N/A,FALSE,"손익계산";#N/A,#N/A,FALSE,"일반관리비";#N/A,#N/A,FALSE,"영업외수익";#N/A,#N/A,FALSE,"영업외비용";#N/A,#N/A,FALSE,"매출액";#N/A,#N/A,FALSE,"요약손익";#N/A,#N/A,FALSE,"요약대차";#N/A,#N/A,FALSE,"매출채권현황";#N/A,#N/A,FALSE,"매출채권명세"}</definedName>
    <definedName name="hh" hidden="1">{#N/A,#N/A,FALSE,"손익표지";#N/A,#N/A,FALSE,"손익계산";#N/A,#N/A,FALSE,"일반관리비";#N/A,#N/A,FALSE,"영업외수익";#N/A,#N/A,FALSE,"영업외비용";#N/A,#N/A,FALSE,"매출액";#N/A,#N/A,FALSE,"요약손익";#N/A,#N/A,FALSE,"요약대차";#N/A,#N/A,FALSE,"매출채권현황";#N/A,#N/A,FALSE,"매출채권명세"}</definedName>
    <definedName name="HHGHG" localSheetId="14" hidden="1">{#N/A,#N/A,FALSE,"단축1";#N/A,#N/A,FALSE,"단축2";#N/A,#N/A,FALSE,"단축3";#N/A,#N/A,FALSE,"장축";#N/A,#N/A,FALSE,"4WD"}</definedName>
    <definedName name="HHGHG" hidden="1">{#N/A,#N/A,FALSE,"단축1";#N/A,#N/A,FALSE,"단축2";#N/A,#N/A,FALSE,"단축3";#N/A,#N/A,FALSE,"장축";#N/A,#N/A,FALSE,"4WD"}</definedName>
    <definedName name="hhh" localSheetId="14" hidden="1">{#N/A,#N/A,FALSE,"BS";#N/A,#N/A,FALSE,"PL";#N/A,#N/A,FALSE,"처분";#N/A,#N/A,FALSE,"현금";#N/A,#N/A,FALSE,"매출";#N/A,#N/A,FALSE,"원가";#N/A,#N/A,FALSE,"경영"}</definedName>
    <definedName name="hhh" localSheetId="13" hidden="1">{#N/A,#N/A,FALSE,"BS";#N/A,#N/A,FALSE,"PL";#N/A,#N/A,FALSE,"처분";#N/A,#N/A,FALSE,"현금";#N/A,#N/A,FALSE,"매출";#N/A,#N/A,FALSE,"원가";#N/A,#N/A,FALSE,"경영"}</definedName>
    <definedName name="hhh" hidden="1">{#N/A,#N/A,FALSE,"BS";#N/A,#N/A,FALSE,"PL";#N/A,#N/A,FALSE,"처분";#N/A,#N/A,FALSE,"현금";#N/A,#N/A,FALSE,"매출";#N/A,#N/A,FALSE,"원가";#N/A,#N/A,FALSE,"경영"}</definedName>
    <definedName name="hhhh" localSheetId="14" hidden="1">{#N/A,#N/A,FALSE,"손익표지";#N/A,#N/A,FALSE,"손익계산";#N/A,#N/A,FALSE,"일반관리비";#N/A,#N/A,FALSE,"영업외수익";#N/A,#N/A,FALSE,"영업외비용";#N/A,#N/A,FALSE,"매출액";#N/A,#N/A,FALSE,"요약손익";#N/A,#N/A,FALSE,"요약대차";#N/A,#N/A,FALSE,"매출채권현황";#N/A,#N/A,FALSE,"매출채권명세"}</definedName>
    <definedName name="hhhh" localSheetId="13" hidden="1">{#N/A,#N/A,FALSE,"손익표지";#N/A,#N/A,FALSE,"손익계산";#N/A,#N/A,FALSE,"일반관리비";#N/A,#N/A,FALSE,"영업외수익";#N/A,#N/A,FALSE,"영업외비용";#N/A,#N/A,FALSE,"매출액";#N/A,#N/A,FALSE,"요약손익";#N/A,#N/A,FALSE,"요약대차";#N/A,#N/A,FALSE,"매출채권현황";#N/A,#N/A,FALSE,"매출채권명세"}</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hm" localSheetId="14" hidden="1">{#N/A,#N/A,FALSE,"BS";#N/A,#N/A,FALSE,"PL";#N/A,#N/A,FALSE,"처분";#N/A,#N/A,FALSE,"현금";#N/A,#N/A,FALSE,"매출";#N/A,#N/A,FALSE,"원가";#N/A,#N/A,FALSE,"경영"}</definedName>
    <definedName name="hhm" localSheetId="13" hidden="1">{#N/A,#N/A,FALSE,"BS";#N/A,#N/A,FALSE,"PL";#N/A,#N/A,FALSE,"처분";#N/A,#N/A,FALSE,"현금";#N/A,#N/A,FALSE,"매출";#N/A,#N/A,FALSE,"원가";#N/A,#N/A,FALSE,"경영"}</definedName>
    <definedName name="hhm" hidden="1">{#N/A,#N/A,FALSE,"BS";#N/A,#N/A,FALSE,"PL";#N/A,#N/A,FALSE,"처분";#N/A,#N/A,FALSE,"현금";#N/A,#N/A,FALSE,"매출";#N/A,#N/A,FALSE,"원가";#N/A,#N/A,FALSE,"경영"}</definedName>
    <definedName name="HHYUHUYUYUYUHYUHYUHHYUYU" localSheetId="14" hidden="1">{#N/A,#N/A,FALSE,"단축1";#N/A,#N/A,FALSE,"단축2";#N/A,#N/A,FALSE,"단축3";#N/A,#N/A,FALSE,"장축";#N/A,#N/A,FALSE,"4WD"}</definedName>
    <definedName name="HHYUHUYUYUYUHYUHYUHHYUYU" hidden="1">{#N/A,#N/A,FALSE,"단축1";#N/A,#N/A,FALSE,"단축2";#N/A,#N/A,FALSE,"단축3";#N/A,#N/A,FALSE,"장축";#N/A,#N/A,FALSE,"4WD"}</definedName>
    <definedName name="HIFT" localSheetId="14" hidden="1">{#N/A,#N/A,FALSE,"손익표지";#N/A,#N/A,FALSE,"손익계산";#N/A,#N/A,FALSE,"일반관리비";#N/A,#N/A,FALSE,"영업외수익";#N/A,#N/A,FALSE,"영업외비용";#N/A,#N/A,FALSE,"매출액";#N/A,#N/A,FALSE,"요약손익";#N/A,#N/A,FALSE,"요약대차";#N/A,#N/A,FALSE,"매출채권현황";#N/A,#N/A,FALSE,"매출채권명세"}</definedName>
    <definedName name="HIFT" hidden="1">{#N/A,#N/A,FALSE,"손익표지";#N/A,#N/A,FALSE,"손익계산";#N/A,#N/A,FALSE,"일반관리비";#N/A,#N/A,FALSE,"영업외수익";#N/A,#N/A,FALSE,"영업외비용";#N/A,#N/A,FALSE,"매출액";#N/A,#N/A,FALSE,"요약손익";#N/A,#N/A,FALSE,"요약대차";#N/A,#N/A,FALSE,"매출채권현황";#N/A,#N/A,FALSE,"매출채권명세"}</definedName>
    <definedName name="HJ" localSheetId="14" hidden="1">{#N/A,#N/A,FALSE,"Sheet5"}</definedName>
    <definedName name="HJ" localSheetId="13" hidden="1">{#N/A,#N/A,FALSE,"Sheet5"}</definedName>
    <definedName name="HJ" hidden="1">{#N/A,#N/A,FALSE,"Sheet5"}</definedName>
    <definedName name="hjc" localSheetId="14" hidden="1">#REF!</definedName>
    <definedName name="hjc" hidden="1">#REF!</definedName>
    <definedName name="HJHG" localSheetId="14" hidden="1">{#N/A,#N/A,FALSE,"단축1";#N/A,#N/A,FALSE,"단축2";#N/A,#N/A,FALSE,"단축3";#N/A,#N/A,FALSE,"장축";#N/A,#N/A,FALSE,"4WD"}</definedName>
    <definedName name="HJHG" hidden="1">{#N/A,#N/A,FALSE,"단축1";#N/A,#N/A,FALSE,"단축2";#N/A,#N/A,FALSE,"단축3";#N/A,#N/A,FALSE,"장축";#N/A,#N/A,FALSE,"4WD"}</definedName>
    <definedName name="hjhjj" hidden="1">{#N/A,#N/A,FALSE,"ORIX CSC"}</definedName>
    <definedName name="hjk" localSheetId="14" hidden="1">{#N/A,#N/A,FALSE,"정공"}</definedName>
    <definedName name="hjk" hidden="1">{#N/A,#N/A,FALSE,"정공"}</definedName>
    <definedName name="hjkl" hidden="1">{#N/A,#N/A,FALSE,"PART-1234-8-12-9(41)";#N/A,#N/A,FALSE,"PARTS-2(3)";#N/A,#N/A,FALSE,"VAN SYSTEM";#N/A,#N/A,FALSE,"PARTS-10(26)";#N/A,#N/A,FALSE,"PART-5-6-7-11(14)";#N/A,#N/A,FALSE,"PARTS-4(3)";#N/A,#N/A,FALSE,"PCLASS"}</definedName>
    <definedName name="HJKLL" localSheetId="14" hidden="1">{#N/A,#N/A,TRUE,"Y생산";#N/A,#N/A,TRUE,"Y판매";#N/A,#N/A,TRUE,"Y총물량";#N/A,#N/A,TRUE,"Y능력";#N/A,#N/A,TRUE,"YKD"}</definedName>
    <definedName name="HJKLL" hidden="1">{#N/A,#N/A,TRUE,"Y생산";#N/A,#N/A,TRUE,"Y판매";#N/A,#N/A,TRUE,"Y총물량";#N/A,#N/A,TRUE,"Y능력";#N/A,#N/A,TRUE,"YKD"}</definedName>
    <definedName name="HKD" localSheetId="14" hidden="1">{#N/A,#N/A,FALSE,"단축1";#N/A,#N/A,FALSE,"단축2";#N/A,#N/A,FALSE,"단축3";#N/A,#N/A,FALSE,"장축";#N/A,#N/A,FALSE,"4WD"}</definedName>
    <definedName name="HKD" hidden="1">{#N/A,#N/A,FALSE,"단축1";#N/A,#N/A,FALSE,"단축2";#N/A,#N/A,FALSE,"단축3";#N/A,#N/A,FALSE,"장축";#N/A,#N/A,FALSE,"4WD"}</definedName>
    <definedName name="hmk" localSheetId="14" hidden="1">{#N/A,#N/A,TRUE,"Y생산";#N/A,#N/A,TRUE,"Y판매";#N/A,#N/A,TRUE,"Y총물량";#N/A,#N/A,TRUE,"Y능력";#N/A,#N/A,TRUE,"YKD"}</definedName>
    <definedName name="hmk" hidden="1">{#N/A,#N/A,TRUE,"Y생산";#N/A,#N/A,TRUE,"Y판매";#N/A,#N/A,TRUE,"Y총물량";#N/A,#N/A,TRUE,"Y능력";#N/A,#N/A,TRUE,"YKD"}</definedName>
    <definedName name="HP" localSheetId="14" hidden="1">#REF!</definedName>
    <definedName name="HP" hidden="1">#REF!</definedName>
    <definedName name="hrye" hidden="1">{#N/A,#N/A,FALSE,"PART-1234-8-12-9(41)";#N/A,#N/A,FALSE,"PARTS-2(3)";#N/A,#N/A,FALSE,"VAN SYSTEM";#N/A,#N/A,FALSE,"PARTS-10(26)";#N/A,#N/A,FALSE,"PART-5-6-7-11(14)";#N/A,#N/A,FALSE,"PARTS-4(3)";#N/A,#N/A,FALSE,"PCLASS"}</definedName>
    <definedName name="HSE">#REF!</definedName>
    <definedName name="HTML_CodePage" hidden="1">949</definedName>
    <definedName name="HTML_Control" localSheetId="14" hidden="1">{"'10_03일자별'!$A$2:$H$31"}</definedName>
    <definedName name="HTML_Control" localSheetId="13" hidden="1">{"'10_03일자별'!$A$2:$H$31"}</definedName>
    <definedName name="HTML_Control" localSheetId="31" hidden="1">{"'조직도 (3)'!$M$1:$O$49","'조직도 (3)'!$I$1:$K$30","'조직도 (3)'!$E$1:$G$57","'조직도 (3)'!$A$1:$C$55"}</definedName>
    <definedName name="HTML_Control" hidden="1">{"'10_03일자별'!$A$2:$H$31"}</definedName>
    <definedName name="html_control2" localSheetId="14" hidden="1">{"'Planning Data'!$A$2:$X$120"}</definedName>
    <definedName name="html_control2" localSheetId="13" hidden="1">{"'Planning Data'!$A$2:$X$120"}</definedName>
    <definedName name="html_control2" hidden="1">{"'Planning Data'!$A$2:$X$120"}</definedName>
    <definedName name="HTML_Description" hidden="1">""</definedName>
    <definedName name="HTML_Email" localSheetId="31" hidden="1">"khl0128@mail.lgcaltex.co.kr"</definedName>
    <definedName name="HTML_Email" hidden="1">""</definedName>
    <definedName name="HTML_Header" localSheetId="31" hidden="1">"조 직 도"</definedName>
    <definedName name="HTML_Header" hidden="1">""</definedName>
    <definedName name="HTML_LastUpdate" localSheetId="31" hidden="1">"99/07/05"</definedName>
    <definedName name="HTML_LastUpdate" hidden="1">""</definedName>
    <definedName name="HTML_LineAfter" localSheetId="31" hidden="1">TRUE</definedName>
    <definedName name="HTML_LineAfter" hidden="1">FALSE</definedName>
    <definedName name="HTML_LineBefore" localSheetId="31" hidden="1">TRUE</definedName>
    <definedName name="HTML_LineBefore" hidden="1">FALSE</definedName>
    <definedName name="HTML_Name" localSheetId="31" hidden="1">"이경희"</definedName>
    <definedName name="HTML_Name" hidden="1">""</definedName>
    <definedName name="HTML_OBDlg2" hidden="1">TRUE</definedName>
    <definedName name="HTML_OBDlg4" hidden="1">TRUE</definedName>
    <definedName name="HTML_OS" hidden="1">0</definedName>
    <definedName name="HTML_PathFile" localSheetId="31" hidden="1">"D:\경희개인\조직도2.html"</definedName>
    <definedName name="HTML_PathFile" hidden="1">"D:\sk_caspi\01CCM보고\주간업무보고\02_10_3rd_daily.htm"</definedName>
    <definedName name="HTML_PathFileMac" hidden="1">"Macintosh HD:HomePageStuff:New_Home_Page:datafile:ctryprem.html"</definedName>
    <definedName name="HTML_Title" localSheetId="31" hidden="1">"조직도"</definedName>
    <definedName name="HTML_Title" hidden="1">""</definedName>
    <definedName name="HTML1_1" localSheetId="14" hidden="1">"[mnsavg.xls]Sheet1!$A$1:$AD$11"</definedName>
    <definedName name="HTML1_1" hidden="1">"[허가공문.xls]국내선!$A$1:$H$20"</definedName>
    <definedName name="HTML1_10" hidden="1">""</definedName>
    <definedName name="HTML1_11" hidden="1">1</definedName>
    <definedName name="HTML1_12" hidden="1">"C:\My Documents\LEE.htm"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0" hidden="1">""</definedName>
    <definedName name="HTML10_11" hidden="1">1</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0" hidden="1">""</definedName>
    <definedName name="HTML11_11" hidden="1">1</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0" hidden="1">""</definedName>
    <definedName name="HTML12_11" hidden="1">1</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0" hidden="1">""</definedName>
    <definedName name="HTML13_11" hidden="1">1</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0" hidden="1">""</definedName>
    <definedName name="HTML14_11" hidden="1">1</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0" hidden="1">""</definedName>
    <definedName name="HTML15_11" hidden="1">1</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0" hidden="1">""</definedName>
    <definedName name="HTML16_11" hidden="1">1</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0" hidden="1">""</definedName>
    <definedName name="HTML17_11" hidden="1">1</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0" hidden="1">""</definedName>
    <definedName name="HTML18_11" hidden="1">1</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0" hidden="1">""</definedName>
    <definedName name="HTML19_11" hidden="1">1</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localSheetId="14" hidden="1">"[mnsavg.xls]Sheet1!$A$4:$K$33"</definedName>
    <definedName name="HTML2_1" hidden="1">"[허가공문.xls]운항변경1!$A$23:$L$43"</definedName>
    <definedName name="HTML2_10" hidden="1">""</definedName>
    <definedName name="HTML2_11" hidden="1">1</definedName>
    <definedName name="HTML2_12" hidden="1">"C:\My Documents\허가서.htm"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0" hidden="1">""</definedName>
    <definedName name="HTML20_11" hidden="1">1</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0" hidden="1">""</definedName>
    <definedName name="HTML21_11" hidden="1">1</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0" hidden="1">""</definedName>
    <definedName name="HTML22_11" hidden="1">1</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0" hidden="1">""</definedName>
    <definedName name="HTML23_11" hidden="1">1</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0" hidden="1">""</definedName>
    <definedName name="HTML24_11" hidden="1">1</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0" hidden="1">""</definedName>
    <definedName name="HTML25_11" hidden="1">1</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0" hidden="1">""</definedName>
    <definedName name="HTML26_11" hidden="1">1</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0" hidden="1">""</definedName>
    <definedName name="HTML27_11" hidden="1">1</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0" hidden="1">""</definedName>
    <definedName name="HTML28_11" hidden="1">1</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0" hidden="1">""</definedName>
    <definedName name="HTML29_11" hidden="1">1</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"[keb97avrg.xls]Sheet1!$A$4:$O$32"</definedName>
    <definedName name="HTML3_10" hidden="1">""</definedName>
    <definedName name="HTML3_11" hidden="1">1</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0" hidden="1">""</definedName>
    <definedName name="HTML30_11" hidden="1">1</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0" hidden="1">""</definedName>
    <definedName name="HTML4_11" hidden="1">1</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0" hidden="1">""</definedName>
    <definedName name="HTML5_11" hidden="1">1</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0" hidden="1">""</definedName>
    <definedName name="HTML6_11" hidden="1">1</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0" hidden="1">""</definedName>
    <definedName name="HTML7_11" hidden="1">1</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0" hidden="1">""</definedName>
    <definedName name="HTML8_11" hidden="1">1</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0" hidden="1">""</definedName>
    <definedName name="HTML9_11" hidden="1">1</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localSheetId="14" hidden="1">{#N/A,#N/A,TRUE,"Y생산";#N/A,#N/A,TRUE,"Y판매";#N/A,#N/A,TRUE,"Y총물량";#N/A,#N/A,TRUE,"Y능력";#N/A,#N/A,TRUE,"YKD"}</definedName>
    <definedName name="htr" hidden="1">{#N/A,#N/A,TRUE,"Y생산";#N/A,#N/A,TRUE,"Y판매";#N/A,#N/A,TRUE,"Y총물량";#N/A,#N/A,TRUE,"Y능력";#N/A,#N/A,TRUE,"YKD"}</definedName>
    <definedName name="HYP" localSheetId="14" hidden="1">#REF!</definedName>
    <definedName name="HYP" hidden="1">#REF!</definedName>
    <definedName name="i" localSheetId="14" hidden="1">{#N/A,#N/A,FALSE,"PART-1234-8-12-9(41)";#N/A,#N/A,FALSE,"PARTS-2(3)";#N/A,#N/A,FALSE,"VAN SYSTEM";#N/A,#N/A,FALSE,"PARTS-10(26)";#N/A,#N/A,FALSE,"PART-5-6-7-11(14)";#N/A,#N/A,FALSE,"PARTS-4(3)";#N/A,#N/A,FALSE,"PCLASS"}</definedName>
    <definedName name="i" hidden="1">{#N/A,#N/A,FALSE,"손익표지";#N/A,#N/A,FALSE,"손익계산";#N/A,#N/A,FALSE,"일반관리비";#N/A,#N/A,FALSE,"영업외수익";#N/A,#N/A,FALSE,"영업외비용";#N/A,#N/A,FALSE,"매출액";#N/A,#N/A,FALSE,"요약손익";#N/A,#N/A,FALSE,"요약대차";#N/A,#N/A,FALSE,"매출채권현황";#N/A,#N/A,FALSE,"매출채권명세"}</definedName>
    <definedName name="ic" localSheetId="14" hidden="1">{#N/A,#N/A,FALSE,"단축1";#N/A,#N/A,FALSE,"단축2";#N/A,#N/A,FALSE,"단축3";#N/A,#N/A,FALSE,"장축";#N/A,#N/A,FALSE,"4WD"}</definedName>
    <definedName name="ic" hidden="1">{#N/A,#N/A,FALSE,"단축1";#N/A,#N/A,FALSE,"단축2";#N/A,#N/A,FALSE,"단축3";#N/A,#N/A,FALSE,"장축";#N/A,#N/A,FALSE,"4WD"}</definedName>
    <definedName name="IGFIGFITI" localSheetId="14" hidden="1">{#N/A,#N/A,FALSE,"단축1";#N/A,#N/A,FALSE,"단축2";#N/A,#N/A,FALSE,"단축3";#N/A,#N/A,FALSE,"장축";#N/A,#N/A,FALSE,"4WD"}</definedName>
    <definedName name="IGFIGFITI" hidden="1">{#N/A,#N/A,FALSE,"단축1";#N/A,#N/A,FALSE,"단축2";#N/A,#N/A,FALSE,"단축3";#N/A,#N/A,FALSE,"장축";#N/A,#N/A,FALSE,"4WD"}</definedName>
    <definedName name="ii" hidden="1">{#N/A,#N/A,FALSE,"-ST.PER1";#N/A,#N/A,FALSE,"-ST.PER2";#N/A,#N/A,FALSE,"+ST.HIS.PER1";#N/A,#N/A,FALSE,"+ST.HIS.PER2";#N/A,#N/A,FALSE,"+ST.STD.PER1";#N/A,#N/A,FALSE,"+ST.STD.PER2"}</definedName>
    <definedName name="iii">#REF!</definedName>
    <definedName name="IIIII" localSheetId="14" hidden="1">{#N/A,#N/A,FALSE,"96 3월물량표";#N/A,#N/A,FALSE,"96 4월물량표";#N/A,#N/A,FALSE,"96 5월물량표"}</definedName>
    <definedName name="IIIII" hidden="1">{#N/A,#N/A,FALSE,"96 3월물량표";#N/A,#N/A,FALSE,"96 4월물량표";#N/A,#N/A,FALSE,"96 5월물량표"}</definedName>
    <definedName name="Income" localSheetId="14" hidden="1">[3]act98!#REF!</definedName>
    <definedName name="Income" localSheetId="13" hidden="1">[3]act98!#REF!</definedName>
    <definedName name="Income" localSheetId="27" hidden="1">[3]act98!#REF!</definedName>
    <definedName name="Income" localSheetId="20" hidden="1">[3]act98!#REF!</definedName>
    <definedName name="Income" hidden="1">[3]act98!#REF!</definedName>
    <definedName name="interestoverall" hidden="1">{#N/A,#N/A,FALSE,"Aging Summary";#N/A,#N/A,FALSE,"Ratio Analysis";#N/A,#N/A,FALSE,"Test 120 Day Accts";#N/A,#N/A,FALSE,"Tickmarks"}</definedName>
    <definedName name="IP" localSheetId="14" hidden="1">{#N/A,#N/A,FALSE,"단축1";#N/A,#N/A,FALSE,"단축2";#N/A,#N/A,FALSE,"단축3";#N/A,#N/A,FALSE,"장축";#N/A,#N/A,FALSE,"4WD"}</definedName>
    <definedName name="IP" hidden="1">{#N/A,#N/A,FALSE,"단축1";#N/A,#N/A,FALSE,"단축2";#N/A,#N/A,FALSE,"단축3";#N/A,#N/A,FALSE,"장축";#N/A,#N/A,FALSE,"4WD"}</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EST" hidden="1">"c399"</definedName>
    <definedName name="IQ_EPS_EST_REUT" hidden="1">"c5453"</definedName>
    <definedName name="IQ_EPS_GW_ACT_OR_EST" hidden="1">"c2223"</definedName>
    <definedName name="IQ_EPS_GW_EST" hidden="1">"c1737"</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ED_EST" hidden="1">"c1744"</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HARE_ACT_OR_EST" hidden="1">"c4446"</definedName>
    <definedName name="IQ_FFO_STDDEV_EST" hidden="1">"c422"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14" hidden="1">"2015-05-11 오후 4:59:2"</definedName>
    <definedName name="IQ_NAMES_REVISION_DATE_" hidden="1">40073.5593518519</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SHARE_SHARE_12MONTHS" hidden="1">"c1828"</definedName>
    <definedName name="IQ_PERCENT_CHANGE_EST_FFO_SHARE_SHARE_12MONTHS_CIQ" hidden="1">"c3769"</definedName>
    <definedName name="IQ_PERCENT_CHANGE_EST_FFO_SHARE_SHARE_18MONTHS" hidden="1">"c1829"</definedName>
    <definedName name="IQ_PERCENT_CHANGE_EST_FFO_SHARE_SHARE_18MONTHS_CIQ" hidden="1">"c3770"</definedName>
    <definedName name="IQ_PERCENT_CHANGE_EST_FFO_SHARE_SHARE_3MONTHS" hidden="1">"c1825"</definedName>
    <definedName name="IQ_PERCENT_CHANGE_EST_FFO_SHARE_SHARE_3MONTHS_CIQ" hidden="1">"c3766"</definedName>
    <definedName name="IQ_PERCENT_CHANGE_EST_FFO_SHARE_SHARE_6MONTHS" hidden="1">"c1826"</definedName>
    <definedName name="IQ_PERCENT_CHANGE_EST_FFO_SHARE_SHARE_6MONTHS_CIQ" hidden="1">"c3767"</definedName>
    <definedName name="IQ_PERCENT_CHANGE_EST_FFO_SHARE_SHARE_9MONTHS" hidden="1">"c1827"</definedName>
    <definedName name="IQ_PERCENT_CHANGE_EST_FFO_SHARE_SHARE_9MONTHS_CIQ" hidden="1">"c3768"</definedName>
    <definedName name="IQ_PERCENT_CHANGE_EST_FFO_SHARE_SHARE_DAY" hidden="1">"c1822"</definedName>
    <definedName name="IQ_PERCENT_CHANGE_EST_FFO_SHARE_SHARE_DAY_CIQ" hidden="1">"c3764"</definedName>
    <definedName name="IQ_PERCENT_CHANGE_EST_FFO_SHARE_SHARE_MONTH" hidden="1">"c1824"</definedName>
    <definedName name="IQ_PERCENT_CHANGE_EST_FFO_SHARE_SHARE_MONTH_CIQ" hidden="1">"c3765"</definedName>
    <definedName name="IQ_PERCENT_CHANGE_EST_FFO_SHARE_SHARE_WEEK" hidden="1">"c1823"</definedName>
    <definedName name="IQ_PERCENT_CHANGE_EST_FFO_SHARE_SHARE_WEEK_CIQ" hidden="1">"c3795"</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39688.4225462963</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D12" hidden="1">"$D$13:$D$34"</definedName>
    <definedName name="IQRE12" hidden="1">"$E$13:$E$34"</definedName>
    <definedName name="IQRF12" hidden="1">"$F$13:$F$34"</definedName>
    <definedName name="IS" localSheetId="14" hidden="1">[4]목표세부명세!#REF!</definedName>
    <definedName name="IS" localSheetId="13" hidden="1">[4]목표세부명세!#REF!</definedName>
    <definedName name="IS" localSheetId="27" hidden="1">[4]목표세부명세!#REF!</definedName>
    <definedName name="IS" localSheetId="20" hidden="1">[4]목표세부명세!#REF!</definedName>
    <definedName name="IS" hidden="1">[4]목표세부명세!#REF!</definedName>
    <definedName name="IY" localSheetId="14" hidden="1">{"'5'!$A$1:$BB$147"}</definedName>
    <definedName name="IY" hidden="1">{"'5'!$A$1:$BB$147"}</definedName>
    <definedName name="j" localSheetId="14" hidden="1">{#N/A,#N/A,FALSE,"BS";#N/A,#N/A,FALSE,"PL";#N/A,#N/A,FALSE,"처분";#N/A,#N/A,FALSE,"현금";#N/A,#N/A,FALSE,"매출";#N/A,#N/A,FALSE,"원가";#N/A,#N/A,FALSE,"경영"}</definedName>
    <definedName name="j" localSheetId="13" hidden="1">{#N/A,#N/A,FALSE,"BS";#N/A,#N/A,FALSE,"PL";#N/A,#N/A,FALSE,"처분";#N/A,#N/A,FALSE,"현금";#N/A,#N/A,FALSE,"매출";#N/A,#N/A,FALSE,"원가";#N/A,#N/A,FALSE,"경영"}</definedName>
    <definedName name="j" localSheetId="31" hidden="1">{#N/A,#N/A,FALSE,"손익표지";#N/A,#N/A,FALSE,"손익계산";#N/A,#N/A,FALSE,"일반관리비";#N/A,#N/A,FALSE,"영업외수익";#N/A,#N/A,FALSE,"영업외비용";#N/A,#N/A,FALSE,"매출액";#N/A,#N/A,FALSE,"요약손익";#N/A,#N/A,FALSE,"요약대차";#N/A,#N/A,FALSE,"매출채권현황";#N/A,#N/A,FALSE,"매출채권명세"}</definedName>
    <definedName name="j" hidden="1">{#N/A,#N/A,FALSE,"BS";#N/A,#N/A,FALSE,"PL";#N/A,#N/A,FALSE,"처분";#N/A,#N/A,FALSE,"현금";#N/A,#N/A,FALSE,"매출";#N/A,#N/A,FALSE,"원가";#N/A,#N/A,FALSE,"경영"}</definedName>
    <definedName name="JDOIAUHF" hidden="1">{#N/A,#N/A,TRUE,"DIVISION-MTH";"MANUFACTURING",#N/A,TRUE,"MANUF-MTH";#N/A,#N/A,TRUE,"TRADING-MTH";#N/A,#N/A,TRUE,"DIV-COSTS-MTH"}</definedName>
    <definedName name="jeld" localSheetId="14" hidden="1">{#N/A,#N/A,FALSE,"Sheet5"}</definedName>
    <definedName name="jeld" localSheetId="13" hidden="1">{#N/A,#N/A,FALSE,"Sheet5"}</definedName>
    <definedName name="jeld" hidden="1">{#N/A,#N/A,FALSE,"Sheet5"}</definedName>
    <definedName name="jeld2" localSheetId="14" hidden="1">{#N/A,#N/A,FALSE,"Sheet5"}</definedName>
    <definedName name="jeld2" localSheetId="13" hidden="1">{#N/A,#N/A,FALSE,"Sheet5"}</definedName>
    <definedName name="jeld2" hidden="1">{#N/A,#N/A,FALSE,"Sheet5"}</definedName>
    <definedName name="JFJ" localSheetId="14"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FJGF" localSheetId="14" hidden="1">{#N/A,#N/A,FALSE,"단축1";#N/A,#N/A,FALSE,"단축2";#N/A,#N/A,FALSE,"단축3";#N/A,#N/A,FALSE,"장축";#N/A,#N/A,FALSE,"4WD"}</definedName>
    <definedName name="JFJGF" hidden="1">{#N/A,#N/A,FALSE,"단축1";#N/A,#N/A,FALSE,"단축2";#N/A,#N/A,FALSE,"단축3";#N/A,#N/A,FALSE,"장축";#N/A,#N/A,FALSE,"4WD"}</definedName>
    <definedName name="JGHJ" localSheetId="14" hidden="1">{#N/A,#N/A,FALSE,"단축1";#N/A,#N/A,FALSE,"단축2";#N/A,#N/A,FALSE,"단축3";#N/A,#N/A,FALSE,"장축";#N/A,#N/A,FALSE,"4WD"}</definedName>
    <definedName name="JGHJ" hidden="1">{#N/A,#N/A,FALSE,"단축1";#N/A,#N/A,FALSE,"단축2";#N/A,#N/A,FALSE,"단축3";#N/A,#N/A,FALSE,"장축";#N/A,#N/A,FALSE,"4WD"}</definedName>
    <definedName name="JGJ" localSheetId="14" hidden="1">{#N/A,#N/A,FALSE,"단축1";#N/A,#N/A,FALSE,"단축2";#N/A,#N/A,FALSE,"단축3";#N/A,#N/A,FALSE,"장축";#N/A,#N/A,FALSE,"4WD"}</definedName>
    <definedName name="JGJ" hidden="1">{#N/A,#N/A,FALSE,"단축1";#N/A,#N/A,FALSE,"단축2";#N/A,#N/A,FALSE,"단축3";#N/A,#N/A,FALSE,"장축";#N/A,#N/A,FALSE,"4WD"}</definedName>
    <definedName name="JHGJ" localSheetId="14"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14"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13"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gjhgjghj" hidden="1">{"mgmt forecast",#N/A,FALSE,"Mgmt Forecast";"dcf table",#N/A,FALSE,"Mgmt Forecast";"sensitivity",#N/A,FALSE,"Mgmt Forecast";"table inputs",#N/A,FALSE,"Mgmt Forecast";"calculations",#N/A,FALSE,"Mgmt Forecast"}</definedName>
    <definedName name="JHGJI" localSheetId="14" hidden="1">{#N/A,#N/A,FALSE,"단축1";#N/A,#N/A,FALSE,"단축2";#N/A,#N/A,FALSE,"단축3";#N/A,#N/A,FALSE,"장축";#N/A,#N/A,FALSE,"4WD"}</definedName>
    <definedName name="JHGJI" hidden="1">{#N/A,#N/A,FALSE,"단축1";#N/A,#N/A,FALSE,"단축2";#N/A,#N/A,FALSE,"단축3";#N/A,#N/A,FALSE,"장축";#N/A,#N/A,FALSE,"4WD"}</definedName>
    <definedName name="JHJH" localSheetId="14"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13"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kkjk" hidden="1">{"mgmt forecast",#N/A,FALSE,"Mgmt Forecast";"dcf table",#N/A,FALSE,"Mgmt Forecast";"sensitivity",#N/A,FALSE,"Mgmt Forecast";"table inputs",#N/A,FALSE,"Mgmt Forecast";"calculations",#N/A,FALSE,"Mgmt Forecast"}</definedName>
    <definedName name="JI" localSheetId="14" hidden="1">{#N/A,#N/A,FALSE,"단축1";#N/A,#N/A,FALSE,"단축2";#N/A,#N/A,FALSE,"단축3";#N/A,#N/A,FALSE,"장축";#N/A,#N/A,FALSE,"4WD"}</definedName>
    <definedName name="JI" hidden="1">{#N/A,#N/A,FALSE,"단축1";#N/A,#N/A,FALSE,"단축2";#N/A,#N/A,FALSE,"단축3";#N/A,#N/A,FALSE,"장축";#N/A,#N/A,FALSE,"4WD"}</definedName>
    <definedName name="JIM" localSheetId="14" hidden="1">{#N/A,#N/A,FALSE,"Sheet5"}</definedName>
    <definedName name="JIM" localSheetId="13" hidden="1">{#N/A,#N/A,FALSE,"Sheet5"}</definedName>
    <definedName name="JIM" hidden="1">{#N/A,#N/A,FALSE,"Sheet5"}</definedName>
    <definedName name="jj" localSheetId="14" hidden="1">{#N/A,#N/A,FALSE,"손익표지";#N/A,#N/A,FALSE,"손익계산";#N/A,#N/A,FALSE,"일반관리비";#N/A,#N/A,FALSE,"영업외수익";#N/A,#N/A,FALSE,"영업외비용";#N/A,#N/A,FALSE,"매출액";#N/A,#N/A,FALSE,"요약손익";#N/A,#N/A,FALSE,"요약대차";#N/A,#N/A,FALSE,"매출채권현황";#N/A,#N/A,FALSE,"매출채권명세"}</definedName>
    <definedName name="j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jj" hidden="1">{#N/A,#N/A,FALSE,"손익표지";#N/A,#N/A,FALSE,"손익계산";#N/A,#N/A,FALSE,"일반관리비";#N/A,#N/A,FALSE,"영업외수익";#N/A,#N/A,FALSE,"영업외비용";#N/A,#N/A,FALSE,"매출액";#N/A,#N/A,FALSE,"요약손익";#N/A,#N/A,FALSE,"요약대차";#N/A,#N/A,FALSE,"매출채권현황";#N/A,#N/A,FALSE,"매출채권명세"}</definedName>
    <definedName name="JJJ" localSheetId="14" hidden="1">{#N/A,#N/A,FALSE,"정공"}</definedName>
    <definedName name="JJJ" hidden="1">{#N/A,#N/A,FALSE,"정공"}</definedName>
    <definedName name="JJJJ" localSheetId="14" hidden="1">{#N/A,#N/A,FALSE,"정공"}</definedName>
    <definedName name="JJJJ" hidden="1">{#N/A,#N/A,FALSE,"정공"}</definedName>
    <definedName name="jjjjjjjjjjjjjj" localSheetId="14" hidden="1">{#N/A,#N/A,FALSE,"신규dep";#N/A,#N/A,FALSE,"신규dep-금형상각후";#N/A,#N/A,FALSE,"신규dep-연구비상각후";#N/A,#N/A,FALSE,"신규dep-기계,공구상각후"}</definedName>
    <definedName name="jjjjjjjjjjjjjj" hidden="1">{#N/A,#N/A,FALSE,"신규dep";#N/A,#N/A,FALSE,"신규dep-금형상각후";#N/A,#N/A,FALSE,"신규dep-연구비상각후";#N/A,#N/A,FALSE,"신규dep-기계,공구상각후"}</definedName>
    <definedName name="JJOJ" localSheetId="14" hidden="1">{#N/A,#N/A,FALSE,"단축1";#N/A,#N/A,FALSE,"단축2";#N/A,#N/A,FALSE,"단축3";#N/A,#N/A,FALSE,"장축";#N/A,#N/A,FALSE,"4WD"}</definedName>
    <definedName name="JJOJ" hidden="1">{#N/A,#N/A,FALSE,"단축1";#N/A,#N/A,FALSE,"단축2";#N/A,#N/A,FALSE,"단축3";#N/A,#N/A,FALSE,"장축";#N/A,#N/A,FALSE,"4WD"}</definedName>
    <definedName name="jk" localSheetId="14" hidden="1">#REF!</definedName>
    <definedName name="JK"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14"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jh" localSheetId="14" hidden="1">#REF!</definedName>
    <definedName name="jkjh" hidden="1">#REF!</definedName>
    <definedName name="jkllll" hidden="1">{#N/A,#N/A,FALSE,"PART-1234-8-12-9(41)";#N/A,#N/A,FALSE,"PARTS-2(3)";#N/A,#N/A,FALSE,"VAN SYSTEM";#N/A,#N/A,FALSE,"PARTS-10(26)";#N/A,#N/A,FALSE,"PART-5-6-7-11(14)";#N/A,#N/A,FALSE,"PARTS-4(3)";#N/A,#N/A,FALSE,"PCLASS"}</definedName>
    <definedName name="JL" localSheetId="14" hidden="1">{#N/A,#N/A,FALSE,"단축1";#N/A,#N/A,FALSE,"단축2";#N/A,#N/A,FALSE,"단축3";#N/A,#N/A,FALSE,"장축";#N/A,#N/A,FALSE,"4WD"}</definedName>
    <definedName name="JL" hidden="1">{#N/A,#N/A,FALSE,"단축1";#N/A,#N/A,FALSE,"단축2";#N/A,#N/A,FALSE,"단축3";#N/A,#N/A,FALSE,"장축";#N/A,#N/A,FALSE,"4WD"}</definedName>
    <definedName name="JM" localSheetId="14" hidden="1">{#N/A,#N/A,FALSE,"단축1";#N/A,#N/A,FALSE,"단축2";#N/A,#N/A,FALSE,"단축3";#N/A,#N/A,FALSE,"장축";#N/A,#N/A,FALSE,"4WD"}</definedName>
    <definedName name="JM" hidden="1">{#N/A,#N/A,FALSE,"단축1";#N/A,#N/A,FALSE,"단축2";#N/A,#N/A,FALSE,"단축3";#N/A,#N/A,FALSE,"장축";#N/A,#N/A,FALSE,"4WD"}</definedName>
    <definedName name="JWG" localSheetId="14" hidden="1">{#N/A,#N/A,FALSE,"단축1";#N/A,#N/A,FALSE,"단축2";#N/A,#N/A,FALSE,"단축3";#N/A,#N/A,FALSE,"장축";#N/A,#N/A,FALSE,"4WD"}</definedName>
    <definedName name="JWG" hidden="1">{#N/A,#N/A,FALSE,"단축1";#N/A,#N/A,FALSE,"단축2";#N/A,#N/A,FALSE,"단축3";#N/A,#N/A,FALSE,"장축";#N/A,#N/A,FALSE,"4WD"}</definedName>
    <definedName name="jyuk" localSheetId="14" hidden="1">{#N/A,#N/A,TRUE,"Y생산";#N/A,#N/A,TRUE,"Y판매";#N/A,#N/A,TRUE,"Y총물량";#N/A,#N/A,TRUE,"Y능력";#N/A,#N/A,TRUE,"YKD"}</definedName>
    <definedName name="jyuk" hidden="1">{#N/A,#N/A,TRUE,"Y생산";#N/A,#N/A,TRUE,"Y판매";#N/A,#N/A,TRUE,"Y총물량";#N/A,#N/A,TRUE,"Y능력";#N/A,#N/A,TRUE,"YKD"}</definedName>
    <definedName name="k" hidden="1">{#N/A,#N/A,FALSE,"PART-1234-8-12-9(41)";#N/A,#N/A,FALSE,"PARTS-2(3)";#N/A,#N/A,FALSE,"VAN SYSTEM";#N/A,#N/A,FALSE,"PARTS-10(26)";#N/A,#N/A,FALSE,"PART-5-6-7-11(14)";#N/A,#N/A,FALSE,"PARTS-4(3)";#N/A,#N/A,FALSE,"PCLASS"}</definedName>
    <definedName name="ka" localSheetId="14" hidden="1">{#N/A,#N/A,FALSE,"단축1";#N/A,#N/A,FALSE,"단축2";#N/A,#N/A,FALSE,"단축3";#N/A,#N/A,FALSE,"장축";#N/A,#N/A,FALSE,"4WD"}</definedName>
    <definedName name="ka" hidden="1">{#N/A,#N/A,FALSE,"단축1";#N/A,#N/A,FALSE,"단축2";#N/A,#N/A,FALSE,"단축3";#N/A,#N/A,FALSE,"장축";#N/A,#N/A,FALSE,"4WD"}</definedName>
    <definedName name="kame" localSheetId="14" hidden="1">{#N/A,#N/A,FALSE,"손익표지";#N/A,#N/A,FALSE,"손익계산";#N/A,#N/A,FALSE,"일반관리비";#N/A,#N/A,FALSE,"영업외수익";#N/A,#N/A,FALSE,"영업외비용";#N/A,#N/A,FALSE,"매출액";#N/A,#N/A,FALSE,"요약손익";#N/A,#N/A,FALSE,"요약대차";#N/A,#N/A,FALSE,"매출채권현황";#N/A,#N/A,FALSE,"매출채권명세"}</definedName>
    <definedName name="kame" hidden="1">{#N/A,#N/A,FALSE,"손익표지";#N/A,#N/A,FALSE,"손익계산";#N/A,#N/A,FALSE,"일반관리비";#N/A,#N/A,FALSE,"영업외수익";#N/A,#N/A,FALSE,"영업외비용";#N/A,#N/A,FALSE,"매출액";#N/A,#N/A,FALSE,"요약손익";#N/A,#N/A,FALSE,"요약대차";#N/A,#N/A,FALSE,"매출채권현황";#N/A,#N/A,FALSE,"매출채권명세"}</definedName>
    <definedName name="KANG" localSheetId="14"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EPNET">#REF!</definedName>
    <definedName name="KFH" localSheetId="14"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13" hidden="1">{#N/A,#N/A,FALSE,"손익표지";#N/A,#N/A,FALSE,"손익계산";#N/A,#N/A,FALSE,"일반관리비";#N/A,#N/A,FALSE,"영업외수익";#N/A,#N/A,FALSE,"영업외비용";#N/A,#N/A,FALSE,"매출액";#N/A,#N/A,FALSE,"요약손익";#N/A,#N/A,FALSE,"요약대차";#N/A,#N/A,FALSE,"매출채권현황";#N/A,#N/A,FALSE,"매출채권명세"}</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FKFK" localSheetId="14" hidden="1">{#N/A,#N/A,FALSE,"단축1";#N/A,#N/A,FALSE,"단축2";#N/A,#N/A,FALSE,"단축3";#N/A,#N/A,FALSE,"장축";#N/A,#N/A,FALSE,"4WD"}</definedName>
    <definedName name="KFKFK" hidden="1">{#N/A,#N/A,FALSE,"단축1";#N/A,#N/A,FALSE,"단축2";#N/A,#N/A,FALSE,"단축3";#N/A,#N/A,FALSE,"장축";#N/A,#N/A,FALSE,"4WD"}</definedName>
    <definedName name="KIGFIK" localSheetId="14" hidden="1">{#N/A,#N/A,FALSE,"단축1";#N/A,#N/A,FALSE,"단축2";#N/A,#N/A,FALSE,"단축3";#N/A,#N/A,FALSE,"장축";#N/A,#N/A,FALSE,"4WD"}</definedName>
    <definedName name="KIGFIK" hidden="1">{#N/A,#N/A,FALSE,"단축1";#N/A,#N/A,FALSE,"단축2";#N/A,#N/A,FALSE,"단축3";#N/A,#N/A,FALSE,"장축";#N/A,#N/A,FALSE,"4WD"}</definedName>
    <definedName name="KIGVKGI" localSheetId="14" hidden="1">{#N/A,#N/A,FALSE,"단축1";#N/A,#N/A,FALSE,"단축2";#N/A,#N/A,FALSE,"단축3";#N/A,#N/A,FALSE,"장축";#N/A,#N/A,FALSE,"4WD"}</definedName>
    <definedName name="KIGVKGI" hidden="1">{#N/A,#N/A,FALSE,"단축1";#N/A,#N/A,FALSE,"단축2";#N/A,#N/A,FALSE,"단축3";#N/A,#N/A,FALSE,"장축";#N/A,#N/A,FALSE,"4WD"}</definedName>
    <definedName name="KIM" localSheetId="14" hidden="1">{#N/A,#N/A,FALSE,"단축1";#N/A,#N/A,FALSE,"단축2";#N/A,#N/A,FALSE,"단축3";#N/A,#N/A,FALSE,"장축";#N/A,#N/A,FALSE,"4WD"}</definedName>
    <definedName name="KIM" hidden="1">{#N/A,#N/A,FALSE,"단축1";#N/A,#N/A,FALSE,"단축2";#N/A,#N/A,FALSE,"단축3";#N/A,#N/A,FALSE,"장축";#N/A,#N/A,FALSE,"4WD"}</definedName>
    <definedName name="KJ" localSheetId="14" hidden="1">{#N/A,#N/A,FALSE,"단축1";#N/A,#N/A,FALSE,"단축2";#N/A,#N/A,FALSE,"단축3";#N/A,#N/A,FALSE,"장축";#N/A,#N/A,FALSE,"4WD"}</definedName>
    <definedName name="KJ" hidden="1">{#N/A,#N/A,FALSE,"단축1";#N/A,#N/A,FALSE,"단축2";#N/A,#N/A,FALSE,"단축3";#N/A,#N/A,FALSE,"장축";#N/A,#N/A,FALSE,"4WD"}</definedName>
    <definedName name="kjhkj" hidden="1">{#N/A,#N/A,FALSE,"PART-1234-8-12-9(41)";#N/A,#N/A,FALSE,"PARTS-2(3)";#N/A,#N/A,FALSE,"VAN SYSTEM";#N/A,#N/A,FALSE,"PARTS-10(26)";#N/A,#N/A,FALSE,"PART-5-6-7-11(14)";#N/A,#N/A,FALSE,"PARTS-4(3)";#N/A,#N/A,FALSE,"PCLASS"}</definedName>
    <definedName name="KJK" localSheetId="14" hidden="1">{#N/A,#N/A,FALSE,"손익표지";#N/A,#N/A,FALSE,"손익계산";#N/A,#N/A,FALSE,"일반관리비";#N/A,#N/A,FALSE,"영업외수익";#N/A,#N/A,FALSE,"영업외비용";#N/A,#N/A,FALSE,"매출액";#N/A,#N/A,FALSE,"요약손익";#N/A,#N/A,FALSE,"요약대차";#N/A,#N/A,FALSE,"매출채권현황";#N/A,#N/A,FALSE,"매출채권명세"}</definedName>
    <definedName name="KJK" hidden="1">{#N/A,#N/A,FALSE,"손익표지";#N/A,#N/A,FALSE,"손익계산";#N/A,#N/A,FALSE,"일반관리비";#N/A,#N/A,FALSE,"영업외수익";#N/A,#N/A,FALSE,"영업외비용";#N/A,#N/A,FALSE,"매출액";#N/A,#N/A,FALSE,"요약손익";#N/A,#N/A,FALSE,"요약대차";#N/A,#N/A,FALSE,"매출채권현황";#N/A,#N/A,FALSE,"매출채권명세"}</definedName>
    <definedName name="KJMFKJMGFKJM" localSheetId="14" hidden="1">{#N/A,#N/A,FALSE,"단축1";#N/A,#N/A,FALSE,"단축2";#N/A,#N/A,FALSE,"단축3";#N/A,#N/A,FALSE,"장축";#N/A,#N/A,FALSE,"4WD"}</definedName>
    <definedName name="KJMFKJMGFKJM" hidden="1">{#N/A,#N/A,FALSE,"단축1";#N/A,#N/A,FALSE,"단축2";#N/A,#N/A,FALSE,"단축3";#N/A,#N/A,FALSE,"장축";#N/A,#N/A,FALSE,"4WD"}</definedName>
    <definedName name="kk" localSheetId="14" hidden="1">{#N/A,#N/A,FALSE,"Layout Aktiva";#N/A,#N/A,FALSE,"Layout Passiva"}</definedName>
    <definedName name="KK" hidden="1">{#N/A,#N/A,FALSE,"손익표지";#N/A,#N/A,FALSE,"손익계산";#N/A,#N/A,FALSE,"일반관리비";#N/A,#N/A,FALSE,"영업외수익";#N/A,#N/A,FALSE,"영업외비용";#N/A,#N/A,FALSE,"매출액";#N/A,#N/A,FALSE,"요약손익";#N/A,#N/A,FALSE,"요약대차";#N/A,#N/A,FALSE,"매출채권현황";#N/A,#N/A,FALSE,"매출채권명세"}</definedName>
    <definedName name="kkk" localSheetId="14" hidden="1">{#N/A,#N/A,FALSE,"BS";#N/A,#N/A,FALSE,"PL";#N/A,#N/A,FALSE,"처분";#N/A,#N/A,FALSE,"현금";#N/A,#N/A,FALSE,"매출";#N/A,#N/A,FALSE,"원가";#N/A,#N/A,FALSE,"경영"}</definedName>
    <definedName name="kkk" localSheetId="13" hidden="1">{#N/A,#N/A,FALSE,"BS";#N/A,#N/A,FALSE,"PL";#N/A,#N/A,FALSE,"처분";#N/A,#N/A,FALSE,"현금";#N/A,#N/A,FALSE,"매출";#N/A,#N/A,FALSE,"원가";#N/A,#N/A,FALSE,"경영"}</definedName>
    <definedName name="kkk" localSheetId="31">#REF!</definedName>
    <definedName name="kkk" hidden="1">{#N/A,#N/A,FALSE,"BS";#N/A,#N/A,FALSE,"PL";#N/A,#N/A,FALSE,"처분";#N/A,#N/A,FALSE,"현금";#N/A,#N/A,FALSE,"매출";#N/A,#N/A,FALSE,"원가";#N/A,#N/A,FALSE,"경영"}</definedName>
    <definedName name="kkkk" localSheetId="14" hidden="1">{#N/A,#N/A,FALSE,"BS";#N/A,#N/A,FALSE,"PL";#N/A,#N/A,FALSE,"처분";#N/A,#N/A,FALSE,"현금";#N/A,#N/A,FALSE,"매출";#N/A,#N/A,FALSE,"원가";#N/A,#N/A,FALSE,"경영"}</definedName>
    <definedName name="kkkk" localSheetId="13" hidden="1">{#N/A,#N/A,FALSE,"BS";#N/A,#N/A,FALSE,"PL";#N/A,#N/A,FALSE,"처분";#N/A,#N/A,FALSE,"현금";#N/A,#N/A,FALSE,"매출";#N/A,#N/A,FALSE,"원가";#N/A,#N/A,FALSE,"경영"}</definedName>
    <definedName name="kkkk" hidden="1">{#N/A,#N/A,FALSE,"BS";#N/A,#N/A,FALSE,"PL";#N/A,#N/A,FALSE,"처분";#N/A,#N/A,FALSE,"현금";#N/A,#N/A,FALSE,"매출";#N/A,#N/A,FALSE,"원가";#N/A,#N/A,FALSE,"경영"}</definedName>
    <definedName name="kkkkk" hidden="1">{#N/A,#N/A,FALSE,"PART-1234-8-12-9(41)";#N/A,#N/A,FALSE,"PARTS-2(3)";#N/A,#N/A,FALSE,"VAN SYSTEM";#N/A,#N/A,FALSE,"PARTS-10(26)";#N/A,#N/A,FALSE,"PART-5-6-7-11(14)";#N/A,#N/A,FALSE,"PARTS-4(3)";#N/A,#N/A,FALSE,"PCLASS"}</definedName>
    <definedName name="kkkkkk" localSheetId="14" hidden="1">{#N/A,#N/A,TRUE,"Y생산";#N/A,#N/A,TRUE,"Y판매";#N/A,#N/A,TRUE,"Y총물량";#N/A,#N/A,TRUE,"Y능력";#N/A,#N/A,TRUE,"YKD"}</definedName>
    <definedName name="kkkkkk" hidden="1">{#N/A,#N/A,TRUE,"Y생산";#N/A,#N/A,TRUE,"Y판매";#N/A,#N/A,TRUE,"Y총물량";#N/A,#N/A,TRUE,"Y능력";#N/A,#N/A,TRUE,"YKD"}</definedName>
    <definedName name="kkkkkkkkk" localSheetId="14" hidden="1">#REF!</definedName>
    <definedName name="kkkkkkkkk" hidden="1">#REF!</definedName>
    <definedName name="kkkkkkkkkkk" localSheetId="14" hidden="1">{#N/A,#N/A,FALSE,"단축1";#N/A,#N/A,FALSE,"단축2";#N/A,#N/A,FALSE,"단축3";#N/A,#N/A,FALSE,"장축";#N/A,#N/A,FALSE,"4WD"}</definedName>
    <definedName name="kkkkkkkkkkk" hidden="1">{#N/A,#N/A,FALSE,"단축1";#N/A,#N/A,FALSE,"단축2";#N/A,#N/A,FALSE,"단축3";#N/A,#N/A,FALSE,"장축";#N/A,#N/A,FALSE,"4WD"}</definedName>
    <definedName name="kkkkkkkkkkkkkkkkk" localSheetId="14" hidden="1">{#N/A,#N/A,FALSE,"단축1";#N/A,#N/A,FALSE,"단축2";#N/A,#N/A,FALSE,"단축3";#N/A,#N/A,FALSE,"장축";#N/A,#N/A,FALSE,"4WD"}</definedName>
    <definedName name="kkkkkkkkkkkkkkkkk" hidden="1">{#N/A,#N/A,FALSE,"단축1";#N/A,#N/A,FALSE,"단축2";#N/A,#N/A,FALSE,"단축3";#N/A,#N/A,FALSE,"장축";#N/A,#N/A,FALSE,"4WD"}</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L" localSheetId="14" hidden="1">{#N/A,#N/A,FALSE,"BS";#N/A,#N/A,FALSE,"PL";#N/A,#N/A,FALSE,"처분";#N/A,#N/A,FALSE,"현금";#N/A,#N/A,FALSE,"매출";#N/A,#N/A,FALSE,"원가";#N/A,#N/A,FALSE,"경영"}</definedName>
    <definedName name="KL" localSheetId="13" hidden="1">{#N/A,#N/A,FALSE,"BS";#N/A,#N/A,FALSE,"PL";#N/A,#N/A,FALSE,"처분";#N/A,#N/A,FALSE,"현금";#N/A,#N/A,FALSE,"매출";#N/A,#N/A,FALSE,"원가";#N/A,#N/A,FALSE,"경영"}</definedName>
    <definedName name="KL" hidden="1">{#N/A,#N/A,FALSE,"BS";#N/A,#N/A,FALSE,"PL";#N/A,#N/A,FALSE,"처분";#N/A,#N/A,FALSE,"현금";#N/A,#N/A,FALSE,"매출";#N/A,#N/A,FALSE,"원가";#N/A,#N/A,FALSE,"경영"}</definedName>
    <definedName name="KLKL" localSheetId="14" hidden="1">{#N/A,#N/A,FALSE,"단축1";#N/A,#N/A,FALSE,"단축2";#N/A,#N/A,FALSE,"단축3";#N/A,#N/A,FALSE,"장축";#N/A,#N/A,FALSE,"4WD"}</definedName>
    <definedName name="KLKL" hidden="1">{#N/A,#N/A,FALSE,"단축1";#N/A,#N/A,FALSE,"단축2";#N/A,#N/A,FALSE,"단축3";#N/A,#N/A,FALSE,"장축";#N/A,#N/A,FALSE,"4WD"}</definedName>
    <definedName name="KLLL" hidden="1">{#N/A,#N/A,FALSE,"PART-1234-8-12-9(41)";#N/A,#N/A,FALSE,"PARTS-2(3)";#N/A,#N/A,FALSE,"VAN SYSTEM";#N/A,#N/A,FALSE,"PARTS-10(26)";#N/A,#N/A,FALSE,"PART-5-6-7-11(14)";#N/A,#N/A,FALSE,"PARTS-4(3)";#N/A,#N/A,FALSE,"PCLASS"}</definedName>
    <definedName name="kllll" hidden="1">{#N/A,#N/A,FALSE,"PART-1234-8-12-9(41)";#N/A,#N/A,FALSE,"PARTS-2(3)";#N/A,#N/A,FALSE,"VAN SYSTEM";#N/A,#N/A,FALSE,"PARTS-10(26)";#N/A,#N/A,FALSE,"PART-5-6-7-11(14)";#N/A,#N/A,FALSE,"PARTS-4(3)";#N/A,#N/A,FALSE,"PCLASS"}</definedName>
    <definedName name="KM당부품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KM당부품비" hidden="1">{#N/A,#N/A,FALSE,"손익표지";#N/A,#N/A,FALSE,"손익계산";#N/A,#N/A,FALSE,"일반관리비";#N/A,#N/A,FALSE,"영업외수익";#N/A,#N/A,FALSE,"영업외비용";#N/A,#N/A,FALSE,"매출액";#N/A,#N/A,FALSE,"요약손익";#N/A,#N/A,FALSE,"요약대차";#N/A,#N/A,FALSE,"매출채권현황";#N/A,#N/A,FALSE,"매출채권명세"}</definedName>
    <definedName name="KN" hidden="1">{#N/A,#N/A,FALSE,"Valuation Assumptions";#N/A,#N/A,FALSE,"Summary";#N/A,#N/A,FALSE,"DCF";#N/A,#N/A,FALSE,"Valuation";#N/A,#N/A,FALSE,"WACC";#N/A,#N/A,FALSE,"UBVH";#N/A,#N/A,FALSE,"Free Cash Flow"}</definedName>
    <definedName name="kpf제외" hidden="1">{"'수정손익계산서'!$AT$97:$AY$174"}</definedName>
    <definedName name="KPI" localSheetId="14" hidden="1">{#N/A,#N/A,FALSE,"손익표지";#N/A,#N/A,FALSE,"손익계산";#N/A,#N/A,FALSE,"일반관리비";#N/A,#N/A,FALSE,"영업외수익";#N/A,#N/A,FALSE,"영업외비용";#N/A,#N/A,FALSE,"매출액";#N/A,#N/A,FALSE,"요약손익";#N/A,#N/A,FALSE,"요약대차";#N/A,#N/A,FALSE,"매출채권현황";#N/A,#N/A,FALSE,"매출채권명세"}</definedName>
    <definedName name="KPI" hidden="1">{#N/A,#N/A,FALSE,"손익표지";#N/A,#N/A,FALSE,"손익계산";#N/A,#N/A,FALSE,"일반관리비";#N/A,#N/A,FALSE,"영업외수익";#N/A,#N/A,FALSE,"영업외비용";#N/A,#N/A,FALSE,"매출액";#N/A,#N/A,FALSE,"요약손익";#N/A,#N/A,FALSE,"요약대차";#N/A,#N/A,FALSE,"매출채권현황";#N/A,#N/A,FALSE,"매출채권명세"}</definedName>
    <definedName name="ksksks" hidden="1">#REF!</definedName>
    <definedName name="KTY" localSheetId="14" hidden="1">{#N/A,#N/A,FALSE,"단축1";#N/A,#N/A,FALSE,"단축2";#N/A,#N/A,FALSE,"단축3";#N/A,#N/A,FALSE,"장축";#N/A,#N/A,FALSE,"4WD"}</definedName>
    <definedName name="KTY" hidden="1">{#N/A,#N/A,FALSE,"단축1";#N/A,#N/A,FALSE,"단축2";#N/A,#N/A,FALSE,"단축3";#N/A,#N/A,FALSE,"장축";#N/A,#N/A,FALSE,"4WD"}</definedName>
    <definedName name="KU" localSheetId="14" hidden="1">{#N/A,#N/A,TRUE,"Y생산";#N/A,#N/A,TRUE,"Y판매";#N/A,#N/A,TRUE,"Y총물량";#N/A,#N/A,TRUE,"Y능력";#N/A,#N/A,TRUE,"YKD"}</definedName>
    <definedName name="KU" hidden="1">{#N/A,#N/A,TRUE,"Y생산";#N/A,#N/A,TRUE,"Y판매";#N/A,#N/A,TRUE,"Y총물량";#N/A,#N/A,TRUE,"Y능력";#N/A,#N/A,TRUE,"YKD"}</definedName>
    <definedName name="l" localSheetId="14" hidden="1">{#N/A,#N/A,FALSE,"PART-1234-8-12-9(41)";#N/A,#N/A,FALSE,"PARTS-2(3)";#N/A,#N/A,FALSE,"VAN SYSTEM";#N/A,#N/A,FALSE,"PARTS-10(26)";#N/A,#N/A,FALSE,"PART-5-6-7-11(14)";#N/A,#N/A,FALSE,"PARTS-4(3)";#N/A,#N/A,FALSE,"PCLASS"}</definedName>
    <definedName name="l" hidden="1">{#N/A,#N/A,FALSE,"손익표지";#N/A,#N/A,FALSE,"손익계산";#N/A,#N/A,FALSE,"일반관리비";#N/A,#N/A,FALSE,"영업외수익";#N/A,#N/A,FALSE,"영업외비용";#N/A,#N/A,FALSE,"매출액";#N/A,#N/A,FALSE,"요약손익";#N/A,#N/A,FALSE,"요약대차";#N/A,#N/A,FALSE,"매출채권현황";#N/A,#N/A,FALSE,"매출채권명세"}</definedName>
    <definedName name="lee" localSheetId="14" hidden="1">{#N/A,#N/A,FALSE,"Sheet5"}</definedName>
    <definedName name="lee" localSheetId="13" hidden="1">{#N/A,#N/A,FALSE,"Sheet5"}</definedName>
    <definedName name="lee" hidden="1">{#N/A,#N/A,FALSE,"Sheet5"}</definedName>
    <definedName name="LGLGLGLGKLSDKJGLJJJ" localSheetId="14" hidden="1">{#N/A,#N/A,FALSE,"단축1";#N/A,#N/A,FALSE,"단축2";#N/A,#N/A,FALSE,"단축3";#N/A,#N/A,FALSE,"장축";#N/A,#N/A,FALSE,"4WD"}</definedName>
    <definedName name="LGLGLGLGKLSDKJGLJJJ" hidden="1">{#N/A,#N/A,FALSE,"단축1";#N/A,#N/A,FALSE,"단축2";#N/A,#N/A,FALSE,"단축3";#N/A,#N/A,FALSE,"장축";#N/A,#N/A,FALSE,"4WD"}</definedName>
    <definedName name="limcount" hidden="1">3</definedName>
    <definedName name="LINE검토2" localSheetId="14" hidden="1">{#N/A,#N/A,TRUE,"Y생산";#N/A,#N/A,TRUE,"Y판매";#N/A,#N/A,TRUE,"Y총물량";#N/A,#N/A,TRUE,"Y능력";#N/A,#N/A,TRUE,"YKD"}</definedName>
    <definedName name="LINE검토2" hidden="1">{#N/A,#N/A,TRUE,"Y생산";#N/A,#N/A,TRUE,"Y판매";#N/A,#N/A,TRUE,"Y총물량";#N/A,#N/A,TRUE,"Y능력";#N/A,#N/A,TRUE,"YKD"}</definedName>
    <definedName name="Lisa" hidden="1">{#N/A,#N/A,FALSE,"Hip.Bas";#N/A,#N/A,FALSE,"ventas";#N/A,#N/A,FALSE,"ingre-Año";#N/A,#N/A,FALSE,"ventas-Año";#N/A,#N/A,FALSE,"Costepro";#N/A,#N/A,FALSE,"inversion";#N/A,#N/A,FALSE,"personal";#N/A,#N/A,FALSE,"Gastos-V";#N/A,#N/A,FALSE,"Circulante";#N/A,#N/A,FALSE,"CONSOLI";#N/A,#N/A,FALSE,"Es-Fin";#N/A,#N/A,FALSE,"Margen-P"}</definedName>
    <definedName name="ListOffset" hidden="1">1</definedName>
    <definedName name="ljh" localSheetId="14" hidden="1">{#N/A,#N/A,FALSE,"Sheet5"}</definedName>
    <definedName name="ljh" localSheetId="13" hidden="1">{#N/A,#N/A,FALSE,"Sheet5"}</definedName>
    <definedName name="ljh" hidden="1">{#N/A,#N/A,FALSE,"Sheet5"}</definedName>
    <definedName name="LKHGFDF" localSheetId="14" hidden="1">{#N/A,#N/A,TRUE,"Y생산";#N/A,#N/A,TRUE,"Y판매";#N/A,#N/A,TRUE,"Y총물량";#N/A,#N/A,TRUE,"Y능력";#N/A,#N/A,TRUE,"YKD"}</definedName>
    <definedName name="LKHGFDF" hidden="1">{#N/A,#N/A,TRUE,"Y생산";#N/A,#N/A,TRUE,"Y판매";#N/A,#N/A,TRUE,"Y총물량";#N/A,#N/A,TRUE,"Y능력";#N/A,#N/A,TRUE,"YKD"}</definedName>
    <definedName name="LL"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l" localSheetId="14" hidden="1">{#N/A,#N/A,FALSE,"PART-1234-8-12-9(41)";#N/A,#N/A,FALSE,"PARTS-2(3)";#N/A,#N/A,FALSE,"VAN SYSTEM";#N/A,#N/A,FALSE,"PARTS-10(26)";#N/A,#N/A,FALSE,"PART-5-6-7-11(14)";#N/A,#N/A,FALSE,"PARTS-4(3)";#N/A,#N/A,FALSE,"PCLASS"}</definedName>
    <definedName name="LLLL" hidden="1">{#N/A,#N/A,FALSE,"96 3월물량표";#N/A,#N/A,FALSE,"96 4월물량표";#N/A,#N/A,FALSE,"96 5월물량표"}</definedName>
    <definedName name="lllll" hidden="1">{#N/A,#N/A,FALSE,"Hip.Bas";#N/A,#N/A,FALSE,"ventas";#N/A,#N/A,FALSE,"ingre-Año";#N/A,#N/A,FALSE,"ventas-Año";#N/A,#N/A,FALSE,"Costepro";#N/A,#N/A,FALSE,"inversion";#N/A,#N/A,FALSE,"personal";#N/A,#N/A,FALSE,"Gastos-V";#N/A,#N/A,FALSE,"Circulante";#N/A,#N/A,FALSE,"CONSOLI";#N/A,#N/A,FALSE,"Es-Fin";#N/A,#N/A,FALSE,"Margen-P"}</definedName>
    <definedName name="lllllllllll">[30]감가상각!$B$67</definedName>
    <definedName name="loe" localSheetId="14" hidden="1">{"'5'!$A$1:$BB$147"}</definedName>
    <definedName name="loe" hidden="1">{"'5'!$A$1:$BB$147"}</definedName>
    <definedName name="lop" localSheetId="14" hidden="1">{#N/A,#N/A,FALSE,"정공"}</definedName>
    <definedName name="lop" hidden="1">{#N/A,#N/A,FALSE,"정공"}</definedName>
    <definedName name="LPPP" localSheetId="14" hidden="1">{#N/A,#N/A,FALSE,"KMC최종회의(7월) 자료"}</definedName>
    <definedName name="LPPP" hidden="1">{#N/A,#N/A,FALSE,"KMC최종회의(7월) 자료"}</definedName>
    <definedName name="lps" localSheetId="14" hidden="1">{#N/A,#N/A,FALSE,"단축1";#N/A,#N/A,FALSE,"단축2";#N/A,#N/A,FALSE,"단축3";#N/A,#N/A,FALSE,"장축";#N/A,#N/A,FALSE,"4WD"}</definedName>
    <definedName name="lps" hidden="1">{#N/A,#N/A,FALSE,"단축1";#N/A,#N/A,FALSE,"단축2";#N/A,#N/A,FALSE,"단축3";#N/A,#N/A,FALSE,"장축";#N/A,#N/A,FALSE,"4WD"}</definedName>
    <definedName name="LP능력검토" localSheetId="14" hidden="1">{#N/A,#N/A,FALSE,"단축1";#N/A,#N/A,FALSE,"단축2";#N/A,#N/A,FALSE,"단축3";#N/A,#N/A,FALSE,"장축";#N/A,#N/A,FALSE,"4WD"}</definedName>
    <definedName name="LP능력검토" hidden="1">{#N/A,#N/A,FALSE,"단축1";#N/A,#N/A,FALSE,"단축2";#N/A,#N/A,FALSE,"단축3";#N/A,#N/A,FALSE,"장축";#N/A,#N/A,FALSE,"4WD"}</definedName>
    <definedName name="LP투자비" localSheetId="14" hidden="1">{#N/A,#N/A,FALSE,"단축1";#N/A,#N/A,FALSE,"단축2";#N/A,#N/A,FALSE,"단축3";#N/A,#N/A,FALSE,"장축";#N/A,#N/A,FALSE,"4WD"}</definedName>
    <definedName name="LP투자비" hidden="1">{#N/A,#N/A,FALSE,"단축1";#N/A,#N/A,FALSE,"단축2";#N/A,#N/A,FALSE,"단축3";#N/A,#N/A,FALSE,"장축";#N/A,#N/A,FALSE,"4WD"}</definedName>
    <definedName name="LT" localSheetId="14" hidden="1">{#N/A,#N/A,FALSE,"단축1";#N/A,#N/A,FALSE,"단축2";#N/A,#N/A,FALSE,"단축3";#N/A,#N/A,FALSE,"장축";#N/A,#N/A,FALSE,"4WD"}</definedName>
    <definedName name="LT" hidden="1">{#N/A,#N/A,FALSE,"단축1";#N/A,#N/A,FALSE,"단축2";#N/A,#N/A,FALSE,"단축3";#N/A,#N/A,FALSE,"장축";#N/A,#N/A,FALSE,"4WD"}</definedName>
    <definedName name="LUP" localSheetId="14" hidden="1">#REF!</definedName>
    <definedName name="LUP" hidden="1">#REF!</definedName>
    <definedName name="LY" localSheetId="14" hidden="1">#REF!</definedName>
    <definedName name="LY" hidden="1">#REF!</definedName>
    <definedName name="M" hidden="1">{#N/A,#N/A,FALSE,"PART-1234-8-12-9(41)";#N/A,#N/A,FALSE,"PARTS-2(3)";#N/A,#N/A,FALSE,"VAN SYSTEM";#N/A,#N/A,FALSE,"PARTS-10(26)";#N/A,#N/A,FALSE,"PART-5-6-7-11(14)";#N/A,#N/A,FALSE,"PARTS-4(3)";#N/A,#N/A,FALSE,"PCLASS"}</definedName>
    <definedName name="M_PlaceofPath" hidden="1">"\\SNYCEQT0300\HOME\DBEGLEIT\excel\FULL\FULL_VDF.XLS"</definedName>
    <definedName name="M3..T3_">#N/A</definedName>
    <definedName name="mainbrg"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mel" hidden="1">{#N/A,#N/A,FALSE,"Hip.Bas";#N/A,#N/A,FALSE,"ventas";#N/A,#N/A,FALSE,"ingre-Año";#N/A,#N/A,FALSE,"ventas-Año";#N/A,#N/A,FALSE,"Costepro";#N/A,#N/A,FALSE,"inversion";#N/A,#N/A,FALSE,"personal";#N/A,#N/A,FALSE,"Gastos-V";#N/A,#N/A,FALSE,"Circulante";#N/A,#N/A,FALSE,"CONSOLI";#N/A,#N/A,FALSE,"Es-Fin";#N/A,#N/A,FALSE,"Margen-P"}</definedName>
    <definedName name="Mesosulfuron" hidden="1">{"mgmt forecast",#N/A,FALSE,"Mgmt Forecast";"dcf table",#N/A,FALSE,"Mgmt Forecast";"sensitivity",#N/A,FALSE,"Mgmt Forecast";"table inputs",#N/A,FALSE,"Mgmt Forecast";"calculations",#N/A,FALSE,"Mgmt Forecast"}</definedName>
    <definedName name="MH향상" localSheetId="14" hidden="1">{#N/A,#N/A,TRUE,"Y생산";#N/A,#N/A,TRUE,"Y판매";#N/A,#N/A,TRUE,"Y총물량";#N/A,#N/A,TRUE,"Y능력";#N/A,#N/A,TRUE,"YKD"}</definedName>
    <definedName name="MH향상" hidden="1">{#N/A,#N/A,TRUE,"Y생산";#N/A,#N/A,TRUE,"Y판매";#N/A,#N/A,TRUE,"Y총물량";#N/A,#N/A,TRUE,"Y능력";#N/A,#N/A,TRUE,"YKD"}</definedName>
    <definedName name="MIP능력검토" localSheetId="14" hidden="1">{#N/A,#N/A,FALSE,"단축1";#N/A,#N/A,FALSE,"단축2";#N/A,#N/A,FALSE,"단축3";#N/A,#N/A,FALSE,"장축";#N/A,#N/A,FALSE,"4WD"}</definedName>
    <definedName name="MIP능력검토" hidden="1">{#N/A,#N/A,FALSE,"단축1";#N/A,#N/A,FALSE,"단축2";#N/A,#N/A,FALSE,"단축3";#N/A,#N/A,FALSE,"장축";#N/A,#N/A,FALSE,"4WD"}</definedName>
    <definedName name="MIP동시투자" localSheetId="14" hidden="1">{#N/A,#N/A,FALSE,"단축1";#N/A,#N/A,FALSE,"단축2";#N/A,#N/A,FALSE,"단축3";#N/A,#N/A,FALSE,"장축";#N/A,#N/A,FALSE,"4WD"}</definedName>
    <definedName name="MIP동시투자" hidden="1">{#N/A,#N/A,FALSE,"단축1";#N/A,#N/A,FALSE,"단축2";#N/A,#N/A,FALSE,"단축3";#N/A,#N/A,FALSE,"장축";#N/A,#N/A,FALSE,"4WD"}</definedName>
    <definedName name="mm" localSheetId="14" hidden="1">{#N/A,#N/A,FALSE,"손익표지";#N/A,#N/A,FALSE,"손익계산";#N/A,#N/A,FALSE,"일반관리비";#N/A,#N/A,FALSE,"영업외수익";#N/A,#N/A,FALSE,"영업외비용";#N/A,#N/A,FALSE,"매출액";#N/A,#N/A,FALSE,"요약손익";#N/A,#N/A,FALSE,"요약대차";#N/A,#N/A,FALSE,"매출채권현황";#N/A,#N/A,FALSE,"매출채권명세"}</definedName>
    <definedName name="mm" localSheetId="13" hidden="1">{#N/A,#N/A,FALSE,"손익표지";#N/A,#N/A,FALSE,"손익계산";#N/A,#N/A,FALSE,"일반관리비";#N/A,#N/A,FALSE,"영업외수익";#N/A,#N/A,FALSE,"영업외비용";#N/A,#N/A,FALSE,"매출액";#N/A,#N/A,FALSE,"요약손익";#N/A,#N/A,FALSE,"요약대차";#N/A,#N/A,FALSE,"매출채권현황";#N/A,#N/A,FALSE,"매출채권명세"}</definedName>
    <definedName name="mm" localSheetId="31" hidden="1">{#N/A,#N/A,FALSE,"손익표지";#N/A,#N/A,FALSE,"손익계산";#N/A,#N/A,FALSE,"일반관리비";#N/A,#N/A,FALSE,"영업외수익";#N/A,#N/A,FALSE,"영업외비용";#N/A,#N/A,FALSE,"매출액";#N/A,#N/A,FALSE,"요약손익";#N/A,#N/A,FALSE,"요약대차";#N/A,#N/A,FALSE,"매출채권현황";#N/A,#N/A,FALSE,"매출채권명세"}</definedName>
    <definedName name="mm">CF!$B$1</definedName>
    <definedName name="mmm"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 hidden="1">{#N/A,#N/A,FALSE,"단축1";#N/A,#N/A,FALSE,"단축2";#N/A,#N/A,FALSE,"단축3";#N/A,#N/A,FALSE,"장축";#N/A,#N/A,FALSE,"4WD"}</definedName>
    <definedName name="mmmm" localSheetId="14" hidden="1">{"orixcsc",#N/A,FALSE,"ORIX CSC";"orixcsc2",#N/A,FALSE,"ORIX CSC"}</definedName>
    <definedName name="mmmm" hidden="1">{#N/A,#N/A,TRUE,"Y생산";#N/A,#N/A,TRUE,"Y판매";#N/A,#N/A,TRUE,"Y총물량";#N/A,#N/A,TRUE,"Y능력";#N/A,#N/A,TRUE,"YKD"}</definedName>
    <definedName name="mmmmm" hidden="1">{"mgmt forecast",#N/A,FALSE,"Mgmt Forecast";"dcf table",#N/A,FALSE,"Mgmt Forecast";"sensitivity",#N/A,FALSE,"Mgmt Forecast";"table inputs",#N/A,FALSE,"Mgmt Forecast";"calculations",#N/A,FALSE,"Mgmt Forecast"}</definedName>
    <definedName name="mmmmmm" hidden="1">{#N/A,#N/A,FALSE,"Contribution Analysis"}</definedName>
    <definedName name="mmmmmmmhm" hidden="1">{"mgmt forecast",#N/A,FALSE,"Mgmt Forecast";"dcf table",#N/A,FALSE,"Mgmt Forecast";"sensitivity",#N/A,FALSE,"Mgmt Forecast";"table inputs",#N/A,FALSE,"Mgmt Forecast";"calculations",#N/A,FALSE,"Mgmt Forecast"}</definedName>
    <definedName name="mmmmmmmm" hidden="1">{#N/A,#N/A,FALSE,"ORIX CSC"}</definedName>
    <definedName name="MM월별계획" localSheetId="14" hidden="1">#REF!</definedName>
    <definedName name="MM월별계획" hidden="1">#REF!</definedName>
    <definedName name="MP" localSheetId="14" hidden="1">{#N/A,#N/A,FALSE,"BS";#N/A,#N/A,FALSE,"PL";#N/A,#N/A,FALSE,"처분";#N/A,#N/A,FALSE,"현금";#N/A,#N/A,FALSE,"매출";#N/A,#N/A,FALSE,"원가";#N/A,#N/A,FALSE,"경영"}</definedName>
    <definedName name="MP" localSheetId="13" hidden="1">{#N/A,#N/A,FALSE,"BS";#N/A,#N/A,FALSE,"PL";#N/A,#N/A,FALSE,"처분";#N/A,#N/A,FALSE,"현금";#N/A,#N/A,FALSE,"매출";#N/A,#N/A,FALSE,"원가";#N/A,#N/A,FALSE,"경영"}</definedName>
    <definedName name="MP" hidden="1">{#N/A,#N/A,FALSE,"BS";#N/A,#N/A,FALSE,"PL";#N/A,#N/A,FALSE,"처분";#N/A,#N/A,FALSE,"현금";#N/A,#N/A,FALSE,"매출";#N/A,#N/A,FALSE,"원가";#N/A,#N/A,FALSE,"경영"}</definedName>
    <definedName name="mse" localSheetId="14" hidden="1">{#N/A,#N/A,FALSE,"BS";#N/A,#N/A,FALSE,"PL";#N/A,#N/A,FALSE,"처분";#N/A,#N/A,FALSE,"현금";#N/A,#N/A,FALSE,"매출";#N/A,#N/A,FALSE,"원가";#N/A,#N/A,FALSE,"경영"}</definedName>
    <definedName name="mse" localSheetId="13" hidden="1">{#N/A,#N/A,FALSE,"BS";#N/A,#N/A,FALSE,"PL";#N/A,#N/A,FALSE,"처분";#N/A,#N/A,FALSE,"현금";#N/A,#N/A,FALSE,"매출";#N/A,#N/A,FALSE,"원가";#N/A,#N/A,FALSE,"경영"}</definedName>
    <definedName name="mse" hidden="1">{#N/A,#N/A,FALSE,"BS";#N/A,#N/A,FALSE,"PL";#N/A,#N/A,FALSE,"처분";#N/A,#N/A,FALSE,"현금";#N/A,#N/A,FALSE,"매출";#N/A,#N/A,FALSE,"원가";#N/A,#N/A,FALSE,"경영"}</definedName>
    <definedName name="Mseok" localSheetId="14" hidden="1">{#N/A,#N/A,FALSE,"BS";#N/A,#N/A,FALSE,"PL";#N/A,#N/A,FALSE,"처분";#N/A,#N/A,FALSE,"현금";#N/A,#N/A,FALSE,"매출";#N/A,#N/A,FALSE,"원가";#N/A,#N/A,FALSE,"경영"}</definedName>
    <definedName name="Mseok" localSheetId="13" hidden="1">{#N/A,#N/A,FALSE,"BS";#N/A,#N/A,FALSE,"PL";#N/A,#N/A,FALSE,"처분";#N/A,#N/A,FALSE,"현금";#N/A,#N/A,FALSE,"매출";#N/A,#N/A,FALSE,"원가";#N/A,#N/A,FALSE,"경영"}</definedName>
    <definedName name="Mseok" hidden="1">{#N/A,#N/A,FALSE,"BS";#N/A,#N/A,FALSE,"PL";#N/A,#N/A,FALSE,"처분";#N/A,#N/A,FALSE,"현금";#N/A,#N/A,FALSE,"매출";#N/A,#N/A,FALSE,"원가";#N/A,#N/A,FALSE,"경영"}</definedName>
    <definedName name="N" hidden="1">{#N/A,#N/A,FALSE,"PART-1234-8-12-9(41)";#N/A,#N/A,FALSE,"PARTS-2(3)";#N/A,#N/A,FALSE,"VAN SYSTEM";#N/A,#N/A,FALSE,"PARTS-10(26)";#N/A,#N/A,FALSE,"PART-5-6-7-11(14)";#N/A,#N/A,FALSE,"PARTS-4(3)";#N/A,#N/A,FALSE,"PCLASS"}</definedName>
    <definedName name="N3_">#N/A</definedName>
    <definedName name="NEW" localSheetId="14" hidden="1">#REF!</definedName>
    <definedName name="NEW" hidden="1">#REF!</definedName>
    <definedName name="nm" localSheetId="14" hidden="1">{#N/A,#N/A,TRUE,"Y생산";#N/A,#N/A,TRUE,"Y판매";#N/A,#N/A,TRUE,"Y총물량";#N/A,#N/A,TRUE,"Y능력";#N/A,#N/A,TRUE,"YKD"}</definedName>
    <definedName name="nm" hidden="1">{#N/A,#N/A,TRUE,"Y생산";#N/A,#N/A,TRUE,"Y판매";#N/A,#N/A,TRUE,"Y총물량";#N/A,#N/A,TRUE,"Y능력";#N/A,#N/A,TRUE,"YKD"}</definedName>
    <definedName name="nn" localSheetId="14" hidden="1">{#N/A,#N/A,FALSE,"손익표지";#N/A,#N/A,FALSE,"손익계산";#N/A,#N/A,FALSE,"일반관리비";#N/A,#N/A,FALSE,"영업외수익";#N/A,#N/A,FALSE,"영업외비용";#N/A,#N/A,FALSE,"매출액";#N/A,#N/A,FALSE,"요약손익";#N/A,#N/A,FALSE,"요약대차";#N/A,#N/A,FALSE,"매출채권현황";#N/A,#N/A,FALSE,"매출채권명세"}</definedName>
    <definedName name="nn" localSheetId="13" hidden="1">{#N/A,#N/A,FALSE,"손익표지";#N/A,#N/A,FALSE,"손익계산";#N/A,#N/A,FALSE,"일반관리비";#N/A,#N/A,FALSE,"영업외수익";#N/A,#N/A,FALSE,"영업외비용";#N/A,#N/A,FALSE,"매출액";#N/A,#N/A,FALSE,"요약손익";#N/A,#N/A,FALSE,"요약대차";#N/A,#N/A,FALSE,"매출채권현황";#N/A,#N/A,FALSE,"매출채권명세"}</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nn" localSheetId="14" hidden="1">{#N/A,#N/A,FALSE,"손익표지";#N/A,#N/A,FALSE,"손익계산";#N/A,#N/A,FALSE,"일반관리비";#N/A,#N/A,FALSE,"영업외수익";#N/A,#N/A,FALSE,"영업외비용";#N/A,#N/A,FALSE,"매출액";#N/A,#N/A,FALSE,"요약손익";#N/A,#N/A,FALSE,"요약대차";#N/A,#N/A,FALSE,"매출채권현황";#N/A,#N/A,FALSE,"매출채권명세"}</definedName>
    <definedName name="nnn" hidden="1">{#N/A,#N/A,FALSE,"손익표지";#N/A,#N/A,FALSE,"손익계산";#N/A,#N/A,FALSE,"일반관리비";#N/A,#N/A,FALSE,"영업외수익";#N/A,#N/A,FALSE,"영업외비용";#N/A,#N/A,FALSE,"매출액";#N/A,#N/A,FALSE,"요약손익";#N/A,#N/A,FALSE,"요약대차";#N/A,#N/A,FALSE,"매출채권현황";#N/A,#N/A,FALSE,"매출채권명세"}</definedName>
    <definedName name="NNNNNNN" localSheetId="14" hidden="1">{#N/A,#N/A,FALSE,"단축1";#N/A,#N/A,FALSE,"단축2";#N/A,#N/A,FALSE,"단축3";#N/A,#N/A,FALSE,"장축";#N/A,#N/A,FALSE,"4WD"}</definedName>
    <definedName name="NNNNNNN" hidden="1">{#N/A,#N/A,FALSE,"단축1";#N/A,#N/A,FALSE,"단축2";#N/A,#N/A,FALSE,"단축3";#N/A,#N/A,FALSE,"장축";#N/A,#N/A,FALSE,"4WD"}</definedName>
    <definedName name="NO">#REF!</definedName>
    <definedName name="NT" localSheetId="14" hidden="1">{#N/A,#N/A,FALSE,"단축1";#N/A,#N/A,FALSE,"단축2";#N/A,#N/A,FALSE,"단축3";#N/A,#N/A,FALSE,"장축";#N/A,#N/A,FALSE,"4WD"}</definedName>
    <definedName name="NT" hidden="1">{#N/A,#N/A,FALSE,"단축1";#N/A,#N/A,FALSE,"단축2";#N/A,#N/A,FALSE,"단축3";#N/A,#N/A,FALSE,"장축";#N/A,#N/A,FALSE,"4WD"}</definedName>
    <definedName name="o" localSheetId="14" hidden="1">{#N/A,#N/A,FALSE,"New Depr Sch-150% DB";#N/A,#N/A,FALSE,"Cash Flows RLP";#N/A,#N/A,FALSE,"IRR";#N/A,#N/A,FALSE,"Proforma IS";#N/A,#N/A,FALSE,"Assumptions"}</definedName>
    <definedName name="o" localSheetId="13" hidden="1">{#N/A,#N/A,FALSE,"New Depr Sch-150% DB";#N/A,#N/A,FALSE,"Cash Flows RLP";#N/A,#N/A,FALSE,"IRR";#N/A,#N/A,FALSE,"Proforma IS";#N/A,#N/A,FALSE,"Assumptions"}</definedName>
    <definedName name="o" localSheetId="31" hidden="1">{#N/A,#N/A,FALSE,"손익표지";#N/A,#N/A,FALSE,"손익계산";#N/A,#N/A,FALSE,"일반관리비";#N/A,#N/A,FALSE,"영업외수익";#N/A,#N/A,FALSE,"영업외비용";#N/A,#N/A,FALSE,"매출액";#N/A,#N/A,FALSE,"요약손익";#N/A,#N/A,FALSE,"요약대차";#N/A,#N/A,FALSE,"매출채권현황";#N/A,#N/A,FALSE,"매출채권명세"}</definedName>
    <definedName name="o" hidden="1">{#N/A,#N/A,FALSE,"New Depr Sch-150% DB";#N/A,#N/A,FALSE,"Cash Flows RLP";#N/A,#N/A,FALSE,"IRR";#N/A,#N/A,FALSE,"Proforma IS";#N/A,#N/A,FALSE,"Assumptions"}</definedName>
    <definedName name="oa" hidden="1">{#N/A,#N/A,FALSE,"Hip.Bas";#N/A,#N/A,FALSE,"ventas";#N/A,#N/A,FALSE,"ingre-Año";#N/A,#N/A,FALSE,"ventas-Año";#N/A,#N/A,FALSE,"Costepro";#N/A,#N/A,FALSE,"inversion";#N/A,#N/A,FALSE,"personal";#N/A,#N/A,FALSE,"Gastos-V";#N/A,#N/A,FALSE,"Circulante";#N/A,#N/A,FALSE,"CONSOLI";#N/A,#N/A,FALSE,"Es-Fin";#N/A,#N/A,FALSE,"Margen-P"}</definedName>
    <definedName name="ocf" hidden="1">#REF!</definedName>
    <definedName name="OHP" localSheetId="14"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EUO" hidden="1">{#N/A,#N/A,TRUE,"DIVISION-MTH";"MANUFACTURING",#N/A,TRUE,"MANUF-MTH";#N/A,#N/A,TRUE,"TRADING-MTH";#N/A,#N/A,TRUE,"DIV-COSTS-MTH"}</definedName>
    <definedName name="on" hidden="1">[37]현금및현금등가물!#REF!</definedName>
    <definedName name="OO" localSheetId="14" hidden="1">{#N/A,#N/A,FALSE,"A1-NDC-CDC-SPLX";#N/A,#N/A,FALSE,"A2-NDC-CDC-AST";#N/A,#N/A,FALSE,"A3-CS-PCS-SPLX";#N/A,#N/A,FALSE,"A4-ANAVAR";#N/A,#N/A,FALSE,"A5-CS-PCS-SPLX"}</definedName>
    <definedName name="oo" hidden="1">{#N/A,#N/A,FALSE,"손익표지";#N/A,#N/A,FALSE,"손익계산";#N/A,#N/A,FALSE,"일반관리비";#N/A,#N/A,FALSE,"영업외수익";#N/A,#N/A,FALSE,"영업외비용";#N/A,#N/A,FALSE,"매출액";#N/A,#N/A,FALSE,"요약손익";#N/A,#N/A,FALSE,"요약대차";#N/A,#N/A,FALSE,"매출채권현황";#N/A,#N/A,FALSE,"매출채권명세"}</definedName>
    <definedName name="OOO" localSheetId="14" hidden="1">{#N/A,#N/A,TRUE,"Y생산";#N/A,#N/A,TRUE,"Y판매";#N/A,#N/A,TRUE,"Y총물량";#N/A,#N/A,TRUE,"Y능력";#N/A,#N/A,TRUE,"YKD"}</definedName>
    <definedName name="OOO" hidden="1">{#N/A,#N/A,TRUE,"Y생산";#N/A,#N/A,TRUE,"Y판매";#N/A,#N/A,TRUE,"Y총물량";#N/A,#N/A,TRUE,"Y능력";#N/A,#N/A,TRUE,"YKD"}</definedName>
    <definedName name="oooo" localSheetId="14" hidden="1">{#N/A,#N/A,FALSE,"96 3월물량표";#N/A,#N/A,FALSE,"96 4월물량표";#N/A,#N/A,FALSE,"96 5월물량표"}</definedName>
    <definedName name="oooo" hidden="1">{#N/A,#N/A,FALSE,"96 3월물량표";#N/A,#N/A,FALSE,"96 4월물량표";#N/A,#N/A,FALSE,"96 5월물량표"}</definedName>
    <definedName name="OOOOO" localSheetId="14" hidden="1">{#N/A,#N/A,TRUE,"Y생산";#N/A,#N/A,TRUE,"Y판매";#N/A,#N/A,TRUE,"Y총물량";#N/A,#N/A,TRUE,"Y능력";#N/A,#N/A,TRUE,"YKD"}</definedName>
    <definedName name="OOOOO" hidden="1">{#N/A,#N/A,TRUE,"Y생산";#N/A,#N/A,TRUE,"Y판매";#N/A,#N/A,TRUE,"Y총물량";#N/A,#N/A,TRUE,"Y능력";#N/A,#N/A,TRUE,"YKD"}</definedName>
    <definedName name="opo" hidden="1">{#N/A,#N/A,FALSE,"지침";#N/A,#N/A,FALSE,"환경분석";#N/A,#N/A,FALSE,"Sheet16"}</definedName>
    <definedName name="p" hidden="1">{#N/A,#N/A,FALSE,"손익표지";#N/A,#N/A,FALSE,"손익계산";#N/A,#N/A,FALSE,"일반관리비";#N/A,#N/A,FALSE,"영업외수익";#N/A,#N/A,FALSE,"영업외비용";#N/A,#N/A,FALSE,"매출액";#N/A,#N/A,FALSE,"요약손익";#N/A,#N/A,FALSE,"요약대차";#N/A,#N/A,FALSE,"매출채권현황";#N/A,#N/A,FALSE,"매출채권명세"}</definedName>
    <definedName name="P3가공향상" localSheetId="14" hidden="1">{#N/A,#N/A,TRUE,"Y생산";#N/A,#N/A,TRUE,"Y판매";#N/A,#N/A,TRUE,"Y총물량";#N/A,#N/A,TRUE,"Y능력";#N/A,#N/A,TRUE,"YKD"}</definedName>
    <definedName name="P3가공향상" hidden="1">{#N/A,#N/A,TRUE,"Y생산";#N/A,#N/A,TRUE,"Y판매";#N/A,#N/A,TRUE,"Y총물량";#N/A,#N/A,TRUE,"Y능력";#N/A,#N/A,TRUE,"YKD"}</definedName>
    <definedName name="PAGE4" localSheetId="14" hidden="1">{#N/A,#N/A,FALSE,"단축1";#N/A,#N/A,FALSE,"단축2";#N/A,#N/A,FALSE,"단축3";#N/A,#N/A,FALSE,"장축";#N/A,#N/A,FALSE,"4WD"}</definedName>
    <definedName name="PAGE4" hidden="1">{#N/A,#N/A,FALSE,"단축1";#N/A,#N/A,FALSE,"단축2";#N/A,#N/A,FALSE,"단축3";#N/A,#N/A,FALSE,"장축";#N/A,#N/A,FALSE,"4WD"}</definedName>
    <definedName name="pair" hidden="1">{#N/A,#N/A,FALSE,"-ST.PER1";#N/A,#N/A,FALSE,"-ST.PER2";#N/A,#N/A,FALSE,"+ST.HIS.PER1";#N/A,#N/A,FALSE,"+ST.HIS.PER2";#N/A,#N/A,FALSE,"+ST.STD.PER1";#N/A,#N/A,FALSE,"+ST.STD.PER2"}</definedName>
    <definedName name="PAOURNF" hidden="1">{#N/A,#N/A,FALSE,"A1-NDC-CDC-SPLX";#N/A,#N/A,FALSE,"A2-NDC-CDC-AST";#N/A,#N/A,FALSE,"A3-CS-PCS-SPLX";#N/A,#N/A,FALSE,"A4-ANAVAR";#N/A,#N/A,FALSE,"A5-CS-PCS-SPLX"}</definedName>
    <definedName name="PC_PROD">#REF!</definedName>
    <definedName name="per" localSheetId="14"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I" localSheetId="14" hidden="1">{#N/A,#N/A,TRUE,"Y생산";#N/A,#N/A,TRUE,"Y판매";#N/A,#N/A,TRUE,"Y총물량";#N/A,#N/A,TRUE,"Y능력";#N/A,#N/A,TRUE,"YKD"}</definedName>
    <definedName name="PI" hidden="1">{#N/A,#N/A,TRUE,"Y생산";#N/A,#N/A,TRUE,"Y판매";#N/A,#N/A,TRUE,"Y총물량";#N/A,#N/A,TRUE,"Y능력";#N/A,#N/A,TRUE,"YKD"}</definedName>
    <definedName name="piston" hidden="1">{"Seite 17",#N/A,FALSE,"Valve Lift Curves, cyl. 1 (17)"}</definedName>
    <definedName name="pistonpin"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PL" localSheetId="14" hidden="1">#REF!</definedName>
    <definedName name="PL" hidden="1">{#N/A,#N/A,FALSE,"손익표지";#N/A,#N/A,FALSE,"손익계산";#N/A,#N/A,FALSE,"일반관리비";#N/A,#N/A,FALSE,"영업외수익";#N/A,#N/A,FALSE,"영업외비용";#N/A,#N/A,FALSE,"매출액";#N/A,#N/A,FALSE,"요약손익";#N/A,#N/A,FALSE,"요약대차";#N/A,#N/A,FALSE,"매출채권현황";#N/A,#N/A,FALSE,"매출채권명세"}</definedName>
    <definedName name="plep">#REF!</definedName>
    <definedName name="PLPLPLPLPLPLPL" localSheetId="14" hidden="1">{#N/A,#N/A,FALSE,"단축1";#N/A,#N/A,FALSE,"단축2";#N/A,#N/A,FALSE,"단축3";#N/A,#N/A,FALSE,"장축";#N/A,#N/A,FALSE,"4WD"}</definedName>
    <definedName name="PLPLPLPLPLPLPL" hidden="1">{#N/A,#N/A,FALSE,"단축1";#N/A,#N/A,FALSE,"단축2";#N/A,#N/A,FALSE,"단축3";#N/A,#N/A,FALSE,"장축";#N/A,#N/A,FALSE,"4WD"}</definedName>
    <definedName name="pop" localSheetId="14" hidden="1">#REF!</definedName>
    <definedName name="pop" hidden="1">#REF!</definedName>
    <definedName name="PPF" localSheetId="39">[38]Des!$C$10</definedName>
    <definedName name="PPF" localSheetId="13">[39]Des!$C$10</definedName>
    <definedName name="ppf">Des!$C$10</definedName>
    <definedName name="PPK" localSheetId="14" hidden="1">{#N/A,#N/A,FALSE,"96 3월물량표";#N/A,#N/A,FALSE,"96 4월물량표";#N/A,#N/A,FALSE,"96 5월물량표"}</definedName>
    <definedName name="PPK" hidden="1">{#N/A,#N/A,FALSE,"96 3월물량표";#N/A,#N/A,FALSE,"96 4월물량표";#N/A,#N/A,FALSE,"96 5월물량표"}</definedName>
    <definedName name="ppp" localSheetId="14" hidden="1">'[22]980731'!#REF!</definedName>
    <definedName name="PPP" hidden="1">{#N/A,#N/A,TRUE,"일정"}</definedName>
    <definedName name="PPPP" localSheetId="14" hidden="1">{#N/A,#N/A,TRUE,"일정"}</definedName>
    <definedName name="PPPP" hidden="1">{#N/A,#N/A,TRUE,"일정"}</definedName>
    <definedName name="PPPPP" localSheetId="14" hidden="1">{#N/A,#N/A,TRUE,"Y생산";#N/A,#N/A,TRUE,"Y판매";#N/A,#N/A,TRUE,"Y총물량";#N/A,#N/A,TRUE,"Y능력";#N/A,#N/A,TRUE,"YKD"}</definedName>
    <definedName name="PPPPP" hidden="1">{#N/A,#N/A,TRUE,"Y생산";#N/A,#N/A,TRUE,"Y판매";#N/A,#N/A,TRUE,"Y총물량";#N/A,#N/A,TRUE,"Y능력";#N/A,#N/A,TRUE,"YKD"}</definedName>
    <definedName name="PPPPPP" localSheetId="14" hidden="1">{#N/A,#N/A,FALSE,"인원";#N/A,#N/A,FALSE,"비용2";#N/A,#N/A,FALSE,"비용1";#N/A,#N/A,FALSE,"비용";#N/A,#N/A,FALSE,"보증2";#N/A,#N/A,FALSE,"보증1";#N/A,#N/A,FALSE,"보증";#N/A,#N/A,FALSE,"손익1";#N/A,#N/A,FALSE,"손익";#N/A,#N/A,FALSE,"부서별매출";#N/A,#N/A,FALSE,"매출"}</definedName>
    <definedName name="PPPPPP" hidden="1">{#N/A,#N/A,FALSE,"인원";#N/A,#N/A,FALSE,"비용2";#N/A,#N/A,FALSE,"비용1";#N/A,#N/A,FALSE,"비용";#N/A,#N/A,FALSE,"보증2";#N/A,#N/A,FALSE,"보증1";#N/A,#N/A,FALSE,"보증";#N/A,#N/A,FALSE,"손익1";#N/A,#N/A,FALSE,"손익";#N/A,#N/A,FALSE,"부서별매출";#N/A,#N/A,FALSE,"매출"}</definedName>
    <definedName name="_xlnm.Print_Area">#REF!</definedName>
    <definedName name="PRINT_AREA_MI">[40]특외대!#REF!</definedName>
    <definedName name="_xlnm.Print_Titles">#N/A</definedName>
    <definedName name="Print_Titles_MI">[41]RE9604!$1:$6,[41]RE9604!$A:$C</definedName>
    <definedName name="PUB_UserID" hidden="1">"MAYERX"</definedName>
    <definedName name="Q" localSheetId="14" hidden="1">{#N/A,#N/A,FALSE,"BS";#N/A,#N/A,FALSE,"PL";#N/A,#N/A,FALSE,"처분";#N/A,#N/A,FALSE,"현금";#N/A,#N/A,FALSE,"매출";#N/A,#N/A,FALSE,"원가";#N/A,#N/A,FALSE,"경영"}</definedName>
    <definedName name="Q" localSheetId="13" hidden="1">{#N/A,#N/A,FALSE,"BS";#N/A,#N/A,FALSE,"PL";#N/A,#N/A,FALSE,"처분";#N/A,#N/A,FALSE,"현금";#N/A,#N/A,FALSE,"매출";#N/A,#N/A,FALSE,"원가";#N/A,#N/A,FALSE,"경영"}</definedName>
    <definedName name="Q" localSheetId="31" hidden="1">{#N/A,#N/A,FALSE,"손익표지";#N/A,#N/A,FALSE,"손익계산";#N/A,#N/A,FALSE,"일반관리비";#N/A,#N/A,FALSE,"영업외수익";#N/A,#N/A,FALSE,"영업외비용";#N/A,#N/A,FALSE,"매출액";#N/A,#N/A,FALSE,"요약손익";#N/A,#N/A,FALSE,"요약대차";#N/A,#N/A,FALSE,"매출채권현황";#N/A,#N/A,FALSE,"매출채권명세"}</definedName>
    <definedName name="Q" hidden="1">{#N/A,#N/A,FALSE,"BS";#N/A,#N/A,FALSE,"PL";#N/A,#N/A,FALSE,"처분";#N/A,#N/A,FALSE,"현금";#N/A,#N/A,FALSE,"매출";#N/A,#N/A,FALSE,"원가";#N/A,#N/A,FALSE,"경영"}</definedName>
    <definedName name="Q0" localSheetId="14" hidden="1">{#N/A,#N/A,FALSE,"KMC최종회의(7월) 자료"}</definedName>
    <definedName name="Q0" hidden="1">{#N/A,#N/A,FALSE,"KMC최종회의(7월) 자료"}</definedName>
    <definedName name="q2rff" localSheetId="14" hidden="1">{#N/A,#N/A,FALSE,"손익표지";#N/A,#N/A,FALSE,"손익계산";#N/A,#N/A,FALSE,"일반관리비";#N/A,#N/A,FALSE,"영업외수익";#N/A,#N/A,FALSE,"영업외비용";#N/A,#N/A,FALSE,"매출액";#N/A,#N/A,FALSE,"요약손익";#N/A,#N/A,FALSE,"요약대차";#N/A,#N/A,FALSE,"매출채권현황";#N/A,#N/A,FALSE,"매출채권명세"}</definedName>
    <definedName name="q2rff" hidden="1">{#N/A,#N/A,FALSE,"손익표지";#N/A,#N/A,FALSE,"손익계산";#N/A,#N/A,FALSE,"일반관리비";#N/A,#N/A,FALSE,"영업외수익";#N/A,#N/A,FALSE,"영업외비용";#N/A,#N/A,FALSE,"매출액";#N/A,#N/A,FALSE,"요약손익";#N/A,#N/A,FALSE,"요약대차";#N/A,#N/A,FALSE,"매출채권현황";#N/A,#N/A,FALSE,"매출채권명세"}</definedName>
    <definedName name="qbc" hidden="1">{#N/A,#N/A,FALSE,"지침";#N/A,#N/A,FALSE,"환경분석";#N/A,#N/A,FALSE,"Sheet16"}</definedName>
    <definedName name="QCOST" localSheetId="14" hidden="1">{#N/A,#N/A,FALSE,"KMC최종회의(7월) 자료"}</definedName>
    <definedName name="QCOST" hidden="1">{#N/A,#N/A,FALSE,"KMC최종회의(7월) 자료"}</definedName>
    <definedName name="QEQ" localSheetId="14" hidden="1">{#N/A,#N/A,FALSE,"KMC최종회의(7월) 자료"}</definedName>
    <definedName name="QEQ" hidden="1">{#N/A,#N/A,FALSE,"KMC최종회의(7월) 자료"}</definedName>
    <definedName name="qer" localSheetId="14" hidden="1">{"mgmt forecast",#N/A,FALSE,"Mgmt Forecast";"dcf table",#N/A,FALSE,"Mgmt Forecast";"sensitivity",#N/A,FALSE,"Mgmt Forecast";"table inputs",#N/A,FALSE,"Mgmt Forecast";"calculations",#N/A,FALSE,"Mgmt Forecast"}</definedName>
    <definedName name="qer" localSheetId="13" hidden="1">{#N/A,#N/A,FALSE,"손익표지";#N/A,#N/A,FALSE,"손익계산";#N/A,#N/A,FALSE,"일반관리비";#N/A,#N/A,FALSE,"영업외수익";#N/A,#N/A,FALSE,"영업외비용";#N/A,#N/A,FALSE,"매출액";#N/A,#N/A,FALSE,"요약손익";#N/A,#N/A,FALSE,"요약대차";#N/A,#N/A,FALSE,"매출채권현황";#N/A,#N/A,FALSE,"매출채권명세"}</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et" localSheetId="14" hidden="1">{#N/A,#N/A,TRUE,"Y생산";#N/A,#N/A,TRUE,"Y판매";#N/A,#N/A,TRUE,"Y총물량";#N/A,#N/A,TRUE,"Y능력";#N/A,#N/A,TRUE,"YKD"}</definedName>
    <definedName name="qet" hidden="1">{#N/A,#N/A,TRUE,"Y생산";#N/A,#N/A,TRUE,"Y판매";#N/A,#N/A,TRUE,"Y총물량";#N/A,#N/A,TRUE,"Y능력";#N/A,#N/A,TRUE,"YKD"}</definedName>
    <definedName name="qh" localSheetId="14" hidden="1">{#N/A,#N/A,FALSE,"KMC최종회의(7월) 자료"}</definedName>
    <definedName name="qh" hidden="1">{#N/A,#N/A,FALSE,"KMC최종회의(7월) 자료"}</definedName>
    <definedName name="qhrh" localSheetId="14" hidden="1">{#N/A,#N/A,FALSE,"손익표지";#N/A,#N/A,FALSE,"손익계산";#N/A,#N/A,FALSE,"일반관리비";#N/A,#N/A,FALSE,"영업외수익";#N/A,#N/A,FALSE,"영업외비용";#N/A,#N/A,FALSE,"매출액";#N/A,#N/A,FALSE,"요약손익";#N/A,#N/A,FALSE,"요약대차";#N/A,#N/A,FALSE,"매출채권현황";#N/A,#N/A,FALSE,"매출채권명세"}</definedName>
    <definedName name="qhrh" hidden="1">{#N/A,#N/A,FALSE,"손익표지";#N/A,#N/A,FALSE,"손익계산";#N/A,#N/A,FALSE,"일반관리비";#N/A,#N/A,FALSE,"영업외수익";#N/A,#N/A,FALSE,"영업외비용";#N/A,#N/A,FALSE,"매출액";#N/A,#N/A,FALSE,"요약손익";#N/A,#N/A,FALSE,"요약대차";#N/A,#N/A,FALSE,"매출채권현황";#N/A,#N/A,FALSE,"매출채권명세"}</definedName>
    <definedName name="qkqh" localSheetId="14" hidden="1">{#N/A,#N/A,FALSE,"손익표지";#N/A,#N/A,FALSE,"손익계산";#N/A,#N/A,FALSE,"일반관리비";#N/A,#N/A,FALSE,"영업외수익";#N/A,#N/A,FALSE,"영업외비용";#N/A,#N/A,FALSE,"매출액";#N/A,#N/A,FALSE,"요약손익";#N/A,#N/A,FALSE,"요약대차";#N/A,#N/A,FALSE,"매출채권현황";#N/A,#N/A,FALSE,"매출채권명세"}</definedName>
    <definedName name="qkqh" hidden="1">{#N/A,#N/A,FALSE,"손익표지";#N/A,#N/A,FALSE,"손익계산";#N/A,#N/A,FALSE,"일반관리비";#N/A,#N/A,FALSE,"영업외수익";#N/A,#N/A,FALSE,"영업외비용";#N/A,#N/A,FALSE,"매출액";#N/A,#N/A,FALSE,"요약손익";#N/A,#N/A,FALSE,"요약대차";#N/A,#N/A,FALSE,"매출채권현황";#N/A,#N/A,FALSE,"매출채권명세"}</definedName>
    <definedName name="QKRH" localSheetId="14" hidden="1">{#N/A,#N/A,FALSE,"손익표지";#N/A,#N/A,FALSE,"손익계산";#N/A,#N/A,FALSE,"일반관리비";#N/A,#N/A,FALSE,"영업외수익";#N/A,#N/A,FALSE,"영업외비용";#N/A,#N/A,FALSE,"매출액";#N/A,#N/A,FALSE,"요약손익";#N/A,#N/A,FALSE,"요약대차";#N/A,#N/A,FALSE,"매출채권현황";#N/A,#N/A,FALSE,"매출채권명세"}</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ltm" localSheetId="14" hidden="1">{#N/A,#N/A,TRUE,"Y생산";#N/A,#N/A,TRUE,"Y판매";#N/A,#N/A,TRUE,"Y총물량";#N/A,#N/A,TRUE,"Y능력";#N/A,#N/A,TRUE,"YKD"}</definedName>
    <definedName name="qltm" hidden="1">{#N/A,#N/A,TRUE,"Y생산";#N/A,#N/A,TRUE,"Y판매";#N/A,#N/A,TRUE,"Y총물량";#N/A,#N/A,TRUE,"Y능력";#N/A,#N/A,TRUE,"YKD"}</definedName>
    <definedName name="qlty" localSheetId="14" hidden="1">{#N/A,#N/A,TRUE,"Y생산";#N/A,#N/A,TRUE,"Y판매";#N/A,#N/A,TRUE,"Y총물량";#N/A,#N/A,TRUE,"Y능력";#N/A,#N/A,TRUE,"YKD"}</definedName>
    <definedName name="qlty" hidden="1">{#N/A,#N/A,TRUE,"Y생산";#N/A,#N/A,TRUE,"Y판매";#N/A,#N/A,TRUE,"Y총물량";#N/A,#N/A,TRUE,"Y능력";#N/A,#N/A,TRUE,"YKD"}</definedName>
    <definedName name="qq" localSheetId="14" hidden="1">{#N/A,#N/A,FALSE,"손익표지";#N/A,#N/A,FALSE,"손익계산";#N/A,#N/A,FALSE,"일반관리비";#N/A,#N/A,FALSE,"영업외수익";#N/A,#N/A,FALSE,"영업외비용";#N/A,#N/A,FALSE,"매출액";#N/A,#N/A,FALSE,"요약손익";#N/A,#N/A,FALSE,"요약대차";#N/A,#N/A,FALSE,"매출채권현황";#N/A,#N/A,FALSE,"매출채권명세"}</definedName>
    <definedName name="qq" localSheetId="13" hidden="1">{#N/A,#N/A,FALSE,"손익표지";#N/A,#N/A,FALSE,"손익계산";#N/A,#N/A,FALSE,"일반관리비";#N/A,#N/A,FALSE,"영업외수익";#N/A,#N/A,FALSE,"영업외비용";#N/A,#N/A,FALSE,"매출액";#N/A,#N/A,FALSE,"요약손익";#N/A,#N/A,FALSE,"요약대차";#N/A,#N/A,FALSE,"매출채권현황";#N/A,#N/A,FALSE,"매출채권명세"}</definedName>
    <definedName name="qq" hidden="1">{#N/A,#N/A,FALSE,"손익표지";#N/A,#N/A,FALSE,"손익계산";#N/A,#N/A,FALSE,"일반관리비";#N/A,#N/A,FALSE,"영업외수익";#N/A,#N/A,FALSE,"영업외비용";#N/A,#N/A,FALSE,"매출액";#N/A,#N/A,FALSE,"요약손익";#N/A,#N/A,FALSE,"요약대차";#N/A,#N/A,FALSE,"매출채권현황";#N/A,#N/A,FALSE,"매출채권명세"}</definedName>
    <definedName name="qqq" localSheetId="14" hidden="1">{#N/A,#N/A,FALSE,"손익표지";#N/A,#N/A,FALSE,"손익계산";#N/A,#N/A,FALSE,"일반관리비";#N/A,#N/A,FALSE,"영업외수익";#N/A,#N/A,FALSE,"영업외비용";#N/A,#N/A,FALSE,"매출액";#N/A,#N/A,FALSE,"요약손익";#N/A,#N/A,FALSE,"요약대차";#N/A,#N/A,FALSE,"매출채권현황";#N/A,#N/A,FALSE,"매출채권명세"}</definedName>
    <definedName name="qqq" localSheetId="13"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손익표지";#N/A,#N/A,FALSE,"손익계산";#N/A,#N/A,FALSE,"일반관리비";#N/A,#N/A,FALSE,"영업외수익";#N/A,#N/A,FALSE,"영업외비용";#N/A,#N/A,FALSE,"매출액";#N/A,#N/A,FALSE,"요약손익";#N/A,#N/A,FALSE,"요약대차";#N/A,#N/A,FALSE,"매출채권현황";#N/A,#N/A,FALSE,"매출채권명세"}</definedName>
    <definedName name="QQQAAASSS" localSheetId="14" hidden="1">{#N/A,#N/A,TRUE,"Y생산";#N/A,#N/A,TRUE,"Y판매";#N/A,#N/A,TRUE,"Y총물량";#N/A,#N/A,TRUE,"Y능력";#N/A,#N/A,TRUE,"YKD"}</definedName>
    <definedName name="QQQAAASSS" hidden="1">{#N/A,#N/A,TRUE,"Y생산";#N/A,#N/A,TRUE,"Y판매";#N/A,#N/A,TRUE,"Y총물량";#N/A,#N/A,TRUE,"Y능력";#N/A,#N/A,TRUE,"YKD"}</definedName>
    <definedName name="QQQQ"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 localSheetId="14" hidden="1">{#N/A,#N/A,FALSE,"인원";#N/A,#N/A,FALSE,"비용2";#N/A,#N/A,FALSE,"비용1";#N/A,#N/A,FALSE,"비용";#N/A,#N/A,FALSE,"보증2";#N/A,#N/A,FALSE,"보증1";#N/A,#N/A,FALSE,"보증";#N/A,#N/A,FALSE,"손익1";#N/A,#N/A,FALSE,"손익";#N/A,#N/A,FALSE,"부서별매출";#N/A,#N/A,FALSE,"매출"}</definedName>
    <definedName name="QQQQQ" hidden="1">{#N/A,#N/A,FALSE,"인원";#N/A,#N/A,FALSE,"비용2";#N/A,#N/A,FALSE,"비용1";#N/A,#N/A,FALSE,"비용";#N/A,#N/A,FALSE,"보증2";#N/A,#N/A,FALSE,"보증1";#N/A,#N/A,FALSE,"보증";#N/A,#N/A,FALSE,"손익1";#N/A,#N/A,FALSE,"손익";#N/A,#N/A,FALSE,"부서별매출";#N/A,#N/A,FALSE,"매출"}</definedName>
    <definedName name="QQQQQQ" localSheetId="14" hidden="1">{#N/A,#N/A,FALSE,"손익표지";#N/A,#N/A,FALSE,"손익계산";#N/A,#N/A,FALSE,"일반관리비";#N/A,#N/A,FALSE,"영업외수익";#N/A,#N/A,FALSE,"영업외비용";#N/A,#N/A,FALSE,"매출액";#N/A,#N/A,FALSE,"요약손익";#N/A,#N/A,FALSE,"요약대차";#N/A,#N/A,FALSE,"매출채권현황";#N/A,#N/A,FALSE,"매출채권명세"}</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Q" localSheetId="14" hidden="1">{#N/A,#N/A,TRUE,"Y생산";#N/A,#N/A,TRUE,"Y판매";#N/A,#N/A,TRUE,"Y총물량";#N/A,#N/A,TRUE,"Y능력";#N/A,#N/A,TRUE,"YKD"}</definedName>
    <definedName name="QQQQQQQ" hidden="1">{#N/A,#N/A,TRUE,"Y생산";#N/A,#N/A,TRUE,"Y판매";#N/A,#N/A,TRUE,"Y총물량";#N/A,#N/A,TRUE,"Y능력";#N/A,#N/A,TRUE,"YKD"}</definedName>
    <definedName name="QQQQQQQQQQQQQ" localSheetId="14" hidden="1">{#N/A,#N/A,FALSE,"KMC최종회의(7월) 자료"}</definedName>
    <definedName name="QQQQQQQQQQQQQ" hidden="1">{#N/A,#N/A,FALSE,"KMC최종회의(7월) 자료"}</definedName>
    <definedName name="QQQQQQQQQQQQQQQQQQQQ" localSheetId="14"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rrttrrtret" localSheetId="14" hidden="1">{#N/A,#N/A,FALSE,"손익표지";#N/A,#N/A,FALSE,"손익계산";#N/A,#N/A,FALSE,"일반관리비";#N/A,#N/A,FALSE,"영업외수익";#N/A,#N/A,FALSE,"영업외비용";#N/A,#N/A,FALSE,"매출액";#N/A,#N/A,FALSE,"요약손익";#N/A,#N/A,FALSE,"요약대차";#N/A,#N/A,FALSE,"매출채권현황";#N/A,#N/A,FALSE,"매출채권명세"}</definedName>
    <definedName name="qqqrrttrrtret" localSheetId="13" hidden="1">{#N/A,#N/A,FALSE,"손익표지";#N/A,#N/A,FALSE,"손익계산";#N/A,#N/A,FALSE,"일반관리비";#N/A,#N/A,FALSE,"영업외수익";#N/A,#N/A,FALSE,"영업외비용";#N/A,#N/A,FALSE,"매출액";#N/A,#N/A,FALSE,"요약손익";#N/A,#N/A,FALSE,"요약대차";#N/A,#N/A,FALSE,"매출채권현황";#N/A,#N/A,FALSE,"매출채권명세"}</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SWD2" localSheetId="14" hidden="1">{#N/A,#N/A,FALSE,"정공"}</definedName>
    <definedName name="QSWD2" hidden="1">{#N/A,#N/A,FALSE,"정공"}</definedName>
    <definedName name="qtwer" localSheetId="14" hidden="1">{#N/A,#N/A,FALSE,"손익표지";#N/A,#N/A,FALSE,"손익계산";#N/A,#N/A,FALSE,"일반관리비";#N/A,#N/A,FALSE,"영업외수익";#N/A,#N/A,FALSE,"영업외비용";#N/A,#N/A,FALSE,"매출액";#N/A,#N/A,FALSE,"요약손익";#N/A,#N/A,FALSE,"요약대차";#N/A,#N/A,FALSE,"매출채권현황";#N/A,#N/A,FALSE,"매출채권명세"}</definedName>
    <definedName name="qtwer" localSheetId="13" hidden="1">{#N/A,#N/A,FALSE,"손익표지";#N/A,#N/A,FALSE,"손익계산";#N/A,#N/A,FALSE,"일반관리비";#N/A,#N/A,FALSE,"영업외수익";#N/A,#N/A,FALSE,"영업외비용";#N/A,#N/A,FALSE,"매출액";#N/A,#N/A,FALSE,"요약손익";#N/A,#N/A,FALSE,"요약대차";#N/A,#N/A,FALSE,"매출채권현황";#N/A,#N/A,FALSE,"매출채권명세"}</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ufcjarmfnq2" localSheetId="14" hidden="1">{#N/A,#N/A,FALSE,"정공"}</definedName>
    <definedName name="qufcjarmfnq2" hidden="1">{#N/A,#N/A,FALSE,"정공"}</definedName>
    <definedName name="qw" localSheetId="14" hidden="1">{"'7-2지역별'!$A$1:$R$44"}</definedName>
    <definedName name="qw" localSheetId="13" hidden="1">{"'7-2지역별'!$A$1:$R$44"}</definedName>
    <definedName name="qw" hidden="1">{#N/A,#N/A,FALSE,"손익표지";#N/A,#N/A,FALSE,"손익계산";#N/A,#N/A,FALSE,"일반관리비";#N/A,#N/A,FALSE,"영업외수익";#N/A,#N/A,FALSE,"영업외비용";#N/A,#N/A,FALSE,"매출액";#N/A,#N/A,FALSE,"요약손익";#N/A,#N/A,FALSE,"요약대차";#N/A,#N/A,FALSE,"매출채권현황";#N/A,#N/A,FALSE,"매출채권명세"}</definedName>
    <definedName name="QWE" localSheetId="14" hidden="1">{#N/A,#N/A,FALSE,"손익표지";#N/A,#N/A,FALSE,"손익계산";#N/A,#N/A,FALSE,"일반관리비";#N/A,#N/A,FALSE,"영업외수익";#N/A,#N/A,FALSE,"영업외비용";#N/A,#N/A,FALSE,"매출액";#N/A,#N/A,FALSE,"요약손익";#N/A,#N/A,FALSE,"요약대차";#N/A,#N/A,FALSE,"매출채권현황";#N/A,#N/A,FALSE,"매출채권명세"}</definedName>
    <definedName name="QWE" localSheetId="13" hidden="1">{#N/A,#N/A,FALSE,"손익표지";#N/A,#N/A,FALSE,"손익계산";#N/A,#N/A,FALSE,"일반관리비";#N/A,#N/A,FALSE,"영업외수익";#N/A,#N/A,FALSE,"영업외비용";#N/A,#N/A,FALSE,"매출액";#N/A,#N/A,FALSE,"요약손익";#N/A,#N/A,FALSE,"요약대차";#N/A,#N/A,FALSE,"매출채권현황";#N/A,#N/A,FALSE,"매출채권명세"}</definedName>
    <definedName name="qwe" hidden="1">{#N/A,#N/A,FALSE,"손익표지";#N/A,#N/A,FALSE,"손익계산";#N/A,#N/A,FALSE,"일반관리비";#N/A,#N/A,FALSE,"영업외수익";#N/A,#N/A,FALSE,"영업외비용";#N/A,#N/A,FALSE,"매출액";#N/A,#N/A,FALSE,"요약손익";#N/A,#N/A,FALSE,"요약대차";#N/A,#N/A,FALSE,"매출채권현황";#N/A,#N/A,FALSE,"매출채권명세"}</definedName>
    <definedName name="QWER" localSheetId="14" hidden="1">{#N/A,#N/A,FALSE,"손익표지";#N/A,#N/A,FALSE,"손익계산";#N/A,#N/A,FALSE,"일반관리비";#N/A,#N/A,FALSE,"영업외수익";#N/A,#N/A,FALSE,"영업외비용";#N/A,#N/A,FALSE,"매출액";#N/A,#N/A,FALSE,"요약손익";#N/A,#N/A,FALSE,"요약대차";#N/A,#N/A,FALSE,"매출채권현황";#N/A,#N/A,FALSE,"매출채권명세"}</definedName>
    <definedName name="QWER" hidden="1">{#N/A,#N/A,FALSE,"손익표지";#N/A,#N/A,FALSE,"손익계산";#N/A,#N/A,FALSE,"일반관리비";#N/A,#N/A,FALSE,"영업외수익";#N/A,#N/A,FALSE,"영업외비용";#N/A,#N/A,FALSE,"매출액";#N/A,#N/A,FALSE,"요약손익";#N/A,#N/A,FALSE,"요약대차";#N/A,#N/A,FALSE,"매출채권현황";#N/A,#N/A,FALSE,"매출채권명세"}</definedName>
    <definedName name="qwerqew" hidden="1">{"mgmt forecast",#N/A,FALSE,"Mgmt Forecast";"dcf table",#N/A,FALSE,"Mgmt Forecast";"sensitivity",#N/A,FALSE,"Mgmt Forecast";"table inputs",#N/A,FALSE,"Mgmt Forecast";"calculations",#N/A,FALSE,"Mgmt Forecast"}</definedName>
    <definedName name="qwerqwerqwe" hidden="1">{"orixcsc",#N/A,FALSE,"ORIX CSC";"orixcsc2",#N/A,FALSE,"ORIX CSC"}</definedName>
    <definedName name="qwet" localSheetId="14" hidden="1">{#N/A,#N/A,TRUE,"Y생산";#N/A,#N/A,TRUE,"Y판매";#N/A,#N/A,TRUE,"Y총물량";#N/A,#N/A,TRUE,"Y능력";#N/A,#N/A,TRUE,"YKD"}</definedName>
    <definedName name="qwet" hidden="1">{#N/A,#N/A,TRUE,"Y생산";#N/A,#N/A,TRUE,"Y판매";#N/A,#N/A,TRUE,"Y총물량";#N/A,#N/A,TRUE,"Y능력";#N/A,#N/A,TRUE,"YKD"}</definedName>
    <definedName name="QWETRF23T" localSheetId="14" hidden="1">{#N/A,#N/A,TRUE,"Y생산";#N/A,#N/A,TRUE,"Y판매";#N/A,#N/A,TRUE,"Y총물량";#N/A,#N/A,TRUE,"Y능력";#N/A,#N/A,TRUE,"YKD"}</definedName>
    <definedName name="QWETRF23T" hidden="1">{#N/A,#N/A,TRUE,"Y생산";#N/A,#N/A,TRUE,"Y판매";#N/A,#N/A,TRUE,"Y총물량";#N/A,#N/A,TRUE,"Y능력";#N/A,#N/A,TRUE,"YKD"}</definedName>
    <definedName name="qwr" localSheetId="14" hidden="1">{#N/A,#N/A,TRUE,"Y생산";#N/A,#N/A,TRUE,"Y판매";#N/A,#N/A,TRUE,"Y총물량";#N/A,#N/A,TRUE,"Y능력";#N/A,#N/A,TRUE,"YKD"}</definedName>
    <definedName name="qwr" hidden="1">{#N/A,#N/A,TRUE,"Y생산";#N/A,#N/A,TRUE,"Y판매";#N/A,#N/A,TRUE,"Y총물량";#N/A,#N/A,TRUE,"Y능력";#N/A,#N/A,TRUE,"YKD"}</definedName>
    <definedName name="qwrgfh" localSheetId="14" hidden="1">{#N/A,#N/A,FALSE,"96 3월물량표";#N/A,#N/A,FALSE,"96 4월물량표";#N/A,#N/A,FALSE,"96 5월물량표"}</definedName>
    <definedName name="qwrgfh" hidden="1">{#N/A,#N/A,FALSE,"96 3월물량표";#N/A,#N/A,FALSE,"96 4월물량표";#N/A,#N/A,FALSE,"96 5월물량표"}</definedName>
    <definedName name="R_COVER" localSheetId="14" hidden="1">{#N/A,#N/A,FALSE,"단축1";#N/A,#N/A,FALSE,"단축2";#N/A,#N/A,FALSE,"단축3";#N/A,#N/A,FALSE,"장축";#N/A,#N/A,FALSE,"4WD"}</definedName>
    <definedName name="R_COVER" hidden="1">{#N/A,#N/A,FALSE,"단축1";#N/A,#N/A,FALSE,"단축2";#N/A,#N/A,FALSE,"단축3";#N/A,#N/A,FALSE,"장축";#N/A,#N/A,FALSE,"4WD"}</definedName>
    <definedName name="RADIAL월별종합" localSheetId="14" hidden="1">#REF!</definedName>
    <definedName name="RADIAL월별종합" hidden="1">#REF!</definedName>
    <definedName name="rdfdbbbdgbgbgfbgfbgfbgf" localSheetId="14" hidden="1">{#N/A,#N/A,FALSE,"KMC최종회의(7월) 자료"}</definedName>
    <definedName name="rdfdbbbdgbgbgfbgfbgfbgf" hidden="1">{#N/A,#N/A,FALSE,"KMC최종회의(7월) 자료"}</definedName>
    <definedName name="RDG" localSheetId="14" hidden="1">{#N/A,#N/A,FALSE,"단축1";#N/A,#N/A,FALSE,"단축2";#N/A,#N/A,FALSE,"단축3";#N/A,#N/A,FALSE,"장축";#N/A,#N/A,FALSE,"4WD"}</definedName>
    <definedName name="RDG" hidden="1">{#N/A,#N/A,FALSE,"단축1";#N/A,#N/A,FALSE,"단축2";#N/A,#N/A,FALSE,"단축3";#N/A,#N/A,FALSE,"장축";#N/A,#N/A,FALSE,"4WD"}</definedName>
    <definedName name="re" localSheetId="14" hidden="1">{"'7-2지역별'!$A$1:$R$44"}</definedName>
    <definedName name="re" localSheetId="13" hidden="1">{"'7-2지역별'!$A$1:$R$44"}</definedName>
    <definedName name="re" hidden="1">{#N/A,#N/A,FALSE,"손익표지";#N/A,#N/A,FALSE,"손익계산";#N/A,#N/A,FALSE,"일반관리비";#N/A,#N/A,FALSE,"영업외수익";#N/A,#N/A,FALSE,"영업외비용";#N/A,#N/A,FALSE,"매출액";#N/A,#N/A,FALSE,"요약손익";#N/A,#N/A,FALSE,"요약대차";#N/A,#N/A,FALSE,"매출채권현황";#N/A,#N/A,FALSE,"매출채권명세"}</definedName>
    <definedName name="REAR" localSheetId="14" hidden="1">{#N/A,#N/A,FALSE,"단축1";#N/A,#N/A,FALSE,"단축2";#N/A,#N/A,FALSE,"단축3";#N/A,#N/A,FALSE,"장축";#N/A,#N/A,FALSE,"4WD"}</definedName>
    <definedName name="REAR" hidden="1">{#N/A,#N/A,FALSE,"단축1";#N/A,#N/A,FALSE,"단축2";#N/A,#N/A,FALSE,"단축3";#N/A,#N/A,FALSE,"장축";#N/A,#N/A,FALSE,"4WD"}</definedName>
    <definedName name="Rebate" hidden="1">{#N/A,#N/A,FALSE,"Aging Summary";#N/A,#N/A,FALSE,"Ratio Analysis";#N/A,#N/A,FALSE,"Test 120 Day Accts";#N/A,#N/A,FALSE,"Tickmarks"}</definedName>
    <definedName name="redo" hidden="1">{#N/A,#N/A,FALSE,"ACQ_GRAPHS";#N/A,#N/A,FALSE,"T_1 GRAPHS";#N/A,#N/A,FALSE,"T_2 GRAPHS";#N/A,#N/A,FALSE,"COMB_GRAPHS"}</definedName>
    <definedName name="rehagh" localSheetId="14" hidden="1">{#N/A,#N/A,FALSE,"96 3월물량표";#N/A,#N/A,FALSE,"96 4월물량표";#N/A,#N/A,FALSE,"96 5월물량표"}</definedName>
    <definedName name="rehagh" hidden="1">{#N/A,#N/A,FALSE,"96 3월물량표";#N/A,#N/A,FALSE,"96 4월물량표";#N/A,#N/A,FALSE,"96 5월물량표"}</definedName>
    <definedName name="RENN" localSheetId="14" hidden="1">{"'7-2지역별'!$A$1:$R$44"}</definedName>
    <definedName name="RENN" localSheetId="13" hidden="1">{"'7-2지역별'!$A$1:$R$44"}</definedName>
    <definedName name="RENN" hidden="1">{"'7-2지역별'!$A$1:$R$44"}</definedName>
    <definedName name="rere" hidden="1">{#N/A,#N/A,FALSE,"ORIX CSC"}</definedName>
    <definedName name="rerere" hidden="1">{"mgmt forecast",#N/A,FALSE,"Mgmt Forecast";"dcf table",#N/A,FALSE,"Mgmt Forecast";"sensitivity",#N/A,FALSE,"Mgmt Forecast";"table inputs",#N/A,FALSE,"Mgmt Forecast";"calculations",#N/A,FALSE,"Mgmt Forecast"}</definedName>
    <definedName name="RESDEVF" localSheetId="14" hidden="1">{"Frgen",#N/A,FALSE,"A";"Résu",#N/A,FALSE,"A"}</definedName>
    <definedName name="RESDEVF" localSheetId="13" hidden="1">{"Frgen",#N/A,FALSE,"A";"Résu",#N/A,FALSE,"A"}</definedName>
    <definedName name="RESDEVF" hidden="1">{"Frgen",#N/A,FALSE,"A";"Résu",#N/A,FALSE,"A"}</definedName>
    <definedName name="ret" localSheetId="14" hidden="1">{#N/A,#N/A,FALSE,"손익표지";#N/A,#N/A,FALSE,"손익계산";#N/A,#N/A,FALSE,"일반관리비";#N/A,#N/A,FALSE,"영업외수익";#N/A,#N/A,FALSE,"영업외비용";#N/A,#N/A,FALSE,"매출액";#N/A,#N/A,FALSE,"요약손익";#N/A,#N/A,FALSE,"요약대차";#N/A,#N/A,FALSE,"매출채권현황";#N/A,#N/A,FALSE,"매출채권명세"}</definedName>
    <definedName name="ret" localSheetId="13" hidden="1">{#N/A,#N/A,FALSE,"손익표지";#N/A,#N/A,FALSE,"손익계산";#N/A,#N/A,FALSE,"일반관리비";#N/A,#N/A,FALSE,"영업외수익";#N/A,#N/A,FALSE,"영업외비용";#N/A,#N/A,FALSE,"매출액";#N/A,#N/A,FALSE,"요약손익";#N/A,#N/A,FALSE,"요약대차";#N/A,#N/A,FALSE,"매출채권현황";#N/A,#N/A,FALSE,"매출채권명세"}</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tail" hidden="1">{#N/A,#N/A,FALSE,"Hip.Bas";#N/A,#N/A,FALSE,"ventas";#N/A,#N/A,FALSE,"ingre-Año";#N/A,#N/A,FALSE,"ventas-Año";#N/A,#N/A,FALSE,"Costepro";#N/A,#N/A,FALSE,"inversion";#N/A,#N/A,FALSE,"personal";#N/A,#N/A,FALSE,"Gastos-V";#N/A,#N/A,FALSE,"Circulante";#N/A,#N/A,FALSE,"CONSOLI";#N/A,#N/A,FALSE,"Es-Fin";#N/A,#N/A,FALSE,"Margen-P"}</definedName>
    <definedName name="rey" localSheetId="14" hidden="1">{#N/A,#N/A,FALSE,"손익표지";#N/A,#N/A,FALSE,"손익계산";#N/A,#N/A,FALSE,"일반관리비";#N/A,#N/A,FALSE,"영업외수익";#N/A,#N/A,FALSE,"영업외비용";#N/A,#N/A,FALSE,"매출액";#N/A,#N/A,FALSE,"요약손익";#N/A,#N/A,FALSE,"요약대차";#N/A,#N/A,FALSE,"매출채권현황";#N/A,#N/A,FALSE,"매출채권명세"}</definedName>
    <definedName name="rey" localSheetId="13" hidden="1">{#N/A,#N/A,FALSE,"손익표지";#N/A,#N/A,FALSE,"손익계산";#N/A,#N/A,FALSE,"일반관리비";#N/A,#N/A,FALSE,"영업외수익";#N/A,#N/A,FALSE,"영업외비용";#N/A,#N/A,FALSE,"매출액";#N/A,#N/A,FALSE,"요약손익";#N/A,#N/A,FALSE,"요약대차";#N/A,#N/A,FALSE,"매출채권현황";#N/A,#N/A,FALSE,"매출채권명세"}</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f" localSheetId="14"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f" localSheetId="13"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f"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h" localSheetId="14" hidden="1">{#N/A,#N/A,FALSE,"KMC최종회의(7월) 자료"}</definedName>
    <definedName name="rh" hidden="1">{#N/A,#N/A,FALSE,"KMC최종회의(7월) 자료"}</definedName>
    <definedName name="RHDTN" localSheetId="14" hidden="1">{#N/A,#N/A,FALSE,"KMC최종회의(7월) 자료"}</definedName>
    <definedName name="RHDTN" hidden="1">{#N/A,#N/A,FALSE,"KMC최종회의(7월) 자료"}</definedName>
    <definedName name="RHKDWNRHD">#REF!</definedName>
    <definedName name="RK" localSheetId="14" hidden="1">{#N/A,#N/A,TRUE,"Y생산";#N/A,#N/A,TRUE,"Y판매";#N/A,#N/A,TRUE,"Y총물량";#N/A,#N/A,TRUE,"Y능력";#N/A,#N/A,TRUE,"YKD"}</definedName>
    <definedName name="RK" hidden="1">{#N/A,#N/A,TRUE,"Y생산";#N/A,#N/A,TRUE,"Y판매";#N/A,#N/A,TRUE,"Y총물량";#N/A,#N/A,TRUE,"Y능력";#N/A,#N/A,TRUE,"YKD"}</definedName>
    <definedName name="RKDDD" hidden="1">{#N/A,#N/A,FALSE,"PART-1234-8-12-9(41)";#N/A,#N/A,FALSE,"PARTS-2(3)";#N/A,#N/A,FALSE,"VAN SYSTEM";#N/A,#N/A,FALSE,"PARTS-10(26)";#N/A,#N/A,FALSE,"PART-5-6-7-11(14)";#N/A,#N/A,FALSE,"PARTS-4(3)";#N/A,#N/A,FALSE,"PCLASS"}</definedName>
    <definedName name="RKJI" localSheetId="14" hidden="1">{#N/A,#N/A,FALSE,"단축1";#N/A,#N/A,FALSE,"단축2";#N/A,#N/A,FALSE,"단축3";#N/A,#N/A,FALSE,"장축";#N/A,#N/A,FALSE,"4WD"}</definedName>
    <definedName name="RKJI" hidden="1">{#N/A,#N/A,FALSE,"단축1";#N/A,#N/A,FALSE,"단축2";#N/A,#N/A,FALSE,"단축3";#N/A,#N/A,FALSE,"장축";#N/A,#N/A,FALSE,"4WD"}</definedName>
    <definedName name="RKSK" hidden="1">[42]시산표!#REF!</definedName>
    <definedName name="RLA" localSheetId="14" hidden="1">{#N/A,#N/A,TRUE,"Y생산";#N/A,#N/A,TRUE,"Y판매";#N/A,#N/A,TRUE,"Y총물량";#N/A,#N/A,TRUE,"Y능력";#N/A,#N/A,TRUE,"YKD"}</definedName>
    <definedName name="RLA" hidden="1">{#N/A,#N/A,TRUE,"Y생산";#N/A,#N/A,TRUE,"Y판매";#N/A,#N/A,TRUE,"Y총물량";#N/A,#N/A,TRUE,"Y능력";#N/A,#N/A,TRUE,"YKD"}</definedName>
    <definedName name="rlacl" localSheetId="14" hidden="1">{#N/A,#N/A,FALSE,"KMC최종회의(7월) 자료"}</definedName>
    <definedName name="rlacl" hidden="1">{#N/A,#N/A,FALSE,"KMC최종회의(7월) 자료"}</definedName>
    <definedName name="rmsid" localSheetId="14" hidden="1">{#N/A,#N/A,FALSE,"손익표지";#N/A,#N/A,FALSE,"손익계산";#N/A,#N/A,FALSE,"일반관리비";#N/A,#N/A,FALSE,"영업외수익";#N/A,#N/A,FALSE,"영업외비용";#N/A,#N/A,FALSE,"매출액";#N/A,#N/A,FALSE,"요약손익";#N/A,#N/A,FALSE,"요약대차";#N/A,#N/A,FALSE,"매출채권현황";#N/A,#N/A,FALSE,"매출채권명세"}</definedName>
    <definedName name="rmsid" hidden="1">{#N/A,#N/A,FALSE,"손익표지";#N/A,#N/A,FALSE,"손익계산";#N/A,#N/A,FALSE,"일반관리비";#N/A,#N/A,FALSE,"영업외수익";#N/A,#N/A,FALSE,"영업외비용";#N/A,#N/A,FALSE,"매출액";#N/A,#N/A,FALSE,"요약손익";#N/A,#N/A,FALSE,"요약대차";#N/A,#N/A,FALSE,"매출채권현황";#N/A,#N/A,FALSE,"매출채권명세"}</definedName>
    <definedName name="RNAO" hidden="1">{#N/A,#N/A,FALSE,"Aging Summary";#N/A,#N/A,FALSE,"Ratio Analysis";#N/A,#N/A,FALSE,"Test 120 Day Accts";#N/A,#N/A,FALSE,"Tickmarks"}</definedName>
    <definedName name="rnjsdudrkq" localSheetId="14" hidden="1">{#N/A,#N/A,FALSE,"KMC최종회의(7월) 자료"}</definedName>
    <definedName name="rnjsdudrkq" hidden="1">{#N/A,#N/A,FALSE,"KMC최종회의(7월) 자료"}</definedName>
    <definedName name="RR.BRAKE" localSheetId="14" hidden="1">{#N/A,#N/A,FALSE,"단축1";#N/A,#N/A,FALSE,"단축2";#N/A,#N/A,FALSE,"단축3";#N/A,#N/A,FALSE,"장축";#N/A,#N/A,FALSE,"4WD"}</definedName>
    <definedName name="RR.BRAKE" hidden="1">{#N/A,#N/A,FALSE,"단축1";#N/A,#N/A,FALSE,"단축2";#N/A,#N/A,FALSE,"단축3";#N/A,#N/A,FALSE,"장축";#N/A,#N/A,FALSE,"4WD"}</definedName>
    <definedName name="RR.BRK" localSheetId="14" hidden="1">{#N/A,#N/A,FALSE,"단축1";#N/A,#N/A,FALSE,"단축2";#N/A,#N/A,FALSE,"단축3";#N/A,#N/A,FALSE,"장축";#N/A,#N/A,FALSE,"4WD"}</definedName>
    <definedName name="RR.BRK" hidden="1">{#N/A,#N/A,FALSE,"단축1";#N/A,#N/A,FALSE,"단축2";#N/A,#N/A,FALSE,"단축3";#N/A,#N/A,FALSE,"장축";#N/A,#N/A,FALSE,"4WD"}</definedName>
    <definedName name="RREBUJ" localSheetId="14" hidden="1">{#N/A,#N/A,FALSE,"KMC최종회의(7월) 자료"}</definedName>
    <definedName name="RREBUJ" hidden="1">{#N/A,#N/A,FALSE,"KMC최종회의(7월) 자료"}</definedName>
    <definedName name="rrr" localSheetId="14" hidden="1">{#N/A,#N/A,FALSE,"손익표지";#N/A,#N/A,FALSE,"손익계산";#N/A,#N/A,FALSE,"일반관리비";#N/A,#N/A,FALSE,"영업외수익";#N/A,#N/A,FALSE,"영업외비용";#N/A,#N/A,FALSE,"매출액";#N/A,#N/A,FALSE,"요약손익";#N/A,#N/A,FALSE,"요약대차";#N/A,#N/A,FALSE,"매출채권현황";#N/A,#N/A,FALSE,"매출채권명세"}</definedName>
    <definedName name="rrr" hidden="1">{#N/A,#N/A,FALSE,"손익표지";#N/A,#N/A,FALSE,"손익계산";#N/A,#N/A,FALSE,"일반관리비";#N/A,#N/A,FALSE,"영업외수익";#N/A,#N/A,FALSE,"영업외비용";#N/A,#N/A,FALSE,"매출액";#N/A,#N/A,FALSE,"요약손익";#N/A,#N/A,FALSE,"요약대차";#N/A,#N/A,FALSE,"매출채권현황";#N/A,#N/A,FALSE,"매출채권명세"}</definedName>
    <definedName name="rrrr" hidden="1">{#N/A,#N/A,FALSE,"지침";#N/A,#N/A,FALSE,"환경분석";#N/A,#N/A,FALSE,"Sheet16"}</definedName>
    <definedName name="rrrrr" hidden="1">{"'경매 schedule'!$A$1:$Y$78"}</definedName>
    <definedName name="RT" localSheetId="14" hidden="1">{#N/A,#N/A,FALSE,"Sheet5"}</definedName>
    <definedName name="RT" localSheetId="13" hidden="1">{#N/A,#N/A,FALSE,"Sheet5"}</definedName>
    <definedName name="RT" hidden="1">{#N/A,#N/A,FALSE,"Sheet5"}</definedName>
    <definedName name="RTFBVH" localSheetId="14" hidden="1">{#N/A,#N/A,FALSE,"KMC최종회의(7월) 자료"}</definedName>
    <definedName name="RTFBVH" hidden="1">{#N/A,#N/A,FALSE,"KMC최종회의(7월) 자료"}</definedName>
    <definedName name="rth" hidden="1">[43]자바라1!#REF!</definedName>
    <definedName name="RTJTYM" localSheetId="14" hidden="1">{#N/A,#N/A,FALSE,"96 3월물량표";#N/A,#N/A,FALSE,"96 4월물량표";#N/A,#N/A,FALSE,"96 5월물량표"}</definedName>
    <definedName name="RTJTYM" hidden="1">{#N/A,#N/A,FALSE,"96 3월물량표";#N/A,#N/A,FALSE,"96 4월물량표";#N/A,#N/A,FALSE,"96 5월물량표"}</definedName>
    <definedName name="rttrhb"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u" localSheetId="14" hidden="1">{#N/A,#N/A,TRUE,"Y생산";#N/A,#N/A,TRUE,"Y판매";#N/A,#N/A,TRUE,"Y총물량";#N/A,#N/A,TRUE,"Y능력";#N/A,#N/A,TRUE,"YKD"}</definedName>
    <definedName name="rtu" hidden="1">{#N/A,#N/A,TRUE,"Y생산";#N/A,#N/A,TRUE,"Y판매";#N/A,#N/A,TRUE,"Y총물량";#N/A,#N/A,TRUE,"Y능력";#N/A,#N/A,TRUE,"YKD"}</definedName>
    <definedName name="RTYG" localSheetId="14" hidden="1">{#N/A,#N/A,FALSE,"단축1";#N/A,#N/A,FALSE,"단축2";#N/A,#N/A,FALSE,"단축3";#N/A,#N/A,FALSE,"장축";#N/A,#N/A,FALSE,"4WD"}</definedName>
    <definedName name="RTYG" hidden="1">{#N/A,#N/A,FALSE,"단축1";#N/A,#N/A,FALSE,"단축2";#N/A,#N/A,FALSE,"단축3";#N/A,#N/A,FALSE,"장축";#N/A,#N/A,FALSE,"4WD"}</definedName>
    <definedName name="RVI" hidden="1">#REF!</definedName>
    <definedName name="RVR" localSheetId="14" hidden="1">{#N/A,#N/A,FALSE,"KMC최종회의(7월) 자료"}</definedName>
    <definedName name="RVR" hidden="1">{#N/A,#N/A,FALSE,"KMC최종회의(7월) 자료"}</definedName>
    <definedName name="RVT류" localSheetId="14" hidden="1">{"'Sheet1'!$A$3:$M$19"}</definedName>
    <definedName name="RVT류" hidden="1">{"'Sheet1'!$A$3:$M$19"}</definedName>
    <definedName name="ryrty" localSheetId="14"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13" hidden="1">{#N/A,#N/A,FALSE,"손익표지";#N/A,#N/A,FALSE,"손익계산";#N/A,#N/A,FALSE,"일반관리비";#N/A,#N/A,FALSE,"영업외수익";#N/A,#N/A,FALSE,"영업외비용";#N/A,#N/A,FALSE,"매출액";#N/A,#N/A,FALSE,"요약손익";#N/A,#N/A,FALSE,"요약대차";#N/A,#N/A,FALSE,"매출채권현황";#N/A,#N/A,FALSE,"매출채권명세"}</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ㅓㅕ" localSheetId="14" hidden="1">{#N/A,#N/A,FALSE,"손익표지";#N/A,#N/A,FALSE,"손익계산";#N/A,#N/A,FALSE,"일반관리비";#N/A,#N/A,FALSE,"영업외수익";#N/A,#N/A,FALSE,"영업외비용";#N/A,#N/A,FALSE,"매출액";#N/A,#N/A,FALSE,"요약손익";#N/A,#N/A,FALSE,"요약대차";#N/A,#N/A,FALSE,"매출채권현황";#N/A,#N/A,FALSE,"매출채권명세"}</definedName>
    <definedName name="rㅓㅕ" hidden="1">{#N/A,#N/A,FALSE,"손익표지";#N/A,#N/A,FALSE,"손익계산";#N/A,#N/A,FALSE,"일반관리비";#N/A,#N/A,FALSE,"영업외수익";#N/A,#N/A,FALSE,"영업외비용";#N/A,#N/A,FALSE,"매출액";#N/A,#N/A,FALSE,"요약손익";#N/A,#N/A,FALSE,"요약대차";#N/A,#N/A,FALSE,"매출채권현황";#N/A,#N/A,FALSE,"매출채권명세"}</definedName>
    <definedName name="s" localSheetId="14" hidden="1">{#N/A,#N/A,FALSE,"BS";#N/A,#N/A,FALSE,"PL";#N/A,#N/A,FALSE,"처분";#N/A,#N/A,FALSE,"현금";#N/A,#N/A,FALSE,"매출";#N/A,#N/A,FALSE,"원가";#N/A,#N/A,FALSE,"경영"}</definedName>
    <definedName name="s" localSheetId="13" hidden="1">{#N/A,#N/A,FALSE,"BS";#N/A,#N/A,FALSE,"PL";#N/A,#N/A,FALSE,"처분";#N/A,#N/A,FALSE,"현금";#N/A,#N/A,FALSE,"매출";#N/A,#N/A,FALSE,"원가";#N/A,#N/A,FALSE,"경영"}</definedName>
    <definedName name="s" localSheetId="31" hidden="1">{#N/A,#N/A,FALSE,"손익표지";#N/A,#N/A,FALSE,"손익계산";#N/A,#N/A,FALSE,"일반관리비";#N/A,#N/A,FALSE,"영업외수익";#N/A,#N/A,FALSE,"영업외비용";#N/A,#N/A,FALSE,"매출액";#N/A,#N/A,FALSE,"요약손익";#N/A,#N/A,FALSE,"요약대차";#N/A,#N/A,FALSE,"매출채권현황";#N/A,#N/A,FALSE,"매출채권명세"}</definedName>
    <definedName name="s" hidden="1">{#N/A,#N/A,FALSE,"BS";#N/A,#N/A,FALSE,"PL";#N/A,#N/A,FALSE,"처분";#N/A,#N/A,FALSE,"현금";#N/A,#N/A,FALSE,"매출";#N/A,#N/A,FALSE,"원가";#N/A,#N/A,FALSE,"경영"}</definedName>
    <definedName name="S0" localSheetId="14" hidden="1">{#N/A,#N/A,FALSE,"KMC최종회의(7월) 자료"}</definedName>
    <definedName name="S0" hidden="1">{#N/A,#N/A,FALSE,"KMC최종회의(7월) 자료"}</definedName>
    <definedName name="SA"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ff" localSheetId="14" hidden="1">{#N/A,#N/A,FALSE,"KMC최종회의(7월) 자료"}</definedName>
    <definedName name="saff" hidden="1">{#N/A,#N/A,FALSE,"KMC최종회의(7월) 자료"}</definedName>
    <definedName name="SAM" hidden="1">{#N/A,#N/A,FALSE,"지침";#N/A,#N/A,FALSE,"환경분석";#N/A,#N/A,FALSE,"Sheet16"}</definedName>
    <definedName name="sample1">#REF!</definedName>
    <definedName name="SAPBEXhrIndnt" hidden="1">1</definedName>
    <definedName name="SAPBEXrevision" localSheetId="14" hidden="1">1</definedName>
    <definedName name="SAPBEXrevision" hidden="1">10</definedName>
    <definedName name="SAPBEXrevision1" hidden="1">33</definedName>
    <definedName name="SAPBEXsysID" localSheetId="14" hidden="1">"PW4"</definedName>
    <definedName name="SAPBEXsysID" hidden="1">"PBW"</definedName>
    <definedName name="SAPBEXwbID" localSheetId="14" hidden="1">"3W5WEHUZX21PYEA0PJIE6NZFH"</definedName>
    <definedName name="SAPBEXwbID" hidden="1">"6BEWVXF3D5Y9TFSYEMJ2Q9GBE"</definedName>
    <definedName name="SAPsysID" hidden="1">"708C5W7SBKP804JT78WJ0JNKI"</definedName>
    <definedName name="SAPwbID" hidden="1">"ARS"</definedName>
    <definedName name="sasd" localSheetId="14" hidden="1">{#N/A,#N/A,FALSE,"KMC최종회의(7월) 자료"}</definedName>
    <definedName name="sasd" hidden="1">{#N/A,#N/A,FALSE,"KMC최종회의(7월) 자료"}</definedName>
    <definedName name="sasdf" localSheetId="14" hidden="1">{#N/A,#N/A,FALSE,"KMC최종회의(7월) 자료"}</definedName>
    <definedName name="sasdf" hidden="1">{#N/A,#N/A,FALSE,"KMC최종회의(7월) 자료"}</definedName>
    <definedName name="sasf" localSheetId="14" hidden="1">{#N/A,#N/A,FALSE,"KMC최종회의(7월) 자료"}</definedName>
    <definedName name="sasf" hidden="1">{#N/A,#N/A,FALSE,"KMC최종회의(7월) 자료"}</definedName>
    <definedName name="sayang" localSheetId="14" hidden="1">{#N/A,#N/A,FALSE,"단축1";#N/A,#N/A,FALSE,"단축2";#N/A,#N/A,FALSE,"단축3";#N/A,#N/A,FALSE,"장축";#N/A,#N/A,FALSE,"4WD"}</definedName>
    <definedName name="sayang" hidden="1">{#N/A,#N/A,FALSE,"단축1";#N/A,#N/A,FALSE,"단축2";#N/A,#N/A,FALSE,"단축3";#N/A,#N/A,FALSE,"장축";#N/A,#N/A,FALSE,"4WD"}</definedName>
    <definedName name="sd" localSheetId="14" hidden="1">[3]D!#REF!</definedName>
    <definedName name="sd" localSheetId="13" hidden="1">[3]D!#REF!</definedName>
    <definedName name="sd" localSheetId="27" hidden="1">[3]D!#REF!</definedName>
    <definedName name="sd" localSheetId="20" hidden="1">[3]D!#REF!</definedName>
    <definedName name="sd" hidden="1">[3]D!#REF!</definedName>
    <definedName name="SDA" localSheetId="14" hidden="1">{#N/A,#N/A,FALSE,"KMC최종회의(7월) 자료"}</definedName>
    <definedName name="SDA" hidden="1">{#N/A,#N/A,FALSE,"KMC최종회의(7월) 자료"}</definedName>
    <definedName name="sdafa" hidden="1">[1]공문!#REF!</definedName>
    <definedName name="SDAFADF" localSheetId="14"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13" hidden="1">{#N/A,#N/A,FALSE,"손익표지";#N/A,#N/A,FALSE,"손익계산";#N/A,#N/A,FALSE,"일반관리비";#N/A,#N/A,FALSE,"영업외수익";#N/A,#N/A,FALSE,"영업외비용";#N/A,#N/A,FALSE,"매출액";#N/A,#N/A,FALSE,"요약손익";#N/A,#N/A,FALSE,"요약대차";#N/A,#N/A,FALSE,"매출채권현황";#N/A,#N/A,FALSE,"매출채권명세"}</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gasdg" localSheetId="14" hidden="1">{#N/A,#N/A,FALSE,"96 3월물량표";#N/A,#N/A,FALSE,"96 4월물량표";#N/A,#N/A,FALSE,"96 5월물량표"}</definedName>
    <definedName name="sdagasdg" hidden="1">{#N/A,#N/A,FALSE,"96 3월물량표";#N/A,#N/A,FALSE,"96 4월물량표";#N/A,#N/A,FALSE,"96 5월물량표"}</definedName>
    <definedName name="sdd" localSheetId="14" hidden="1">{"'5'!$A$1:$BB$147"}</definedName>
    <definedName name="sdd" hidden="1">{"'5'!$A$1:$BB$147"}</definedName>
    <definedName name="sddd">#REF!</definedName>
    <definedName name="sdf" localSheetId="14" hidden="1">{#N/A,#N/A,FALSE,"BS";#N/A,#N/A,FALSE,"PL";#N/A,#N/A,FALSE,"처분";#N/A,#N/A,FALSE,"현금";#N/A,#N/A,FALSE,"매출";#N/A,#N/A,FALSE,"원가";#N/A,#N/A,FALSE,"경영"}</definedName>
    <definedName name="sdf" localSheetId="13" hidden="1">{#N/A,#N/A,FALSE,"BS";#N/A,#N/A,FALSE,"PL";#N/A,#N/A,FALSE,"처분";#N/A,#N/A,FALSE,"현금";#N/A,#N/A,FALSE,"매출";#N/A,#N/A,FALSE,"원가";#N/A,#N/A,FALSE,"경영"}</definedName>
    <definedName name="sdf" hidden="1">{#N/A,#N/A,FALSE,"BS";#N/A,#N/A,FALSE,"PL";#N/A,#N/A,FALSE,"처분";#N/A,#N/A,FALSE,"현금";#N/A,#N/A,FALSE,"매출";#N/A,#N/A,FALSE,"원가";#N/A,#N/A,FALSE,"경영"}</definedName>
    <definedName name="sdfa"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sdfasd" hidden="1">{#N/A,#N/A,FALSE,"PART-1234-8-12-9(41)";#N/A,#N/A,FALSE,"PARTS-2(3)";#N/A,#N/A,FALSE,"VAN SYSTEM";#N/A,#N/A,FALSE,"PARTS-10(26)";#N/A,#N/A,FALSE,"PART-5-6-7-11(14)";#N/A,#N/A,FALSE,"PARTS-4(3)";#N/A,#N/A,FALSE,"PCLASS"}</definedName>
    <definedName name="sdfds" localSheetId="14" hidden="1">{#N/A,#N/A,FALSE,"KMC최종회의(7월) 자료"}</definedName>
    <definedName name="sdfds" hidden="1">{#N/A,#N/A,FALSE,"KMC최종회의(7월) 자료"}</definedName>
    <definedName name="SDFFFGGGHHHJJJJ" hidden="1">{#N/A,#N/A,FALSE,"PART-1234-8-12-9(41)";#N/A,#N/A,FALSE,"PARTS-2(3)";#N/A,#N/A,FALSE,"VAN SYSTEM";#N/A,#N/A,FALSE,"PARTS-10(26)";#N/A,#N/A,FALSE,"PART-5-6-7-11(14)";#N/A,#N/A,FALSE,"PARTS-4(3)";#N/A,#N/A,FALSE,"PCLASS"}</definedName>
    <definedName name="SDFFFGHJKL" hidden="1">{#N/A,#N/A,FALSE,"PART-1234-8-12-9(41)";#N/A,#N/A,FALSE,"PARTS-2(3)";#N/A,#N/A,FALSE,"VAN SYSTEM";#N/A,#N/A,FALSE,"PARTS-10(26)";#N/A,#N/A,FALSE,"PART-5-6-7-11(14)";#N/A,#N/A,FALSE,"PARTS-4(3)";#N/A,#N/A,FALSE,"PCLASS"}</definedName>
    <definedName name="SDFFGHJK" hidden="1">{#N/A,#N/A,FALSE,"PART-1234-8-12-9(41)";#N/A,#N/A,FALSE,"PARTS-2(3)";#N/A,#N/A,FALSE,"VAN SYSTEM";#N/A,#N/A,FALSE,"PARTS-10(26)";#N/A,#N/A,FALSE,"PART-5-6-7-11(14)";#N/A,#N/A,FALSE,"PARTS-4(3)";#N/A,#N/A,FALSE,"PCLASS"}</definedName>
    <definedName name="sdfgghjkl" hidden="1">{#N/A,#N/A,FALSE,"PART-1234-8-12-9(41)";#N/A,#N/A,FALSE,"PARTS-2(3)";#N/A,#N/A,FALSE,"VAN SYSTEM";#N/A,#N/A,FALSE,"PARTS-10(26)";#N/A,#N/A,FALSE,"PART-5-6-7-11(14)";#N/A,#N/A,FALSE,"PARTS-4(3)";#N/A,#N/A,FALSE,"PCLASS"}</definedName>
    <definedName name="SDFGH" localSheetId="14" hidden="1">{#N/A,#N/A,FALSE,"단축1";#N/A,#N/A,FALSE,"단축2";#N/A,#N/A,FALSE,"단축3";#N/A,#N/A,FALSE,"장축";#N/A,#N/A,FALSE,"4WD"}</definedName>
    <definedName name="SDFGH" hidden="1">{#N/A,#N/A,FALSE,"단축1";#N/A,#N/A,FALSE,"단축2";#N/A,#N/A,FALSE,"단축3";#N/A,#N/A,FALSE,"장축";#N/A,#N/A,FALSE,"4WD"}</definedName>
    <definedName name="SDFH" localSheetId="14" hidden="1">{#N/A,#N/A,FALSE,"단축1";#N/A,#N/A,FALSE,"단축2";#N/A,#N/A,FALSE,"단축3";#N/A,#N/A,FALSE,"장축";#N/A,#N/A,FALSE,"4WD"}</definedName>
    <definedName name="SDFH" hidden="1">{#N/A,#N/A,FALSE,"단축1";#N/A,#N/A,FALSE,"단축2";#N/A,#N/A,FALSE,"단축3";#N/A,#N/A,FALSE,"장축";#N/A,#N/A,FALSE,"4WD"}</definedName>
    <definedName name="sdfhwery" localSheetId="14" hidden="1">{#N/A,#N/A,TRUE,"Y생산";#N/A,#N/A,TRUE,"Y판매";#N/A,#N/A,TRUE,"Y총물량";#N/A,#N/A,TRUE,"Y능력";#N/A,#N/A,TRUE,"YKD"}</definedName>
    <definedName name="sdfhwery" hidden="1">{#N/A,#N/A,TRUE,"Y생산";#N/A,#N/A,TRUE,"Y판매";#N/A,#N/A,TRUE,"Y총물량";#N/A,#N/A,TRUE,"Y능력";#N/A,#N/A,TRUE,"YKD"}</definedName>
    <definedName name="SDFLKHJSDLFJSADLJF"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sdfs" localSheetId="14"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13" hidden="1">{#N/A,#N/A,FALSE,"손익표지";#N/A,#N/A,FALSE,"손익계산";#N/A,#N/A,FALSE,"일반관리비";#N/A,#N/A,FALSE,"영업외수익";#N/A,#N/A,FALSE,"영업외비용";#N/A,#N/A,FALSE,"매출액";#N/A,#N/A,FALSE,"요약손익";#N/A,#N/A,FALSE,"요약대차";#N/A,#N/A,FALSE,"매출채권현황";#N/A,#N/A,FALSE,"매출채권명세"}</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a" localSheetId="14" hidden="1">{#N/A,#N/A,FALSE,"KMC최종회의(7월) 자료"}</definedName>
    <definedName name="sdfsa" hidden="1">{#N/A,#N/A,FALSE,"KMC최종회의(7월) 자료"}</definedName>
    <definedName name="SDSD" localSheetId="14" hidden="1">{#N/A,#N/A,FALSE,"단축1";#N/A,#N/A,FALSE,"단축2";#N/A,#N/A,FALSE,"단축3";#N/A,#N/A,FALSE,"장축";#N/A,#N/A,FALSE,"4WD"}</definedName>
    <definedName name="SDSD" hidden="1">{#N/A,#N/A,FALSE,"단축1";#N/A,#N/A,FALSE,"단축2";#N/A,#N/A,FALSE,"단축3";#N/A,#N/A,FALSE,"장축";#N/A,#N/A,FALSE,"4WD"}</definedName>
    <definedName name="SDSS" localSheetId="14" hidden="1">{#N/A,#N/A,FALSE,"단축1";#N/A,#N/A,FALSE,"단축2";#N/A,#N/A,FALSE,"단축3";#N/A,#N/A,FALSE,"장축";#N/A,#N/A,FALSE,"4WD"}</definedName>
    <definedName name="SDSS" hidden="1">{#N/A,#N/A,FALSE,"단축1";#N/A,#N/A,FALSE,"단축2";#N/A,#N/A,FALSE,"단축3";#N/A,#N/A,FALSE,"장축";#N/A,#N/A,FALSE,"4WD"}</definedName>
    <definedName name="sdv" localSheetId="14" hidden="1">{#N/A,#N/A,FALSE,"손익표지";#N/A,#N/A,FALSE,"손익계산";#N/A,#N/A,FALSE,"일반관리비";#N/A,#N/A,FALSE,"영업외수익";#N/A,#N/A,FALSE,"영업외비용";#N/A,#N/A,FALSE,"매출액";#N/A,#N/A,FALSE,"요약손익";#N/A,#N/A,FALSE,"요약대차";#N/A,#N/A,FALSE,"매출채권현황";#N/A,#N/A,FALSE,"매출채권명세"}</definedName>
    <definedName name="sdv" hidden="1">{#N/A,#N/A,FALSE,"손익표지";#N/A,#N/A,FALSE,"손익계산";#N/A,#N/A,FALSE,"일반관리비";#N/A,#N/A,FALSE,"영업외수익";#N/A,#N/A,FALSE,"영업외비용";#N/A,#N/A,FALSE,"매출액";#N/A,#N/A,FALSE,"요약손익";#N/A,#N/A,FALSE,"요약대차";#N/A,#N/A,FALSE,"매출채권현황";#N/A,#N/A,FALSE,"매출채권명세"}</definedName>
    <definedName name="SEJINBS" localSheetId="14" hidden="1">{#N/A,#N/A,FALSE,"정공"}</definedName>
    <definedName name="SEJINBS" hidden="1">{#N/A,#N/A,FALSE,"정공"}</definedName>
    <definedName name="sencount" hidden="1">1</definedName>
    <definedName name="serh" localSheetId="14" hidden="1">{#N/A,#N/A,TRUE,"Y생산";#N/A,#N/A,TRUE,"Y판매";#N/A,#N/A,TRUE,"Y총물량";#N/A,#N/A,TRUE,"Y능력";#N/A,#N/A,TRUE,"YKD"}</definedName>
    <definedName name="serh" hidden="1">{#N/A,#N/A,TRUE,"Y생산";#N/A,#N/A,TRUE,"Y판매";#N/A,#N/A,TRUE,"Y총물량";#N/A,#N/A,TRUE,"Y능력";#N/A,#N/A,TRUE,"YKD"}</definedName>
    <definedName name="seryhj" localSheetId="14" hidden="1">{#N/A,#N/A,TRUE,"Y생산";#N/A,#N/A,TRUE,"Y판매";#N/A,#N/A,TRUE,"Y총물량";#N/A,#N/A,TRUE,"Y능력";#N/A,#N/A,TRUE,"YKD"}</definedName>
    <definedName name="seryhj" hidden="1">{#N/A,#N/A,TRUE,"Y생산";#N/A,#N/A,TRUE,"Y판매";#N/A,#N/A,TRUE,"Y총물량";#N/A,#N/A,TRUE,"Y능력";#N/A,#N/A,TRUE,"YKD"}</definedName>
    <definedName name="SES" localSheetId="14" hidden="1">#REF!</definedName>
    <definedName name="SES" hidden="1">#REF!</definedName>
    <definedName name="SFDGHG" localSheetId="14" hidden="1">{#N/A,#N/A,FALSE,"단축1";#N/A,#N/A,FALSE,"단축2";#N/A,#N/A,FALSE,"단축3";#N/A,#N/A,FALSE,"장축";#N/A,#N/A,FALSE,"4WD"}</definedName>
    <definedName name="SFDGHG" hidden="1">{#N/A,#N/A,FALSE,"단축1";#N/A,#N/A,FALSE,"단축2";#N/A,#N/A,FALSE,"단축3";#N/A,#N/A,FALSE,"장축";#N/A,#N/A,FALSE,"4WD"}</definedName>
    <definedName name="SFDJSFJK" hidden="1">{#N/A,#N/A,FALSE,"PART-1234-8-12-9(41)";#N/A,#N/A,FALSE,"PARTS-2(3)";#N/A,#N/A,FALSE,"VAN SYSTEM";#N/A,#N/A,FALSE,"PARTS-10(26)";#N/A,#N/A,FALSE,"PART-5-6-7-11(14)";#N/A,#N/A,FALSE,"PARTS-4(3)";#N/A,#N/A,FALSE,"PCLASS"}</definedName>
    <definedName name="SFGHJK" localSheetId="14" hidden="1">{#N/A,#N/A,FALSE,"단축1";#N/A,#N/A,FALSE,"단축2";#N/A,#N/A,FALSE,"단축3";#N/A,#N/A,FALSE,"장축";#N/A,#N/A,FALSE,"4WD"}</definedName>
    <definedName name="SFGHJK" hidden="1">{#N/A,#N/A,FALSE,"단축1";#N/A,#N/A,FALSE,"단축2";#N/A,#N/A,FALSE,"단축3";#N/A,#N/A,FALSE,"장축";#N/A,#N/A,FALSE,"4WD"}</definedName>
    <definedName name="sfhjgh"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SFJGH" localSheetId="14" hidden="1">{#N/A,#N/A,FALSE,"단축1";#N/A,#N/A,FALSE,"단축2";#N/A,#N/A,FALSE,"단축3";#N/A,#N/A,FALSE,"장축";#N/A,#N/A,FALSE,"4WD"}</definedName>
    <definedName name="SFJGH" hidden="1">{#N/A,#N/A,FALSE,"단축1";#N/A,#N/A,FALSE,"단축2";#N/A,#N/A,FALSE,"단축3";#N/A,#N/A,FALSE,"장축";#N/A,#N/A,FALSE,"4WD"}</definedName>
    <definedName name="sfsdfsdafa" localSheetId="14" hidden="1">{#N/A,#N/A,FALSE,"손익표지";#N/A,#N/A,FALSE,"손익계산";#N/A,#N/A,FALSE,"일반관리비";#N/A,#N/A,FALSE,"영업외수익";#N/A,#N/A,FALSE,"영업외비용";#N/A,#N/A,FALSE,"매출액";#N/A,#N/A,FALSE,"요약손익";#N/A,#N/A,FALSE,"요약대차";#N/A,#N/A,FALSE,"매출채권현황";#N/A,#N/A,FALSE,"매출채권명세"}</definedName>
    <definedName name="sfsdfsdafa" localSheetId="13" hidden="1">{#N/A,#N/A,FALSE,"손익표지";#N/A,#N/A,FALSE,"손익계산";#N/A,#N/A,FALSE,"일반관리비";#N/A,#N/A,FALSE,"영업외수익";#N/A,#N/A,FALSE,"영업외비용";#N/A,#N/A,FALSE,"매출액";#N/A,#N/A,FALSE,"요약손익";#N/A,#N/A,FALSE,"요약대차";#N/A,#N/A,FALSE,"매출채권현황";#N/A,#N/A,FALSE,"매출채권명세"}</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FSFS" localSheetId="14" hidden="1">{#N/A,#N/A,FALSE,"단축1";#N/A,#N/A,FALSE,"단축2";#N/A,#N/A,FALSE,"단축3";#N/A,#N/A,FALSE,"장축";#N/A,#N/A,FALSE,"4WD"}</definedName>
    <definedName name="SFSFSFS" hidden="1">{#N/A,#N/A,FALSE,"단축1";#N/A,#N/A,FALSE,"단축2";#N/A,#N/A,FALSE,"단축3";#N/A,#N/A,FALSE,"장축";#N/A,#N/A,FALSE,"4WD"}</definedName>
    <definedName name="sfss" localSheetId="14" hidden="1">{#N/A,#N/A,FALSE,"KMC최종회의(7월) 자료"}</definedName>
    <definedName name="sfss" hidden="1">{#N/A,#N/A,FALSE,"KMC최종회의(7월) 자료"}</definedName>
    <definedName name="SFTHSGFHFGGGGGGGGGGGGGGG" localSheetId="14" hidden="1">{#N/A,#N/A,FALSE,"단축1";#N/A,#N/A,FALSE,"단축2";#N/A,#N/A,FALSE,"단축3";#N/A,#N/A,FALSE,"장축";#N/A,#N/A,FALSE,"4WD"}</definedName>
    <definedName name="SFTHSGFHFGGGGGGGGGGGGGGG" hidden="1">{#N/A,#N/A,FALSE,"단축1";#N/A,#N/A,FALSE,"단축2";#N/A,#N/A,FALSE,"단축3";#N/A,#N/A,FALSE,"장축";#N/A,#N/A,FALSE,"4WD"}</definedName>
    <definedName name="sg" localSheetId="14" hidden="1">{#N/A,#N/A,FALSE,"KMC최종회의(7월) 자료"}</definedName>
    <definedName name="sg" hidden="1">{#N/A,#N/A,FALSE,"KMC최종회의(7월) 자료"}</definedName>
    <definedName name="shdms" localSheetId="14" hidden="1">{#N/A,#N/A,FALSE,"손익표지";#N/A,#N/A,FALSE,"손익계산";#N/A,#N/A,FALSE,"일반관리비";#N/A,#N/A,FALSE,"영업외수익";#N/A,#N/A,FALSE,"영업외비용";#N/A,#N/A,FALSE,"매출액";#N/A,#N/A,FALSE,"요약손익";#N/A,#N/A,FALSE,"요약대차";#N/A,#N/A,FALSE,"매출채권현황";#N/A,#N/A,FALSE,"매출채권명세"}</definedName>
    <definedName name="shdms" localSheetId="13" hidden="1">{#N/A,#N/A,FALSE,"손익표지";#N/A,#N/A,FALSE,"손익계산";#N/A,#N/A,FALSE,"일반관리비";#N/A,#N/A,FALSE,"영업외수익";#N/A,#N/A,FALSE,"영업외비용";#N/A,#N/A,FALSE,"매출액";#N/A,#N/A,FALSE,"요약손익";#N/A,#N/A,FALSE,"요약대차";#N/A,#N/A,FALSE,"매출채권현황";#N/A,#N/A,FALSE,"매출채권명세"}</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 hidden="1">{#N/A,#N/A,FALSE,"PART-1234-8-12-9(41)";#N/A,#N/A,FALSE,"PARTS-2(3)";#N/A,#N/A,FALSE,"VAN SYSTEM";#N/A,#N/A,FALSE,"PARTS-10(26)";#N/A,#N/A,FALSE,"PART-5-6-7-11(14)";#N/A,#N/A,FALSE,"PARTS-4(3)";#N/A,#N/A,FALSE,"PCLASS"}</definedName>
    <definedName name="shi" localSheetId="14" hidden="1">{#N/A,#N/A,FALSE,"단축1";#N/A,#N/A,FALSE,"단축2";#N/A,#N/A,FALSE,"단축3";#N/A,#N/A,FALSE,"장축";#N/A,#N/A,FALSE,"4WD"}</definedName>
    <definedName name="shi" hidden="1">{#N/A,#N/A,FALSE,"단축1";#N/A,#N/A,FALSE,"단축2";#N/A,#N/A,FALSE,"단축3";#N/A,#N/A,FALSE,"장축";#N/A,#N/A,FALSE,"4WD"}</definedName>
    <definedName name="shin" localSheetId="14" hidden="1">{#N/A,#N/A,FALSE,"단축1";#N/A,#N/A,FALSE,"단축2";#N/A,#N/A,FALSE,"단축3";#N/A,#N/A,FALSE,"장축";#N/A,#N/A,FALSE,"4WD"}</definedName>
    <definedName name="shin" hidden="1">{#N/A,#N/A,FALSE,"단축1";#N/A,#N/A,FALSE,"단축2";#N/A,#N/A,FALSE,"단축3";#N/A,#N/A,FALSE,"장축";#N/A,#N/A,FALSE,"4WD"}</definedName>
    <definedName name="shj" localSheetId="14" hidden="1">{#N/A,#N/A,TRUE,"Y생산";#N/A,#N/A,TRUE,"Y판매";#N/A,#N/A,TRUE,"Y총물량";#N/A,#N/A,TRUE,"Y능력";#N/A,#N/A,TRUE,"YKD"}</definedName>
    <definedName name="shj" hidden="1">{#N/A,#N/A,TRUE,"Y생산";#N/A,#N/A,TRUE,"Y판매";#N/A,#N/A,TRUE,"Y총물량";#N/A,#N/A,TRUE,"Y능력";#N/A,#N/A,TRUE,"YKD"}</definedName>
    <definedName name="sI" hidden="1">{#N/A,#N/A,FALSE,"ACQ_GRAPHS";#N/A,#N/A,FALSE,"T_1 GRAPHS";#N/A,#N/A,FALSE,"T_2 GRAPHS";#N/A,#N/A,FALSE,"COMB_GRAPHS"}</definedName>
    <definedName name="SIL">[29]일반관리비!#REF!</definedName>
    <definedName name="sJ" hidden="1">{#N/A,#N/A,FALSE,"INPUTS";#N/A,#N/A,FALSE,"PROFORMA BSHEET";#N/A,#N/A,FALSE,"COMBINED";#N/A,#N/A,FALSE,"ACQUIROR";#N/A,#N/A,FALSE,"TARGET 1";#N/A,#N/A,FALSE,"TARGET 2";#N/A,#N/A,FALSE,"HIGH YIELD";#N/A,#N/A,FALSE,"OVERFUND"}</definedName>
    <definedName name="sjjf" localSheetId="14" hidden="1">{#N/A,#N/A,FALSE,"단축1";#N/A,#N/A,FALSE,"단축2";#N/A,#N/A,FALSE,"단축3";#N/A,#N/A,FALSE,"장축";#N/A,#N/A,FALSE,"4WD"}</definedName>
    <definedName name="sjjf" hidden="1">{#N/A,#N/A,FALSE,"단축1";#N/A,#N/A,FALSE,"단축2";#N/A,#N/A,FALSE,"단축3";#N/A,#N/A,FALSE,"장축";#N/A,#N/A,FALSE,"4WD"}</definedName>
    <definedName name="sjk" localSheetId="14" hidden="1">{#N/A,#N/A,FALSE,"단축1";#N/A,#N/A,FALSE,"단축2";#N/A,#N/A,FALSE,"단축3";#N/A,#N/A,FALSE,"장축";#N/A,#N/A,FALSE,"4WD"}</definedName>
    <definedName name="sjk" hidden="1">{#N/A,#N/A,FALSE,"단축1";#N/A,#N/A,FALSE,"단축2";#N/A,#N/A,FALSE,"단축3";#N/A,#N/A,FALSE,"장축";#N/A,#N/A,FALSE,"4WD"}</definedName>
    <definedName name="s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KN" hidden="1">{#N/A,#N/A,FALSE,"Valuation Assumptions";#N/A,#N/A,FALSE,"Summary";#N/A,#N/A,FALSE,"DCF";#N/A,#N/A,FALSE,"Valuation";#N/A,#N/A,FALSE,"WACC";#N/A,#N/A,FALSE,"UBVH";#N/A,#N/A,FALSE,"Free Cash Flow"}</definedName>
    <definedName name="SKSK" localSheetId="14" hidden="1">{#N/A,#N/A,FALSE,"단축1";#N/A,#N/A,FALSE,"단축2";#N/A,#N/A,FALSE,"단축3";#N/A,#N/A,FALSE,"장축";#N/A,#N/A,FALSE,"4WD"}</definedName>
    <definedName name="SKSK" hidden="1">{#N/A,#N/A,FALSE,"단축1";#N/A,#N/A,FALSE,"단축2";#N/A,#N/A,FALSE,"단축3";#N/A,#N/A,FALSE,"장축";#N/A,#N/A,FALSE,"4WD"}</definedName>
    <definedName name="sL" hidden="1">{#N/A,#N/A,FALSE,"INPUTS";#N/A,#N/A,FALSE,"PROFORMA BSHEET";#N/A,#N/A,FALSE,"COMBINED";#N/A,#N/A,FALSE,"HIGH YIELD";#N/A,#N/A,FALSE,"COMB_GRAPHS"}</definedName>
    <definedName name="sldkfjlsjflsdjflkds" localSheetId="14" hidden="1">#REF!</definedName>
    <definedName name="sldkfjlsjflsdjflkds" hidden="1">#REF!</definedName>
    <definedName name="sM" hidden="1">{#N/A,#N/A,FALSE,"ACQ_GRAPHS";#N/A,#N/A,FALSE,"T_1 GRAPHS";#N/A,#N/A,FALSE,"T_2 GRAPHS";#N/A,#N/A,FALSE,"COMB_GRAPHS"}</definedName>
    <definedName name="sN" hidden="1">{"vi1",#N/A,FALSE,"Financial Statements";"vi2",#N/A,FALSE,"Financial Statements";#N/A,#N/A,FALSE,"DCF"}</definedName>
    <definedName name="solver_lin" hidden="1">0</definedName>
    <definedName name="solver_num" hidden="1">0</definedName>
    <definedName name="solver_typ" hidden="1">3</definedName>
    <definedName name="solver_val" hidden="1">0.6</definedName>
    <definedName name="SPEC2" localSheetId="14" hidden="1">{#N/A,#N/A,FALSE,"단축1";#N/A,#N/A,FALSE,"단축2";#N/A,#N/A,FALSE,"단축3";#N/A,#N/A,FALSE,"장축";#N/A,#N/A,FALSE,"4WD"}</definedName>
    <definedName name="SPEC2" hidden="1">{#N/A,#N/A,FALSE,"단축1";#N/A,#N/A,FALSE,"단축2";#N/A,#N/A,FALSE,"단축3";#N/A,#N/A,FALSE,"장축";#N/A,#N/A,FALSE,"4WD"}</definedName>
    <definedName name="SPEC22" localSheetId="14" hidden="1">{#N/A,#N/A,FALSE,"단축1";#N/A,#N/A,FALSE,"단축2";#N/A,#N/A,FALSE,"단축3";#N/A,#N/A,FALSE,"장축";#N/A,#N/A,FALSE,"4WD"}</definedName>
    <definedName name="SPEC22" hidden="1">{#N/A,#N/A,FALSE,"단축1";#N/A,#N/A,FALSE,"단축2";#N/A,#N/A,FALSE,"단축3";#N/A,#N/A,FALSE,"장축";#N/A,#N/A,FALSE,"4WD"}</definedName>
    <definedName name="sredo" hidden="1">{#N/A,#N/A,FALSE,"ACQ_GRAPHS";#N/A,#N/A,FALSE,"T_1 GRAPHS";#N/A,#N/A,FALSE,"T_2 GRAPHS";#N/A,#N/A,FALSE,"COMB_GRAPHS"}</definedName>
    <definedName name="srf" localSheetId="14" hidden="1">{#N/A,#N/A,FALSE,"BS";#N/A,#N/A,FALSE,"PL";#N/A,#N/A,FALSE,"처분";#N/A,#N/A,FALSE,"현금";#N/A,#N/A,FALSE,"매출";#N/A,#N/A,FALSE,"원가";#N/A,#N/A,FALSE,"경영"}</definedName>
    <definedName name="srf" localSheetId="13" hidden="1">{#N/A,#N/A,FALSE,"BS";#N/A,#N/A,FALSE,"PL";#N/A,#N/A,FALSE,"처분";#N/A,#N/A,FALSE,"현금";#N/A,#N/A,FALSE,"매출";#N/A,#N/A,FALSE,"원가";#N/A,#N/A,FALSE,"경영"}</definedName>
    <definedName name="srf" hidden="1">{#N/A,#N/A,FALSE,"BS";#N/A,#N/A,FALSE,"PL";#N/A,#N/A,FALSE,"처분";#N/A,#N/A,FALSE,"현금";#N/A,#N/A,FALSE,"매출";#N/A,#N/A,FALSE,"원가";#N/A,#N/A,FALSE,"경영"}</definedName>
    <definedName name="srhga" localSheetId="14" hidden="1">{#N/A,#N/A,FALSE,"96 3월물량표";#N/A,#N/A,FALSE,"96 4월물량표";#N/A,#N/A,FALSE,"96 5월물량표"}</definedName>
    <definedName name="srhga" hidden="1">{#N/A,#N/A,FALSE,"96 3월물량표";#N/A,#N/A,FALSE,"96 4월물량표";#N/A,#N/A,FALSE,"96 5월물량표"}</definedName>
    <definedName name="ss" localSheetId="14" hidden="1">{#N/A,#N/A,FALSE,"손익표지";#N/A,#N/A,FALSE,"손익계산";#N/A,#N/A,FALSE,"일반관리비";#N/A,#N/A,FALSE,"영업외수익";#N/A,#N/A,FALSE,"영업외비용";#N/A,#N/A,FALSE,"매출액";#N/A,#N/A,FALSE,"요약손익";#N/A,#N/A,FALSE,"요약대차";#N/A,#N/A,FALSE,"매출채권현황";#N/A,#N/A,FALSE,"매출채권명세"}</definedName>
    <definedName name="ss" hidden="1">{#N/A,#N/A,FALSE,"손익표지";#N/A,#N/A,FALSE,"손익계산";#N/A,#N/A,FALSE,"일반관리비";#N/A,#N/A,FALSE,"영업외수익";#N/A,#N/A,FALSE,"영업외비용";#N/A,#N/A,FALSE,"매출액";#N/A,#N/A,FALSE,"요약손익";#N/A,#N/A,FALSE,"요약대차";#N/A,#N/A,FALSE,"매출채권현황";#N/A,#N/A,FALSE,"매출채권명세"}</definedName>
    <definedName name="SSS" localSheetId="14" hidden="1">#REF!</definedName>
    <definedName name="SSS"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#REF!</definedName>
    <definedName name="SSSEE"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s" hidden="1">{#N/A,#N/A,FALSE,"PART-1234-8-12-9(41)";#N/A,#N/A,FALSE,"PARTS-2(3)";#N/A,#N/A,FALSE,"VAN SYSTEM";#N/A,#N/A,FALSE,"PARTS-10(26)";#N/A,#N/A,FALSE,"PART-5-6-7-11(14)";#N/A,#N/A,FALSE,"PARTS-4(3)";#N/A,#N/A,FALSE,"PCLASS"}</definedName>
    <definedName name="strh" localSheetId="14" hidden="1">{#N/A,#N/A,TRUE,"Y생산";#N/A,#N/A,TRUE,"Y판매";#N/A,#N/A,TRUE,"Y총물량";#N/A,#N/A,TRUE,"Y능력";#N/A,#N/A,TRUE,"YKD"}</definedName>
    <definedName name="strh" hidden="1">{#N/A,#N/A,TRUE,"Y생산";#N/A,#N/A,TRUE,"Y판매";#N/A,#N/A,TRUE,"Y총물량";#N/A,#N/A,TRUE,"Y능력";#N/A,#N/A,TRUE,"YKD"}</definedName>
    <definedName name="sung" localSheetId="14" hidden="1">{#N/A,#N/A,FALSE,"정공"}</definedName>
    <definedName name="sung" hidden="1">{#N/A,#N/A,FALSE,"정공"}</definedName>
    <definedName name="svc" hidden="1">{#N/A,#N/A,FALSE,"PART-1234-8-12-9(41)";#N/A,#N/A,FALSE,"PARTS-2(3)";#N/A,#N/A,FALSE,"VAN SYSTEM";#N/A,#N/A,FALSE,"PARTS-10(26)";#N/A,#N/A,FALSE,"PART-5-6-7-11(14)";#N/A,#N/A,FALSE,"PARTS-4(3)";#N/A,#N/A,FALSE,"PCLASS"}</definedName>
    <definedName name="swfwef" localSheetId="14" hidden="1">{#N/A,#N/A,TRUE,"Y생산";#N/A,#N/A,TRUE,"Y판매";#N/A,#N/A,TRUE,"Y총물량";#N/A,#N/A,TRUE,"Y능력";#N/A,#N/A,TRUE,"YKD"}</definedName>
    <definedName name="swfwef" hidden="1">{#N/A,#N/A,TRUE,"Y생산";#N/A,#N/A,TRUE,"Y판매";#N/A,#N/A,TRUE,"Y총물량";#N/A,#N/A,TRUE,"Y능력";#N/A,#N/A,TRUE,"YKD"}</definedName>
    <definedName name="t" hidden="1">{#N/A,#N/A,FALSE,"손익표지";#N/A,#N/A,FALSE,"손익계산";#N/A,#N/A,FALSE,"일반관리비";#N/A,#N/A,FALSE,"영업외수익";#N/A,#N/A,FALSE,"영업외비용";#N/A,#N/A,FALSE,"매출액";#N/A,#N/A,FALSE,"요약손익";#N/A,#N/A,FALSE,"요약대차";#N/A,#N/A,FALSE,"매출채권현황";#N/A,#N/A,FALSE,"매출채권명세"}</definedName>
    <definedName name="tank"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Tax_">[44]Tax!$C$4:$D$113</definedName>
    <definedName name="TB" localSheetId="14" hidden="1">{#N/A,#N/A,FALSE,"단축1";#N/A,#N/A,FALSE,"단축2";#N/A,#N/A,FALSE,"단축3";#N/A,#N/A,FALSE,"장축";#N/A,#N/A,FALSE,"4WD"}</definedName>
    <definedName name="TB" hidden="1">{#N/A,#N/A,FALSE,"단축1";#N/A,#N/A,FALSE,"단축2";#N/A,#N/A,FALSE,"단축3";#N/A,#N/A,FALSE,"장축";#N/A,#N/A,FALSE,"4WD"}</definedName>
    <definedName name="tc" localSheetId="14" hidden="1">{#N/A,#N/A,FALSE,"단축1";#N/A,#N/A,FALSE,"단축2";#N/A,#N/A,FALSE,"단축3";#N/A,#N/A,FALSE,"장축";#N/A,#N/A,FALSE,"4WD"}</definedName>
    <definedName name="tc" hidden="1">{#N/A,#N/A,FALSE,"단축1";#N/A,#N/A,FALSE,"단축2";#N/A,#N/A,FALSE,"단축3";#N/A,#N/A,FALSE,"장축";#N/A,#N/A,FALSE,"4WD"}</definedName>
    <definedName name="tci" localSheetId="14" hidden="1">{#N/A,#N/A,FALSE,"단축1";#N/A,#N/A,FALSE,"단축2";#N/A,#N/A,FALSE,"단축3";#N/A,#N/A,FALSE,"장축";#N/A,#N/A,FALSE,"4WD"}</definedName>
    <definedName name="tci" hidden="1">{#N/A,#N/A,FALSE,"단축1";#N/A,#N/A,FALSE,"단축2";#N/A,#N/A,FALSE,"단축3";#N/A,#N/A,FALSE,"장축";#N/A,#N/A,FALSE,"4WD"}</definedName>
    <definedName name="tech" hidden="1">{#N/A,#N/A,FALSE,"Hip.Bas";#N/A,#N/A,FALSE,"ventas";#N/A,#N/A,FALSE,"ingre-Año";#N/A,#N/A,FALSE,"ventas-Año";#N/A,#N/A,FALSE,"Costepro";#N/A,#N/A,FALSE,"inversion";#N/A,#N/A,FALSE,"personal";#N/A,#N/A,FALSE,"Gastos-V";#N/A,#N/A,FALSE,"Circulante";#N/A,#N/A,FALSE,"CONSOLI";#N/A,#N/A,FALSE,"Es-Fin";#N/A,#N/A,FALSE,"Margen-P"}</definedName>
    <definedName name="TemplateVersion" hidden="1">[33]Reference!$C$4</definedName>
    <definedName name="ter" localSheetId="14" hidden="1">{#N/A,#N/A,FALSE,"손익표지";#N/A,#N/A,FALSE,"손익계산";#N/A,#N/A,FALSE,"일반관리비";#N/A,#N/A,FALSE,"영업외수익";#N/A,#N/A,FALSE,"영업외비용";#N/A,#N/A,FALSE,"매출액";#N/A,#N/A,FALSE,"요약손익";#N/A,#N/A,FALSE,"요약대차";#N/A,#N/A,FALSE,"매출채권현황";#N/A,#N/A,FALSE,"매출채권명세"}</definedName>
    <definedName name="ter" localSheetId="13" hidden="1">{#N/A,#N/A,FALSE,"손익표지";#N/A,#N/A,FALSE,"손익계산";#N/A,#N/A,FALSE,"일반관리비";#N/A,#N/A,FALSE,"영업외수익";#N/A,#N/A,FALSE,"영업외비용";#N/A,#N/A,FALSE,"매출액";#N/A,#N/A,FALSE,"요약손익";#N/A,#N/A,FALSE,"요약대차";#N/A,#N/A,FALSE,"매출채권현황";#N/A,#N/A,FALSE,"매출채권명세"}</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rminal_Growth_Rate" localSheetId="13">[39]DCF!$C$24</definedName>
    <definedName name="Terminal_Growth_Rate">[38]DCF!$C$24</definedName>
    <definedName name="TEST0">#REF!</definedName>
    <definedName name="TEST1">#REF!</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HKEY">#REF!</definedName>
    <definedName name="TESTKEYS">#REF!</definedName>
    <definedName name="TESTVKEY">#REF!</definedName>
    <definedName name="TEWR" localSheetId="14" hidden="1">{#N/A,#N/A,TRUE,"Y생산";#N/A,#N/A,TRUE,"Y판매";#N/A,#N/A,TRUE,"Y총물량";#N/A,#N/A,TRUE,"Y능력";#N/A,#N/A,TRUE,"YKD"}</definedName>
    <definedName name="TEWR" hidden="1">{#N/A,#N/A,TRUE,"Y생산";#N/A,#N/A,TRUE,"Y판매";#N/A,#N/A,TRUE,"Y총물량";#N/A,#N/A,TRUE,"Y능력";#N/A,#N/A,TRUE,"YKD"}</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2">#REF!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localSheetId="31" hidden="1">17</definedName>
    <definedName name="TextRefCopyRangeCount" hidden="1">6</definedName>
    <definedName name="TFJM" localSheetId="14" hidden="1">{#N/A,#N/A,FALSE,"단축1";#N/A,#N/A,FALSE,"단축2";#N/A,#N/A,FALSE,"단축3";#N/A,#N/A,FALSE,"장축";#N/A,#N/A,FALSE,"4WD"}</definedName>
    <definedName name="TFJM" hidden="1">{#N/A,#N/A,FALSE,"단축1";#N/A,#N/A,FALSE,"단축2";#N/A,#N/A,FALSE,"단축3";#N/A,#N/A,FALSE,"장축";#N/A,#N/A,FALSE,"4WD"}</definedName>
    <definedName name="TFK" localSheetId="14" hidden="1">{#N/A,#N/A,FALSE,"단축1";#N/A,#N/A,FALSE,"단축2";#N/A,#N/A,FALSE,"단축3";#N/A,#N/A,FALSE,"장축";#N/A,#N/A,FALSE,"4WD"}</definedName>
    <definedName name="TFK" hidden="1">{#N/A,#N/A,FALSE,"단축1";#N/A,#N/A,FALSE,"단축2";#N/A,#N/A,FALSE,"단축3";#N/A,#N/A,FALSE,"장축";#N/A,#N/A,FALSE,"4WD"}</definedName>
    <definedName name="TG" localSheetId="14"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tg" hidden="1">{#N/A,#N/A,FALSE,"KMC최종회의(7월) 자료"}</definedName>
    <definedName name="TGO" localSheetId="14" hidden="1">{#N/A,#N/A,FALSE,"단축1";#N/A,#N/A,FALSE,"단축2";#N/A,#N/A,FALSE,"단축3";#N/A,#N/A,FALSE,"장축";#N/A,#N/A,FALSE,"4WD"}</definedName>
    <definedName name="TGO" hidden="1">{#N/A,#N/A,FALSE,"단축1";#N/A,#N/A,FALSE,"단축2";#N/A,#N/A,FALSE,"단축3";#N/A,#N/A,FALSE,"장축";#N/A,#N/A,FALSE,"4WD"}</definedName>
    <definedName name="TGVHJ" localSheetId="14" hidden="1">{#N/A,#N/A,FALSE,"KMC최종회의(7월) 자료"}</definedName>
    <definedName name="TGVHJ" hidden="1">{#N/A,#N/A,FALSE,"KMC최종회의(7월) 자료"}</definedName>
    <definedName name="THEME2" localSheetId="14" hidden="1">{#N/A,#N/A,FALSE,"96 3월물량표";#N/A,#N/A,FALSE,"96 4월물량표";#N/A,#N/A,FALSE,"96 5월물량표"}</definedName>
    <definedName name="THEME2" hidden="1">{#N/A,#N/A,FALSE,"96 3월물량표";#N/A,#N/A,FALSE,"96 4월물량표";#N/A,#N/A,FALSE,"96 5월물량표"}</definedName>
    <definedName name="THS" localSheetId="14" hidden="1">{#N/A,#N/A,FALSE,"손익표지";#N/A,#N/A,FALSE,"손익계산";#N/A,#N/A,FALSE,"일반관리비";#N/A,#N/A,FALSE,"영업외수익";#N/A,#N/A,FALSE,"영업외비용";#N/A,#N/A,FALSE,"매출액";#N/A,#N/A,FALSE,"요약손익";#N/A,#N/A,FALSE,"요약대차";#N/A,#N/A,FALSE,"매출채권현황";#N/A,#N/A,FALSE,"매출채권명세"}</definedName>
    <definedName name="THS" localSheetId="13" hidden="1">{#N/A,#N/A,FALSE,"손익표지";#N/A,#N/A,FALSE,"손익계산";#N/A,#N/A,FALSE,"일반관리비";#N/A,#N/A,FALSE,"영업외수익";#N/A,#N/A,FALSE,"영업외비용";#N/A,#N/A,FALSE,"매출액";#N/A,#N/A,FALSE,"요약손익";#N/A,#N/A,FALSE,"요약대차";#N/A,#N/A,FALSE,"매출채권현황";#N/A,#N/A,FALSE,"매출채권명세"}</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14"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13"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sdorlsf" localSheetId="14" hidden="1">{"'분양원가'!$B$1:$F$113"}</definedName>
    <definedName name="thsdorlsf" localSheetId="13" hidden="1">{"'분양원가'!$B$1:$F$113"}</definedName>
    <definedName name="thsdorlsf" hidden="1">{"'분양원가'!$B$1:$F$113"}</definedName>
    <definedName name="tier2" hidden="1">{#N/A,#N/A,FALSE,"-ST.PER1";#N/A,#N/A,FALSE,"-ST.PER2";#N/A,#N/A,FALSE,"+ST.HIS.PER1";#N/A,#N/A,FALSE,"+ST.HIS.PER2";#N/A,#N/A,FALSE,"+ST.STD.PER1";#N/A,#N/A,FALSE,"+ST.STD.PER2"}</definedName>
    <definedName name="Tiertwo" hidden="1">{#N/A,#N/A,TRUE,"DIVISION-MTH";"MANUFACTURING",#N/A,TRUE,"MANUF-MTH";#N/A,#N/A,TRUE,"TRADING-MTH";#N/A,#N/A,TRUE,"DIV-COSTS-MTH"}</definedName>
    <definedName name="title" localSheetId="14" hidden="1">{#N/A,#N/A,FALSE,"Sheet5"}</definedName>
    <definedName name="title" localSheetId="13" hidden="1">{#N/A,#N/A,FALSE,"Sheet5"}</definedName>
    <definedName name="title" hidden="1">{#N/A,#N/A,FALSE,"Sheet5"}</definedName>
    <definedName name="TJAUDLWS" localSheetId="14" hidden="1">{#N/A,#N/A,TRUE,"Y생산";#N/A,#N/A,TRUE,"Y판매";#N/A,#N/A,TRUE,"Y총물량";#N/A,#N/A,TRUE,"Y능력";#N/A,#N/A,TRUE,"YKD"}</definedName>
    <definedName name="TJAUDLWS" hidden="1">{#N/A,#N/A,TRUE,"Y생산";#N/A,#N/A,TRUE,"Y판매";#N/A,#N/A,TRUE,"Y총물량";#N/A,#N/A,TRUE,"Y능력";#N/A,#N/A,TRUE,"YKD"}</definedName>
    <definedName name="TKTKTK" localSheetId="14" hidden="1">{"'미착금액'!$A$4:$G$14"}</definedName>
    <definedName name="TKTKTK" localSheetId="13" hidden="1">{"'미착금액'!$A$4:$G$14"}</definedName>
    <definedName name="TKTKTK" hidden="1">{"'미착금액'!$A$4:$G$14"}</definedName>
    <definedName name="TLF" localSheetId="14" hidden="1">{"'10_03일자별'!$A$2:$H$31"}</definedName>
    <definedName name="TLF" localSheetId="13" hidden="1">{"'10_03일자별'!$A$2:$H$31"}</definedName>
    <definedName name="TLF" hidden="1">{"'10_03일자별'!$A$2:$H$31"}</definedName>
    <definedName name="tlx" localSheetId="14" hidden="1">{#N/A,#N/A,FALSE,"손익표지";#N/A,#N/A,FALSE,"손익계산";#N/A,#N/A,FALSE,"일반관리비";#N/A,#N/A,FALSE,"영업외수익";#N/A,#N/A,FALSE,"영업외비용";#N/A,#N/A,FALSE,"매출액";#N/A,#N/A,FALSE,"요약손익";#N/A,#N/A,FALSE,"요약대차";#N/A,#N/A,FALSE,"매출채권현황";#N/A,#N/A,FALSE,"매출채권명세"}</definedName>
    <definedName name="tlx" hidden="1">{#N/A,#N/A,FALSE,"손익표지";#N/A,#N/A,FALSE,"손익계산";#N/A,#N/A,FALSE,"일반관리비";#N/A,#N/A,FALSE,"영업외수익";#N/A,#N/A,FALSE,"영업외비용";#N/A,#N/A,FALSE,"매출액";#N/A,#N/A,FALSE,"요약손익";#N/A,#N/A,FALSE,"요약대차";#N/A,#N/A,FALSE,"매출채권현황";#N/A,#N/A,FALSE,"매출채권명세"}</definedName>
    <definedName name="TOPO" localSheetId="14" hidden="1">#REF!</definedName>
    <definedName name="TOPO" localSheetId="13" hidden="1">#REF!</definedName>
    <definedName name="TOPO" hidden="1">#REF!</definedName>
    <definedName name="TORSION" localSheetId="14" hidden="1">{#N/A,#N/A,FALSE,"단축1";#N/A,#N/A,FALSE,"단축2";#N/A,#N/A,FALSE,"단축3";#N/A,#N/A,FALSE,"장축";#N/A,#N/A,FALSE,"4WD"}</definedName>
    <definedName name="TORSION" hidden="1">{#N/A,#N/A,FALSE,"단축1";#N/A,#N/A,FALSE,"단축2";#N/A,#N/A,FALSE,"단축3";#N/A,#N/A,FALSE,"장축";#N/A,#N/A,FALSE,"4WD"}</definedName>
    <definedName name="tr" localSheetId="14" hidden="1">{#N/A,#N/A,FALSE,"손익표지";#N/A,#N/A,FALSE,"손익계산";#N/A,#N/A,FALSE,"일반관리비";#N/A,#N/A,FALSE,"영업외수익";#N/A,#N/A,FALSE,"영업외비용";#N/A,#N/A,FALSE,"매출액";#N/A,#N/A,FALSE,"요약손익";#N/A,#N/A,FALSE,"요약대차";#N/A,#N/A,FALSE,"매출채권현황";#N/A,#N/A,FALSE,"매출채권명세"}</definedName>
    <definedName name="tr" localSheetId="13" hidden="1">{#N/A,#N/A,FALSE,"손익표지";#N/A,#N/A,FALSE,"손익계산";#N/A,#N/A,FALSE,"일반관리비";#N/A,#N/A,FALSE,"영업외수익";#N/A,#N/A,FALSE,"영업외비용";#N/A,#N/A,FALSE,"매출액";#N/A,#N/A,FALSE,"요약손익";#N/A,#N/A,FALSE,"요약대차";#N/A,#N/A,FALSE,"매출채권현황";#N/A,#N/A,FALSE,"매출채권명세"}</definedName>
    <definedName name="tr" hidden="1">{#N/A,#N/A,FALSE,"손익표지";#N/A,#N/A,FALSE,"손익계산";#N/A,#N/A,FALSE,"일반관리비";#N/A,#N/A,FALSE,"영업외수익";#N/A,#N/A,FALSE,"영업외비용";#N/A,#N/A,FALSE,"매출액";#N/A,#N/A,FALSE,"요약손익";#N/A,#N/A,FALSE,"요약대차";#N/A,#N/A,FALSE,"매출채권현황";#N/A,#N/A,FALSE,"매출채권명세"}</definedName>
    <definedName name="tre" localSheetId="14" hidden="1">{#N/A,#N/A,FALSE,"손익표지";#N/A,#N/A,FALSE,"손익계산";#N/A,#N/A,FALSE,"일반관리비";#N/A,#N/A,FALSE,"영업외수익";#N/A,#N/A,FALSE,"영업외비용";#N/A,#N/A,FALSE,"매출액";#N/A,#N/A,FALSE,"요약손익";#N/A,#N/A,FALSE,"요약대차";#N/A,#N/A,FALSE,"매출채권현황";#N/A,#N/A,FALSE,"매출채권명세"}</definedName>
    <definedName name="tre" localSheetId="13" hidden="1">{#N/A,#N/A,FALSE,"손익표지";#N/A,#N/A,FALSE,"손익계산";#N/A,#N/A,FALSE,"일반관리비";#N/A,#N/A,FALSE,"영업외수익";#N/A,#N/A,FALSE,"영업외비용";#N/A,#N/A,FALSE,"매출액";#N/A,#N/A,FALSE,"요약손익";#N/A,#N/A,FALSE,"요약대차";#N/A,#N/A,FALSE,"매출채권현황";#N/A,#N/A,FALSE,"매출채권명세"}</definedName>
    <definedName name="tre" hidden="1">{#N/A,#N/A,FALSE,"손익표지";#N/A,#N/A,FALSE,"손익계산";#N/A,#N/A,FALSE,"일반관리비";#N/A,#N/A,FALSE,"영업외수익";#N/A,#N/A,FALSE,"영업외비용";#N/A,#N/A,FALSE,"매출액";#N/A,#N/A,FALSE,"요약손익";#N/A,#N/A,FALSE,"요약대차";#N/A,#N/A,FALSE,"매출채권현황";#N/A,#N/A,FALSE,"매출채권명세"}</definedName>
    <definedName name="tree수정" hidden="1">{#N/A,#N/A,FALSE,"지침";#N/A,#N/A,FALSE,"환경분석";#N/A,#N/A,FALSE,"Sheet16"}</definedName>
    <definedName name="TRFK" localSheetId="14" hidden="1">{#N/A,#N/A,FALSE,"단축1";#N/A,#N/A,FALSE,"단축2";#N/A,#N/A,FALSE,"단축3";#N/A,#N/A,FALSE,"장축";#N/A,#N/A,FALSE,"4WD"}</definedName>
    <definedName name="TRFK" hidden="1">{#N/A,#N/A,FALSE,"단축1";#N/A,#N/A,FALSE,"단축2";#N/A,#N/A,FALSE,"단축3";#N/A,#N/A,FALSE,"장축";#N/A,#N/A,FALSE,"4WD"}</definedName>
    <definedName name="TRFKL" localSheetId="14" hidden="1">{#N/A,#N/A,FALSE,"단축1";#N/A,#N/A,FALSE,"단축2";#N/A,#N/A,FALSE,"단축3";#N/A,#N/A,FALSE,"장축";#N/A,#N/A,FALSE,"4WD"}</definedName>
    <definedName name="TRFKL" hidden="1">{#N/A,#N/A,FALSE,"단축1";#N/A,#N/A,FALSE,"단축2";#N/A,#N/A,FALSE,"단축3";#N/A,#N/A,FALSE,"장축";#N/A,#N/A,FALSE,"4WD"}</definedName>
    <definedName name="trgb" hidden="1">{#N/A,#N/A,FALSE,"A1-NDC-CDC-SPLX";#N/A,#N/A,FALSE,"A2-NDC-CDC-AST";#N/A,#N/A,FALSE,"A3-CS-PCS-SPLX";#N/A,#N/A,FALSE,"A4-ANAVAR";#N/A,#N/A,FALSE,"A5-CS-PCS-SPLX"}</definedName>
    <definedName name="TRHTRNGNMHNM" localSheetId="14" hidden="1">{#N/A,#N/A,FALSE,"96 3월물량표";#N/A,#N/A,FALSE,"96 4월물량표";#N/A,#N/A,FALSE,"96 5월물량표"}</definedName>
    <definedName name="TRHTRNGNMHNM" hidden="1">{#N/A,#N/A,FALSE,"96 3월물량표";#N/A,#N/A,FALSE,"96 4월물량표";#N/A,#N/A,FALSE,"96 5월물량표"}</definedName>
    <definedName name="trhy" localSheetId="14" hidden="1">{#N/A,#N/A,TRUE,"Y생산";#N/A,#N/A,TRUE,"Y판매";#N/A,#N/A,TRUE,"Y총물량";#N/A,#N/A,TRUE,"Y능력";#N/A,#N/A,TRUE,"YKD"}</definedName>
    <definedName name="trhy" hidden="1">{#N/A,#N/A,TRUE,"Y생산";#N/A,#N/A,TRUE,"Y판매";#N/A,#N/A,TRUE,"Y총물량";#N/A,#N/A,TRUE,"Y능력";#N/A,#N/A,TRUE,"YKD"}</definedName>
    <definedName name="tryrye" localSheetId="14"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13" hidden="1">{#N/A,#N/A,FALSE,"손익표지";#N/A,#N/A,FALSE,"손익계산";#N/A,#N/A,FALSE,"일반관리비";#N/A,#N/A,FALSE,"영업외수익";#N/A,#N/A,FALSE,"영업외비용";#N/A,#N/A,FALSE,"매출액";#N/A,#N/A,FALSE,"요약손익";#N/A,#N/A,FALSE,"요약대차";#N/A,#N/A,FALSE,"매출채권현황";#N/A,#N/A,FALSE,"매출채권명세"}</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T" localSheetId="14" hidden="1">{#N/A,#N/A,FALSE,"단축1";#N/A,#N/A,FALSE,"단축2";#N/A,#N/A,FALSE,"단축3";#N/A,#N/A,FALSE,"장축";#N/A,#N/A,FALSE,"4WD"}</definedName>
    <definedName name="TT" hidden="1">{#N/A,#N/A,FALSE,"단축1";#N/A,#N/A,FALSE,"단축2";#N/A,#N/A,FALSE,"단축3";#N/A,#N/A,FALSE,"장축";#N/A,#N/A,FALSE,"4WD"}</definedName>
    <definedName name="ttt" localSheetId="1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 localSheetId="13" hidden="1">{#N/A,#N/A,FALSE,"손익표지";#N/A,#N/A,FALSE,"손익계산";#N/A,#N/A,FALSE,"일반관리비";#N/A,#N/A,FALSE,"영업외수익";#N/A,#N/A,FALSE,"영업외비용";#N/A,#N/A,FALSE,"매출액";#N/A,#N/A,FALSE,"요약손익";#N/A,#N/A,FALSE,"요약대차";#N/A,#N/A,FALSE,"매출채권현황";#N/A,#N/A,FALSE,"매출채권명세"}</definedName>
    <definedName name="ttt" hidden="1">{#N/A,#N/A,FALSE,"손익표지";#N/A,#N/A,FALSE,"손익계산";#N/A,#N/A,FALSE,"일반관리비";#N/A,#N/A,FALSE,"영업외수익";#N/A,#N/A,FALSE,"영업외비용";#N/A,#N/A,FALSE,"매출액";#N/A,#N/A,FALSE,"요약손익";#N/A,#N/A,FALSE,"요약대차";#N/A,#N/A,FALSE,"매출채권현황";#N/A,#N/A,FALSE,"매출채권명세"}</definedName>
    <definedName name="ttttt" hidden="1">{#N/A,#N/A,FALSE,"지침";#N/A,#N/A,FALSE,"환경분석";#N/A,#N/A,FALSE,"Sheet16"}</definedName>
    <definedName name="ty" localSheetId="14" hidden="1">{#N/A,#N/A,FALSE,"단축1";#N/A,#N/A,FALSE,"단축2";#N/A,#N/A,FALSE,"단축3";#N/A,#N/A,FALSE,"장축";#N/A,#N/A,FALSE,"4WD"}</definedName>
    <definedName name="ty" hidden="1">{#N/A,#N/A,FALSE,"단축1";#N/A,#N/A,FALSE,"단축2";#N/A,#N/A,FALSE,"단축3";#N/A,#N/A,FALSE,"장축";#N/A,#N/A,FALSE,"4WD"}</definedName>
    <definedName name="tyer" localSheetId="14" hidden="1">{#N/A,#N/A,FALSE,"손익표지";#N/A,#N/A,FALSE,"손익계산";#N/A,#N/A,FALSE,"일반관리비";#N/A,#N/A,FALSE,"영업외수익";#N/A,#N/A,FALSE,"영업외비용";#N/A,#N/A,FALSE,"매출액";#N/A,#N/A,FALSE,"요약손익";#N/A,#N/A,FALSE,"요약대차";#N/A,#N/A,FALSE,"매출채권현황";#N/A,#N/A,FALSE,"매출채권명세"}</definedName>
    <definedName name="tyer" localSheetId="13" hidden="1">{#N/A,#N/A,FALSE,"손익표지";#N/A,#N/A,FALSE,"손익계산";#N/A,#N/A,FALSE,"일반관리비";#N/A,#N/A,FALSE,"영업외수익";#N/A,#N/A,FALSE,"영업외비용";#N/A,#N/A,FALSE,"매출액";#N/A,#N/A,FALSE,"요약손익";#N/A,#N/A,FALSE,"요약대차";#N/A,#N/A,FALSE,"매출채권현황";#N/A,#N/A,FALSE,"매출채권명세"}</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ht" hidden="1">{#N/A,#N/A,FALSE,"지침";#N/A,#N/A,FALSE,"환경분석";#N/A,#N/A,FALSE,"Sheet16"}</definedName>
    <definedName name="tyjk" localSheetId="14" hidden="1">{#N/A,#N/A,TRUE,"Y생산";#N/A,#N/A,TRUE,"Y판매";#N/A,#N/A,TRUE,"Y총물량";#N/A,#N/A,TRUE,"Y능력";#N/A,#N/A,TRUE,"YKD"}</definedName>
    <definedName name="tyjk" hidden="1">{#N/A,#N/A,TRUE,"Y생산";#N/A,#N/A,TRUE,"Y판매";#N/A,#N/A,TRUE,"Y총물량";#N/A,#N/A,TRUE,"Y능력";#N/A,#N/A,TRUE,"YKD"}</definedName>
    <definedName name="TYRUI" localSheetId="14" hidden="1">{#N/A,#N/A,FALSE,"단축1";#N/A,#N/A,FALSE,"단축2";#N/A,#N/A,FALSE,"단축3";#N/A,#N/A,FALSE,"장축";#N/A,#N/A,FALSE,"4WD"}</definedName>
    <definedName name="TYRUI" hidden="1">{#N/A,#N/A,FALSE,"단축1";#N/A,#N/A,FALSE,"단축2";#N/A,#N/A,FALSE,"단축3";#N/A,#N/A,FALSE,"장축";#N/A,#N/A,FALSE,"4WD"}</definedName>
    <definedName name="TYUH" localSheetId="14" hidden="1">{#N/A,#N/A,FALSE,"KMC최종회의(7월) 자료"}</definedName>
    <definedName name="TYUH" hidden="1">{#N/A,#N/A,FALSE,"KMC최종회의(7월) 자료"}</definedName>
    <definedName name="tyut" localSheetId="14"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13"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시트11" localSheetId="14" hidden="1">#REF!</definedName>
    <definedName name="t시트11" hidden="1">#REF!</definedName>
    <definedName name="u" localSheetId="14" hidden="1">{#N/A,#N/A,FALSE,"PART-1234-8-12-9(41)";#N/A,#N/A,FALSE,"PARTS-2(3)";#N/A,#N/A,FALSE,"VAN SYSTEM";#N/A,#N/A,FALSE,"PARTS-10(26)";#N/A,#N/A,FALSE,"PART-5-6-7-11(14)";#N/A,#N/A,FALSE,"PARTS-4(3)";#N/A,#N/A,FALSE,"PCLASS"}</definedName>
    <definedName name="u" hidden="1">{#N/A,#N/A,FALSE,"손익표지";#N/A,#N/A,FALSE,"손익계산";#N/A,#N/A,FALSE,"일반관리비";#N/A,#N/A,FALSE,"영업외수익";#N/A,#N/A,FALSE,"영업외비용";#N/A,#N/A,FALSE,"매출액";#N/A,#N/A,FALSE,"요약손익";#N/A,#N/A,FALSE,"요약대차";#N/A,#N/A,FALSE,"매출채권현황";#N/A,#N/A,FALSE,"매출채권명세"}</definedName>
    <definedName name="uiko" localSheetId="14" hidden="1">[4]목표세부명세!#REF!</definedName>
    <definedName name="uiko" hidden="1">[4]목표세부명세!#REF!</definedName>
    <definedName name="uio" hidden="1">{"mgmt forecast",#N/A,FALSE,"Mgmt Forecast";"dcf table",#N/A,FALSE,"Mgmt Forecast";"sensitivity",#N/A,FALSE,"Mgmt Forecast";"table inputs",#N/A,FALSE,"Mgmt Forecast";"calculations",#N/A,FALSE,"Mgmt Forecast"}</definedName>
    <definedName name="UIP" localSheetId="14" hidden="1">{#N/A,#N/A,FALSE,"단축1";#N/A,#N/A,FALSE,"단축2";#N/A,#N/A,FALSE,"단축3";#N/A,#N/A,FALSE,"장축";#N/A,#N/A,FALSE,"4WD"}</definedName>
    <definedName name="UIP" hidden="1">{#N/A,#N/A,FALSE,"단축1";#N/A,#N/A,FALSE,"단축2";#N/A,#N/A,FALSE,"단축3";#N/A,#N/A,FALSE,"장축";#N/A,#N/A,FALSE,"4WD"}</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localSheetId="39">[38]Des!$C$13</definedName>
    <definedName name="unit" localSheetId="13">[39]Des!$C$13</definedName>
    <definedName name="unit">Des!$C$13</definedName>
    <definedName name="up" hidden="1">{#N/A,#N/A,FALSE,"지침";#N/A,#N/A,FALSE,"환경분석";#N/A,#N/A,FALSE,"Sheet16"}</definedName>
    <definedName name="user_excel_range">#REF!</definedName>
    <definedName name="ut" localSheetId="14" hidden="1">{#N/A,#N/A,FALSE,"손익표지";#N/A,#N/A,FALSE,"손익계산";#N/A,#N/A,FALSE,"일반관리비";#N/A,#N/A,FALSE,"영업외수익";#N/A,#N/A,FALSE,"영업외비용";#N/A,#N/A,FALSE,"매출액";#N/A,#N/A,FALSE,"요약손익";#N/A,#N/A,FALSE,"요약대차";#N/A,#N/A,FALSE,"매출채권현황";#N/A,#N/A,FALSE,"매출채권명세"}</definedName>
    <definedName name="ut" localSheetId="13" hidden="1">{#N/A,#N/A,FALSE,"손익표지";#N/A,#N/A,FALSE,"손익계산";#N/A,#N/A,FALSE,"일반관리비";#N/A,#N/A,FALSE,"영업외수익";#N/A,#N/A,FALSE,"영업외비용";#N/A,#N/A,FALSE,"매출액";#N/A,#N/A,FALSE,"요약손익";#N/A,#N/A,FALSE,"요약대차";#N/A,#N/A,FALSE,"매출채권현황";#N/A,#N/A,FALSE,"매출채권명세"}</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localSheetId="14"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14"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13"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localSheetId="14" hidden="1">{#N/A,#N/A,FALSE,"손익표지";#N/A,#N/A,FALSE,"손익계산";#N/A,#N/A,FALSE,"일반관리비";#N/A,#N/A,FALSE,"영업외수익";#N/A,#N/A,FALSE,"영업외비용";#N/A,#N/A,FALSE,"매출액";#N/A,#N/A,FALSE,"요약손익";#N/A,#N/A,FALSE,"요약대차";#N/A,#N/A,FALSE,"매출채권현황";#N/A,#N/A,FALSE,"매출채권명세"}</definedName>
    <definedName name="uu" localSheetId="13"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UUUUU" localSheetId="14" hidden="1">{#N/A,#N/A,TRUE,"Y생산";#N/A,#N/A,TRUE,"Y판매";#N/A,#N/A,TRUE,"Y총물량";#N/A,#N/A,TRUE,"Y능력";#N/A,#N/A,TRUE,"YKD"}</definedName>
    <definedName name="UUUUUUU" hidden="1">{#N/A,#N/A,TRUE,"Y생산";#N/A,#N/A,TRUE,"Y판매";#N/A,#N/A,TRUE,"Y총물량";#N/A,#N/A,TRUE,"Y능력";#N/A,#N/A,TRUE,"YKD"}</definedName>
    <definedName name="uuuuuuuuu" localSheetId="14" hidden="1">{#N/A,#N/A,FALSE,"단축1";#N/A,#N/A,FALSE,"단축2";#N/A,#N/A,FALSE,"단축3";#N/A,#N/A,FALSE,"장축";#N/A,#N/A,FALSE,"4WD"}</definedName>
    <definedName name="uuuuuuuuu" hidden="1">{#N/A,#N/A,FALSE,"단축1";#N/A,#N/A,FALSE,"단축2";#N/A,#N/A,FALSE,"단축3";#N/A,#N/A,FALSE,"장축";#N/A,#N/A,FALSE,"4WD"}</definedName>
    <definedName name="uy" localSheetId="14" hidden="1">{#N/A,#N/A,FALSE,"손익표지";#N/A,#N/A,FALSE,"손익계산";#N/A,#N/A,FALSE,"일반관리비";#N/A,#N/A,FALSE,"영업외수익";#N/A,#N/A,FALSE,"영업외비용";#N/A,#N/A,FALSE,"매출액";#N/A,#N/A,FALSE,"요약손익";#N/A,#N/A,FALSE,"요약대차";#N/A,#N/A,FALSE,"매출채권현황";#N/A,#N/A,FALSE,"매출채권명세"}</definedName>
    <definedName name="uy" localSheetId="13" hidden="1">{#N/A,#N/A,FALSE,"손익표지";#N/A,#N/A,FALSE,"손익계산";#N/A,#N/A,FALSE,"일반관리비";#N/A,#N/A,FALSE,"영업외수익";#N/A,#N/A,FALSE,"영업외비용";#N/A,#N/A,FALSE,"매출액";#N/A,#N/A,FALSE,"요약손익";#N/A,#N/A,FALSE,"요약대차";#N/A,#N/A,FALSE,"매출채권현황";#N/A,#N/A,FALSE,"매출채권명세"}</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uykl" localSheetId="14" hidden="1">{#N/A,#N/A,FALSE,"96 3월물량표";#N/A,#N/A,FALSE,"96 4월물량표";#N/A,#N/A,FALSE,"96 5월물량표"}</definedName>
    <definedName name="uykl" hidden="1">{#N/A,#N/A,FALSE,"96 3월물량표";#N/A,#N/A,FALSE,"96 4월물량표";#N/A,#N/A,FALSE,"96 5월물량표"}</definedName>
    <definedName name="uyl" hidden="1">{#N/A,#N/A,FALSE,"PART-1234-8-12-9(41)";#N/A,#N/A,FALSE,"PARTS-2(3)";#N/A,#N/A,FALSE,"VAN SYSTEM";#N/A,#N/A,FALSE,"PARTS-10(26)";#N/A,#N/A,FALSE,"PART-5-6-7-11(14)";#N/A,#N/A,FALSE,"PARTS-4(3)";#N/A,#N/A,FALSE,"PCLASS"}</definedName>
    <definedName name="uytry" hidden="1">{"mgmt forecast",#N/A,FALSE,"Mgmt Forecast";"dcf table",#N/A,FALSE,"Mgmt Forecast";"sensitivity",#N/A,FALSE,"Mgmt Forecast";"table inputs",#N/A,FALSE,"Mgmt Forecast";"calculations",#N/A,FALSE,"Mgmt Forecast"}</definedName>
    <definedName name="v" localSheetId="14" hidden="1">{#N/A,#N/A,FALSE,"BS";#N/A,#N/A,FALSE,"PL";#N/A,#N/A,FALSE,"처분";#N/A,#N/A,FALSE,"현금";#N/A,#N/A,FALSE,"매출";#N/A,#N/A,FALSE,"원가";#N/A,#N/A,FALSE,"경영"}</definedName>
    <definedName name="v" localSheetId="13" hidden="1">{#N/A,#N/A,FALSE,"BS";#N/A,#N/A,FALSE,"PL";#N/A,#N/A,FALSE,"처분";#N/A,#N/A,FALSE,"현금";#N/A,#N/A,FALSE,"매출";#N/A,#N/A,FALSE,"원가";#N/A,#N/A,FALSE,"경영"}</definedName>
    <definedName name="v" hidden="1">{#N/A,#N/A,FALSE,"BS";#N/A,#N/A,FALSE,"PL";#N/A,#N/A,FALSE,"처분";#N/A,#N/A,FALSE,"현금";#N/A,#N/A,FALSE,"매출";#N/A,#N/A,FALSE,"원가";#N/A,#N/A,FALSE,"경영"}</definedName>
    <definedName name="Vdate">[44]Company!$N$14</definedName>
    <definedName name="Vdate_2year">[44]Company!$O$14</definedName>
    <definedName name="Vdate_5year">[44]Company!$P$14</definedName>
    <definedName name="VISNET">#REF!</definedName>
    <definedName name="vlemqor" localSheetId="14" hidden="1">{#N/A,#N/A,FALSE,"손익표지";#N/A,#N/A,FALSE,"손익계산";#N/A,#N/A,FALSE,"일반관리비";#N/A,#N/A,FALSE,"영업외수익";#N/A,#N/A,FALSE,"영업외비용";#N/A,#N/A,FALSE,"매출액";#N/A,#N/A,FALSE,"요약손익";#N/A,#N/A,FALSE,"요약대차";#N/A,#N/A,FALSE,"매출채권현황";#N/A,#N/A,FALSE,"매출채권명세"}</definedName>
    <definedName name="vlemqor" hidden="1">{#N/A,#N/A,FALSE,"손익표지";#N/A,#N/A,FALSE,"손익계산";#N/A,#N/A,FALSE,"일반관리비";#N/A,#N/A,FALSE,"영업외수익";#N/A,#N/A,FALSE,"영업외비용";#N/A,#N/A,FALSE,"매출액";#N/A,#N/A,FALSE,"요약손익";#N/A,#N/A,FALSE,"요약대차";#N/A,#N/A,FALSE,"매출채권현황";#N/A,#N/A,FALSE,"매출채권명세"}</definedName>
    <definedName name="VPDLSXM" localSheetId="14" hidden="1">{#N/A,#N/A,TRUE,"Y생산";#N/A,#N/A,TRUE,"Y판매";#N/A,#N/A,TRUE,"Y총물량";#N/A,#N/A,TRUE,"Y능력";#N/A,#N/A,TRUE,"YKD"}</definedName>
    <definedName name="VPDLSXM" hidden="1">{#N/A,#N/A,TRUE,"Y생산";#N/A,#N/A,TRUE,"Y판매";#N/A,#N/A,TRUE,"Y총물량";#N/A,#N/A,TRUE,"Y능력";#N/A,#N/A,TRUE,"YKD"}</definedName>
    <definedName name="vv" localSheetId="14" hidden="1">{"orixcsc",#N/A,FALSE,"ORIX CSC";"orixcsc2",#N/A,FALSE,"ORIX CSC"}</definedName>
    <definedName name="vv" localSheetId="13" hidden="1">{#N/A,#N/A,FALSE,"손익표지";#N/A,#N/A,FALSE,"손익계산";#N/A,#N/A,FALSE,"일반관리비";#N/A,#N/A,FALSE,"영업외수익";#N/A,#N/A,FALSE,"영업외비용";#N/A,#N/A,FALSE,"매출액";#N/A,#N/A,FALSE,"요약손익";#N/A,#N/A,FALSE,"요약대차";#N/A,#N/A,FALSE,"매출채권현황";#N/A,#N/A,FALSE,"매출채권명세"}</definedName>
    <definedName name="vv" hidden="1">{#N/A,#N/A,FALSE,"손익표지";#N/A,#N/A,FALSE,"손익계산";#N/A,#N/A,FALSE,"일반관리비";#N/A,#N/A,FALSE,"영업외수익";#N/A,#N/A,FALSE,"영업외비용";#N/A,#N/A,FALSE,"매출액";#N/A,#N/A,FALSE,"요약손익";#N/A,#N/A,FALSE,"요약대차";#N/A,#N/A,FALSE,"매출채권현황";#N/A,#N/A,FALSE,"매출채권명세"}</definedName>
    <definedName name="VVV" localSheetId="14" hidden="1">{#N/A,#N/A,TRUE,"Y생산";#N/A,#N/A,TRUE,"Y판매";#N/A,#N/A,TRUE,"Y총물량";#N/A,#N/A,TRUE,"Y능력";#N/A,#N/A,TRUE,"YKD"}</definedName>
    <definedName name="VVV" hidden="1">{#N/A,#N/A,TRUE,"Y생산";#N/A,#N/A,TRUE,"Y판매";#N/A,#N/A,TRUE,"Y총물량";#N/A,#N/A,TRUE,"Y능력";#N/A,#N/A,TRUE,"YKD"}</definedName>
    <definedName name="vvvvv" localSheetId="14" hidden="1">{#N/A,#N/A,FALSE,"KMC최종회의(7월) 자료"}</definedName>
    <definedName name="vvvvv" hidden="1">{#N/A,#N/A,FALSE,"KMC최종회의(7월) 자료"}</definedName>
    <definedName name="w" localSheetId="14" hidden="1">{#N/A,#N/A,FALSE,"BS";#N/A,#N/A,FALSE,"PL";#N/A,#N/A,FALSE,"처분";#N/A,#N/A,FALSE,"현금";#N/A,#N/A,FALSE,"매출";#N/A,#N/A,FALSE,"원가";#N/A,#N/A,FALSE,"경영"}</definedName>
    <definedName name="w" localSheetId="13" hidden="1">{#N/A,#N/A,FALSE,"BS";#N/A,#N/A,FALSE,"PL";#N/A,#N/A,FALSE,"처분";#N/A,#N/A,FALSE,"현금";#N/A,#N/A,FALSE,"매출";#N/A,#N/A,FALSE,"원가";#N/A,#N/A,FALSE,"경영"}</definedName>
    <definedName name="w" localSheetId="31" hidden="1">{#N/A,#N/A,FALSE,"손익표지";#N/A,#N/A,FALSE,"손익계산";#N/A,#N/A,FALSE,"일반관리비";#N/A,#N/A,FALSE,"영업외수익";#N/A,#N/A,FALSE,"영업외비용";#N/A,#N/A,FALSE,"매출액";#N/A,#N/A,FALSE,"요약손익";#N/A,#N/A,FALSE,"요약대차";#N/A,#N/A,FALSE,"매출채권현황";#N/A,#N/A,FALSE,"매출채권명세"}</definedName>
    <definedName name="w" hidden="1">{#N/A,#N/A,FALSE,"BS";#N/A,#N/A,FALSE,"PL";#N/A,#N/A,FALSE,"처분";#N/A,#N/A,FALSE,"현금";#N/A,#N/A,FALSE,"매출";#N/A,#N/A,FALSE,"원가";#N/A,#N/A,FALSE,"경영"}</definedName>
    <definedName name="w.forecast" hidden="1">{#N/A,#N/A,FALSE,"model"}</definedName>
    <definedName name="W0" localSheetId="14" hidden="1">{#N/A,#N/A,FALSE,"KMC최종회의(7월) 자료"}</definedName>
    <definedName name="W0" hidden="1">{#N/A,#N/A,FALSE,"KMC최종회의(7월) 자료"}</definedName>
    <definedName name="wacc">WACC!$Q$50</definedName>
    <definedName name="waethgh" localSheetId="14" hidden="1">{#N/A,#N/A,FALSE,"96 3월물량표";#N/A,#N/A,FALSE,"96 4월물량표";#N/A,#N/A,FALSE,"96 5월물량표"}</definedName>
    <definedName name="waethgh" hidden="1">{#N/A,#N/A,FALSE,"96 3월물량표";#N/A,#N/A,FALSE,"96 4월물량표";#N/A,#N/A,FALSE,"96 5월물량표"}</definedName>
    <definedName name="wasd" localSheetId="14" hidden="1">{#N/A,#N/A,FALSE,"KMC최종회의(7월) 자료"}</definedName>
    <definedName name="wasd" hidden="1">{#N/A,#N/A,FALSE,"KMC최종회의(7월) 자료"}</definedName>
    <definedName name="wasdf" localSheetId="14" hidden="1">{#N/A,#N/A,FALSE,"KMC최종회의(7월) 자료"}</definedName>
    <definedName name="wasdf" hidden="1">{#N/A,#N/A,FALSE,"KMC최종회의(7월) 자료"}</definedName>
    <definedName name="wawsss" localSheetId="14" hidden="1">{#N/A,#N/A,FALSE,"KMC최종회의(7월) 자료"}</definedName>
    <definedName name="wawsss" hidden="1">{#N/A,#N/A,FALSE,"KMC최종회의(7월) 자료"}</definedName>
    <definedName name="WBS" hidden="1">{#N/A,#N/A,FALSE,"Aging Summary";#N/A,#N/A,FALSE,"Ratio Analysis";#N/A,#N/A,FALSE,"Test 120 Day Accts";#N/A,#N/A,FALSE,"Tickmarks"}</definedName>
    <definedName name="wddw" hidden="1">{#N/A,#N/A,FALSE,"지침";#N/A,#N/A,FALSE,"환경분석";#N/A,#N/A,FALSE,"Sheet16"}</definedName>
    <definedName name="WE" hidden="1">{#N/A,#N/A,FALSE,"PART-1234-8-12-9(41)";#N/A,#N/A,FALSE,"PARTS-2(3)";#N/A,#N/A,FALSE,"VAN SYSTEM";#N/A,#N/A,FALSE,"PARTS-10(26)";#N/A,#N/A,FALSE,"PART-5-6-7-11(14)";#N/A,#N/A,FALSE,"PARTS-4(3)";#N/A,#N/A,FALSE,"PCLASS"}</definedName>
    <definedName name="WE4TGH" localSheetId="14" hidden="1">{#N/A,#N/A,TRUE,"Y생산";#N/A,#N/A,TRUE,"Y판매";#N/A,#N/A,TRUE,"Y총물량";#N/A,#N/A,TRUE,"Y능력";#N/A,#N/A,TRUE,"YKD"}</definedName>
    <definedName name="WE4TGH" hidden="1">{#N/A,#N/A,TRUE,"Y생산";#N/A,#N/A,TRUE,"Y판매";#N/A,#N/A,TRUE,"Y총물량";#N/A,#N/A,TRUE,"Y능력";#N/A,#N/A,TRUE,"YKD"}</definedName>
    <definedName name="WEAGTBG" localSheetId="14" hidden="1">{#N/A,#N/A,TRUE,"Y생산";#N/A,#N/A,TRUE,"Y판매";#N/A,#N/A,TRUE,"Y총물량";#N/A,#N/A,TRUE,"Y능력";#N/A,#N/A,TRUE,"YKD"}</definedName>
    <definedName name="WEAGTBG" hidden="1">{#N/A,#N/A,TRUE,"Y생산";#N/A,#N/A,TRUE,"Y판매";#N/A,#N/A,TRUE,"Y총물량";#N/A,#N/A,TRUE,"Y능력";#N/A,#N/A,TRUE,"YKD"}</definedName>
    <definedName name="WEARF" localSheetId="14" hidden="1">{#N/A,#N/A,TRUE,"Y생산";#N/A,#N/A,TRUE,"Y판매";#N/A,#N/A,TRUE,"Y총물량";#N/A,#N/A,TRUE,"Y능력";#N/A,#N/A,TRUE,"YKD"}</definedName>
    <definedName name="WEARF" hidden="1">{#N/A,#N/A,TRUE,"Y생산";#N/A,#N/A,TRUE,"Y판매";#N/A,#N/A,TRUE,"Y총물량";#N/A,#N/A,TRUE,"Y능력";#N/A,#N/A,TRUE,"YKD"}</definedName>
    <definedName name="weas" localSheetId="14" hidden="1">{#N/A,#N/A,FALSE,"KMC최종회의(7월) 자료"}</definedName>
    <definedName name="weas" hidden="1">{#N/A,#N/A,FALSE,"KMC최종회의(7월) 자료"}</definedName>
    <definedName name="web" hidden="1">{#N/A,#N/A,FALSE,"PART-1234-8-12-9(41)";#N/A,#N/A,FALSE,"PARTS-2(3)";#N/A,#N/A,FALSE,"VAN SYSTEM";#N/A,#N/A,FALSE,"PARTS-10(26)";#N/A,#N/A,FALSE,"PART-5-6-7-11(14)";#N/A,#N/A,FALSE,"PARTS-4(3)";#N/A,#N/A,FALSE,"PCLASS"}</definedName>
    <definedName name="WEG" localSheetId="14" hidden="1">{#N/A,#N/A,TRUE,"Y생산";#N/A,#N/A,TRUE,"Y판매";#N/A,#N/A,TRUE,"Y총물량";#N/A,#N/A,TRUE,"Y능력";#N/A,#N/A,TRUE,"YKD"}</definedName>
    <definedName name="WEG" hidden="1">{#N/A,#N/A,TRUE,"Y생산";#N/A,#N/A,TRUE,"Y판매";#N/A,#N/A,TRUE,"Y총물량";#N/A,#N/A,TRUE,"Y능력";#N/A,#N/A,TRUE,"YKD"}</definedName>
    <definedName name="WEGDFBV" localSheetId="14" hidden="1">{#N/A,#N/A,TRUE,"Y생산";#N/A,#N/A,TRUE,"Y판매";#N/A,#N/A,TRUE,"Y총물량";#N/A,#N/A,TRUE,"Y능력";#N/A,#N/A,TRUE,"YKD"}</definedName>
    <definedName name="WEGDFBV" hidden="1">{#N/A,#N/A,TRUE,"Y생산";#N/A,#N/A,TRUE,"Y판매";#N/A,#N/A,TRUE,"Y총물량";#N/A,#N/A,TRUE,"Y능력";#N/A,#N/A,TRUE,"YKD"}</definedName>
    <definedName name="WEGERHNT" localSheetId="14" hidden="1">{#N/A,#N/A,FALSE,"96 3월물량표";#N/A,#N/A,FALSE,"96 4월물량표";#N/A,#N/A,FALSE,"96 5월물량표"}</definedName>
    <definedName name="WEGERHNT" hidden="1">{#N/A,#N/A,FALSE,"96 3월물량표";#N/A,#N/A,FALSE,"96 4월물량표";#N/A,#N/A,FALSE,"96 5월물량표"}</definedName>
    <definedName name="wegtgb" localSheetId="14" hidden="1">{#N/A,#N/A,TRUE,"Y생산";#N/A,#N/A,TRUE,"Y판매";#N/A,#N/A,TRUE,"Y총물량";#N/A,#N/A,TRUE,"Y능력";#N/A,#N/A,TRUE,"YKD"}</definedName>
    <definedName name="wegtgb" hidden="1">{#N/A,#N/A,TRUE,"Y생산";#N/A,#N/A,TRUE,"Y판매";#N/A,#N/A,TRUE,"Y총물량";#N/A,#N/A,TRUE,"Y능력";#N/A,#N/A,TRUE,"YKD"}</definedName>
    <definedName name="WEGTHN" localSheetId="14" hidden="1">{#N/A,#N/A,TRUE,"Y생산";#N/A,#N/A,TRUE,"Y판매";#N/A,#N/A,TRUE,"Y총물량";#N/A,#N/A,TRUE,"Y능력";#N/A,#N/A,TRUE,"YKD"}</definedName>
    <definedName name="WEGTHN" hidden="1">{#N/A,#N/A,TRUE,"Y생산";#N/A,#N/A,TRUE,"Y판매";#N/A,#N/A,TRUE,"Y총물량";#N/A,#N/A,TRUE,"Y능력";#N/A,#N/A,TRUE,"YKD"}</definedName>
    <definedName name="wegvc" localSheetId="14" hidden="1">{#N/A,#N/A,TRUE,"Y생산";#N/A,#N/A,TRUE,"Y판매";#N/A,#N/A,TRUE,"Y총물량";#N/A,#N/A,TRUE,"Y능력";#N/A,#N/A,TRUE,"YKD"}</definedName>
    <definedName name="wegvc" hidden="1">{#N/A,#N/A,TRUE,"Y생산";#N/A,#N/A,TRUE,"Y판매";#N/A,#N/A,TRUE,"Y총물량";#N/A,#N/A,TRUE,"Y능력";#N/A,#N/A,TRUE,"YKD"}</definedName>
    <definedName name="WEQ" localSheetId="14" hidden="1">{#N/A,#N/A,FALSE,"단축1";#N/A,#N/A,FALSE,"단축2";#N/A,#N/A,FALSE,"단축3";#N/A,#N/A,FALSE,"장축";#N/A,#N/A,FALSE,"4WD"}</definedName>
    <definedName name="WEQ" hidden="1">{#N/A,#N/A,FALSE,"단축1";#N/A,#N/A,FALSE,"단축2";#N/A,#N/A,FALSE,"단축3";#N/A,#N/A,FALSE,"장축";#N/A,#N/A,FALSE,"4WD"}</definedName>
    <definedName name="weraw" hidden="1">{"mgmt forecast",#N/A,FALSE,"Mgmt Forecast";"dcf table",#N/A,FALSE,"Mgmt Forecast";"sensitivity",#N/A,FALSE,"Mgmt Forecast";"table inputs",#N/A,FALSE,"Mgmt Forecast";"calculations",#N/A,FALSE,"Mgmt Forecast"}</definedName>
    <definedName name="were" localSheetId="14" hidden="1">{"mgmt forecast",#N/A,FALSE,"Mgmt Forecast";"dcf table",#N/A,FALSE,"Mgmt Forecast";"sensitivity",#N/A,FALSE,"Mgmt Forecast";"table inputs",#N/A,FALSE,"Mgmt Forecast";"calculations",#N/A,FALSE,"Mgmt Forecast"}</definedName>
    <definedName name="were" hidden="1">{#N/A,#N/A,FALSE,"KMC최종회의(7월) 자료"}</definedName>
    <definedName name="werew"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EWREWREWF" localSheetId="14" hidden="1">{#N/A,#N/A,FALSE,"단축1";#N/A,#N/A,FALSE,"단축2";#N/A,#N/A,FALSE,"단축3";#N/A,#N/A,FALSE,"장축";#N/A,#N/A,FALSE,"4WD"}</definedName>
    <definedName name="WEREWREWREWF" hidden="1">{#N/A,#N/A,FALSE,"단축1";#N/A,#N/A,FALSE,"단축2";#N/A,#N/A,FALSE,"단축3";#N/A,#N/A,FALSE,"장축";#N/A,#N/A,FALSE,"4WD"}</definedName>
    <definedName name="werfew" localSheetId="14" hidden="1">{#N/A,#N/A,FALSE,"96 3월물량표";#N/A,#N/A,FALSE,"96 4월물량표";#N/A,#N/A,FALSE,"96 5월물량표"}</definedName>
    <definedName name="werfew" hidden="1">{#N/A,#N/A,FALSE,"96 3월물량표";#N/A,#N/A,FALSE,"96 4월물량표";#N/A,#N/A,FALSE,"96 5월물량표"}</definedName>
    <definedName name="wert" localSheetId="14" hidden="1">{#N/A,#N/A,TRUE,"Y생산";#N/A,#N/A,TRUE,"Y판매";#N/A,#N/A,TRUE,"Y총물량";#N/A,#N/A,TRUE,"Y능력";#N/A,#N/A,TRUE,"YKD"}</definedName>
    <definedName name="wert" hidden="1">{#N/A,#N/A,TRUE,"Y생산";#N/A,#N/A,TRUE,"Y판매";#N/A,#N/A,TRUE,"Y총물량";#N/A,#N/A,TRUE,"Y능력";#N/A,#N/A,TRUE,"YKD"}</definedName>
    <definedName name="WERTY" localSheetId="14" hidden="1">{#N/A,#N/A,FALSE,"단축1";#N/A,#N/A,FALSE,"단축2";#N/A,#N/A,FALSE,"단축3";#N/A,#N/A,FALSE,"장축";#N/A,#N/A,FALSE,"4WD"}</definedName>
    <definedName name="WERTY" hidden="1">{#N/A,#N/A,FALSE,"단축1";#N/A,#N/A,FALSE,"단축2";#N/A,#N/A,FALSE,"단축3";#N/A,#N/A,FALSE,"장축";#N/A,#N/A,FALSE,"4WD"}</definedName>
    <definedName name="werw"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ryh" localSheetId="14" hidden="1">{#N/A,#N/A,TRUE,"Y생산";#N/A,#N/A,TRUE,"Y판매";#N/A,#N/A,TRUE,"Y총물량";#N/A,#N/A,TRUE,"Y능력";#N/A,#N/A,TRUE,"YKD"}</definedName>
    <definedName name="weryh" hidden="1">{#N/A,#N/A,TRUE,"Y생산";#N/A,#N/A,TRUE,"Y판매";#N/A,#N/A,TRUE,"Y총물량";#N/A,#N/A,TRUE,"Y능력";#N/A,#N/A,TRUE,"YKD"}</definedName>
    <definedName name="wet" localSheetId="14" hidden="1">{#N/A,#N/A,FALSE,"96 3월물량표";#N/A,#N/A,FALSE,"96 4월물량표";#N/A,#N/A,FALSE,"96 5월물량표"}</definedName>
    <definedName name="wet" hidden="1">{#N/A,#N/A,FALSE,"96 3월물량표";#N/A,#N/A,FALSE,"96 4월물량표";#N/A,#N/A,FALSE,"96 5월물량표"}</definedName>
    <definedName name="WETTRHTRHJ" localSheetId="14" hidden="1">{#N/A,#N/A,TRUE,"Y생산";#N/A,#N/A,TRUE,"Y판매";#N/A,#N/A,TRUE,"Y총물량";#N/A,#N/A,TRUE,"Y능력";#N/A,#N/A,TRUE,"YKD"}</definedName>
    <definedName name="WETTRHTRHJ" hidden="1">{#N/A,#N/A,TRUE,"Y생산";#N/A,#N/A,TRUE,"Y판매";#N/A,#N/A,TRUE,"Y총물량";#N/A,#N/A,TRUE,"Y능력";#N/A,#N/A,TRUE,"YKD"}</definedName>
    <definedName name="WETY" localSheetId="14" hidden="1">{#N/A,#N/A,FALSE,"단축1";#N/A,#N/A,FALSE,"단축2";#N/A,#N/A,FALSE,"단축3";#N/A,#N/A,FALSE,"장축";#N/A,#N/A,FALSE,"4WD"}</definedName>
    <definedName name="WETY" hidden="1">{#N/A,#N/A,FALSE,"단축1";#N/A,#N/A,FALSE,"단축2";#N/A,#N/A,FALSE,"단축3";#N/A,#N/A,FALSE,"장축";#N/A,#N/A,FALSE,"4WD"}</definedName>
    <definedName name="wew" localSheetId="14" hidden="1">[45]현금흐름표!$F$45</definedName>
    <definedName name="wew" hidden="1">[46]현금흐름표!$F$45</definedName>
    <definedName name="wewe" localSheetId="14" hidden="1">[3]D!#REF!</definedName>
    <definedName name="wewe" localSheetId="13" hidden="1">[3]D!#REF!</definedName>
    <definedName name="wewe" localSheetId="27" hidden="1">[3]D!#REF!</definedName>
    <definedName name="wewe" localSheetId="20" hidden="1">[3]D!#REF!</definedName>
    <definedName name="wewe" hidden="1">[3]D!#REF!</definedName>
    <definedName name="weygtrhj" localSheetId="14" hidden="1">{#N/A,#N/A,FALSE,"96 3월물량표";#N/A,#N/A,FALSE,"96 4월물량표";#N/A,#N/A,FALSE,"96 5월물량표"}</definedName>
    <definedName name="weygtrhj" hidden="1">{#N/A,#N/A,FALSE,"96 3월물량표";#N/A,#N/A,FALSE,"96 4월물량표";#N/A,#N/A,FALSE,"96 5월물량표"}</definedName>
    <definedName name="wg" localSheetId="14" hidden="1">{#N/A,#N/A,FALSE,"KMC최종회의(7월) 자료"}</definedName>
    <definedName name="wg" hidden="1">{#N/A,#N/A,FALSE,"KMC최종회의(7월) 자료"}</definedName>
    <definedName name="wh" localSheetId="14" hidden="1">{#N/A,#N/A,FALSE,"단축1";#N/A,#N/A,FALSE,"단축2";#N/A,#N/A,FALSE,"단축3";#N/A,#N/A,FALSE,"장축";#N/A,#N/A,FALSE,"4WD"}</definedName>
    <definedName name="wh" hidden="1">{#N/A,#N/A,FALSE,"단축1";#N/A,#N/A,FALSE,"단축2";#N/A,#N/A,FALSE,"단축3";#N/A,#N/A,FALSE,"장축";#N/A,#N/A,FALSE,"4WD"}</definedName>
    <definedName name="WHDGK" localSheetId="14" hidden="1">{#N/A,#N/A,FALSE,"KMC최종회의(7월) 자료"}</definedName>
    <definedName name="WHDGK" hidden="1">{#N/A,#N/A,FALSE,"KMC최종회의(7월) 자료"}</definedName>
    <definedName name="WIP" localSheetId="13">[39]Des!$C$12</definedName>
    <definedName name="WIP">[38]Des!$C$12</definedName>
    <definedName name="wjd"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wkgk" localSheetId="14" hidden="1">{#N/A,#N/A,FALSE,"BS";#N/A,#N/A,FALSE,"PL";#N/A,#N/A,FALSE,"처분";#N/A,#N/A,FALSE,"현금";#N/A,#N/A,FALSE,"매출";#N/A,#N/A,FALSE,"원가";#N/A,#N/A,FALSE,"경영"}</definedName>
    <definedName name="wkgk" localSheetId="13" hidden="1">{#N/A,#N/A,FALSE,"BS";#N/A,#N/A,FALSE,"PL";#N/A,#N/A,FALSE,"처분";#N/A,#N/A,FALSE,"현금";#N/A,#N/A,FALSE,"매출";#N/A,#N/A,FALSE,"원가";#N/A,#N/A,FALSE,"경영"}</definedName>
    <definedName name="wkgk" hidden="1">{#N/A,#N/A,FALSE,"BS";#N/A,#N/A,FALSE,"PL";#N/A,#N/A,FALSE,"처분";#N/A,#N/A,FALSE,"현금";#N/A,#N/A,FALSE,"매출";#N/A,#N/A,FALSE,"원가";#N/A,#N/A,FALSE,"경영"}</definedName>
    <definedName name="wkworhgk" localSheetId="14" hidden="1">{#N/A,#N/A,TRUE,"Y생산";#N/A,#N/A,TRUE,"Y판매";#N/A,#N/A,TRUE,"Y총물량";#N/A,#N/A,TRUE,"Y능력";#N/A,#N/A,TRUE,"YKD"}</definedName>
    <definedName name="wkworhgk" hidden="1">{#N/A,#N/A,TRUE,"Y생산";#N/A,#N/A,TRUE,"Y판매";#N/A,#N/A,TRUE,"Y총물량";#N/A,#N/A,TRUE,"Y능력";#N/A,#N/A,TRUE,"YKD"}</definedName>
    <definedName name="WLPP" localSheetId="14" hidden="1">{#N/A,#N/A,FALSE,"인원";#N/A,#N/A,FALSE,"비용2";#N/A,#N/A,FALSE,"비용1";#N/A,#N/A,FALSE,"비용";#N/A,#N/A,FALSE,"보증2";#N/A,#N/A,FALSE,"보증1";#N/A,#N/A,FALSE,"보증";#N/A,#N/A,FALSE,"손익1";#N/A,#N/A,FALSE,"손익";#N/A,#N/A,FALSE,"부서별매출";#N/A,#N/A,FALSE,"매출"}</definedName>
    <definedName name="WLPP" hidden="1">{#N/A,#N/A,FALSE,"인원";#N/A,#N/A,FALSE,"비용2";#N/A,#N/A,FALSE,"비용1";#N/A,#N/A,FALSE,"비용";#N/A,#N/A,FALSE,"보증2";#N/A,#N/A,FALSE,"보증1";#N/A,#N/A,FALSE,"보증";#N/A,#N/A,FALSE,"손익1";#N/A,#N/A,FALSE,"손익";#N/A,#N/A,FALSE,"부서별매출";#N/A,#N/A,FALSE,"매출"}</definedName>
    <definedName name="wnd" localSheetId="14" hidden="1">{#N/A,#N/A,TRUE,"Y생산";#N/A,#N/A,TRUE,"Y판매";#N/A,#N/A,TRUE,"Y총물량";#N/A,#N/A,TRUE,"Y능력";#N/A,#N/A,TRUE,"YKD"}</definedName>
    <definedName name="wnd" hidden="1">{#N/A,#N/A,TRUE,"Y생산";#N/A,#N/A,TRUE,"Y판매";#N/A,#N/A,TRUE,"Y총물량";#N/A,#N/A,TRUE,"Y능력";#N/A,#N/A,TRUE,"YKD"}</definedName>
    <definedName name="WNDY" hidden="1">{#N/A,#N/A,FALSE,"PART-1234-8-12-9(41)";#N/A,#N/A,FALSE,"PARTS-2(3)";#N/A,#N/A,FALSE,"VAN SYSTEM";#N/A,#N/A,FALSE,"PARTS-10(26)";#N/A,#N/A,FALSE,"PART-5-6-7-11(14)";#N/A,#N/A,FALSE,"PARTS-4(3)";#N/A,#N/A,FALSE,"PCLASS"}</definedName>
    <definedName name="woanrnwhrotjs" localSheetId="14" hidden="1">{#N/A,#N/A,FALSE,"정공"}</definedName>
    <definedName name="woanrnwhrotjs" hidden="1">{#N/A,#N/A,FALSE,"정공"}</definedName>
    <definedName name="work" localSheetId="14" hidden="1">{#N/A,#N/A,FALSE,"KMC최종회의(7월) 자료"}</definedName>
    <definedName name="work" hidden="1">{#N/A,#N/A,FALSE,"KMC최종회의(7월) 자료"}</definedName>
    <definedName name="WPL" hidden="1">{#N/A,#N/A,FALSE,"Aging Summary";#N/A,#N/A,FALSE,"Ratio Analysis";#N/A,#N/A,FALSE,"Test 120 Day Accts";#N/A,#N/A,FALSE,"Tickmarks"}</definedName>
    <definedName name="wqasd" localSheetId="14" hidden="1">{#N/A,#N/A,FALSE,"KMC최종회의(7월) 자료"}</definedName>
    <definedName name="wqasd" hidden="1">{#N/A,#N/A,FALSE,"KMC최종회의(7월) 자료"}</definedName>
    <definedName name="wraeygfb" localSheetId="14" hidden="1">{#N/A,#N/A,FALSE,"96 3월물량표";#N/A,#N/A,FALSE,"96 4월물량표";#N/A,#N/A,FALSE,"96 5월물량표"}</definedName>
    <definedName name="wraeygfb" hidden="1">{#N/A,#N/A,FALSE,"96 3월물량표";#N/A,#N/A,FALSE,"96 4월물량표";#N/A,#N/A,FALSE,"96 5월물량표"}</definedName>
    <definedName name="WRE" localSheetId="14" hidden="1">{#N/A,#N/A,FALSE,"KMC최종회의(7월) 자료"}</definedName>
    <definedName name="WRE" hidden="1">{#N/A,#N/A,FALSE,"KMC최종회의(7월) 자료"}</definedName>
    <definedName name="WRN"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RN" hidden="1">{#N/A,#N/A,FALSE,"손익표지";#N/A,#N/A,FALSE,"손익계산";#N/A,#N/A,FALSE,"일반관리비";#N/A,#N/A,FALSE,"영업외수익";#N/A,#N/A,FALSE,"영업외비용";#N/A,#N/A,FALSE,"매출액";#N/A,#N/A,FALSE,"요약손익";#N/A,#N/A,FALSE,"요약대차";#N/A,#N/A,FALSE,"매출채권현황";#N/A,#N/A,FALSE,"매출채권명세"}</definedName>
    <definedName name="wrn.???._.????." hidden="1">{#N/A,#N/A,TRUE,"1.????";#N/A,#N/A,TRUE,"2.????";#N/A,#N/A,TRUE,"3.????";#N/A,#N/A,TRUE,"4.????";#N/A,#N/A,TRUE,"5.????";#N/A,#N/A,TRUE,"6.????";#N/A,#N/A,TRUE,"7.????";#N/A,#N/A,TRUE,"8.????";#N/A,#N/A,TRUE,"11.????";#N/A,#N/A,TRUE,"12.????";#N/A,#N/A,TRUE,"??";#N/A,#N/A,TRUE,"??";#N/A,#N/A,TRUE,"???? "}</definedName>
    <definedName name="wrn.0km." localSheetId="14"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996._.BUDGET." localSheetId="14" hidden="1">{"SUMMARY",#N/A,TRUE,"SUMMARY";"compare",#N/A,TRUE,"Vs. Bus Plan";"ratios",#N/A,TRUE,"Ratios";"REVENUE",#N/A,TRUE,"Revenue";"expenses",#N/A,TRUE,"1996 budget";"payroll",#N/A,TRUE,"Payroll"}</definedName>
    <definedName name="wrn.1996._.BUDGET." localSheetId="13"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BUDGET.1" localSheetId="14" hidden="1">{"SUMMARY",#N/A,TRUE,"SUMMARY";"compare",#N/A,TRUE,"Vs. Bus Plan";"ratios",#N/A,TRUE,"Ratios";"REVENUE",#N/A,TRUE,"Revenue";"expenses",#N/A,TRUE,"1996 budget";"payroll",#N/A,TRUE,"Payroll"}</definedName>
    <definedName name="wrn.1996._.BUDGET.1" localSheetId="13"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localSheetId="14" hidden="1">{"ten year ratios",#N/A,TRUE,"PROFIT_LOSS";"ten year ratios",#N/A,TRUE,"Ratios";"ten yr opex and capex",#N/A,TRUE,"1996 budget";"ten year revenues",#N/A,TRUE,"Revenue_1996-2004";"ten year payroll",#N/A,TRUE,"Payroll"}</definedName>
    <definedName name="wrn.1996._.TO._.2004." localSheetId="13"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345." localSheetId="14" hidden="1">{#N/A,#N/A,FALSE,"96 3월물량표";#N/A,#N/A,FALSE,"96 4월물량표";#N/A,#N/A,FALSE,"96 5월물량표"}</definedName>
    <definedName name="wrn.345." hidden="1">{#N/A,#N/A,FALSE,"96 3월물량표";#N/A,#N/A,FALSE,"96 4월물량표";#N/A,#N/A,FALSE,"96 5월물량표"}</definedName>
    <definedName name="wrn.97." hidden="1">{#N/A,#N/A,FALSE,"지침";#N/A,#N/A,FALSE,"환경분석";#N/A,#N/A,FALSE,"Sheet16"}</definedName>
    <definedName name="wrn.97년._.투자계획." hidden="1">{#N/A,#N/A,FALSE,"97년 투자계획 세부내역 "}</definedName>
    <definedName name="WRN.98." hidden="1">{#N/A,#N/A,FALSE,"지침";#N/A,#N/A,FALSE,"환경분석";#N/A,#N/A,FALSE,"Sheet16"}</definedName>
    <definedName name="wrn.ACHESON94TAXRETURN." localSheetId="14"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13"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_.Kosten." localSheetId="14"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ging._.and._.Trend._.Analysis." hidden="1">{#N/A,#N/A,FALSE,"Aging Summary";#N/A,#N/A,FALSE,"Ratio Analysis";#N/A,#N/A,FALSE,"Test 120 Day Accts";#N/A,#N/A,FALSE,"Tickmarks"}</definedName>
    <definedName name="wrn.ALL." hidden="1">{#N/A,#N/A,FALSE,"DCF";#N/A,#N/A,FALSE,"WACC";#N/A,#N/A,FALSE,"Sales_EBIT";#N/A,#N/A,FALSE,"Capex_Depreciation";#N/A,#N/A,FALSE,"WC";#N/A,#N/A,FALSE,"Interest";#N/A,#N/A,FALSE,"Assumptions"}</definedName>
    <definedName name="wrn.All._.Financials." hidden="1">{#N/A,#N/A,TRUE,"Assumptions";#N/A,#N/A,TRUE,"Op Projection";#N/A,#N/A,TRUE,"Capital";#N/A,#N/A,TRUE,"Income";#N/A,#N/A,TRUE,"Balance";#N/A,#N/A,TRUE,"Sources&amp;Uses"}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nlagespiegel._.Bericht." hidden="1">{#N/A,#N/A,FALSE,"Anlagespiegel"}</definedName>
    <definedName name="wrn.Basic._.Report." localSheetId="14" hidden="1">{#N/A,#N/A,FALSE,"New Depr Sch-150% DB";#N/A,#N/A,FALSE,"Cash Flows RLP";#N/A,#N/A,FALSE,"IRR";#N/A,#N/A,FALSE,"Proforma IS";#N/A,#N/A,FALSE,"Assumptions"}</definedName>
    <definedName name="wrn.Basic._.Report." localSheetId="13"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ewegungsbilanz." hidden="1">{#N/A,#N/A,FALSE,"Mittelherkunft";#N/A,#N/A,FALSE,"Mittelverwendung"}</definedName>
    <definedName name="wrn.Bilanz." localSheetId="14" hidden="1">{#N/A,#N/A,FALSE,"Layout Aktiva";#N/A,#N/A,FALSE,"Layout Passiva"}</definedName>
    <definedName name="wrn.Bilanz." hidden="1">{#N/A,#N/A,FALSE,"Bilanz"}</definedName>
    <definedName name="wrn.BL94TAXRETURN." localSheetId="14"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13"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CAPA." hidden="1">{#N/A,#N/A,FALSE,"상재GS";#N/A,#N/A,FALSE,"상재GM";#N/A,#N/A,FALSE,"건재";#N/A,#N/A,FALSE,"SBR";#N/A,#N/A,FALSE,"부품";#N/A,#N/A,FALSE,"기능자재";#N/A,#N/A,FALSE,"특수"}</definedName>
    <definedName name="wrn.CAPA2." hidden="1">{#N/A,#N/A,FALSE,"보고";#N/A,#N/A,FALSE,"유첨"}</definedName>
    <definedName name="wrn.CASH." localSheetId="14" hidden="1">{#N/A,#N/A,FALSE,"Sheet5"}</definedName>
    <definedName name="wrn.CASH." localSheetId="13" hidden="1">{#N/A,#N/A,FALSE,"Sheet5"}</definedName>
    <definedName name="wrn.CASH." hidden="1">{#N/A,#N/A,FALSE,"Sheet5"}</definedName>
    <definedName name="wrn.Cash._.Flow." hidden="1">{#N/A,#N/A,FALSE,"Layout Cash Flow"}</definedName>
    <definedName name="wrn.CIC94TAX." localSheetId="14"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13"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ientcopy." localSheetId="1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BINED." hidden="1">{#N/A,#N/A,FALSE,"INPUTS";#N/A,#N/A,FALSE,"PROFORMA BSHEET";#N/A,#N/A,FALSE,"COMBINED";#N/A,#N/A,FALSE,"HIGH YIELD";#N/A,#N/A,FALSE,"COMB_GRAPHS"}</definedName>
    <definedName name="wrn.Complete._.Report." localSheetId="14" hidden="1">{#N/A,#N/A,FALSE,"Assumptions";#N/A,#N/A,FALSE,"Proforma IS";#N/A,#N/A,FALSE,"Cash Flows RLP";#N/A,#N/A,FALSE,"IRR";#N/A,#N/A,FALSE,"New Depr Sch-150% DB";#N/A,#N/A,FALSE,"Comments"}</definedName>
    <definedName name="wrn.Complete._.Report." localSheetId="13"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ontribution." hidden="1">{#N/A,#N/A,FALSE,"Contribution Analysis"}</definedName>
    <definedName name="wrn.COSA._.FS._.국문." localSheetId="14" hidden="1">{#N/A,#N/A,FALSE,"BS";#N/A,#N/A,FALSE,"PL";#N/A,#N/A,FALSE,"처분";#N/A,#N/A,FALSE,"현금";#N/A,#N/A,FALSE,"매출";#N/A,#N/A,FALSE,"원가";#N/A,#N/A,FALSE,"경영"}</definedName>
    <definedName name="wrn.COSA._.FS._.국문." localSheetId="13"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94TAXRETURN." localSheetId="1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1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sc." hidden="1">{"orixcsc",#N/A,FALSE,"ORIX CSC";"orixcsc2",#N/A,FALSE,"ORIX CSC"}</definedName>
    <definedName name="wrn.csc2." hidden="1">{#N/A,#N/A,FALSE,"ORIX CSC"}</definedName>
    <definedName name="wrn.Dauerlauf._.Messprotokolle._.0._.Std.." hidden="1">{#N/A,#N/A,FALSE,"Main -, Conrod Big End Bear (1)";#N/A,#N/A,FALSE,"Piston Pin, Pin Bore, Conr. (3)";#N/A,#N/A,FALSE,"Cylinder Liner &amp; Piston (4)";#N/A,#N/A,FALSE,"Piston Ring (7)";#N/A,#N/A,FALSE,"Camshaft Bearing (8)";#N/A,#N/A,FALSE,"Rocker Arm, -Shaft (9)";#N/A,#N/A,FALSE,"Unit rocker arm, shaft (10)";#N/A,#N/A,FALSE,"Valve Intake (11)";#N/A,#N/A,FALSE,"Valve Exhaust (12)";#N/A,#N/A,FALSE,"Valve Recess (13)";#N/A,#N/A,FALSE,"Valve cross head (14)";#N/A,#N/A,FALSE,"Idler Gear Bearings (15)";#N/A,#N/A,FALSE,"Gear Backlashes, End Float (16)";#N/A,#N/A,FALSE,"Valve Lift Curves, cyl. 1 (17)";#N/A,#N/A,FALSE,"Plungerlift Curves, cyl. 1 (18)";#N/A,#N/A,FALSE,"Valve To Piston Clearance(19)";#N/A,#N/A,FALSE,"Piston To Head Clearance(19)"}</definedName>
    <definedName name="wrn.dcf." hidden="1">{"mgmt forecast",#N/A,FALSE,"Mgmt Forecast";"dcf table",#N/A,FALSE,"Mgmt Forecast";"sensitivity",#N/A,FALSE,"Mgmt Forecast";"table inputs",#N/A,FALSE,"Mgmt Forecast";"calculations",#N/A,FALSE,"Mgmt Forecast"}</definedName>
    <definedName name="wrn.dcf2" hidden="1">{"mgmt forecast",#N/A,FALSE,"Mgmt Forecast";"dcf table",#N/A,FALSE,"Mgmt Forecast";"sensitivity",#N/A,FALSE,"Mgmt Forecast";"table inputs",#N/A,FALSE,"Mgmt Forecast";"calculations",#N/A,FALSE,"Mgmt Forecast"}</definedName>
    <definedName name="wrn.DDD."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localSheetId="14" hidden="1">{#N/A,#N/A,FALSE,"Status";#N/A,#N/A,FALSE,"Deckblatt 1";#N/A,#N/A,FALSE,"Deckblatt2"}</definedName>
    <definedName name="wrn.Deckblatt." hidden="1">{#N/A,#N/A,FALSE,"Status";#N/A,#N/A,FALSE,"Deckblatt 1";#N/A,#N/A,FALSE,"Deckblatt2"}</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iffusion."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osdevl." localSheetId="14" hidden="1">{"Frgen",#N/A,FALSE,"A";"Résu",#N/A,FALSE,"A"}</definedName>
    <definedName name="wrn.Dosdevl." localSheetId="13" hidden="1">{"Frgen",#N/A,FALSE,"A";"Résu",#N/A,FALSE,"A"}</definedName>
    <definedName name="wrn.Dosdevl." hidden="1">{"Frgen",#N/A,FALSE,"A";"Résu",#N/A,FALSE,"A"}</definedName>
    <definedName name="wrn.DosPM." localSheetId="14" hidden="1">{"FrgénEst",#N/A,FALSE,"A";"RésuEst",#N/A,FALSE,"A"}</definedName>
    <definedName name="wrn.DosPM." localSheetId="13" hidden="1">{"FrgénEst",#N/A,FALSE,"A";"RésuEst",#N/A,FALSE,"A"}</definedName>
    <definedName name="wrn.DosPM." hidden="1">{"FrgénEst",#N/A,FALSE,"A";"RésuEst",#N/A,FALSE,"A"}</definedName>
    <definedName name="wrn.Eilbericht_UBA." hidden="1">{"Eilbericht_UBA",#N/A,FALSE,"EB"}</definedName>
    <definedName name="wrn.EM." localSheetId="14"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rgebnisbericht_UBA." hidden="1">{"Ergebnisbericht_UBA",#N/A,FALSE,"MB"}</definedName>
    <definedName name="wrn.EXECOS." hidden="1">{#N/A,#N/A,FALSE,"-ST.PER1";#N/A,#N/A,FALSE,"-ST.PER2";#N/A,#N/A,FALSE,"+ST.HIS.PER1";#N/A,#N/A,FALSE,"+ST.HIS.PER2";#N/A,#N/A,FALSE,"+ST.STD.PER1";#N/A,#N/A,FALSE,"+ST.STD.PER2"}</definedName>
    <definedName name="wrn.filecopy." localSheetId="1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zbedarfsrechnung." hidden="1">{#N/A,#N/A,FALSE,"Finanzbedarfsrechnung"}</definedName>
    <definedName name="wrn.FIVE._.YEAR._.PROJECTION." localSheetId="14" hidden="1">{"FIVEYEAR",#N/A,TRUE,"SUMMARY";"FIVEYEAR",#N/A,TRUE,"Ratios";"FIVEYEAR",#N/A,TRUE,"Revenue";"FIVEYEAR",#N/A,TRUE,"DETAIL";"FIVEYEAR",#N/A,TRUE,"Payroll"}</definedName>
    <definedName name="wrn.FIVE._.YEAR._.PROJECTION." localSheetId="13"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orecast." hidden="1">{#N/A,#N/A,FALSE,"model"}</definedName>
    <definedName name="wrn.forecastassumptions." hidden="1">{#N/A,#N/A,FALSE,"model"}</definedName>
    <definedName name="wrn.forecastROIC." hidden="1">{#N/A,#N/A,FALSE,"model"}</definedName>
    <definedName name="wrn.ggausdr." localSheetId="14"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RAPHS." hidden="1">{#N/A,#N/A,FALSE,"ACQ_GRAPHS";#N/A,#N/A,FALSE,"T_1 GRAPHS";#N/A,#N/A,FALSE,"T_2 GRAPHS";#N/A,#N/A,FALSE,"COMB_GRAPHS"}</definedName>
    <definedName name="wrn.GuV." hidden="1">{#N/A,#N/A,FALSE,"Layout GuV"}</definedName>
    <definedName name="wrn.history." hidden="1">{#N/A,#N/A,FALSE,"model"}</definedName>
    <definedName name="wrn.histROIC." hidden="1">{#N/A,#N/A,FALSE,"model"}</definedName>
    <definedName name="wrn.IFF94TAX." localSheetId="14"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13"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jck94TAXRETURN." localSheetId="1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K._" hidden="1">{"K GuV o. Kommentar",#N/A,FALSE,"Kaufhof"}</definedName>
    <definedName name="wrn.K._.GuV._.o.._.Kommentar." hidden="1">{"K GuV o. Kommentar",#N/A,FALSE,"Kaufhof"}</definedName>
    <definedName name="wrn.KBilanz._.o.._.Kommentar." hidden="1">{"K Bilanz o. Kommentar",#N/A,FALSE,"Kaufhof"}</definedName>
    <definedName name="wrn.KIM2." localSheetId="1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mplettausdruck." hidden="1">{#N/A,#N/A,FALSE,"Layout Aktiva";#N/A,#N/A,FALSE,"Layout Passiva";#N/A,#N/A,FALSE,"Layout GuV";#N/A,#N/A,FALSE,"Layout Cash Flow";#N/A,#N/A,FALSE,"Mittelherkunft";#N/A,#N/A,FALSE,"Mittelverwendung";#N/A,#N/A,FALSE,"Finanzbedarfsrechnung"}</definedName>
    <definedName name="wrn.KosAG." localSheetId="14" hidden="1">{#N/A,#N/A,FALSE,"AG";#N/A,#N/A,FALSE,"UB-I";#N/A,#N/A,FALSE,"UB--SR_K";#N/A,#N/A,FALSE,"UB-SR_B";#N/A,#N/A,FALSE,"UB-KS";#N/A,#N/A,FALSE,"Kienzle"}</definedName>
    <definedName name="wrn.KosAG." hidden="1">{#N/A,#N/A,FALSE,"AG";#N/A,#N/A,FALSE,"UB-I";#N/A,#N/A,FALSE,"UB--SR_K";#N/A,#N/A,FALSE,"UB-SR_B";#N/A,#N/A,FALSE,"UB-KS";#N/A,#N/A,FALSE,"Kienzle"}</definedName>
    <definedName name="wrn.Kosten." localSheetId="14"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Lead._.Schedule." localSheetId="14"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3"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manager." hidden="1">{#N/A,#N/A,FALSE,"PART-1234-8-12-9(41)";#N/A,#N/A,FALSE,"PARTS-2(3)";#N/A,#N/A,FALSE,"VAN SYSTEM";#N/A,#N/A,FALSE,"PARTS-10(26)";#N/A,#N/A,FALSE,"PART-5-6-7-11(14)";#N/A,#N/A,FALSE,"PARTS-4(3)";#N/A,#N/A,FALSE,"PCLASS"}</definedName>
    <definedName name="wrn.ntfinance." localSheetId="14" hidden="1">{"Rate",#N/A,TRUE,"SUMMARY";"Ratios",#N/A,TRUE,"Ratios";"BUDGETREVENUE",#N/A,TRUE,"Revenue";"TOTALS",#N/A,TRUE,"DETAIL"}</definedName>
    <definedName name="wrn.ntfinance." localSheetId="13" hidden="1">{"Rate",#N/A,TRUE,"SUMMARY";"Ratios",#N/A,TRUE,"Ratios";"BUDGETREVENUE",#N/A,TRUE,"Revenue";"TOTALS",#N/A,TRUE,"DETAIL"}</definedName>
    <definedName name="wrn.ntfinance." hidden="1">{"Rate",#N/A,TRUE,"SUMMARY";"Ratios",#N/A,TRUE,"Ratios";"BUDGETREVENUE",#N/A,TRUE,"Revenue";"TOTALS",#N/A,TRUE,"DETAIL"}</definedName>
    <definedName name="wrn.PAIM._.TAX._.PRO." localSheetId="14"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13"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rint." localSheetId="14" hidden="1">{#N/A,#N/A,FALSE,"Japan 2003";#N/A,#N/A,FALSE,"Sheet2"}</definedName>
    <definedName name="wrn.print." localSheetId="13" hidden="1">{#N/A,#N/A,FALSE,"Japan 2003";#N/A,#N/A,FALSE,"Sheet2"}</definedName>
    <definedName name="wrn.print." hidden="1">{#N/A,#N/A,FALSE,"Japan 2003";#N/A,#N/A,FALSE,"Sheet2"}</definedName>
    <definedName name="wrn.PRINT._.ALL." hidden="1">{#N/A,#N/A,FALSE,"A1-NDC-CDC-SPLX";#N/A,#N/A,FALSE,"A2-NDC-CDC-AST";#N/A,#N/A,FALSE,"A3-CS-PCS-SPLX";#N/A,#N/A,FALSE,"A4-ANAVAR";#N/A,#N/A,FALSE,"A5-CS-PCS-SPLX"}</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hidden="1">{"Valuation Letter",#N/A,TRUE,"Valuation Summary";"Financial Statements Letter",#N/A,TRUE,"Results";"Results Letter",#N/A,TRUE,"Results";"Ratios Letter",#N/A,TRUE,"Results";"P2 Summary Letter",#N/A,TRUE,"Results";"Historical data Letter",#N/A,TRUE,"Historical Data";"P1 Inputs Letter",#N/A,TRUE,"Forecast Drivers";"P2 Inputs Letter",#N/A,TRUE,"Forecast Drivers"}</definedName>
    <definedName name="wrn.Print._.Results._.A4." hidden="1">{"Valuation",#N/A,TRUE,"Valuation Summary";"Financial Statements",#N/A,TRUE,"Results";"Results",#N/A,TRUE,"Results";"Ratios",#N/A,TRUE,"Results";"P2 Summary",#N/A,TRUE,"Results"}</definedName>
    <definedName name="wrn.Print._.Results._.Letter." hidden="1">{"Valuation Letter",#N/A,TRUE,"Valuation Summary";"Financial Statements Letter",#N/A,TRUE,"Results";"Results Letter",#N/A,TRUE,"Results";"Ratios Letter",#N/A,TRUE,"Results";"P2 Summary Letter",#N/A,TRUE,"Results"}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Relevant." localSheetId="14" hidden="1">{#N/A,#N/A,FALSE,"Title Page";#N/A,#N/A,FALSE,"Conclusions";#N/A,#N/A,FALSE,"Assum.";#N/A,#N/A,FALSE,"Sun  DCF-WC-Dep";#N/A,#N/A,FALSE,"MarketValue";#N/A,#N/A,FALSE,"BalSheet";#N/A,#N/A,FALSE,"WACC";#N/A,#N/A,FALSE,"PC+ Info.";#N/A,#N/A,FALSE,"PC+Info_2"}</definedName>
    <definedName name="wrn.Relevant." localSheetId="13"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1." localSheetId="14" hidden="1">{#N/A,#N/A,FALSE,"Title Page";#N/A,#N/A,FALSE,"Conclusions";#N/A,#N/A,FALSE,"Assum.";#N/A,#N/A,FALSE,"Sun  DCF-WC-Dep";#N/A,#N/A,FALSE,"MarketValue";#N/A,#N/A,FALSE,"BalSheet";#N/A,#N/A,FALSE,"WACC";#N/A,#N/A,FALSE,"PC+ Info.";#N/A,#N/A,FALSE,"PC+Info_2"}</definedName>
    <definedName name="wrn.Relevant1." localSheetId="13"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porting._.division._.manufacturing." hidden="1">{#N/A,#N/A,TRUE,"DIVISION-MTH";"MANUFACTURING",#N/A,TRUE,"MANUF-MTH";#N/A,#N/A,TRUE,"TRADING-MTH";#N/A,#N/A,TRUE,"DIV-COSTS-MTH"}</definedName>
    <definedName name="wrn.Revenue._.Details." hidden="1">{"Revenue by Industry Chart",#N/A,FALSE,"Mix";"Annual Revenue Detail",#N/A,FALSE,"Mix";"Quarterly Revenue Detail",#N/A,FALSE,"Mix"}</definedName>
    <definedName name="wrn.Revs." localSheetId="14" hidden="1">{"Base_rev",#N/A,FALSE,"Proj_IS_Base";"Projrev",#N/A,FALSE,"Proj_IS_wOTLC";"Delta",#N/A,FALSE,"Delta Rev_PV"}</definedName>
    <definedName name="wrn.Revs." localSheetId="13" hidden="1">{"Base_rev",#N/A,FALSE,"Proj_IS_Base";"Projrev",#N/A,FALSE,"Proj_IS_wOTLC";"Delta",#N/A,FALSE,"Delta Rev_PV"}</definedName>
    <definedName name="wrn.Revs." hidden="1">{"Base_rev",#N/A,FALSE,"Proj_IS_Base";"Projrev",#N/A,FALSE,"Proj_IS_wOTLC";"Delta",#N/A,FALSE,"Delta Rev_PV"}</definedName>
    <definedName name="wrn.Robuster." hidden="1">{#N/A,#N/A,TRUE,"Cover";#N/A,#N/A,TRUE,"Descr";#N/A,#N/A,TRUE,"Control (In)";#N/A,#N/A,TRUE,"Op Margin";#N/A,#N/A,TRUE,"Depn";#N/A,#N/A,TRUE,"Finance";#N/A,#N/A,TRUE,"Tax";#N/A,#N/A,TRUE,"P &amp; L";#N/A,#N/A,TRUE,"CFS";#N/A,#N/A,TRUE,"BS";#N/A,#N/A,TRUE,"DCF";#N/A,#N/A,TRUE,"Ratios"}</definedName>
    <definedName name="wrn.RPT." localSheetId="14"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A94TAX." localSheetId="1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1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1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rfi." hidden="1">{"srf1",#N/A,FALSE,"Sheet1";"rf2",#N/A,FALSE,"Sheet1"}</definedName>
    <definedName name="wrn.su." localSheetId="14"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 localSheetId="14" hidden="1">{"Opsys",#N/A,FALSE,"NPV_OPsys";"NT",#N/A,FALSE,"NPV_NT";"DevP",#N/A,FALSE,"NPV_DevPdt";"Office",#N/A,FALSE,"NPV_Office"}</definedName>
    <definedName name="wrn.sum." localSheetId="13" hidden="1">{"Opsys",#N/A,FALSE,"NPV_OPsys";"NT",#N/A,FALSE,"NPV_NT";"DevP",#N/A,FALSE,"NPV_DevPdt";"Office",#N/A,FALSE,"NPV_Office"}</definedName>
    <definedName name="wrn.sum." hidden="1">{"Opsys",#N/A,FALSE,"NPV_OPsys";"NT",#N/A,FALSE,"NPV_NT";"DevP",#N/A,FALSE,"NPV_DevPdt";"Office",#N/A,FALSE,"NPV_Office"}</definedName>
    <definedName name="wrn.SUPP." localSheetId="14"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13"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test." hidden="1">{"Seite 17",#N/A,FALSE,"Valve Lift Curves, cyl. 1 (17)"}</definedName>
    <definedName name="wrn.todo." hidden="1">{#N/A,#N/A,FALSE,"Hip.Bas";#N/A,#N/A,FALSE,"ventas";#N/A,#N/A,FALSE,"ingre-Año";#N/A,#N/A,FALSE,"ventas-Año";#N/A,#N/A,FALSE,"Costepro";#N/A,#N/A,FALSE,"inversion";#N/A,#N/A,FALSE,"personal";#N/A,#N/A,FALSE,"Gastos-V";#N/A,#N/A,FALSE,"Circulante";#N/A,#N/A,FALSE,"CONSOLI";#N/A,#N/A,FALSE,"Es-Fin";#N/A,#N/A,FALSE,"Margen-P"}</definedName>
    <definedName name="wrn.UNIONGAS94TAXRETURN." localSheetId="14"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13"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ALUATION." hidden="1">{#N/A,#N/A,FALSE,"Valuation Assumptions";#N/A,#N/A,FALSE,"Summary";#N/A,#N/A,FALSE,"DCF";#N/A,#N/A,FALSE,"Valuation";#N/A,#N/A,FALSE,"WACC";#N/A,#N/A,FALSE,"UBVH";#N/A,#N/A,FALSE,"Free Cash Flow"}</definedName>
    <definedName name="wrn.Valuation._.Worksheets." localSheetId="14"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13"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T수익성._.FULL._.SET."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UH33400." hidden="1">{#N/A,#N/A,FALSE,"2000";#N/A,#N/A,FALSE,"1999_1998"}</definedName>
    <definedName name="wrn.Y차._.종합." localSheetId="14"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삼성항공산업" localSheetId="14" hidden="1">{#N/A,#N/A,FALSE,"정공"}</definedName>
    <definedName name="WRN.삼성항공산업" hidden="1">{#N/A,#N/A,FALSE,"정공"}</definedName>
    <definedName name="wrn.선사." localSheetId="14" hidden="1">{#N/A,#N/A,FALSE,"품의서";#N/A,#N/A,FALSE,"전제";#N/A,#N/A,FALSE,"총손";#N/A,#N/A,FALSE,"손익"}</definedName>
    <definedName name="wrn.선사." hidden="1">{#N/A,#N/A,FALSE,"품의서";#N/A,#N/A,FALSE,"전제";#N/A,#N/A,FALSE,"총손";#N/A,#N/A,FALSE,"손익"}</definedName>
    <definedName name="wrn.설변현황." localSheetId="14" hidden="1">{#N/A,#N/A,FALSE,"KMC최종회의(7월) 자료"}</definedName>
    <definedName name="wrn.설변현황." hidden="1">{#N/A,#N/A,FALSE,"KMC최종회의(7월) 자료"}</definedName>
    <definedName name="wrn.세무조정계산서." localSheetId="1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손익보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3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규dep._.full._.set." localSheetId="1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월보." hidden="1">{#N/A,#N/A,FALSE,"표지";#N/A,#N/A,FALSE,"생산현황";#N/A,#N/A,FALSE,"중량수율";#N/A,#N/A,FALSE,"길이수율";#N/A,#N/A,FALSE,"노동";#N/A,#N/A,FALSE,"기기";#N/A,#N/A,FALSE,"기기가동(누계)";#N/A,#N/A,FALSE,"자소원료"}</definedName>
    <definedName name="wrn.자판정비._.월간회의자료."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14" hidden="1">{#N/A,#N/A,FALSE,"단축1";#N/A,#N/A,FALSE,"단축2";#N/A,#N/A,FALSE,"단축3";#N/A,#N/A,FALSE,"장축";#N/A,#N/A,FALSE,"4WD"}</definedName>
    <definedName name="wrn.전부인쇄." hidden="1">{#N/A,#N/A,FALSE,"단축1";#N/A,#N/A,FALSE,"단축2";#N/A,#N/A,FALSE,"단축3";#N/A,#N/A,FALSE,"장축";#N/A,#N/A,FALSE,"4WD"}</definedName>
    <definedName name="wrn.조흥94세무." localSheetId="1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1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1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14" hidden="1">{#N/A,#N/A,TRUE,"일정"}</definedName>
    <definedName name="wrn.주간._.보고." hidden="1">{#N/A,#N/A,TRUE,"일정"}</definedName>
    <definedName name="wrn.중장기._.사업계획."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wrn.직좌." localSheetId="14"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4" hidden="1">{#N/A,#N/A,FALSE,"표지";#N/A,#N/A,FALSE,"전제";#N/A,#N/A,FALSE,"대당";#N/A,#N/A,FALSE,"가공비";#N/A,#N/A,FALSE,"재료비";#N/A,#N/A,FALSE,"손익"}</definedName>
    <definedName name="wrn.직중." hidden="1">{#N/A,#N/A,FALSE,"표지";#N/A,#N/A,FALSE,"전제";#N/A,#N/A,FALSE,"대당";#N/A,#N/A,FALSE,"가공비";#N/A,#N/A,FALSE,"재료비";#N/A,#N/A,FALSE,"손익"}</definedName>
    <definedName name="wrn.퇴직금._.계산." localSheetId="14" hidden="1">{#N/A,#N/A,FALSE,"평균임금기준퇴직금"}</definedName>
    <definedName name="wrn.퇴직금._.계산." hidden="1">{#N/A,#N/A,FALSE,"평균임금기준퇴직금"}</definedName>
    <definedName name="wrn.현대정공구매현황." localSheetId="14" hidden="1">{#N/A,#N/A,FALSE,"정공"}</definedName>
    <definedName name="wrn.현대정공구매현황." hidden="1">{#N/A,#N/A,FALSE,"정공"}</definedName>
    <definedName name="wrn.회의0104.XLS." hidden="1">{#N/A,#N/A,TRUE,"매출진척-1";#N/A,#N/A,TRUE,"매출진척-2";#N/A,#N/A,TRUE,"제품실적";#N/A,#N/A,TRUE,"RAC";#N/A,#N/A,TRUE,"PAC ";#N/A,#N/A,TRUE,"재고현황";#N/A,#N/A,TRUE,"공지사항"}</definedName>
    <definedName name="wrn1.Bewegungsbilanz" hidden="1">{#N/A,#N/A,FALSE,"Mittelherkunft";#N/A,#N/A,FALSE,"Mittelverwendung"}</definedName>
    <definedName name="wrn1.supp." localSheetId="14"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13"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vu.Komplett." localSheetId="14"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localSheetId="1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w"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w" hidden="1">{#N/A,#N/A,FALSE,"손익표지";#N/A,#N/A,FALSE,"손익계산";#N/A,#N/A,FALSE,"일반관리비";#N/A,#N/A,FALSE,"영업외수익";#N/A,#N/A,FALSE,"영업외비용";#N/A,#N/A,FALSE,"매출액";#N/A,#N/A,FALSE,"요약손익";#N/A,#N/A,FALSE,"요약대차";#N/A,#N/A,FALSE,"매출채권현황";#N/A,#N/A,FALSE,"매출채권명세"}</definedName>
    <definedName name="ww.Rele" localSheetId="14" hidden="1">{#N/A,#N/A,FALSE,"Title Page";#N/A,#N/A,FALSE,"Conclusions";#N/A,#N/A,FALSE,"Assum.";#N/A,#N/A,FALSE,"Sun  DCF-WC-Dep";#N/A,#N/A,FALSE,"MarketValue";#N/A,#N/A,FALSE,"BalSheet";#N/A,#N/A,FALSE,"WACC";#N/A,#N/A,FALSE,"PC+ Info.";#N/A,#N/A,FALSE,"PC+Info_2"}</definedName>
    <definedName name="ww.Rele" localSheetId="13"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EWERE" localSheetId="14"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w"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ww" hidden="1">{#N/A,#N/A,FALSE,"손익표지";#N/A,#N/A,FALSE,"손익계산";#N/A,#N/A,FALSE,"일반관리비";#N/A,#N/A,FALSE,"영업외수익";#N/A,#N/A,FALSE,"영업외비용";#N/A,#N/A,FALSE,"매출액";#N/A,#N/A,FALSE,"요약손익";#N/A,#N/A,FALSE,"요약대차";#N/A,#N/A,FALSE,"매출채권현황";#N/A,#N/A,FALSE,"매출채권명세"}</definedName>
    <definedName name="WWW.SCREEN." localSheetId="1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 localSheetId="14" hidden="1">{#N/A,#N/A,FALSE,"PART-1234-8-12-9(41)";#N/A,#N/A,FALSE,"PARTS-2(3)";#N/A,#N/A,FALSE,"VAN SYSTEM";#N/A,#N/A,FALSE,"PARTS-10(26)";#N/A,#N/A,FALSE,"PART-5-6-7-11(14)";#N/A,#N/A,FALSE,"PARTS-4(3)";#N/A,#N/A,FALSE,"PCLASS"}</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WWWWWWW" localSheetId="14" hidden="1">{#N/A,#N/A,TRUE,"Y생산";#N/A,#N/A,TRUE,"Y판매";#N/A,#N/A,TRUE,"Y총물량";#N/A,#N/A,TRUE,"Y능력";#N/A,#N/A,TRUE,"YKD"}</definedName>
    <definedName name="WWWWWWW" hidden="1">{#N/A,#N/A,TRUE,"Y생산";#N/A,#N/A,TRUE,"Y판매";#N/A,#N/A,TRUE,"Y총물량";#N/A,#N/A,TRUE,"Y능력";#N/A,#N/A,TRUE,"YKD"}</definedName>
    <definedName name="WYU" localSheetId="14" hidden="1">{#N/A,#N/A,FALSE,"단축1";#N/A,#N/A,FALSE,"단축2";#N/A,#N/A,FALSE,"단축3";#N/A,#N/A,FALSE,"장축";#N/A,#N/A,FALSE,"4WD"}</definedName>
    <definedName name="WYU" hidden="1">{#N/A,#N/A,FALSE,"단축1";#N/A,#N/A,FALSE,"단축2";#N/A,#N/A,FALSE,"단축3";#N/A,#N/A,FALSE,"장축";#N/A,#N/A,FALSE,"4WD"}</definedName>
    <definedName name="w손익요약내용수정" localSheetId="14" hidden="1">{#N/A,#N/A,FALSE,"정공"}</definedName>
    <definedName name="w손익요약내용수정" hidden="1">{#N/A,#N/A,FALSE,"정공"}</definedName>
    <definedName name="x" localSheetId="14" hidden="1">{#N/A,#N/A,FALSE,"Aging Summary";#N/A,#N/A,FALSE,"Ratio Analysis";#N/A,#N/A,FALSE,"Test 120 Day Accts";#N/A,#N/A,FALSE,"Tickmarks"}</definedName>
    <definedName name="X">[23]KUNGDEVI!#REF!</definedName>
    <definedName name="xasd" localSheetId="14" hidden="1">{#N/A,#N/A,FALSE,"KMC최종회의(7월) 자료"}</definedName>
    <definedName name="xasd" hidden="1">{#N/A,#N/A,FALSE,"KMC최종회의(7월) 자료"}</definedName>
    <definedName name="xc" localSheetId="14" hidden="1">{#N/A,#N/A,FALSE,"손익표지";#N/A,#N/A,FALSE,"손익계산";#N/A,#N/A,FALSE,"일반관리비";#N/A,#N/A,FALSE,"영업외수익";#N/A,#N/A,FALSE,"영업외비용";#N/A,#N/A,FALSE,"매출액";#N/A,#N/A,FALSE,"요약손익";#N/A,#N/A,FALSE,"요약대차";#N/A,#N/A,FALSE,"매출채권현황";#N/A,#N/A,FALSE,"매출채권명세"}</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D개선" localSheetId="14" hidden="1">{#N/A,#N/A,FALSE,"단축1";#N/A,#N/A,FALSE,"단축2";#N/A,#N/A,FALSE,"단축3";#N/A,#N/A,FALSE,"장축";#N/A,#N/A,FALSE,"4WD"}</definedName>
    <definedName name="XD개선" hidden="1">{#N/A,#N/A,FALSE,"단축1";#N/A,#N/A,FALSE,"단축2";#N/A,#N/A,FALSE,"단축3";#N/A,#N/A,FALSE,"장축";#N/A,#N/A,FALSE,"4WD"}</definedName>
    <definedName name="XD설문" localSheetId="14" hidden="1">{#N/A,#N/A,FALSE,"단축1";#N/A,#N/A,FALSE,"단축2";#N/A,#N/A,FALSE,"단축3";#N/A,#N/A,FALSE,"장축";#N/A,#N/A,FALSE,"4WD"}</definedName>
    <definedName name="XD설문" hidden="1">{#N/A,#N/A,FALSE,"단축1";#N/A,#N/A,FALSE,"단축2";#N/A,#N/A,FALSE,"단축3";#N/A,#N/A,FALSE,"장축";#N/A,#N/A,FALSE,"4WD"}</definedName>
    <definedName name="xd품확일정" localSheetId="14" hidden="1">{#N/A,#N/A,FALSE,"단축1";#N/A,#N/A,FALSE,"단축2";#N/A,#N/A,FALSE,"단축3";#N/A,#N/A,FALSE,"장축";#N/A,#N/A,FALSE,"4WD"}</definedName>
    <definedName name="xd품확일정" hidden="1">{#N/A,#N/A,FALSE,"단축1";#N/A,#N/A,FALSE,"단축2";#N/A,#N/A,FALSE,"단축3";#N/A,#N/A,FALSE,"장축";#N/A,#N/A,FALSE,"4WD"}</definedName>
    <definedName name="XG개" localSheetId="14" hidden="1">{#N/A,#N/A,FALSE,"단축1";#N/A,#N/A,FALSE,"단축2";#N/A,#N/A,FALSE,"단축3";#N/A,#N/A,FALSE,"장축";#N/A,#N/A,FALSE,"4WD"}</definedName>
    <definedName name="XG개" hidden="1">{#N/A,#N/A,FALSE,"단축1";#N/A,#N/A,FALSE,"단축2";#N/A,#N/A,FALSE,"단축3";#N/A,#N/A,FALSE,"장축";#N/A,#N/A,FALSE,"4WD"}</definedName>
    <definedName name="XG개선" localSheetId="14" hidden="1">{#N/A,#N/A,FALSE,"단축1";#N/A,#N/A,FALSE,"단축2";#N/A,#N/A,FALSE,"단축3";#N/A,#N/A,FALSE,"장축";#N/A,#N/A,FALSE,"4WD"}</definedName>
    <definedName name="XG개선" hidden="1">{#N/A,#N/A,FALSE,"단축1";#N/A,#N/A,FALSE,"단축2";#N/A,#N/A,FALSE,"단축3";#N/A,#N/A,FALSE,"장축";#N/A,#N/A,FALSE,"4WD"}</definedName>
    <definedName name="XNWK" hidden="1">{#N/A,#N/A,FALSE,"지침";#N/A,#N/A,FALSE,"환경분석";#N/A,#N/A,FALSE,"Sheet16"}</definedName>
    <definedName name="XREF_COLUMN_1" localSheetId="14" hidden="1">#REF!</definedName>
    <definedName name="XREF_COLUMN_1" localSheetId="13" hidden="1">#REF!</definedName>
    <definedName name="XREF_COLUMN_1" localSheetId="27" hidden="1">#REF!</definedName>
    <definedName name="XREF_COLUMN_1" localSheetId="20" hidden="1">#REF!</definedName>
    <definedName name="XREF_COLUMN_1" hidden="1">#REF!</definedName>
    <definedName name="XREF_COLUMN_10" hidden="1">'[47]8100'!$L$1:$L$65536</definedName>
    <definedName name="XREF_COLUMN_11" localSheetId="14" hidden="1">[48]유형자산!#REF!</definedName>
    <definedName name="XREF_COLUMN_11" localSheetId="13" hidden="1">[48]유형자산!#REF!</definedName>
    <definedName name="XREF_COLUMN_11" localSheetId="27" hidden="1">[48]유형자산!#REF!</definedName>
    <definedName name="XREF_COLUMN_11" localSheetId="20" hidden="1">[48]유형자산!#REF!</definedName>
    <definedName name="XREF_COLUMN_11" hidden="1">[48]유형자산!#REF!</definedName>
    <definedName name="XREF_COLUMN_18" localSheetId="14" hidden="1">#REF!</definedName>
    <definedName name="XREF_COLUMN_18" hidden="1">#REF!</definedName>
    <definedName name="XREF_COLUMN_2" localSheetId="14" hidden="1">[49]감가상각누계액!#REF!</definedName>
    <definedName name="XREF_COLUMN_2" localSheetId="13" hidden="1">[49]감가상각누계액!#REF!</definedName>
    <definedName name="XREF_COLUMN_2" localSheetId="27" hidden="1">[49]감가상각누계액!#REF!</definedName>
    <definedName name="XREF_COLUMN_2" localSheetId="20" hidden="1">[49]감가상각누계액!#REF!</definedName>
    <definedName name="XREF_COLUMN_2" hidden="1">[49]감가상각누계액!#REF!</definedName>
    <definedName name="XREF_COLUMN_24" localSheetId="14" hidden="1">#REF!</definedName>
    <definedName name="XREF_COLUMN_24" hidden="1">#REF!</definedName>
    <definedName name="XREF_COLUMN_3" localSheetId="14" hidden="1">[48]판관비!#REF!</definedName>
    <definedName name="XREF_COLUMN_3" localSheetId="13" hidden="1">[48]판관비!#REF!</definedName>
    <definedName name="XREF_COLUMN_3" localSheetId="27" hidden="1">[48]판관비!#REF!</definedName>
    <definedName name="XREF_COLUMN_3" localSheetId="20" hidden="1">[48]판관비!#REF!</definedName>
    <definedName name="XREF_COLUMN_3" hidden="1">[48]판관비!#REF!</definedName>
    <definedName name="XREF_COLUMN_4" localSheetId="14" hidden="1">#REF!</definedName>
    <definedName name="XREF_COLUMN_4" localSheetId="13" hidden="1">#REF!</definedName>
    <definedName name="XREF_COLUMN_4" localSheetId="27" hidden="1">#REF!</definedName>
    <definedName name="XREF_COLUMN_4" localSheetId="20" hidden="1">#REF!</definedName>
    <definedName name="XREF_COLUMN_4" hidden="1">#REF!</definedName>
    <definedName name="XREF_COLUMN_5" localSheetId="14" hidden="1">#REF!</definedName>
    <definedName name="XREF_COLUMN_5" localSheetId="13" hidden="1">#REF!</definedName>
    <definedName name="XREF_COLUMN_5" localSheetId="27" hidden="1">#REF!</definedName>
    <definedName name="XREF_COLUMN_5" localSheetId="20" hidden="1">#REF!</definedName>
    <definedName name="XREF_COLUMN_5" hidden="1">#REF!</definedName>
    <definedName name="XREF_COLUMN_6" localSheetId="14" hidden="1">#REF!</definedName>
    <definedName name="XREF_COLUMN_6" localSheetId="13" hidden="1">#REF!</definedName>
    <definedName name="XREF_COLUMN_6" localSheetId="27" hidden="1">#REF!</definedName>
    <definedName name="XREF_COLUMN_6" localSheetId="20" hidden="1">#REF!</definedName>
    <definedName name="XREF_COLUMN_6" hidden="1">#REF!</definedName>
    <definedName name="XREF_COLUMN_7" localSheetId="14" hidden="1">#REF!</definedName>
    <definedName name="XREF_COLUMN_7" localSheetId="13" hidden="1">#REF!</definedName>
    <definedName name="XREF_COLUMN_7" localSheetId="27" hidden="1">#REF!</definedName>
    <definedName name="XREF_COLUMN_7" localSheetId="20" hidden="1">#REF!</definedName>
    <definedName name="XREF_COLUMN_7" hidden="1">#REF!</definedName>
    <definedName name="XREF_COLUMN_8" localSheetId="14" hidden="1">[48]유형자산!#REF!</definedName>
    <definedName name="XREF_COLUMN_8" localSheetId="13" hidden="1">[48]유형자산!#REF!</definedName>
    <definedName name="XREF_COLUMN_8" localSheetId="27" hidden="1">[48]유형자산!#REF!</definedName>
    <definedName name="XREF_COLUMN_8" localSheetId="20" hidden="1">[48]유형자산!#REF!</definedName>
    <definedName name="XREF_COLUMN_8" hidden="1">[48]유형자산!#REF!</definedName>
    <definedName name="XRefActiveRow" localSheetId="14" hidden="1">#REF!</definedName>
    <definedName name="XRefActiveRow" localSheetId="13" hidden="1">#REF!</definedName>
    <definedName name="XRefActiveRow" localSheetId="27" hidden="1">#REF!</definedName>
    <definedName name="XRefActiveRow" localSheetId="20" hidden="1">#REF!</definedName>
    <definedName name="XRefActiveRow" hidden="1">#REF!</definedName>
    <definedName name="XRefColumnsCount" hidden="1">2</definedName>
    <definedName name="XRefCopy1" localSheetId="14" hidden="1">#REF!</definedName>
    <definedName name="XRefCopy1" localSheetId="13" hidden="1">#REF!</definedName>
    <definedName name="XRefCopy1" localSheetId="27" hidden="1">#REF!</definedName>
    <definedName name="XRefCopy1" localSheetId="20" hidden="1">#REF!</definedName>
    <definedName name="XRefCopy1" hidden="1">#REF!</definedName>
    <definedName name="XRefCopy10" hidden="1">[50]매출채권!$E$6</definedName>
    <definedName name="XRefCopy10Row" hidden="1">[50]XREF!$A$6:$IV$6</definedName>
    <definedName name="XRefCopy11" hidden="1">[50]매출채권!$G$5</definedName>
    <definedName name="XRefCopy11Row" hidden="1">[50]XREF!$A$8:$IV$8</definedName>
    <definedName name="XRefCopy12" hidden="1">[50]기타당좌자산!$D$5</definedName>
    <definedName name="XRefCopy12Row" localSheetId="14" hidden="1">[49]XREF!#REF!</definedName>
    <definedName name="XRefCopy12Row" localSheetId="13" hidden="1">[49]XREF!#REF!</definedName>
    <definedName name="XRefCopy12Row" localSheetId="27" hidden="1">[49]XREF!#REF!</definedName>
    <definedName name="XRefCopy12Row" localSheetId="20" hidden="1">[49]XREF!#REF!</definedName>
    <definedName name="XRefCopy12Row" hidden="1">[49]XREF!#REF!</definedName>
    <definedName name="XRefCopy13" hidden="1">[50]기타당좌자산!$D$29</definedName>
    <definedName name="XRefCopy13Row" localSheetId="14" hidden="1">[49]XREF!#REF!</definedName>
    <definedName name="XRefCopy13Row" localSheetId="13" hidden="1">[49]XREF!#REF!</definedName>
    <definedName name="XRefCopy13Row" localSheetId="27" hidden="1">[49]XREF!#REF!</definedName>
    <definedName name="XRefCopy13Row" localSheetId="20" hidden="1">[49]XREF!#REF!</definedName>
    <definedName name="XRefCopy13Row" hidden="1">[49]XREF!#REF!</definedName>
    <definedName name="XRefCopy14" localSheetId="14" hidden="1">#REF!</definedName>
    <definedName name="XRefCopy14" localSheetId="13" hidden="1">#REF!</definedName>
    <definedName name="XRefCopy14" localSheetId="27" hidden="1">#REF!</definedName>
    <definedName name="XRefCopy14" localSheetId="20" hidden="1">#REF!</definedName>
    <definedName name="XRefCopy14" hidden="1">#REF!</definedName>
    <definedName name="XRefCopy14Row" hidden="1">[50]XREF!$A$14:$IV$14</definedName>
    <definedName name="XRefCopy15" hidden="1">[50]기타당좌자산!$D$33</definedName>
    <definedName name="XRefCopy15Row" hidden="1">[50]XREF!$A$16:$IV$16</definedName>
    <definedName name="XRefCopy16" hidden="1">[50]기타당좌자산!$D$37</definedName>
    <definedName name="XRefCopy16Row" hidden="1">[50]XREF!$A$18:$IV$18</definedName>
    <definedName name="XRefCopy17" hidden="1">[50]기타당좌자산!$D$41</definedName>
    <definedName name="XRefCopy17Row" hidden="1">[50]XREF!$A$20:$IV$20</definedName>
    <definedName name="XRefCopy18" hidden="1">[50]기타당좌자산!$D$42</definedName>
    <definedName name="XRefCopy18Row" hidden="1">[50]XREF!$A$22:$IV$22</definedName>
    <definedName name="XRefCopy19" hidden="1">[50]기타당좌자산!$D$43</definedName>
    <definedName name="XRefCopy19Row" hidden="1">[50]XREF!$A$24:$IV$24</definedName>
    <definedName name="XRefCopy1Row" localSheetId="14" hidden="1">[51]XREF!#REF!</definedName>
    <definedName name="XRefCopy1Row" localSheetId="13" hidden="1">[51]XREF!#REF!</definedName>
    <definedName name="XRefCopy1Row" localSheetId="27" hidden="1">[51]XREF!#REF!</definedName>
    <definedName name="XRefCopy1Row" localSheetId="20" hidden="1">[51]XREF!#REF!</definedName>
    <definedName name="XRefCopy1Row" hidden="1">[51]XREF!#REF!</definedName>
    <definedName name="XRefCopy2" localSheetId="14" hidden="1">#REF!</definedName>
    <definedName name="XRefCopy2" localSheetId="13" hidden="1">#REF!</definedName>
    <definedName name="XRefCopy2" localSheetId="27" hidden="1">#REF!</definedName>
    <definedName name="XRefCopy2" localSheetId="20" hidden="1">#REF!</definedName>
    <definedName name="XRefCopy2" hidden="1">#REF!</definedName>
    <definedName name="XRefCopy20" localSheetId="14" hidden="1">#REF!</definedName>
    <definedName name="XRefCopy20" hidden="1">#REF!</definedName>
    <definedName name="XRefCopy20Row" localSheetId="13" hidden="1">[52]XREF!$A$2:$IV$2</definedName>
    <definedName name="XRefCopy20Row" hidden="1">[53]XREF!$A$2:$IV$2</definedName>
    <definedName name="XRefCopy21" localSheetId="14" hidden="1">#REF!</definedName>
    <definedName name="XRefCopy21" hidden="1">'[54]Debt (KDB)'!#REF!</definedName>
    <definedName name="XRefCopy21Row" localSheetId="13" hidden="1">[52]XREF!$A$4:$IV$4</definedName>
    <definedName name="XRefCopy21Row" hidden="1">[53]XREF!$A$4:$IV$4</definedName>
    <definedName name="XRefCopy22" localSheetId="14" hidden="1">#REF!</definedName>
    <definedName name="XRefCopy22" hidden="1">'[54]Debt (KDB)'!#REF!</definedName>
    <definedName name="XRefCopy22Row" localSheetId="14" hidden="1">[55]XREF!#REF!</definedName>
    <definedName name="XRefCopy22Row" hidden="1">[55]XREF!#REF!</definedName>
    <definedName name="XRefCopy23" localSheetId="14" hidden="1">#REF!</definedName>
    <definedName name="XRefCopy23" hidden="1">'[54]Debt (KDB)'!#REF!</definedName>
    <definedName name="XRefCopy23Row" localSheetId="14" hidden="1">[55]XREF!#REF!</definedName>
    <definedName name="XRefCopy23Row" hidden="1">[55]XREF!#REF!</definedName>
    <definedName name="XRefCopy24" localSheetId="14" hidden="1">#REF!</definedName>
    <definedName name="XRefCopy24" hidden="1">'[54]Debt (KDB)'!#REF!</definedName>
    <definedName name="XRefCopy24Row" localSheetId="14" hidden="1">[55]XREF!#REF!</definedName>
    <definedName name="XRefCopy24Row" hidden="1">[55]XREF!#REF!</definedName>
    <definedName name="XRefCopy25" localSheetId="14" hidden="1">#REF!</definedName>
    <definedName name="XRefCopy25" hidden="1">'[54]Debt (KDB)'!#REF!</definedName>
    <definedName name="XRefCopy25Row" localSheetId="14" hidden="1">[55]XREF!#REF!</definedName>
    <definedName name="XRefCopy25Row" hidden="1">[55]XREF!#REF!</definedName>
    <definedName name="XRefCopy26" localSheetId="14" hidden="1">#REF!</definedName>
    <definedName name="XRefCopy26" hidden="1">#REF!</definedName>
    <definedName name="XRefCopy26Row" localSheetId="14" hidden="1">[55]XREF!#REF!</definedName>
    <definedName name="XRefCopy26Row" hidden="1">[55]XREF!#REF!</definedName>
    <definedName name="XRefCopy2Row" localSheetId="14" hidden="1">#REF!</definedName>
    <definedName name="XRefCopy2Row" localSheetId="13" hidden="1">#REF!</definedName>
    <definedName name="XRefCopy2Row" localSheetId="27" hidden="1">#REF!</definedName>
    <definedName name="XRefCopy2Row" localSheetId="20" hidden="1">#REF!</definedName>
    <definedName name="XRefCopy2Row" hidden="1">#REF!</definedName>
    <definedName name="XRefCopy3" localSheetId="14" hidden="1">[56]!TextRefCopy2</definedName>
    <definedName name="XRefCopy3" localSheetId="13" hidden="1">[0]!TextRefCopy2</definedName>
    <definedName name="XRefCopy3" localSheetId="27" hidden="1">[0]!TextRefCopy2</definedName>
    <definedName name="XRefCopy3" localSheetId="20" hidden="1">[0]!TextRefCopy2</definedName>
    <definedName name="XRefCopy3" hidden="1">[0]!TextRefCopy2</definedName>
    <definedName name="XRefCopy31Row" localSheetId="14" hidden="1">[57]XREF!#REF!</definedName>
    <definedName name="XRefCopy31Row" hidden="1">[57]XREF!#REF!</definedName>
    <definedName name="XRefCopy37Row" localSheetId="14" hidden="1">[57]XREF!#REF!</definedName>
    <definedName name="XRefCopy37Row" hidden="1">[57]XREF!#REF!</definedName>
    <definedName name="XRefCopy39" localSheetId="14" hidden="1">#REF!</definedName>
    <definedName name="XRefCopy39" hidden="1">#REF!</definedName>
    <definedName name="XRefCopy3Row" localSheetId="14" hidden="1">[58]XREF!#REF!</definedName>
    <definedName name="XRefCopy3Row" localSheetId="13" hidden="1">[58]XREF!#REF!</definedName>
    <definedName name="XRefCopy3Row" localSheetId="27" hidden="1">[58]XREF!#REF!</definedName>
    <definedName name="XRefCopy3Row" localSheetId="20" hidden="1">[58]XREF!#REF!</definedName>
    <definedName name="XRefCopy3Row" hidden="1">[58]XREF!#REF!</definedName>
    <definedName name="XRefCopy4" localSheetId="14" hidden="1">#REF!</definedName>
    <definedName name="XRefCopy4" localSheetId="13" hidden="1">#REF!</definedName>
    <definedName name="XRefCopy4" localSheetId="27" hidden="1">#REF!</definedName>
    <definedName name="XRefCopy4" localSheetId="20" hidden="1">#REF!</definedName>
    <definedName name="XRefCopy4" hidden="1">#REF!</definedName>
    <definedName name="XRefCopy40Row" localSheetId="14" hidden="1">[57]XREF!#REF!</definedName>
    <definedName name="XRefCopy40Row" hidden="1">[57]XREF!#REF!</definedName>
    <definedName name="XRefCopy4Row" localSheetId="14" hidden="1">[55]XREF!#REF!</definedName>
    <definedName name="XRefCopy4Row" hidden="1">#REF!</definedName>
    <definedName name="XRefCopy5" localSheetId="14" hidden="1">[56]!TextRefCopy2</definedName>
    <definedName name="XRefCopy5" localSheetId="13" hidden="1">[0]!TextRefCopy2</definedName>
    <definedName name="XRefCopy5" localSheetId="27" hidden="1">[0]!TextRefCopy2</definedName>
    <definedName name="XRefCopy5" localSheetId="20" hidden="1">[0]!TextRefCopy2</definedName>
    <definedName name="XRefCopy5" hidden="1">[0]!TextRefCopy2</definedName>
    <definedName name="XRefCopy51" localSheetId="14" hidden="1">#REF!</definedName>
    <definedName name="XRefCopy51" hidden="1">#REF!</definedName>
    <definedName name="XRefCopy52" localSheetId="14" hidden="1">#REF!</definedName>
    <definedName name="XRefCopy52" hidden="1">#REF!</definedName>
    <definedName name="XRefCopy53" localSheetId="14" hidden="1">#REF!</definedName>
    <definedName name="XRefCopy53" hidden="1">#REF!</definedName>
    <definedName name="XRefCopy53Row" localSheetId="14" hidden="1">[57]XREF!#REF!</definedName>
    <definedName name="XRefCopy53Row" hidden="1">[57]XREF!#REF!</definedName>
    <definedName name="XRefCopy54" localSheetId="14" hidden="1">#REF!</definedName>
    <definedName name="XRefCopy54" hidden="1">#REF!</definedName>
    <definedName name="XRefCopy5Row" localSheetId="14" hidden="1">[49]XREF!#REF!</definedName>
    <definedName name="XRefCopy5Row" localSheetId="13" hidden="1">[49]XREF!#REF!</definedName>
    <definedName name="XRefCopy5Row" localSheetId="27" hidden="1">[49]XREF!#REF!</definedName>
    <definedName name="XRefCopy5Row" localSheetId="20" hidden="1">[49]XREF!#REF!</definedName>
    <definedName name="XRefCopy5Row" hidden="1">[49]XREF!#REF!</definedName>
    <definedName name="XRefCopy6" localSheetId="14" hidden="1">#REF!</definedName>
    <definedName name="XRefCopy6" localSheetId="13" hidden="1">#REF!</definedName>
    <definedName name="XRefCopy6" localSheetId="27" hidden="1">#REF!</definedName>
    <definedName name="XRefCopy6" localSheetId="20" hidden="1">#REF!</definedName>
    <definedName name="XRefCopy6" hidden="1">#REF!</definedName>
    <definedName name="XRefCopy6Row" localSheetId="14" hidden="1">[55]XREF!#REF!</definedName>
    <definedName name="XRefCopy6Row" hidden="1">#REF!</definedName>
    <definedName name="XRefCopy7" localSheetId="14" hidden="1">#REF!</definedName>
    <definedName name="XRefCopy7" localSheetId="13" hidden="1">#REF!</definedName>
    <definedName name="XRefCopy7" localSheetId="27" hidden="1">#REF!</definedName>
    <definedName name="XRefCopy7" localSheetId="20" hidden="1">#REF!</definedName>
    <definedName name="XRefCopy7" hidden="1">#REF!</definedName>
    <definedName name="XRefCopy7Row" localSheetId="14" hidden="1">[59]XREF!#REF!</definedName>
    <definedName name="XRefCopy7Row" localSheetId="13" hidden="1">[59]XREF!#REF!</definedName>
    <definedName name="XRefCopy7Row" localSheetId="27" hidden="1">[59]XREF!#REF!</definedName>
    <definedName name="XRefCopy7Row" localSheetId="20" hidden="1">[59]XREF!#REF!</definedName>
    <definedName name="XRefCopy7Row" hidden="1">[59]XREF!#REF!</definedName>
    <definedName name="XRefCopy8" localSheetId="14" hidden="1">#REF!</definedName>
    <definedName name="XRefCopy8" localSheetId="13" hidden="1">#REF!</definedName>
    <definedName name="XRefCopy8" localSheetId="27" hidden="1">#REF!</definedName>
    <definedName name="XRefCopy8" localSheetId="20" hidden="1">#REF!</definedName>
    <definedName name="XRefCopy8" hidden="1">#REF!</definedName>
    <definedName name="XRefCopy8Row" hidden="1">[50]XREF!$A$2:$IV$2</definedName>
    <definedName name="XRefCopy9" hidden="1">[50]매출채권!$E$6</definedName>
    <definedName name="XRefCopy9Row" hidden="1">[50]XREF!$A$4:$IV$4</definedName>
    <definedName name="XRefCopyRangeCount" hidden="1">2</definedName>
    <definedName name="XRefPaste1" localSheetId="14" hidden="1">#REF!</definedName>
    <definedName name="XRefPaste1" localSheetId="13" hidden="1">#REF!</definedName>
    <definedName name="XRefPaste1" localSheetId="27" hidden="1">#REF!</definedName>
    <definedName name="XRefPaste1" localSheetId="20" hidden="1">#REF!</definedName>
    <definedName name="XRefPaste1" hidden="1">#REF!</definedName>
    <definedName name="XRefPaste10" localSheetId="14" hidden="1">#REF!</definedName>
    <definedName name="XRefPaste10" localSheetId="13" hidden="1">#REF!</definedName>
    <definedName name="XRefPaste10" localSheetId="27" hidden="1">#REF!</definedName>
    <definedName name="XRefPaste10" localSheetId="20" hidden="1">#REF!</definedName>
    <definedName name="XRefPaste10" hidden="1">#REF!</definedName>
    <definedName name="XRefPaste10Row" localSheetId="14" hidden="1">[60]XREF!#REF!</definedName>
    <definedName name="XRefPaste10Row" localSheetId="13" hidden="1">[60]XREF!#REF!</definedName>
    <definedName name="XRefPaste10Row" localSheetId="27" hidden="1">[60]XREF!#REF!</definedName>
    <definedName name="XRefPaste10Row" localSheetId="20" hidden="1">[60]XREF!#REF!</definedName>
    <definedName name="XRefPaste10Row" hidden="1">[60]XREF!#REF!</definedName>
    <definedName name="XRefPaste11" localSheetId="14" hidden="1">#REF!</definedName>
    <definedName name="XRefPaste11" localSheetId="13" hidden="1">#REF!</definedName>
    <definedName name="XRefPaste11" localSheetId="27" hidden="1">#REF!</definedName>
    <definedName name="XRefPaste11" localSheetId="20" hidden="1">#REF!</definedName>
    <definedName name="XRefPaste11" hidden="1">#REF!</definedName>
    <definedName name="XRefPaste11Row" localSheetId="14" hidden="1">[59]XREF!#REF!</definedName>
    <definedName name="XRefPaste11Row" localSheetId="13" hidden="1">[59]XREF!#REF!</definedName>
    <definedName name="XRefPaste11Row" localSheetId="27" hidden="1">[59]XREF!#REF!</definedName>
    <definedName name="XRefPaste11Row" localSheetId="20" hidden="1">[59]XREF!#REF!</definedName>
    <definedName name="XRefPaste11Row" hidden="1">[59]XREF!#REF!</definedName>
    <definedName name="XRefPaste12" localSheetId="14" hidden="1">#REF!</definedName>
    <definedName name="XRefPaste12" localSheetId="13" hidden="1">#REF!</definedName>
    <definedName name="XRefPaste12" localSheetId="27" hidden="1">#REF!</definedName>
    <definedName name="XRefPaste12" localSheetId="20" hidden="1">#REF!</definedName>
    <definedName name="XRefPaste12" hidden="1">#REF!</definedName>
    <definedName name="XRefPaste12Row" localSheetId="14" hidden="1">[59]XREF!#REF!</definedName>
    <definedName name="XRefPaste12Row" localSheetId="13" hidden="1">[59]XREF!#REF!</definedName>
    <definedName name="XRefPaste12Row" localSheetId="27" hidden="1">[59]XREF!#REF!</definedName>
    <definedName name="XRefPaste12Row" localSheetId="20" hidden="1">[59]XREF!#REF!</definedName>
    <definedName name="XRefPaste12Row" hidden="1">[59]XREF!#REF!</definedName>
    <definedName name="XRefPaste13" localSheetId="14" hidden="1">#REF!</definedName>
    <definedName name="XRefPaste13" localSheetId="13" hidden="1">#REF!</definedName>
    <definedName name="XRefPaste13" localSheetId="27" hidden="1">#REF!</definedName>
    <definedName name="XRefPaste13" localSheetId="20" hidden="1">#REF!</definedName>
    <definedName name="XRefPaste13" hidden="1">#REF!</definedName>
    <definedName name="XRefPaste13Row" hidden="1">[50]XREF!$A$15:$IV$15</definedName>
    <definedName name="XRefPaste14" localSheetId="14" hidden="1">#REF!</definedName>
    <definedName name="XRefPaste14" localSheetId="13" hidden="1">#REF!</definedName>
    <definedName name="XRefPaste14" localSheetId="27" hidden="1">#REF!</definedName>
    <definedName name="XRefPaste14" localSheetId="20" hidden="1">#REF!</definedName>
    <definedName name="XRefPaste14" hidden="1">#REF!</definedName>
    <definedName name="XRefPaste14Row" localSheetId="14" hidden="1">[59]XREF!#REF!</definedName>
    <definedName name="XRefPaste14Row" localSheetId="13" hidden="1">[59]XREF!#REF!</definedName>
    <definedName name="XRefPaste14Row" localSheetId="27" hidden="1">[59]XREF!#REF!</definedName>
    <definedName name="XRefPaste14Row" localSheetId="20" hidden="1">[59]XREF!#REF!</definedName>
    <definedName name="XRefPaste14Row" hidden="1">[59]XREF!#REF!</definedName>
    <definedName name="XRefPaste15" localSheetId="14" hidden="1">#REF!</definedName>
    <definedName name="XRefPaste15" localSheetId="13" hidden="1">#REF!</definedName>
    <definedName name="XRefPaste15" localSheetId="27" hidden="1">#REF!</definedName>
    <definedName name="XRefPaste15" localSheetId="20" hidden="1">#REF!</definedName>
    <definedName name="XRefPaste15" hidden="1">#REF!</definedName>
    <definedName name="XRefPaste15Row" hidden="1">[50]XREF!$A$19:$IV$19</definedName>
    <definedName name="XRefPaste16" localSheetId="14" hidden="1">#REF!</definedName>
    <definedName name="XRefPaste16" localSheetId="13" hidden="1">#REF!</definedName>
    <definedName name="XRefPaste16" localSheetId="27" hidden="1">#REF!</definedName>
    <definedName name="XRefPaste16" localSheetId="20" hidden="1">#REF!</definedName>
    <definedName name="XRefPaste16" hidden="1">#REF!</definedName>
    <definedName name="XRefPaste16Row" localSheetId="14" hidden="1">[59]XREF!#REF!</definedName>
    <definedName name="XRefPaste16Row" localSheetId="13" hidden="1">[59]XREF!#REF!</definedName>
    <definedName name="XRefPaste16Row" localSheetId="27" hidden="1">[59]XREF!#REF!</definedName>
    <definedName name="XRefPaste16Row" localSheetId="20" hidden="1">[59]XREF!#REF!</definedName>
    <definedName name="XRefPaste16Row" hidden="1">[59]XREF!#REF!</definedName>
    <definedName name="XRefPaste17" localSheetId="14" hidden="1">#REF!</definedName>
    <definedName name="XRefPaste17" localSheetId="13" hidden="1">#REF!</definedName>
    <definedName name="XRefPaste17" localSheetId="27" hidden="1">#REF!</definedName>
    <definedName name="XRefPaste17" localSheetId="20" hidden="1">#REF!</definedName>
    <definedName name="XRefPaste17" hidden="1">#REF!</definedName>
    <definedName name="XRefPaste17Row" hidden="1">[50]XREF!$A$23:$IV$23</definedName>
    <definedName name="XRefPaste18" localSheetId="14" hidden="1">#REF!</definedName>
    <definedName name="XRefPaste18" localSheetId="13" hidden="1">#REF!</definedName>
    <definedName name="XRefPaste18" localSheetId="27" hidden="1">#REF!</definedName>
    <definedName name="XRefPaste18" localSheetId="20" hidden="1">#REF!</definedName>
    <definedName name="XRefPaste18" hidden="1">#REF!</definedName>
    <definedName name="XRefPaste18Row" hidden="1">[50]XREF!$A$25:$IV$25</definedName>
    <definedName name="XRefPaste19" localSheetId="14" hidden="1">#REF!</definedName>
    <definedName name="XRefPaste19" localSheetId="13" hidden="1">#REF!</definedName>
    <definedName name="XRefPaste19" localSheetId="27" hidden="1">#REF!</definedName>
    <definedName name="XRefPaste19" localSheetId="20" hidden="1">#REF!</definedName>
    <definedName name="XRefPaste19" hidden="1">#REF!</definedName>
    <definedName name="XRefPaste19Row" localSheetId="13" hidden="1">[52]XREF!$A$3:$IV$3</definedName>
    <definedName name="XRefPaste19Row" hidden="1">[53]XREF!$A$3:$IV$3</definedName>
    <definedName name="XRefPaste1Row" localSheetId="14" hidden="1">#REF!</definedName>
    <definedName name="XRefPaste1Row" localSheetId="13" hidden="1">#REF!</definedName>
    <definedName name="XRefPaste1Row" localSheetId="27" hidden="1">#REF!</definedName>
    <definedName name="XRefPaste1Row" localSheetId="20" hidden="1">#REF!</definedName>
    <definedName name="XRefPaste1Row" hidden="1">#REF!</definedName>
    <definedName name="XRefPaste2" localSheetId="14" hidden="1">#REF!</definedName>
    <definedName name="XRefPaste2" localSheetId="13" hidden="1">#REF!</definedName>
    <definedName name="XRefPaste2" localSheetId="27" hidden="1">#REF!</definedName>
    <definedName name="XRefPaste2" localSheetId="20" hidden="1">#REF!</definedName>
    <definedName name="XRefPaste2" hidden="1">#REF!</definedName>
    <definedName name="XRefPaste20" localSheetId="14" hidden="1">#REF!</definedName>
    <definedName name="XRefPaste20" localSheetId="13" hidden="1">#REF!</definedName>
    <definedName name="XRefPaste20" localSheetId="27" hidden="1">#REF!</definedName>
    <definedName name="XRefPaste20" localSheetId="20" hidden="1">#REF!</definedName>
    <definedName name="XRefPaste20" hidden="1">#REF!</definedName>
    <definedName name="XRefPaste20Row" localSheetId="14" hidden="1">[59]XREF!#REF!</definedName>
    <definedName name="XRefPaste20Row" localSheetId="13" hidden="1">[59]XREF!#REF!</definedName>
    <definedName name="XRefPaste20Row" localSheetId="27" hidden="1">[59]XREF!#REF!</definedName>
    <definedName name="XRefPaste20Row" localSheetId="20" hidden="1">[59]XREF!#REF!</definedName>
    <definedName name="XRefPaste20Row" hidden="1">[59]XREF!#REF!</definedName>
    <definedName name="XRefPaste21" localSheetId="14" hidden="1">#REF!</definedName>
    <definedName name="XRefPaste21" localSheetId="13" hidden="1">#REF!</definedName>
    <definedName name="XRefPaste21" localSheetId="27" hidden="1">#REF!</definedName>
    <definedName name="XRefPaste21" localSheetId="20" hidden="1">#REF!</definedName>
    <definedName name="XRefPaste21" hidden="1">#REF!</definedName>
    <definedName name="XRefPaste21Row" localSheetId="14" hidden="1">[60]XREF!#REF!</definedName>
    <definedName name="XRefPaste21Row" localSheetId="13" hidden="1">[60]XREF!#REF!</definedName>
    <definedName name="XRefPaste21Row" localSheetId="27" hidden="1">[60]XREF!#REF!</definedName>
    <definedName name="XRefPaste21Row" localSheetId="20" hidden="1">[60]XREF!#REF!</definedName>
    <definedName name="XRefPaste21Row" hidden="1">[60]XREF!#REF!</definedName>
    <definedName name="XRefPaste22" localSheetId="14" hidden="1">[48]유형자산!#REF!</definedName>
    <definedName name="XRefPaste22" localSheetId="13" hidden="1">[48]유형자산!#REF!</definedName>
    <definedName name="XRefPaste22" localSheetId="27" hidden="1">[48]유형자산!#REF!</definedName>
    <definedName name="XRefPaste22" localSheetId="20" hidden="1">[48]유형자산!#REF!</definedName>
    <definedName name="XRefPaste22" hidden="1">[48]유형자산!#REF!</definedName>
    <definedName name="XRefPaste22Row" localSheetId="14" hidden="1">[55]XREF!#REF!</definedName>
    <definedName name="XRefPaste22Row" hidden="1">[55]XREF!#REF!</definedName>
    <definedName name="XRefPaste23" localSheetId="14" hidden="1">#REF!</definedName>
    <definedName name="XRefPaste23" localSheetId="13" hidden="1">#REF!</definedName>
    <definedName name="XRefPaste23" localSheetId="27" hidden="1">#REF!</definedName>
    <definedName name="XRefPaste23" localSheetId="20" hidden="1">#REF!</definedName>
    <definedName name="XRefPaste23" hidden="1">#REF!</definedName>
    <definedName name="XRefPaste23Row" localSheetId="14" hidden="1">[55]XREF!#REF!</definedName>
    <definedName name="XRefPaste23Row" hidden="1">[55]XREF!#REF!</definedName>
    <definedName name="XRefPaste24" localSheetId="14" hidden="1">#REF!</definedName>
    <definedName name="XRefPaste24" localSheetId="13" hidden="1">#REF!</definedName>
    <definedName name="XRefPaste24" localSheetId="27" hidden="1">#REF!</definedName>
    <definedName name="XRefPaste24" localSheetId="20" hidden="1">#REF!</definedName>
    <definedName name="XRefPaste24" hidden="1">#REF!</definedName>
    <definedName name="XRefPaste24Row" localSheetId="14" hidden="1">[60]XREF!#REF!</definedName>
    <definedName name="XRefPaste24Row" localSheetId="13" hidden="1">[60]XREF!#REF!</definedName>
    <definedName name="XRefPaste24Row" localSheetId="27" hidden="1">[60]XREF!#REF!</definedName>
    <definedName name="XRefPaste24Row" localSheetId="20" hidden="1">[60]XREF!#REF!</definedName>
    <definedName name="XRefPaste24Row" hidden="1">[60]XREF!#REF!</definedName>
    <definedName name="XRefPaste25" localSheetId="14" hidden="1">#REF!</definedName>
    <definedName name="XRefPaste25" localSheetId="13" hidden="1">#REF!</definedName>
    <definedName name="XRefPaste25" localSheetId="27" hidden="1">#REF!</definedName>
    <definedName name="XRefPaste25" localSheetId="20" hidden="1">#REF!</definedName>
    <definedName name="XRefPaste25" hidden="1">#REF!</definedName>
    <definedName name="XRefPaste25Row" localSheetId="14" hidden="1">[55]XREF!#REF!</definedName>
    <definedName name="XRefPaste25Row" hidden="1">[55]XREF!#REF!</definedName>
    <definedName name="XRefPaste26" localSheetId="14" hidden="1">[48]유형자산!#REF!</definedName>
    <definedName name="XRefPaste26" localSheetId="13" hidden="1">[48]유형자산!#REF!</definedName>
    <definedName name="XRefPaste26" localSheetId="27" hidden="1">[48]유형자산!#REF!</definedName>
    <definedName name="XRefPaste26" localSheetId="20" hidden="1">[48]유형자산!#REF!</definedName>
    <definedName name="XRefPaste26" hidden="1">[48]유형자산!#REF!</definedName>
    <definedName name="XRefPaste26Row" localSheetId="14" hidden="1">[55]XREF!#REF!</definedName>
    <definedName name="XRefPaste26Row" hidden="1">[55]XREF!#REF!</definedName>
    <definedName name="XRefPaste27" localSheetId="14" hidden="1">#REF!</definedName>
    <definedName name="XRefPaste27" localSheetId="13" hidden="1">#REF!</definedName>
    <definedName name="XRefPaste27" localSheetId="27" hidden="1">#REF!</definedName>
    <definedName name="XRefPaste27" localSheetId="20" hidden="1">#REF!</definedName>
    <definedName name="XRefPaste27" hidden="1">#REF!</definedName>
    <definedName name="XRefPaste27Row" localSheetId="14" hidden="1">[59]XREF!#REF!</definedName>
    <definedName name="XRefPaste27Row" localSheetId="13" hidden="1">[59]XREF!#REF!</definedName>
    <definedName name="XRefPaste27Row" localSheetId="27" hidden="1">[59]XREF!#REF!</definedName>
    <definedName name="XRefPaste27Row" localSheetId="20" hidden="1">[59]XREF!#REF!</definedName>
    <definedName name="XRefPaste27Row" hidden="1">[59]XREF!#REF!</definedName>
    <definedName name="XRefPaste28" localSheetId="14" hidden="1">#REF!</definedName>
    <definedName name="XRefPaste28" localSheetId="13" hidden="1">#REF!</definedName>
    <definedName name="XRefPaste28" localSheetId="27" hidden="1">#REF!</definedName>
    <definedName name="XRefPaste28" localSheetId="20" hidden="1">#REF!</definedName>
    <definedName name="XRefPaste28" hidden="1">#REF!</definedName>
    <definedName name="XRefPaste28Row" localSheetId="14" hidden="1">[59]XREF!#REF!</definedName>
    <definedName name="XRefPaste28Row" localSheetId="13" hidden="1">[59]XREF!#REF!</definedName>
    <definedName name="XRefPaste28Row" localSheetId="27" hidden="1">[59]XREF!#REF!</definedName>
    <definedName name="XRefPaste28Row" localSheetId="20" hidden="1">[59]XREF!#REF!</definedName>
    <definedName name="XRefPaste28Row" hidden="1">[59]XREF!#REF!</definedName>
    <definedName name="XRefPaste29" localSheetId="14" hidden="1">#REF!</definedName>
    <definedName name="XRefPaste29" localSheetId="13" hidden="1">#REF!</definedName>
    <definedName name="XRefPaste29" localSheetId="27" hidden="1">#REF!</definedName>
    <definedName name="XRefPaste29" localSheetId="20" hidden="1">#REF!</definedName>
    <definedName name="XRefPaste29" hidden="1">#REF!</definedName>
    <definedName name="XRefPaste29Row" localSheetId="14" hidden="1">[55]XREF!#REF!</definedName>
    <definedName name="XRefPaste29Row" hidden="1">[55]XREF!#REF!</definedName>
    <definedName name="XRefPaste2Row" localSheetId="14" hidden="1">[59]XREF!#REF!</definedName>
    <definedName name="XRefPaste2Row" localSheetId="13" hidden="1">[59]XREF!#REF!</definedName>
    <definedName name="XRefPaste2Row" localSheetId="27" hidden="1">[59]XREF!#REF!</definedName>
    <definedName name="XRefPaste2Row" localSheetId="20" hidden="1">[59]XREF!#REF!</definedName>
    <definedName name="XRefPaste2Row" hidden="1">[59]XREF!#REF!</definedName>
    <definedName name="XRefPaste3" localSheetId="14" hidden="1">#REF!</definedName>
    <definedName name="XRefPaste3" localSheetId="13" hidden="1">#REF!</definedName>
    <definedName name="XRefPaste3" localSheetId="27" hidden="1">#REF!</definedName>
    <definedName name="XRefPaste3" localSheetId="20" hidden="1">#REF!</definedName>
    <definedName name="XRefPaste3" hidden="1">#REF!</definedName>
    <definedName name="XRefPaste30" localSheetId="14" hidden="1">#REF!</definedName>
    <definedName name="XRefPaste30" localSheetId="13" hidden="1">#REF!</definedName>
    <definedName name="XRefPaste30" localSheetId="27" hidden="1">#REF!</definedName>
    <definedName name="XRefPaste30" localSheetId="20" hidden="1">#REF!</definedName>
    <definedName name="XRefPaste30" hidden="1">#REF!</definedName>
    <definedName name="XRefPaste30Row" localSheetId="14" hidden="1">[55]XREF!#REF!</definedName>
    <definedName name="XRefPaste30Row" hidden="1">[55]XREF!#REF!</definedName>
    <definedName name="XRefPaste31" localSheetId="14" hidden="1">#REF!</definedName>
    <definedName name="XRefPaste31" localSheetId="13" hidden="1">#REF!</definedName>
    <definedName name="XRefPaste31" localSheetId="27" hidden="1">#REF!</definedName>
    <definedName name="XRefPaste31" localSheetId="20" hidden="1">#REF!</definedName>
    <definedName name="XRefPaste31" hidden="1">#REF!</definedName>
    <definedName name="XRefPaste31Row" localSheetId="14" hidden="1">[55]XREF!#REF!</definedName>
    <definedName name="XRefPaste31Row" hidden="1">[57]XREF!#REF!</definedName>
    <definedName name="XRefPaste32" localSheetId="14" hidden="1">#REF!</definedName>
    <definedName name="XRefPaste32" localSheetId="13" hidden="1">#REF!</definedName>
    <definedName name="XRefPaste32" localSheetId="27" hidden="1">#REF!</definedName>
    <definedName name="XRefPaste32" localSheetId="20" hidden="1">#REF!</definedName>
    <definedName name="XRefPaste32" hidden="1">#REF!</definedName>
    <definedName name="XRefPaste32Row" localSheetId="14" hidden="1">[55]XREF!#REF!</definedName>
    <definedName name="XRefPaste32Row" hidden="1">[55]XREF!#REF!</definedName>
    <definedName name="XRefPaste33" localSheetId="14" hidden="1">[48]유형자산!#REF!</definedName>
    <definedName name="XRefPaste33" localSheetId="13" hidden="1">[48]유형자산!#REF!</definedName>
    <definedName name="XRefPaste33" localSheetId="27" hidden="1">[48]유형자산!#REF!</definedName>
    <definedName name="XRefPaste33" localSheetId="20" hidden="1">[48]유형자산!#REF!</definedName>
    <definedName name="XRefPaste33" hidden="1">[48]유형자산!#REF!</definedName>
    <definedName name="XRefPaste33Row" localSheetId="14" hidden="1">[55]XREF!#REF!</definedName>
    <definedName name="XRefPaste33Row" hidden="1">[55]XREF!#REF!</definedName>
    <definedName name="XRefPaste34" localSheetId="14" hidden="1">#REF!</definedName>
    <definedName name="XRefPaste34" localSheetId="13" hidden="1">#REF!</definedName>
    <definedName name="XRefPaste34" localSheetId="27" hidden="1">#REF!</definedName>
    <definedName name="XRefPaste34" localSheetId="20" hidden="1">#REF!</definedName>
    <definedName name="XRefPaste34" hidden="1">#REF!</definedName>
    <definedName name="XRefPaste34Row" localSheetId="14" hidden="1">[55]XREF!#REF!</definedName>
    <definedName name="XRefPaste34Row" hidden="1">[55]XREF!#REF!</definedName>
    <definedName name="XRefPaste35" localSheetId="14" hidden="1">#REF!</definedName>
    <definedName name="XRefPaste35" localSheetId="13" hidden="1">#REF!</definedName>
    <definedName name="XRefPaste35" localSheetId="27" hidden="1">#REF!</definedName>
    <definedName name="XRefPaste35" localSheetId="20" hidden="1">#REF!</definedName>
    <definedName name="XRefPaste35" hidden="1">#REF!</definedName>
    <definedName name="XRefPaste35Row" localSheetId="14" hidden="1">[55]XREF!#REF!</definedName>
    <definedName name="XRefPaste35Row" hidden="1">[55]XREF!#REF!</definedName>
    <definedName name="XRefPaste36" localSheetId="14" hidden="1">#REF!</definedName>
    <definedName name="XRefPaste36" localSheetId="13" hidden="1">#REF!</definedName>
    <definedName name="XRefPaste36" localSheetId="27" hidden="1">#REF!</definedName>
    <definedName name="XRefPaste36" localSheetId="20" hidden="1">#REF!</definedName>
    <definedName name="XRefPaste36" hidden="1">#REF!</definedName>
    <definedName name="XRefPaste36Row" localSheetId="14" hidden="1">[55]XREF!#REF!</definedName>
    <definedName name="XRefPaste36Row" hidden="1">[55]XREF!#REF!</definedName>
    <definedName name="XRefPaste37" localSheetId="14" hidden="1">[48]유형자산!#REF!</definedName>
    <definedName name="XRefPaste37" localSheetId="13" hidden="1">[48]유형자산!#REF!</definedName>
    <definedName name="XRefPaste37" localSheetId="27" hidden="1">[48]유형자산!#REF!</definedName>
    <definedName name="XRefPaste37" localSheetId="20" hidden="1">[48]유형자산!#REF!</definedName>
    <definedName name="XRefPaste37" hidden="1">[48]유형자산!#REF!</definedName>
    <definedName name="XRefPaste37Row" localSheetId="14" hidden="1">[55]XREF!#REF!</definedName>
    <definedName name="XRefPaste37Row" hidden="1">[57]XREF!#REF!</definedName>
    <definedName name="XRefPaste38" localSheetId="14" hidden="1">#REF!</definedName>
    <definedName name="XRefPaste38" localSheetId="13" hidden="1">#REF!</definedName>
    <definedName name="XRefPaste38" localSheetId="27" hidden="1">#REF!</definedName>
    <definedName name="XRefPaste38" localSheetId="20" hidden="1">#REF!</definedName>
    <definedName name="XRefPaste38" hidden="1">#REF!</definedName>
    <definedName name="XRefPaste38Row" localSheetId="14" hidden="1">[55]XREF!#REF!</definedName>
    <definedName name="XRefPaste38Row" hidden="1">[55]XREF!#REF!</definedName>
    <definedName name="XRefPaste39" localSheetId="14" hidden="1">#REF!</definedName>
    <definedName name="XRefPaste39" localSheetId="13" hidden="1">#REF!</definedName>
    <definedName name="XRefPaste39" localSheetId="27" hidden="1">#REF!</definedName>
    <definedName name="XRefPaste39" localSheetId="20" hidden="1">#REF!</definedName>
    <definedName name="XRefPaste39" hidden="1">#REF!</definedName>
    <definedName name="XRefPaste39Row" localSheetId="14" hidden="1">[55]XREF!#REF!</definedName>
    <definedName name="XRefPaste39Row" hidden="1">[55]XREF!#REF!</definedName>
    <definedName name="XRefPaste3Row" localSheetId="14" hidden="1">#REF!</definedName>
    <definedName name="XRefPaste3Row" localSheetId="13" hidden="1">#REF!</definedName>
    <definedName name="XRefPaste3Row" localSheetId="27" hidden="1">#REF!</definedName>
    <definedName name="XRefPaste3Row" localSheetId="20" hidden="1">#REF!</definedName>
    <definedName name="XRefPaste3Row" hidden="1">#REF!</definedName>
    <definedName name="XRefPaste4" localSheetId="14" hidden="1">#REF!</definedName>
    <definedName name="XRefPaste4" localSheetId="13" hidden="1">#REF!</definedName>
    <definedName name="XRefPaste4" localSheetId="27" hidden="1">#REF!</definedName>
    <definedName name="XRefPaste4" localSheetId="20" hidden="1">#REF!</definedName>
    <definedName name="XRefPaste4" hidden="1">#REF!</definedName>
    <definedName name="XRefPaste40" localSheetId="14" hidden="1">#REF!</definedName>
    <definedName name="XRefPaste40" localSheetId="13" hidden="1">#REF!</definedName>
    <definedName name="XRefPaste40" localSheetId="27" hidden="1">#REF!</definedName>
    <definedName name="XRefPaste40" localSheetId="20" hidden="1">#REF!</definedName>
    <definedName name="XRefPaste40" hidden="1">#REF!</definedName>
    <definedName name="XRefPaste40Row" localSheetId="14" hidden="1">[55]XREF!#REF!</definedName>
    <definedName name="XRefPaste40Row" hidden="1">[57]XREF!#REF!</definedName>
    <definedName name="XRefPaste41" localSheetId="14" hidden="1">#REF!</definedName>
    <definedName name="XRefPaste41" localSheetId="13" hidden="1">#REF!</definedName>
    <definedName name="XRefPaste41" localSheetId="27" hidden="1">#REF!</definedName>
    <definedName name="XRefPaste41" localSheetId="20" hidden="1">#REF!</definedName>
    <definedName name="XRefPaste41" hidden="1">#REF!</definedName>
    <definedName name="XRefPaste41Row" localSheetId="14" hidden="1">[55]XREF!#REF!</definedName>
    <definedName name="XRefPaste41Row" hidden="1">[55]XREF!#REF!</definedName>
    <definedName name="XRefPaste42" localSheetId="14" hidden="1">#REF!</definedName>
    <definedName name="XRefPaste42" localSheetId="13" hidden="1">#REF!</definedName>
    <definedName name="XRefPaste42" localSheetId="27" hidden="1">#REF!</definedName>
    <definedName name="XRefPaste42" localSheetId="20" hidden="1">#REF!</definedName>
    <definedName name="XRefPaste42" hidden="1">#REF!</definedName>
    <definedName name="XRefPaste42Row" localSheetId="14" hidden="1">[55]XREF!#REF!</definedName>
    <definedName name="XRefPaste42Row" hidden="1">[55]XREF!#REF!</definedName>
    <definedName name="XRefPaste43" localSheetId="14" hidden="1">#REF!</definedName>
    <definedName name="XRefPaste43" localSheetId="13" hidden="1">#REF!</definedName>
    <definedName name="XRefPaste43" localSheetId="27" hidden="1">#REF!</definedName>
    <definedName name="XRefPaste43" localSheetId="20" hidden="1">#REF!</definedName>
    <definedName name="XRefPaste43" hidden="1">#REF!</definedName>
    <definedName name="XRefPaste43Row" localSheetId="14" hidden="1">[55]XREF!#REF!</definedName>
    <definedName name="XRefPaste43Row" hidden="1">[55]XREF!#REF!</definedName>
    <definedName name="XRefPaste44" localSheetId="14" hidden="1">#REF!</definedName>
    <definedName name="XRefPaste44" localSheetId="13" hidden="1">#REF!</definedName>
    <definedName name="XRefPaste44" localSheetId="27" hidden="1">#REF!</definedName>
    <definedName name="XRefPaste44" localSheetId="20" hidden="1">#REF!</definedName>
    <definedName name="XRefPaste44" hidden="1">#REF!</definedName>
    <definedName name="XRefPaste44Row" localSheetId="14" hidden="1">[61]XREF!#REF!</definedName>
    <definedName name="XRefPaste44Row" hidden="1">[61]XREF!#REF!</definedName>
    <definedName name="XRefPaste45" localSheetId="14" hidden="1">[48]유형자산!#REF!</definedName>
    <definedName name="XRefPaste45" localSheetId="13" hidden="1">[48]유형자산!#REF!</definedName>
    <definedName name="XRefPaste45" localSheetId="27" hidden="1">[48]유형자산!#REF!</definedName>
    <definedName name="XRefPaste45" localSheetId="20" hidden="1">[48]유형자산!#REF!</definedName>
    <definedName name="XRefPaste45" hidden="1">[48]유형자산!#REF!</definedName>
    <definedName name="XRefPaste45Row" localSheetId="14" hidden="1">[61]XREF!#REF!</definedName>
    <definedName name="XRefPaste45Row" hidden="1">[61]XREF!#REF!</definedName>
    <definedName name="XRefPaste46" localSheetId="14" hidden="1">#REF!</definedName>
    <definedName name="XRefPaste46" localSheetId="13" hidden="1">#REF!</definedName>
    <definedName name="XRefPaste46" localSheetId="27" hidden="1">#REF!</definedName>
    <definedName name="XRefPaste46" localSheetId="20" hidden="1">#REF!</definedName>
    <definedName name="XRefPaste46" hidden="1">#REF!</definedName>
    <definedName name="XRefPaste46Row" localSheetId="14" hidden="1">[61]XREF!#REF!</definedName>
    <definedName name="XRefPaste46Row" hidden="1">[61]XREF!#REF!</definedName>
    <definedName name="XRefPaste47Row" localSheetId="14" hidden="1">[61]XREF!#REF!</definedName>
    <definedName name="XRefPaste47Row" hidden="1">[61]XREF!#REF!</definedName>
    <definedName name="XRefPaste4Row" localSheetId="14" hidden="1">[49]XREF!#REF!</definedName>
    <definedName name="XRefPaste4Row" localSheetId="13" hidden="1">[49]XREF!#REF!</definedName>
    <definedName name="XRefPaste4Row" localSheetId="27" hidden="1">[49]XREF!#REF!</definedName>
    <definedName name="XRefPaste4Row" localSheetId="20" hidden="1">[49]XREF!#REF!</definedName>
    <definedName name="XRefPaste4Row" hidden="1">[49]XREF!#REF!</definedName>
    <definedName name="XRefPaste5" localSheetId="14" hidden="1">#REF!</definedName>
    <definedName name="XRefPaste5" localSheetId="13" hidden="1">#REF!</definedName>
    <definedName name="XRefPaste5" localSheetId="27" hidden="1">#REF!</definedName>
    <definedName name="XRefPaste5" localSheetId="20" hidden="1">#REF!</definedName>
    <definedName name="XRefPaste5" hidden="1">#REF!</definedName>
    <definedName name="XRefPaste52Row" localSheetId="14" hidden="1">[57]XREF!#REF!</definedName>
    <definedName name="XRefPaste52Row" hidden="1">[57]XREF!#REF!</definedName>
    <definedName name="XRefPaste54" localSheetId="14" hidden="1">#REF!</definedName>
    <definedName name="XRefPaste54" hidden="1">#REF!</definedName>
    <definedName name="XRefPaste5Row" localSheetId="14" hidden="1">#REF!</definedName>
    <definedName name="XRefPaste5Row" localSheetId="13" hidden="1">#REF!</definedName>
    <definedName name="XRefPaste5Row" localSheetId="27" hidden="1">#REF!</definedName>
    <definedName name="XRefPaste5Row" localSheetId="20" hidden="1">#REF!</definedName>
    <definedName name="XRefPaste5Row" hidden="1">#REF!</definedName>
    <definedName name="XRefPaste6" localSheetId="14" hidden="1">#REF!</definedName>
    <definedName name="XRefPaste6" localSheetId="13" hidden="1">#REF!</definedName>
    <definedName name="XRefPaste6" localSheetId="27" hidden="1">#REF!</definedName>
    <definedName name="XRefPaste6" localSheetId="20" hidden="1">#REF!</definedName>
    <definedName name="XRefPaste6" hidden="1">#REF!</definedName>
    <definedName name="XRefPaste6Row" localSheetId="14" hidden="1">#REF!</definedName>
    <definedName name="XRefPaste6Row" localSheetId="13" hidden="1">#REF!</definedName>
    <definedName name="XRefPaste6Row" localSheetId="27" hidden="1">#REF!</definedName>
    <definedName name="XRefPaste6Row" localSheetId="20" hidden="1">#REF!</definedName>
    <definedName name="XRefPaste6Row" hidden="1">#REF!</definedName>
    <definedName name="XRefPaste7" localSheetId="14" hidden="1">#REF!</definedName>
    <definedName name="XRefPaste7" localSheetId="13" hidden="1">#REF!</definedName>
    <definedName name="XRefPaste7" localSheetId="27" hidden="1">#REF!</definedName>
    <definedName name="XRefPaste7" localSheetId="20" hidden="1">#REF!</definedName>
    <definedName name="XRefPaste7" hidden="1">#REF!</definedName>
    <definedName name="XRefPaste7Row" hidden="1">[50]XREF!$A$3:$IV$3</definedName>
    <definedName name="XRefPaste8" localSheetId="14" hidden="1">#REF!</definedName>
    <definedName name="XRefPaste8" localSheetId="13" hidden="1">#REF!</definedName>
    <definedName name="XRefPaste8" localSheetId="27" hidden="1">#REF!</definedName>
    <definedName name="XRefPaste8" localSheetId="20" hidden="1">#REF!</definedName>
    <definedName name="XRefPaste8" hidden="1">#REF!</definedName>
    <definedName name="XRefPaste8Row" hidden="1">[50]XREF!$A$5:$IV$5</definedName>
    <definedName name="XRefPaste9" localSheetId="14" hidden="1">#REF!</definedName>
    <definedName name="XRefPaste9" localSheetId="13" hidden="1">#REF!</definedName>
    <definedName name="XRefPaste9" localSheetId="27" hidden="1">#REF!</definedName>
    <definedName name="XRefPaste9" localSheetId="20" hidden="1">#REF!</definedName>
    <definedName name="XRefPaste9" hidden="1">#REF!</definedName>
    <definedName name="XRefPaste9Row" localSheetId="14" hidden="1">[60]XREF!#REF!</definedName>
    <definedName name="XRefPaste9Row" localSheetId="13" hidden="1">[60]XREF!#REF!</definedName>
    <definedName name="XRefPaste9Row" localSheetId="27" hidden="1">[60]XREF!#REF!</definedName>
    <definedName name="XRefPaste9Row" localSheetId="20" hidden="1">[60]XREF!#REF!</definedName>
    <definedName name="XRefPaste9Row" hidden="1">[60]XREF!#REF!</definedName>
    <definedName name="XRefPasteRangeCount" hidden="1">39</definedName>
    <definedName name="xx" localSheetId="14" hidden="1">{#N/A,#N/A,FALSE,"손익표지";#N/A,#N/A,FALSE,"손익계산";#N/A,#N/A,FALSE,"일반관리비";#N/A,#N/A,FALSE,"영업외수익";#N/A,#N/A,FALSE,"영업외비용";#N/A,#N/A,FALSE,"매출액";#N/A,#N/A,FALSE,"요약손익";#N/A,#N/A,FALSE,"요약대차";#N/A,#N/A,FALSE,"매출채권현황";#N/A,#N/A,FALSE,"매출채권명세"}</definedName>
    <definedName name="xx" localSheetId="13" hidden="1">{#N/A,#N/A,FALSE,"손익표지";#N/A,#N/A,FALSE,"손익계산";#N/A,#N/A,FALSE,"일반관리비";#N/A,#N/A,FALSE,"영업외수익";#N/A,#N/A,FALSE,"영업외비용";#N/A,#N/A,FALSE,"매출액";#N/A,#N/A,FALSE,"요약손익";#N/A,#N/A,FALSE,"요약대차";#N/A,#N/A,FALSE,"매출채권현황";#N/A,#N/A,FALSE,"매출채권명세"}</definedName>
    <definedName name="xx" hidden="1">{#N/A,#N/A,FALSE,"손익표지";#N/A,#N/A,FALSE,"손익계산";#N/A,#N/A,FALSE,"일반관리비";#N/A,#N/A,FALSE,"영업외수익";#N/A,#N/A,FALSE,"영업외비용";#N/A,#N/A,FALSE,"매출액";#N/A,#N/A,FALSE,"요약손익";#N/A,#N/A,FALSE,"요약대차";#N/A,#N/A,FALSE,"매출채권현황";#N/A,#N/A,FALSE,"매출채권명세"}</definedName>
    <definedName name="XXX" localSheetId="14" hidden="1">{#N/A,#N/A,FALSE,"손익표지";#N/A,#N/A,FALSE,"손익계산";#N/A,#N/A,FALSE,"일반관리비";#N/A,#N/A,FALSE,"영업외수익";#N/A,#N/A,FALSE,"영업외비용";#N/A,#N/A,FALSE,"매출액";#N/A,#N/A,FALSE,"요약손익";#N/A,#N/A,FALSE,"요약대차";#N/A,#N/A,FALSE,"매출채권현황";#N/A,#N/A,FALSE,"매출채권명세"}</definedName>
    <definedName name="XXX" hidden="1">{#N/A,#N/A,FALSE,"손익표지";#N/A,#N/A,FALSE,"손익계산";#N/A,#N/A,FALSE,"일반관리비";#N/A,#N/A,FALSE,"영업외수익";#N/A,#N/A,FALSE,"영업외비용";#N/A,#N/A,FALSE,"매출액";#N/A,#N/A,FALSE,"요약손익";#N/A,#N/A,FALSE,"요약대차";#N/A,#N/A,FALSE,"매출채권현황";#N/A,#N/A,FALSE,"매출채권명세"}</definedName>
    <definedName name="xxxxx" localSheetId="14" hidden="1">{#N/A,#N/A,FALSE,"KMC최종회의(7월) 자료"}</definedName>
    <definedName name="xxxxx" hidden="1">{#N/A,#N/A,FALSE,"KMC최종회의(7월) 자료"}</definedName>
    <definedName name="xy" hidden="1">{#N/A,#N/A,FALSE,"Mittelherkunft";#N/A,#N/A,FALSE,"Mittelverwendung"}</definedName>
    <definedName name="y" localSheetId="14" hidden="1">{#N/A,#N/A,FALSE,"PART-1234-8-12-9(41)";#N/A,#N/A,FALSE,"PARTS-2(3)";#N/A,#N/A,FALSE,"VAN SYSTEM";#N/A,#N/A,FALSE,"PARTS-10(26)";#N/A,#N/A,FALSE,"PART-5-6-7-11(14)";#N/A,#N/A,FALSE,"PARTS-4(3)";#N/A,#N/A,FALSE,"PCLASS"}</definedName>
    <definedName name="Y" localSheetId="13" hidden="1">#REF!</definedName>
    <definedName name="y" hidden="1">{#N/A,#N/A,FALSE,"손익표지";#N/A,#N/A,FALSE,"손익계산";#N/A,#N/A,FALSE,"일반관리비";#N/A,#N/A,FALSE,"영업외수익";#N/A,#N/A,FALSE,"영업외비용";#N/A,#N/A,FALSE,"매출액";#N/A,#N/A,FALSE,"요약손익";#N/A,#N/A,FALSE,"요약대차";#N/A,#N/A,FALSE,"매출채권현황";#N/A,#N/A,FALSE,"매출채권명세"}</definedName>
    <definedName name="YFA" localSheetId="14" hidden="1">{#N/A,#N/A,FALSE,"단축1";#N/A,#N/A,FALSE,"단축2";#N/A,#N/A,FALSE,"단축3";#N/A,#N/A,FALSE,"장축";#N/A,#N/A,FALSE,"4WD"}</definedName>
    <definedName name="YFA" hidden="1">{#N/A,#N/A,FALSE,"단축1";#N/A,#N/A,FALSE,"단축2";#N/A,#N/A,FALSE,"단축3";#N/A,#N/A,FALSE,"장축";#N/A,#N/A,FALSE,"4WD"}</definedName>
    <definedName name="ygj" localSheetId="14" hidden="1">{#N/A,#N/A,TRUE,"Y생산";#N/A,#N/A,TRUE,"Y판매";#N/A,#N/A,TRUE,"Y총물량";#N/A,#N/A,TRUE,"Y능력";#N/A,#N/A,TRUE,"YKD"}</definedName>
    <definedName name="ygj" hidden="1">{#N/A,#N/A,TRUE,"Y생산";#N/A,#N/A,TRUE,"Y판매";#N/A,#N/A,TRUE,"Y총물량";#N/A,#N/A,TRUE,"Y능력";#N/A,#N/A,TRUE,"YKD"}</definedName>
    <definedName name="YH" localSheetId="14" hidden="1">{#N/A,#N/A,FALSE,"PART-1234-8-12-9(41)";#N/A,#N/A,FALSE,"PARTS-2(3)";#N/A,#N/A,FALSE,"VAN SYSTEM";#N/A,#N/A,FALSE,"PARTS-10(26)";#N/A,#N/A,FALSE,"PART-5-6-7-11(14)";#N/A,#N/A,FALSE,"PARTS-4(3)";#N/A,#N/A,FALSE,"PCLASS"}</definedName>
    <definedName name="YH" hidden="1">{#N/A,#N/A,FALSE,"단축1";#N/A,#N/A,FALSE,"단축2";#N/A,#N/A,FALSE,"단축3";#N/A,#N/A,FALSE,"장축";#N/A,#N/A,FALSE,"4WD"}</definedName>
    <definedName name="YHU" localSheetId="14" hidden="1">{#N/A,#N/A,FALSE,"단축1";#N/A,#N/A,FALSE,"단축2";#N/A,#N/A,FALSE,"단축3";#N/A,#N/A,FALSE,"장축";#N/A,#N/A,FALSE,"4WD"}</definedName>
    <definedName name="YHU" hidden="1">{#N/A,#N/A,FALSE,"단축1";#N/A,#N/A,FALSE,"단축2";#N/A,#N/A,FALSE,"단축3";#N/A,#N/A,FALSE,"장축";#N/A,#N/A,FALSE,"4WD"}</definedName>
    <definedName name="yre" localSheetId="14" hidden="1">{#N/A,#N/A,FALSE,"손익표지";#N/A,#N/A,FALSE,"손익계산";#N/A,#N/A,FALSE,"일반관리비";#N/A,#N/A,FALSE,"영업외수익";#N/A,#N/A,FALSE,"영업외비용";#N/A,#N/A,FALSE,"매출액";#N/A,#N/A,FALSE,"요약손익";#N/A,#N/A,FALSE,"요약대차";#N/A,#N/A,FALSE,"매출채권현황";#N/A,#N/A,FALSE,"매출채권명세"}</definedName>
    <definedName name="yre" localSheetId="13" hidden="1">{#N/A,#N/A,FALSE,"손익표지";#N/A,#N/A,FALSE,"손익계산";#N/A,#N/A,FALSE,"일반관리비";#N/A,#N/A,FALSE,"영업외수익";#N/A,#N/A,FALSE,"영업외비용";#N/A,#N/A,FALSE,"매출액";#N/A,#N/A,FALSE,"요약손익";#N/A,#N/A,FALSE,"요약대차";#N/A,#N/A,FALSE,"매출채권현황";#N/A,#N/A,FALSE,"매출채권명세"}</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rju" localSheetId="14" hidden="1">{#N/A,#N/A,TRUE,"Y생산";#N/A,#N/A,TRUE,"Y판매";#N/A,#N/A,TRUE,"Y총물량";#N/A,#N/A,TRUE,"Y능력";#N/A,#N/A,TRUE,"YKD"}</definedName>
    <definedName name="yrju" hidden="1">{#N/A,#N/A,TRUE,"Y생산";#N/A,#N/A,TRUE,"Y판매";#N/A,#N/A,TRUE,"Y총물량";#N/A,#N/A,TRUE,"Y능력";#N/A,#N/A,TRUE,"YKD"}</definedName>
    <definedName name="yry" hidden="1">{#N/A,#N/A,FALSE,"-ST.PER1";#N/A,#N/A,FALSE,"-ST.PER2";#N/A,#N/A,FALSE,"+ST.HIS.PER1";#N/A,#N/A,FALSE,"+ST.HIS.PER2";#N/A,#N/A,FALSE,"+ST.STD.PER1";#N/A,#N/A,FALSE,"+ST.STD.PER2"}</definedName>
    <definedName name="ysj" localSheetId="14" hidden="1">{#N/A,#N/A,FALSE,"Sheet5"}</definedName>
    <definedName name="ysj" localSheetId="13" hidden="1">{#N/A,#N/A,FALSE,"Sheet5"}</definedName>
    <definedName name="ysj" hidden="1">{#N/A,#N/A,FALSE,"Sheet5"}</definedName>
    <definedName name="yt" localSheetId="14" hidden="1">{#N/A,#N/A,FALSE,"손익표지";#N/A,#N/A,FALSE,"손익계산";#N/A,#N/A,FALSE,"일반관리비";#N/A,#N/A,FALSE,"영업외수익";#N/A,#N/A,FALSE,"영업외비용";#N/A,#N/A,FALSE,"매출액";#N/A,#N/A,FALSE,"요약손익";#N/A,#N/A,FALSE,"요약대차";#N/A,#N/A,FALSE,"매출채권현황";#N/A,#N/A,FALSE,"매출채권명세"}</definedName>
    <definedName name="yt" localSheetId="13"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ytk" localSheetId="14" hidden="1">{#N/A,#N/A,FALSE,"96 3월물량표";#N/A,#N/A,FALSE,"96 4월물량표";#N/A,#N/A,FALSE,"96 5월물량표"}</definedName>
    <definedName name="ytk" hidden="1">{#N/A,#N/A,FALSE,"96 3월물량표";#N/A,#N/A,FALSE,"96 4월물량표";#N/A,#N/A,FALSE,"96 5월물량표"}</definedName>
    <definedName name="YU" localSheetId="14" hidden="1">{#N/A,#N/A,FALSE,"단축1";#N/A,#N/A,FALSE,"단축2";#N/A,#N/A,FALSE,"단축3";#N/A,#N/A,FALSE,"장축";#N/A,#N/A,FALSE,"4WD"}</definedName>
    <definedName name="YU" hidden="1">{#N/A,#N/A,FALSE,"단축1";#N/A,#N/A,FALSE,"단축2";#N/A,#N/A,FALSE,"단축3";#N/A,#N/A,FALSE,"장축";#N/A,#N/A,FALSE,"4WD"}</definedName>
    <definedName name="YUIYI" localSheetId="14" hidden="1">{#N/A,#N/A,FALSE,"BS";#N/A,#N/A,FALSE,"PL";#N/A,#N/A,FALSE,"처분";#N/A,#N/A,FALSE,"현금";#N/A,#N/A,FALSE,"매출";#N/A,#N/A,FALSE,"원가";#N/A,#N/A,FALSE,"경영"}</definedName>
    <definedName name="YUIYI" localSheetId="13" hidden="1">{#N/A,#N/A,FALSE,"BS";#N/A,#N/A,FALSE,"PL";#N/A,#N/A,FALSE,"처분";#N/A,#N/A,FALSE,"현금";#N/A,#N/A,FALSE,"매출";#N/A,#N/A,FALSE,"원가";#N/A,#N/A,FALSE,"경영"}</definedName>
    <definedName name="YUIYI" hidden="1">{#N/A,#N/A,FALSE,"BS";#N/A,#N/A,FALSE,"PL";#N/A,#N/A,FALSE,"처분";#N/A,#N/A,FALSE,"현금";#N/A,#N/A,FALSE,"매출";#N/A,#N/A,FALSE,"원가";#N/A,#N/A,FALSE,"경영"}</definedName>
    <definedName name="yuu" localSheetId="14" hidden="1">#REF!</definedName>
    <definedName name="yuu" hidden="1">#REF!</definedName>
    <definedName name="yy" hidden="1">{#N/A,#N/A,FALSE,"Hip.Bas";#N/A,#N/A,FALSE,"ventas";#N/A,#N/A,FALSE,"ingre-Año";#N/A,#N/A,FALSE,"ventas-Año";#N/A,#N/A,FALSE,"Costepro";#N/A,#N/A,FALSE,"inversion";#N/A,#N/A,FALSE,"personal";#N/A,#N/A,FALSE,"Gastos-V";#N/A,#N/A,FALSE,"Circulante";#N/A,#N/A,FALSE,"CONSOLI";#N/A,#N/A,FALSE,"Es-Fin";#N/A,#N/A,FALSE,"Margen-P"}</definedName>
    <definedName name="yyy" localSheetId="14" hidden="1">{#N/A,#N/A,FALSE,"지침";#N/A,#N/A,FALSE,"환경분석";#N/A,#N/A,FALSE,"Sheet16"}</definedName>
    <definedName name="YYY" hidden="1">{#N/A,#N/A,TRUE,"Y생산";#N/A,#N/A,TRUE,"Y판매";#N/A,#N/A,TRUE,"Y총물량";#N/A,#N/A,TRUE,"Y능력";#N/A,#N/A,TRUE,"YKD"}</definedName>
    <definedName name="yyyyyt" localSheetId="14" hidden="1">[4]목표세부명세!#REF!</definedName>
    <definedName name="yyyyyt" hidden="1">[4]목표세부명세!#REF!</definedName>
    <definedName name="y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yㄹ" hidden="1">{#N/A,#N/A,FALSE,"손익표지";#N/A,#N/A,FALSE,"손익계산";#N/A,#N/A,FALSE,"일반관리비";#N/A,#N/A,FALSE,"영업외수익";#N/A,#N/A,FALSE,"영업외비용";#N/A,#N/A,FALSE,"매출액";#N/A,#N/A,FALSE,"요약손익";#N/A,#N/A,FALSE,"요약대차";#N/A,#N/A,FALSE,"매출채권현황";#N/A,#N/A,FALSE,"매출채권명세"}</definedName>
    <definedName name="yㄹㄹㄹ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yㄹㄹㄹㄹ" hidden="1">{#N/A,#N/A,FALSE,"손익표지";#N/A,#N/A,FALSE,"손익계산";#N/A,#N/A,FALSE,"일반관리비";#N/A,#N/A,FALSE,"영업외수익";#N/A,#N/A,FALSE,"영업외비용";#N/A,#N/A,FALSE,"매출액";#N/A,#N/A,FALSE,"요약손익";#N/A,#N/A,FALSE,"요약대차";#N/A,#N/A,FALSE,"매출채권현황";#N/A,#N/A,FALSE,"매출채권명세"}</definedName>
    <definedName name="Z" localSheetId="14" hidden="1">{#N/A,#N/A,FALSE,"BS";#N/A,#N/A,FALSE,"PL";#N/A,#N/A,FALSE,"처분";#N/A,#N/A,FALSE,"현금";#N/A,#N/A,FALSE,"매출";#N/A,#N/A,FALSE,"원가";#N/A,#N/A,FALSE,"경영"}</definedName>
    <definedName name="Z" localSheetId="13" hidden="1">{#N/A,#N/A,FALSE,"BS";#N/A,#N/A,FALSE,"PL";#N/A,#N/A,FALSE,"처분";#N/A,#N/A,FALSE,"현금";#N/A,#N/A,FALSE,"매출";#N/A,#N/A,FALSE,"원가";#N/A,#N/A,FALSE,"경영"}</definedName>
    <definedName name="z" localSheetId="31" hidden="1">{#N/A,#N/A,FALSE,"손익표지";#N/A,#N/A,FALSE,"손익계산";#N/A,#N/A,FALSE,"일반관리비";#N/A,#N/A,FALSE,"영업외수익";#N/A,#N/A,FALSE,"영업외비용";#N/A,#N/A,FALSE,"매출액";#N/A,#N/A,FALSE,"요약손익";#N/A,#N/A,FALSE,"요약대차";#N/A,#N/A,FALSE,"매출채권현황";#N/A,#N/A,FALSE,"매출채권명세"}</definedName>
    <definedName name="Z" hidden="1">{#N/A,#N/A,FALSE,"BS";#N/A,#N/A,FALSE,"PL";#N/A,#N/A,FALSE,"처분";#N/A,#N/A,FALSE,"현금";#N/A,#N/A,FALSE,"매출";#N/A,#N/A,FALSE,"원가";#N/A,#N/A,FALSE,"경영"}</definedName>
    <definedName name="Z_66914D61_F42A_11D5_A25B_D35A7384597E_.wvu.Cols" localSheetId="14" hidden="1">#REF!</definedName>
    <definedName name="Z_66914D61_F42A_11D5_A25B_D35A7384597E_.wvu.Cols" hidden="1">#REF!</definedName>
    <definedName name="Z_694AF002_9E1C_11D6_8F58_0002A562FF79_.wvu.PrintArea" hidden="1">#REF!</definedName>
    <definedName name="Z_968A3A64_6E62_11D6_9F43_00D0B7C86A47_.wvu.PrintArea" hidden="1">#REF!</definedName>
    <definedName name="Z_968A3A64_6E62_11D6_9F43_00D0B7C86A47_.wvu.PrintTitles" hidden="1">#REF!</definedName>
    <definedName name="Z_968A3A64_6E62_11D6_9F43_00D0B7C86A47_.wvu.Rows" hidden="1">#REF!</definedName>
    <definedName name="Z_C9AF8CC6_2EE6_11D7_B9B8_00508BFFDA22_.wvu.PrintArea" hidden="1">#REF!</definedName>
    <definedName name="Z_E8FEE9A5_163A_11D2_AED0_0000E81DA68C_.wvu.Rows" localSheetId="14" hidden="1">#REF!</definedName>
    <definedName name="Z_E8FEE9A5_163A_11D2_AED0_0000E81DA68C_.wvu.Rows" hidden="1">#REF!</definedName>
    <definedName name="Z0" localSheetId="14" hidden="1">{#N/A,#N/A,FALSE,"KMC최종회의(7월) 자료"}</definedName>
    <definedName name="Z0" hidden="1">{#N/A,#N/A,FALSE,"KMC최종회의(7월) 자료"}</definedName>
    <definedName name="ZHONG"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zsdcas" localSheetId="14" hidden="1">{#N/A,#N/A,TRUE,"Y생산";#N/A,#N/A,TRUE,"Y판매";#N/A,#N/A,TRUE,"Y총물량";#N/A,#N/A,TRUE,"Y능력";#N/A,#N/A,TRUE,"YKD"}</definedName>
    <definedName name="zsdcas" hidden="1">{#N/A,#N/A,TRUE,"Y생산";#N/A,#N/A,TRUE,"Y판매";#N/A,#N/A,TRUE,"Y총물량";#N/A,#N/A,TRUE,"Y능력";#N/A,#N/A,TRUE,"YKD"}</definedName>
    <definedName name="zxcas" localSheetId="14" hidden="1">{#N/A,#N/A,FALSE,"KMC최종회의(7월) 자료"}</definedName>
    <definedName name="zxcas" hidden="1">{#N/A,#N/A,FALSE,"KMC최종회의(7월) 자료"}</definedName>
    <definedName name="zz" localSheetId="14" hidden="1">{#N/A,#N/A,FALSE,"손익표지";#N/A,#N/A,FALSE,"손익계산";#N/A,#N/A,FALSE,"일반관리비";#N/A,#N/A,FALSE,"영업외수익";#N/A,#N/A,FALSE,"영업외비용";#N/A,#N/A,FALSE,"매출액";#N/A,#N/A,FALSE,"요약손익";#N/A,#N/A,FALSE,"요약대차";#N/A,#N/A,FALSE,"매출채권현황";#N/A,#N/A,FALSE,"매출채권명세"}</definedName>
    <definedName name="zz" hidden="1">{#N/A,#N/A,FALSE,"손익표지";#N/A,#N/A,FALSE,"손익계산";#N/A,#N/A,FALSE,"일반관리비";#N/A,#N/A,FALSE,"영업외수익";#N/A,#N/A,FALSE,"영업외비용";#N/A,#N/A,FALSE,"매출액";#N/A,#N/A,FALSE,"요약손익";#N/A,#N/A,FALSE,"요약대차";#N/A,#N/A,FALSE,"매출채권현황";#N/A,#N/A,FALSE,"매출채권명세"}</definedName>
    <definedName name="ZZZ" localSheetId="14" hidden="1">{#N/A,#N/A,FALSE,"Aging Summary";#N/A,#N/A,FALSE,"Ratio Analysis";#N/A,#N/A,FALSE,"Test 120 Day Accts";#N/A,#N/A,FALSE,"Tickmarks"}</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zzz.com" localSheetId="14" hidden="1">{#N/A,#N/A,FALSE,"Title Page";#N/A,#N/A,FALSE,"Conclusions";#N/A,#N/A,FALSE,"Assum.";#N/A,#N/A,FALSE,"Sun  DCF-WC-Dep";#N/A,#N/A,FALSE,"MarketValue";#N/A,#N/A,FALSE,"BalSheet";#N/A,#N/A,FALSE,"WACC";#N/A,#N/A,FALSE,"PC+ Info.";#N/A,#N/A,FALSE,"PC+Info_2"}</definedName>
    <definedName name="zzz.com" localSheetId="13"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zzzzx" localSheetId="14" hidden="1">{#N/A,#N/A,TRUE,"Y생산";#N/A,#N/A,TRUE,"Y판매";#N/A,#N/A,TRUE,"Y총물량";#N/A,#N/A,TRUE,"Y능력";#N/A,#N/A,TRUE,"YKD"}</definedName>
    <definedName name="zzzzzx" hidden="1">{#N/A,#N/A,TRUE,"Y생산";#N/A,#N/A,TRUE,"Y판매";#N/A,#N/A,TRUE,"Y총물량";#N/A,#N/A,TRUE,"Y능력";#N/A,#N/A,TRUE,"YKD"}</definedName>
    <definedName name="zzzzzz" localSheetId="14" hidden="1">{#N/A,#N/A,TRUE,"Y생산";#N/A,#N/A,TRUE,"Y판매";#N/A,#N/A,TRUE,"Y총물량";#N/A,#N/A,TRUE,"Y능력";#N/A,#N/A,TRUE,"YKD"}</definedName>
    <definedName name="zzzzzz" hidden="1">{#N/A,#N/A,TRUE,"Y생산";#N/A,#N/A,TRUE,"Y판매";#N/A,#N/A,TRUE,"Y총물량";#N/A,#N/A,TRUE,"Y능력";#N/A,#N/A,TRUE,"YKD"}</definedName>
    <definedName name="zzzzzzzzz" localSheetId="14" hidden="1">{#N/A,#N/A,FALSE,"96 3월물량표";#N/A,#N/A,FALSE,"96 4월물량표";#N/A,#N/A,FALSE,"96 5월물량표"}</definedName>
    <definedName name="zzzzzzzzz" hidden="1">{#N/A,#N/A,FALSE,"96 3월물량표";#N/A,#N/A,FALSE,"96 4월물량표";#N/A,#N/A,FALSE,"96 5월물량표"}</definedName>
    <definedName name="ㄱ" localSheetId="14" hidden="1">{#N/A,#N/A,FALSE,"BS";#N/A,#N/A,FALSE,"PL";#N/A,#N/A,FALSE,"처분";#N/A,#N/A,FALSE,"현금";#N/A,#N/A,FALSE,"매출";#N/A,#N/A,FALSE,"원가";#N/A,#N/A,FALSE,"경영"}</definedName>
    <definedName name="ㄱ" localSheetId="13" hidden="1">{#N/A,#N/A,FALSE,"BS";#N/A,#N/A,FALSE,"PL";#N/A,#N/A,FALSE,"처분";#N/A,#N/A,FALSE,"현금";#N/A,#N/A,FALSE,"매출";#N/A,#N/A,FALSE,"원가";#N/A,#N/A,FALSE,"경영"}</definedName>
    <definedName name="ㄱ"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ㄱ" hidden="1">{#N/A,#N/A,FALSE,"BS";#N/A,#N/A,FALSE,"PL";#N/A,#N/A,FALSE,"처분";#N/A,#N/A,FALSE,"현금";#N/A,#N/A,FALSE,"매출";#N/A,#N/A,FALSE,"원가";#N/A,#N/A,FALSE,"경영"}</definedName>
    <definedName name="ㄱㄱ" localSheetId="14" hidden="1">{#N/A,#N/A,FALSE,"KMC최종회의(7월) 자료"}</definedName>
    <definedName name="ㄱㄱ" hidden="1">{#N/A,#N/A,FALSE,"KMC최종회의(7월) 자료"}</definedName>
    <definedName name="ㄱㄱㄱ" localSheetId="14" hidden="1">{#N/A,#N/A,FALSE,"Sheet5"}</definedName>
    <definedName name="ㄱㄱㄱ" localSheetId="13" hidden="1">{#N/A,#N/A,FALSE,"Sheet5"}</definedName>
    <definedName name="ㄱㄱㄱ"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{#N/A,#N/A,FALSE,"Sheet5"}</definedName>
    <definedName name="ㄱㄱㄱㄱ" localSheetId="14" hidden="1">{#N/A,#N/A,FALSE,"지침";#N/A,#N/A,FALSE,"환경분석";#N/A,#N/A,FALSE,"Sheet16"}</definedName>
    <definedName name="ㄱㄱㄱ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ㄱ">[62]Sheet1!#REF!</definedName>
    <definedName name="ㄱㄴ" localSheetId="14" hidden="1">{#N/A,#N/A,FALSE,"KMC최종회의(7월) 자료"}</definedName>
    <definedName name="ㄱㄴ" hidden="1">{#N/A,#N/A,FALSE,"KMC최종회의(7월) 자료"}</definedName>
    <definedName name="ㄱㄷㄴㅅㅅㄱㄷㄱㄷㅅㅅ" hidden="1">{#N/A,#N/A,FALSE,"PART-1234-8-12-9(41)";#N/A,#N/A,FALSE,"PARTS-2(3)";#N/A,#N/A,FALSE,"VAN SYSTEM";#N/A,#N/A,FALSE,"PARTS-10(26)";#N/A,#N/A,FALSE,"PART-5-6-7-11(14)";#N/A,#N/A,FALSE,"PARTS-4(3)";#N/A,#N/A,FALSE,"PCLASS"}</definedName>
    <definedName name="ㄱㄷㄷㄱ"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ㄱㄷㅁㄱ" localSheetId="14" hidden="1">{#N/A,#N/A,FALSE,"단축1";#N/A,#N/A,FALSE,"단축2";#N/A,#N/A,FALSE,"단축3";#N/A,#N/A,FALSE,"장축";#N/A,#N/A,FALSE,"4WD"}</definedName>
    <definedName name="ㄱㄷㅁㄱ" hidden="1">{#N/A,#N/A,FALSE,"단축1";#N/A,#N/A,FALSE,"단축2";#N/A,#N/A,FALSE,"단축3";#N/A,#N/A,FALSE,"장축";#N/A,#N/A,FALSE,"4WD"}</definedName>
    <definedName name="ㄱㄷㅁㄷㅈㅈㅈㅈ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ㄱㄷㅅ히ㅏ" hidden="1">{#N/A,#N/A,FALSE,"지침";#N/A,#N/A,FALSE,"환경분석";#N/A,#N/A,FALSE,"Sheet16"}</definedName>
    <definedName name="ㄱㄷㅈㄱㄷㅈㄷㄱㄷㅁ" hidden="1">{#N/A,#N/A,FALSE,"PART-1234-8-12-9(41)";#N/A,#N/A,FALSE,"PARTS-2(3)";#N/A,#N/A,FALSE,"VAN SYSTEM";#N/A,#N/A,FALSE,"PARTS-10(26)";#N/A,#N/A,FALSE,"PART-5-6-7-11(14)";#N/A,#N/A,FALSE,"PARTS-4(3)";#N/A,#N/A,FALSE,"PCLASS"}</definedName>
    <definedName name="ㄱㄷㅈㄷ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ㄷ" localSheetId="14" hidden="1">{#N/A,#N/A,TRUE,"Y생산";#N/A,#N/A,TRUE,"Y판매";#N/A,#N/A,TRUE,"Y총물량";#N/A,#N/A,TRUE,"Y능력";#N/A,#N/A,TRUE,"YKD"}</definedName>
    <definedName name="ㄱㄹㄷ" hidden="1">{#N/A,#N/A,TRUE,"Y생산";#N/A,#N/A,TRUE,"Y판매";#N/A,#N/A,TRUE,"Y총물량";#N/A,#N/A,TRUE,"Y능력";#N/A,#N/A,TRUE,"YKD"}</definedName>
    <definedName name="ㄱㅁㅁㄷㅁㄱㄷㄷㄱㅁㄱ" hidden="1">{#N/A,#N/A,FALSE,"PART-1234-8-12-9(41)";#N/A,#N/A,FALSE,"PARTS-2(3)";#N/A,#N/A,FALSE,"VAN SYSTEM";#N/A,#N/A,FALSE,"PARTS-10(26)";#N/A,#N/A,FALSE,"PART-5-6-7-11(14)";#N/A,#N/A,FALSE,"PARTS-4(3)";#N/A,#N/A,FALSE,"PCLASS"}</definedName>
    <definedName name="ㄱ셕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쇼" localSheetId="14" hidden="1">{#N/A,#N/A,FALSE,"KMC최종회의(7월) 자료"}</definedName>
    <definedName name="ㄱ쇼" hidden="1">{#N/A,#N/A,FALSE,"KMC최종회의(7월) 자료"}</definedName>
    <definedName name="ㄱㅇ" localSheetId="14" hidden="1">{#N/A,#N/A,FALSE,"단축1";#N/A,#N/A,FALSE,"단축2";#N/A,#N/A,FALSE,"단축3";#N/A,#N/A,FALSE,"장축";#N/A,#N/A,FALSE,"4WD"}</definedName>
    <definedName name="ㄱㅇ" hidden="1">{#N/A,#N/A,FALSE,"단축1";#N/A,#N/A,FALSE,"단축2";#N/A,#N/A,FALSE,"단축3";#N/A,#N/A,FALSE,"장축";#N/A,#N/A,FALSE,"4WD"}</definedName>
    <definedName name="ㄱㅇ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ㄱㅇ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이ㅂㄱ자잉ㄴㅂㅈ가ㅇㅂㅈㅇㄱ인바ㄱㅇㅣ바ㅈㄱㅇㅇ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ㄱ이ㅂㄱ자잉ㄴㅂㅈ가ㅇㅂㅈㅇㄱ인바ㄱㅇㅣ바ㅈㄱㅇㅇ비" hidden="1">{#N/A,#N/A,FALSE,"손익표지";#N/A,#N/A,FALSE,"손익계산";#N/A,#N/A,FALSE,"일반관리비";#N/A,#N/A,FALSE,"영업외수익";#N/A,#N/A,FALSE,"영업외비용";#N/A,#N/A,FALSE,"매출액";#N/A,#N/A,FALSE,"요약손익";#N/A,#N/A,FALSE,"요약대차";#N/A,#N/A,FALSE,"매출채권현황";#N/A,#N/A,FALSE,"매출채권명세"}</definedName>
    <definedName name="ㄱㅍ" localSheetId="14" hidden="1">{#N/A,#N/A,FALSE,"KMC최종회의(7월) 자료"}</definedName>
    <definedName name="ㄱㅍ" hidden="1">{#N/A,#N/A,FALSE,"KMC최종회의(7월) 자료"}</definedName>
    <definedName name="가" localSheetId="14" hidden="1">{#N/A,#N/A,FALSE,"Sheet5"}</definedName>
    <definedName name="가" localSheetId="13" hidden="1">{#N/A,#N/A,FALSE,"Sheet5"}</definedName>
    <definedName name="가" localSheetId="31" hidden="1">{#N/A,#N/A,FALSE,"손익표지";#N/A,#N/A,FALSE,"손익계산";#N/A,#N/A,FALSE,"일반관리비";#N/A,#N/A,FALSE,"영업외수익";#N/A,#N/A,FALSE,"영업외비용";#N/A,#N/A,FALSE,"매출액";#N/A,#N/A,FALSE,"요약손익";#N/A,#N/A,FALSE,"요약대차";#N/A,#N/A,FALSE,"매출채권현황";#N/A,#N/A,FALSE,"매출채권명세"}</definedName>
    <definedName name="가" hidden="1">{#N/A,#N/A,FALSE,"Sheet5"}</definedName>
    <definedName name="가123" localSheetId="14" hidden="1">{"'분양원가'!$B$1:$F$113"}</definedName>
    <definedName name="가123" localSheetId="13" hidden="1">{"'분양원가'!$B$1:$F$113"}</definedName>
    <definedName name="가123" hidden="1">{"'분양원가'!$B$1:$F$113"}</definedName>
    <definedName name="가가가" localSheetId="14" hidden="1">{#N/A,#N/A,FALSE,"BS";#N/A,#N/A,FALSE,"PL";#N/A,#N/A,FALSE,"A";#N/A,#N/A,FALSE,"B";#N/A,#N/A,FALSE,"B1";#N/A,#N/A,FALSE,"C";#N/A,#N/A,FALSE,"C1";#N/A,#N/A,FALSE,"C2";#N/A,#N/A,FALSE,"D";#N/A,#N/A,FALSE,"E";#N/A,#N/A,FALSE,"F";#N/A,#N/A,FALSE,"AA";#N/A,#N/A,FALSE,"BB";#N/A,#N/A,FALSE,"CC";#N/A,#N/A,FALSE,"DD";#N/A,#N/A,FALSE,"EE";#N/A,#N/A,FALSE,"FF";#N/A,#N/A,FALSE,"PL10";#N/A,#N/A,FALSE,"PL20";#N/A,#N/A,FALSE,"PL30"}</definedName>
    <definedName name="가가가" localSheetId="13" hidden="1">{#N/A,#N/A,FALSE,"BS";#N/A,#N/A,FALSE,"PL";#N/A,#N/A,FALSE,"A";#N/A,#N/A,FALSE,"B";#N/A,#N/A,FALSE,"B1";#N/A,#N/A,FALSE,"C";#N/A,#N/A,FALSE,"C1";#N/A,#N/A,FALSE,"C2";#N/A,#N/A,FALSE,"D";#N/A,#N/A,FALSE,"E";#N/A,#N/A,FALSE,"F";#N/A,#N/A,FALSE,"AA";#N/A,#N/A,FALSE,"BB";#N/A,#N/A,FALSE,"CC";#N/A,#N/A,FALSE,"DD";#N/A,#N/A,FALSE,"EE";#N/A,#N/A,FALSE,"FF";#N/A,#N/A,FALSE,"PL10";#N/A,#N/A,FALSE,"PL20";#N/A,#N/A,FALSE,"PL30"}</definedName>
    <definedName name="가가가" localSheetId="31" hidden="1">{#N/A,#N/A,FALSE,"손익표지";#N/A,#N/A,FALSE,"손익계산";#N/A,#N/A,FALSE,"일반관리비";#N/A,#N/A,FALSE,"영업외수익";#N/A,#N/A,FALSE,"영업외비용";#N/A,#N/A,FALSE,"매출액";#N/A,#N/A,FALSE,"요약손익";#N/A,#N/A,FALSE,"요약대차";#N/A,#N/A,FALSE,"매출채권현황";#N/A,#N/A,FALSE,"매출채권명세"}</definedName>
    <definedName name="가가가" hidden="1">{#N/A,#N/A,FALSE,"BS";#N/A,#N/A,FALSE,"PL";#N/A,#N/A,FALSE,"A";#N/A,#N/A,FALSE,"B";#N/A,#N/A,FALSE,"B1";#N/A,#N/A,FALSE,"C";#N/A,#N/A,FALSE,"C1";#N/A,#N/A,FALSE,"C2";#N/A,#N/A,FALSE,"D";#N/A,#N/A,FALSE,"E";#N/A,#N/A,FALSE,"F";#N/A,#N/A,FALSE,"AA";#N/A,#N/A,FALSE,"BB";#N/A,#N/A,FALSE,"CC";#N/A,#N/A,FALSE,"DD";#N/A,#N/A,FALSE,"EE";#N/A,#N/A,FALSE,"FF";#N/A,#N/A,FALSE,"PL10";#N/A,#N/A,FALSE,"PL20";#N/A,#N/A,FALSE,"PL30"}</definedName>
    <definedName name="가공1조업계획" localSheetId="14" hidden="1">{#N/A,#N/A,FALSE,"96 3월물량표";#N/A,#N/A,FALSE,"96 4월물량표";#N/A,#N/A,FALSE,"96 5월물량표"}</definedName>
    <definedName name="가공1조업계획" hidden="1">{#N/A,#N/A,FALSE,"96 3월물량표";#N/A,#N/A,FALSE,"96 4월물량표";#N/A,#N/A,FALSE,"96 5월물량표"}</definedName>
    <definedName name="가공조업계획" localSheetId="14" hidden="1">{#N/A,#N/A,TRUE,"Y생산";#N/A,#N/A,TRUE,"Y판매";#N/A,#N/A,TRUE,"Y총물량";#N/A,#N/A,TRUE,"Y능력";#N/A,#N/A,TRUE,"YKD"}</definedName>
    <definedName name="가공조업계획" hidden="1">{#N/A,#N/A,TRUE,"Y생산";#N/A,#N/A,TRUE,"Y판매";#N/A,#N/A,TRUE,"Y총물량";#N/A,#N/A,TRUE,"Y능력";#N/A,#N/A,TRUE,"YKD"}</definedName>
    <definedName name="가공조업실적" localSheetId="14" hidden="1">{#N/A,#N/A,TRUE,"Y생산";#N/A,#N/A,TRUE,"Y판매";#N/A,#N/A,TRUE,"Y총물량";#N/A,#N/A,TRUE,"Y능력";#N/A,#N/A,TRUE,"YKD"}</definedName>
    <definedName name="가공조업실적" hidden="1">{#N/A,#N/A,TRUE,"Y생산";#N/A,#N/A,TRUE,"Y판매";#N/A,#N/A,TRUE,"Y총물량";#N/A,#N/A,TRUE,"Y능력";#N/A,#N/A,TRUE,"YKD"}</definedName>
    <definedName name="가기긱" localSheetId="14" hidden="1">{"'미착금액'!$A$4:$G$14"}</definedName>
    <definedName name="가기긱" localSheetId="13" hidden="1">{"'미착금액'!$A$4:$G$14"}</definedName>
    <definedName name="가기긱" hidden="1">{"'미착금액'!$A$4:$G$14"}</definedName>
    <definedName name="가나" localSheetId="14" hidden="1">{#N/A,#N/A,TRUE,"Y생산";#N/A,#N/A,TRUE,"Y판매";#N/A,#N/A,TRUE,"Y총물량";#N/A,#N/A,TRUE,"Y능력";#N/A,#N/A,TRUE,"YKD"}</definedName>
    <definedName name="가나" hidden="1">{#N/A,#N/A,TRUE,"Y생산";#N/A,#N/A,TRUE,"Y판매";#N/A,#N/A,TRUE,"Y총물량";#N/A,#N/A,TRUE,"Y능력";#N/A,#N/A,TRUE,"YKD"}</definedName>
    <definedName name="가나다"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가나다" hidden="1">{#N/A,#N/A,FALSE,"손익표지";#N/A,#N/A,FALSE,"손익계산";#N/A,#N/A,FALSE,"일반관리비";#N/A,#N/A,FALSE,"영업외수익";#N/A,#N/A,FALSE,"영업외비용";#N/A,#N/A,FALSE,"매출액";#N/A,#N/A,FALSE,"요약손익";#N/A,#N/A,FALSE,"요약대차";#N/A,#N/A,FALSE,"매출채권현황";#N/A,#N/A,FALSE,"매출채권명세"}</definedName>
    <definedName name="가나다라" localSheetId="14" hidden="1">{#N/A,#N/A,FALSE,"정공"}</definedName>
    <definedName name="가나다라" hidden="1">{#N/A,#N/A,FALSE,"정공"}</definedName>
    <definedName name="가나다오" localSheetId="14" hidden="1">{#N/A,#N/A,FALSE,"정공"}</definedName>
    <definedName name="가나다오" hidden="1">{#N/A,#N/A,FALSE,"정공"}</definedName>
    <definedName name="가다라다라" localSheetId="14" hidden="1">{"'5'!$A$1:$BB$147"}</definedName>
    <definedName name="가다라다라" hidden="1">{"'5'!$A$1:$BB$147"}</definedName>
    <definedName name="가다자자다" localSheetId="14" hidden="1">{"'5'!$A$1:$BB$147"}</definedName>
    <definedName name="가다자자다" hidden="1">{"'5'!$A$1:$BB$147"}</definedName>
    <definedName name="가동" localSheetId="14" hidden="1">{#N/A,#N/A,TRUE,"Y생산";#N/A,#N/A,TRUE,"Y판매";#N/A,#N/A,TRUE,"Y총물량";#N/A,#N/A,TRUE,"Y능력";#N/A,#N/A,TRUE,"YKD"}</definedName>
    <definedName name="가동" hidden="1">{#N/A,#N/A,TRUE,"Y생산";#N/A,#N/A,TRUE,"Y판매";#N/A,#N/A,TRUE,"Y총물량";#N/A,#N/A,TRUE,"Y능력";#N/A,#N/A,TRUE,"YKD"}</definedName>
    <definedName name="가동2" localSheetId="14" hidden="1">{#N/A,#N/A,TRUE,"Y생산";#N/A,#N/A,TRUE,"Y판매";#N/A,#N/A,TRUE,"Y총물량";#N/A,#N/A,TRUE,"Y능력";#N/A,#N/A,TRUE,"YKD"}</definedName>
    <definedName name="가동2" hidden="1">{#N/A,#N/A,TRUE,"Y생산";#N/A,#N/A,TRUE,"Y판매";#N/A,#N/A,TRUE,"Y총물량";#N/A,#N/A,TRUE,"Y능력";#N/A,#N/A,TRUE,"YKD"}</definedName>
    <definedName name="가동조건" localSheetId="14" hidden="1">{#N/A,#N/A,FALSE,"96 3월물량표";#N/A,#N/A,FALSE,"96 4월물량표";#N/A,#N/A,FALSE,"96 5월물량표"}</definedName>
    <definedName name="가동조건" hidden="1">{#N/A,#N/A,FALSE,"96 3월물량표";#N/A,#N/A,FALSE,"96 4월물량표";#N/A,#N/A,FALSE,"96 5월물량표"}</definedName>
    <definedName name="가미"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아나" localSheetId="14" hidden="1">{#N/A,#N/A,TRUE,"Y생산";#N/A,#N/A,TRUE,"Y판매";#N/A,#N/A,TRUE,"Y총물량";#N/A,#N/A,TRUE,"Y능력";#N/A,#N/A,TRUE,"YKD"}</definedName>
    <definedName name="가아나" hidden="1">{#N/A,#N/A,TRUE,"Y생산";#N/A,#N/A,TRUE,"Y판매";#N/A,#N/A,TRUE,"Y총물량";#N/A,#N/A,TRUE,"Y능력";#N/A,#N/A,TRUE,"YKD"}</definedName>
    <definedName name="가자" localSheetId="14" hidden="1">{#N/A,#N/A,FALSE,"KMC최종회의(7월) 자료"}</definedName>
    <definedName name="가자" hidden="1">{#N/A,#N/A,FALSE,"KMC최종회의(7월) 자료"}</definedName>
    <definedName name="가자나다라" localSheetId="14" hidden="1">{"'5'!$A$1:$BB$147"}</definedName>
    <definedName name="가자나다라" hidden="1">{"'5'!$A$1:$BB$147"}</definedName>
    <definedName name="가자자라다라" localSheetId="14" hidden="1">{"'5'!$A$1:$BB$147"}</definedName>
    <definedName name="가자자라다라" hidden="1">{"'5'!$A$1:$BB$147"}</definedName>
    <definedName name="각"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각방안" localSheetId="14" hidden="1">{#N/A,#N/A,FALSE,"단축1";#N/A,#N/A,FALSE,"단축2";#N/A,#N/A,FALSE,"단축3";#N/A,#N/A,FALSE,"장축";#N/A,#N/A,FALSE,"4WD"}</definedName>
    <definedName name="각방안" hidden="1">{#N/A,#N/A,FALSE,"단축1";#N/A,#N/A,FALSE,"단축2";#N/A,#N/A,FALSE,"단축3";#N/A,#N/A,FALSE,"장축";#N/A,#N/A,FALSE,"4WD"}</definedName>
    <definedName name="감" localSheetId="1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overall" hidden="1">{#N/A,#N/A,FALSE,"Aging Summary";#N/A,#N/A,FALSE,"Ratio Analysis";#N/A,#N/A,FALSE,"Test 120 Day Accts";#N/A,#N/A,FALSE,"Tickmarks"}</definedName>
    <definedName name="감리상주" hidden="1">{#N/A,#N/A,FALSE,"지침";#N/A,#N/A,FALSE,"환경분석";#N/A,#N/A,FALSE,"Sheet16"}</definedName>
    <definedName name="감사"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감사"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감산" hidden="1">{#N/A,#N/A,FALSE,"손익표지";#N/A,#N/A,FALSE,"손익계산";#N/A,#N/A,FALSE,"일반관리비";#N/A,#N/A,FALSE,"영업외수익";#N/A,#N/A,FALSE,"영업외비용";#N/A,#N/A,FALSE,"매출액";#N/A,#N/A,FALSE,"요약손익";#N/A,#N/A,FALSE,"요약대차";#N/A,#N/A,FALSE,"매출채권현황";#N/A,#N/A,FALSE,"매출채권명세"}</definedName>
    <definedName name="감자" localSheetId="14" hidden="1">#REF!</definedName>
    <definedName name="감자" hidden="1">#REF!</definedName>
    <definedName name="감자안이관" localSheetId="14" hidden="1">{#N/A,#N/A,FALSE,"정공"}</definedName>
    <definedName name="감자안이관" hidden="1">{#N/A,#N/A,FALSE,"정공"}</definedName>
    <definedName name="감정평가" localSheetId="14" hidden="1">{#N/A,#N/A,FALSE,"Sheet5"}</definedName>
    <definedName name="감정평가" localSheetId="13" hidden="1">{#N/A,#N/A,FALSE,"Sheet5"}</definedName>
    <definedName name="감정평가" hidden="1">{#N/A,#N/A,FALSE,"Sheet5"}</definedName>
    <definedName name="감축실적"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갑부" localSheetId="14" hidden="1">{#N/A,#N/A,FALSE,"인원";#N/A,#N/A,FALSE,"비용2";#N/A,#N/A,FALSE,"비용1";#N/A,#N/A,FALSE,"비용";#N/A,#N/A,FALSE,"보증2";#N/A,#N/A,FALSE,"보증1";#N/A,#N/A,FALSE,"보증";#N/A,#N/A,FALSE,"손익1";#N/A,#N/A,FALSE,"손익";#N/A,#N/A,FALSE,"부서별매출";#N/A,#N/A,FALSE,"매출"}</definedName>
    <definedName name="갑부" hidden="1">{#N/A,#N/A,FALSE,"인원";#N/A,#N/A,FALSE,"비용2";#N/A,#N/A,FALSE,"비용1";#N/A,#N/A,FALSE,"비용";#N/A,#N/A,FALSE,"보증2";#N/A,#N/A,FALSE,"보증1";#N/A,#N/A,FALSE,"보증";#N/A,#N/A,FALSE,"손익1";#N/A,#N/A,FALSE,"손익";#N/A,#N/A,FALSE,"부서별매출";#N/A,#N/A,FALSE,"매출"}</definedName>
    <definedName name="갔" localSheetId="14" hidden="1">{#N/A,#N/A,FALSE,"Sheet5"}</definedName>
    <definedName name="갔" localSheetId="13" hidden="1">{#N/A,#N/A,FALSE,"Sheet5"}</definedName>
    <definedName name="갔" hidden="1">{#N/A,#N/A,FALSE,"Sheet5"}</definedName>
    <definedName name="강" localSheetId="14" hidden="1">{#N/A,#N/A,FALSE,"Sheet5"}</definedName>
    <definedName name="강" localSheetId="13" hidden="1">{#N/A,#N/A,FALSE,"Sheet5"}</definedName>
    <definedName name="강" hidden="1">{#N/A,#N/A,FALSE,"Sheet5"}</definedName>
    <definedName name="강강강" localSheetId="14" hidden="1">{#N/A,#N/A,TRUE,"Y생산";#N/A,#N/A,TRUE,"Y판매";#N/A,#N/A,TRUE,"Y총물량";#N/A,#N/A,TRUE,"Y능력";#N/A,#N/A,TRUE,"YKD"}</definedName>
    <definedName name="강강강" hidden="1">{#N/A,#N/A,TRUE,"Y생산";#N/A,#N/A,TRUE,"Y판매";#N/A,#N/A,TRUE,"Y총물량";#N/A,#N/A,TRUE,"Y능력";#N/A,#N/A,TRUE,"YKD"}</definedName>
    <definedName name="강강강강"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강강강강" hidden="1">{#N/A,#N/A,FALSE,"손익표지";#N/A,#N/A,FALSE,"손익계산";#N/A,#N/A,FALSE,"일반관리비";#N/A,#N/A,FALSE,"영업외수익";#N/A,#N/A,FALSE,"영업외비용";#N/A,#N/A,FALSE,"매출액";#N/A,#N/A,FALSE,"요약손익";#N/A,#N/A,FALSE,"요약대차";#N/A,#N/A,FALSE,"매출채권현황";#N/A,#N/A,FALSE,"매출채권명세"}</definedName>
    <definedName name="강명구" hidden="1">{#N/A,#N/A,FALSE,"97년 투자계획 세부내역 "}</definedName>
    <definedName name="강민수" hidden="1">{#N/A,#N/A,FALSE,"97년 투자계획 세부내역 "}</definedName>
    <definedName name="강수석"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강호" hidden="1">{#N/A,#N/A,FALSE,"손익표지";#N/A,#N/A,FALSE,"손익계산";#N/A,#N/A,FALSE,"일반관리비";#N/A,#N/A,FALSE,"영업외수익";#N/A,#N/A,FALSE,"영업외비용";#N/A,#N/A,FALSE,"매출액";#N/A,#N/A,FALSE,"요약손익";#N/A,#N/A,FALSE,"요약대차";#N/A,#N/A,FALSE,"매출채권현황";#N/A,#N/A,FALSE,"매출채권명세"}</definedName>
    <definedName name="강호것"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강호것" hidden="1">{#N/A,#N/A,FALSE,"손익표지";#N/A,#N/A,FALSE,"손익계산";#N/A,#N/A,FALSE,"일반관리비";#N/A,#N/A,FALSE,"영업외수익";#N/A,#N/A,FALSE,"영업외비용";#N/A,#N/A,FALSE,"매출액";#N/A,#N/A,FALSE,"요약손익";#N/A,#N/A,FALSE,"요약대차";#N/A,#N/A,FALSE,"매출채권현황";#N/A,#N/A,FALSE,"매출채권명세"}</definedName>
    <definedName name="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개" hidden="1">{#N/A,#N/A,FALSE,"손익표지";#N/A,#N/A,FALSE,"손익계산";#N/A,#N/A,FALSE,"일반관리비";#N/A,#N/A,FALSE,"영업외수익";#N/A,#N/A,FALSE,"영업외비용";#N/A,#N/A,FALSE,"매출액";#N/A,#N/A,FALSE,"요약손익";#N/A,#N/A,FALSE,"요약대차";#N/A,#N/A,FALSE,"매출채권현황";#N/A,#N/A,FALSE,"매출채권명세"}</definedName>
    <definedName name="개똥"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문제범" localSheetId="14" hidden="1">{#N/A,#N/A,FALSE,"단축1";#N/A,#N/A,FALSE,"단축2";#N/A,#N/A,FALSE,"단축3";#N/A,#N/A,FALSE,"장축";#N/A,#N/A,FALSE,"4WD"}</definedName>
    <definedName name="개발문제범" hidden="1">{#N/A,#N/A,FALSE,"단축1";#N/A,#N/A,FALSE,"단축2";#N/A,#N/A,FALSE,"단축3";#N/A,#N/A,FALSE,"장축";#N/A,#N/A,FALSE,"4WD"}</definedName>
    <definedName name="개발비2" localSheetId="14" hidden="1">{#N/A,#N/A,FALSE,"BS";#N/A,#N/A,FALSE,"PL";#N/A,#N/A,FALSE,"A";#N/A,#N/A,FALSE,"B";#N/A,#N/A,FALSE,"B1";#N/A,#N/A,FALSE,"C";#N/A,#N/A,FALSE,"C1";#N/A,#N/A,FALSE,"C2";#N/A,#N/A,FALSE,"D";#N/A,#N/A,FALSE,"E";#N/A,#N/A,FALSE,"F";#N/A,#N/A,FALSE,"AA";#N/A,#N/A,FALSE,"BB";#N/A,#N/A,FALSE,"CC";#N/A,#N/A,FALSE,"DD";#N/A,#N/A,FALSE,"EE";#N/A,#N/A,FALSE,"FF";#N/A,#N/A,FALSE,"PL10";#N/A,#N/A,FALSE,"PL20";#N/A,#N/A,FALSE,"PL30"}</definedName>
    <definedName name="개발비2" localSheetId="13" hidden="1">{#N/A,#N/A,FALSE,"BS";#N/A,#N/A,FALSE,"PL";#N/A,#N/A,FALSE,"A";#N/A,#N/A,FALSE,"B";#N/A,#N/A,FALSE,"B1";#N/A,#N/A,FALSE,"C";#N/A,#N/A,FALSE,"C1";#N/A,#N/A,FALSE,"C2";#N/A,#N/A,FALSE,"D";#N/A,#N/A,FALSE,"E";#N/A,#N/A,FALSE,"F";#N/A,#N/A,FALSE,"AA";#N/A,#N/A,FALSE,"BB";#N/A,#N/A,FALSE,"CC";#N/A,#N/A,FALSE,"DD";#N/A,#N/A,FALSE,"EE";#N/A,#N/A,FALSE,"FF";#N/A,#N/A,FALSE,"PL10";#N/A,#N/A,FALSE,"PL20";#N/A,#N/A,FALSE,"PL30"}</definedName>
    <definedName name="개발비2" hidden="1">{#N/A,#N/A,FALSE,"BS";#N/A,#N/A,FALSE,"PL";#N/A,#N/A,FALSE,"A";#N/A,#N/A,FALSE,"B";#N/A,#N/A,FALSE,"B1";#N/A,#N/A,FALSE,"C";#N/A,#N/A,FALSE,"C1";#N/A,#N/A,FALSE,"C2";#N/A,#N/A,FALSE,"D";#N/A,#N/A,FALSE,"E";#N/A,#N/A,FALSE,"F";#N/A,#N/A,FALSE,"AA";#N/A,#N/A,FALSE,"BB";#N/A,#N/A,FALSE,"CC";#N/A,#N/A,FALSE,"DD";#N/A,#N/A,FALSE,"EE";#N/A,#N/A,FALSE,"FF";#N/A,#N/A,FALSE,"PL10";#N/A,#N/A,FALSE,"PL20";#N/A,#N/A,FALSE,"PL30"}</definedName>
    <definedName name="개발시험종합" localSheetId="14" hidden="1">#REF!</definedName>
    <definedName name="개발시험종합" hidden="1">#REF!</definedName>
    <definedName name="개발업부" hidden="1">{#N/A,#N/A,FALSE,"PART-1234-8-12-9(41)";#N/A,#N/A,FALSE,"PARTS-2(3)";#N/A,#N/A,FALSE,"VAN SYSTEM";#N/A,#N/A,FALSE,"PARTS-10(26)";#N/A,#N/A,FALSE,"PART-5-6-7-11(14)";#N/A,#N/A,FALSE,"PARTS-4(3)";#N/A,#N/A,FALSE,"PCLASS"}</definedName>
    <definedName name="개발일정" localSheetId="14" hidden="1">{#N/A,#N/A,FALSE,"단축1";#N/A,#N/A,FALSE,"단축2";#N/A,#N/A,FALSE,"단축3";#N/A,#N/A,FALSE,"장축";#N/A,#N/A,FALSE,"4WD"}</definedName>
    <definedName name="개발일정" hidden="1">{#N/A,#N/A,FALSE,"단축1";#N/A,#N/A,FALSE,"단축2";#N/A,#N/A,FALSE,"단축3";#N/A,#N/A,FALSE,"장축";#N/A,#N/A,FALSE,"4WD"}</definedName>
    <definedName name="개발일정수정" localSheetId="14" hidden="1">{#N/A,#N/A,FALSE,"단축1";#N/A,#N/A,FALSE,"단축2";#N/A,#N/A,FALSE,"단축3";#N/A,#N/A,FALSE,"장축";#N/A,#N/A,FALSE,"4WD"}</definedName>
    <definedName name="개발일정수정" hidden="1">{#N/A,#N/A,FALSE,"단축1";#N/A,#N/A,FALSE,"단축2";#N/A,#N/A,FALSE,"단축3";#N/A,#N/A,FALSE,"장축";#N/A,#N/A,FALSE,"4WD"}</definedName>
    <definedName name="개발화학피앤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선" localSheetId="14" hidden="1">{#N/A,#N/A,FALSE,"단축1";#N/A,#N/A,FALSE,"단축2";#N/A,#N/A,FALSE,"단축3";#N/A,#N/A,FALSE,"장축";#N/A,#N/A,FALSE,"4WD"}</definedName>
    <definedName name="개선" hidden="1">{#N/A,#N/A,FALSE,"단축1";#N/A,#N/A,FALSE,"단축2";#N/A,#N/A,FALSE,"단축3";#N/A,#N/A,FALSE,"장축";#N/A,#N/A,FALSE,"4WD"}</definedName>
    <definedName name="개선내용" localSheetId="14" hidden="1">{#N/A,#N/A,TRUE,"Y생산";#N/A,#N/A,TRUE,"Y판매";#N/A,#N/A,TRUE,"Y총물량";#N/A,#N/A,TRUE,"Y능력";#N/A,#N/A,TRUE,"YKD"}</definedName>
    <definedName name="개선내용" hidden="1">{#N/A,#N/A,TRUE,"Y생산";#N/A,#N/A,TRUE,"Y판매";#N/A,#N/A,TRUE,"Y총물량";#N/A,#N/A,TRUE,"Y능력";#N/A,#N/A,TRUE,"YKD"}</definedName>
    <definedName name="개선실적" localSheetId="14" hidden="1">{#N/A,#N/A,TRUE,"Y생산";#N/A,#N/A,TRUE,"Y판매";#N/A,#N/A,TRUE,"Y총물량";#N/A,#N/A,TRUE,"Y능력";#N/A,#N/A,TRUE,"YKD"}</definedName>
    <definedName name="개선실적" hidden="1">{#N/A,#N/A,TRUE,"Y생산";#N/A,#N/A,TRUE,"Y판매";#N/A,#N/A,TRUE,"Y총물량";#N/A,#N/A,TRUE,"Y능력";#N/A,#N/A,TRUE,"YKD"}</definedName>
    <definedName name="개선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개선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개선안" hidden="1">{#N/A,#N/A,FALSE,"손익표지";#N/A,#N/A,FALSE,"손익계산";#N/A,#N/A,FALSE,"일반관리비";#N/A,#N/A,FALSE,"영업외수익";#N/A,#N/A,FALSE,"영업외비용";#N/A,#N/A,FALSE,"매출액";#N/A,#N/A,FALSE,"요약손익";#N/A,#N/A,FALSE,"요약대차";#N/A,#N/A,FALSE,"매출채권현황";#N/A,#N/A,FALSE,"매출채권명세"}</definedName>
    <definedName name="개선안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개선안2" hidden="1">{#N/A,#N/A,FALSE,"손익표지";#N/A,#N/A,FALSE,"손익계산";#N/A,#N/A,FALSE,"일반관리비";#N/A,#N/A,FALSE,"영업외수익";#N/A,#N/A,FALSE,"영업외비용";#N/A,#N/A,FALSE,"매출액";#N/A,#N/A,FALSE,"요약손익";#N/A,#N/A,FALSE,"요약대차";#N/A,#N/A,FALSE,"매출채권현황";#N/A,#N/A,FALSE,"매출채권명세"}</definedName>
    <definedName name="개선이력" localSheetId="14" hidden="1">{#N/A,#N/A,FALSE,"KMC최종회의(7월) 자료"}</definedName>
    <definedName name="개선이력" hidden="1">{#N/A,#N/A,FALSE,"KMC최종회의(7월) 자료"}</definedName>
    <definedName name="개선전" localSheetId="14" hidden="1">{#N/A,#N/A,FALSE,"정공"}</definedName>
    <definedName name="개선전" hidden="1">{#N/A,#N/A,FALSE,"정공"}</definedName>
    <definedName name="개선총괄" localSheetId="14" hidden="1">{#N/A,#N/A,FALSE,"정공"}</definedName>
    <definedName name="개선총괄" hidden="1">{#N/A,#N/A,FALSE,"정공"}</definedName>
    <definedName name="개선후손익" localSheetId="14" hidden="1">{#N/A,#N/A,TRUE,"Y생산";#N/A,#N/A,TRUE,"Y판매";#N/A,#N/A,TRUE,"Y총물량";#N/A,#N/A,TRUE,"Y능력";#N/A,#N/A,TRUE,"YKD"}</definedName>
    <definedName name="개선후손익" hidden="1">{#N/A,#N/A,TRUE,"Y생산";#N/A,#N/A,TRUE,"Y판매";#N/A,#N/A,TRUE,"Y총물량";#N/A,#N/A,TRUE,"Y능력";#N/A,#N/A,TRUE,"YKD"}</definedName>
    <definedName name="개요" localSheetId="14" hidden="1">{#N/A,#N/A,FALSE,"단축1";#N/A,#N/A,FALSE,"단축2";#N/A,#N/A,FALSE,"단축3";#N/A,#N/A,FALSE,"장축";#N/A,#N/A,FALSE,"4WD"}</definedName>
    <definedName name="개요" hidden="1">{#N/A,#N/A,FALSE,"단축1";#N/A,#N/A,FALSE,"단축2";#N/A,#N/A,FALSE,"단축3";#N/A,#N/A,FALSE,"장축";#N/A,#N/A,FALSE,"4WD"}</definedName>
    <definedName name="개요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개요2" hidden="1">{#N/A,#N/A,FALSE,"손익표지";#N/A,#N/A,FALSE,"손익계산";#N/A,#N/A,FALSE,"일반관리비";#N/A,#N/A,FALSE,"영업외수익";#N/A,#N/A,FALSE,"영업외비용";#N/A,#N/A,FALSE,"매출액";#N/A,#N/A,FALSE,"요약손익";#N/A,#N/A,FALSE,"요약대차";#N/A,#N/A,FALSE,"매출채권현황";#N/A,#N/A,FALSE,"매출채권명세"}</definedName>
    <definedName name="개인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개인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조전후CAPA비교" localSheetId="14" hidden="1">{#N/A,#N/A,FALSE,"KMC최종회의(7월) 자료"}</definedName>
    <definedName name="개조전후CAPA비교" hidden="1">{#N/A,#N/A,FALSE,"KMC최종회의(7월) 자료"}</definedName>
    <definedName name="갤로" localSheetId="14" hidden="1">{#N/A,#N/A,FALSE,"정공"}</definedName>
    <definedName name="갤로" hidden="1">{#N/A,#N/A,FALSE,"정공"}</definedName>
    <definedName name="갸" localSheetId="14" hidden="1">{#N/A,#N/A,TRUE,"Y생산";#N/A,#N/A,TRUE,"Y판매";#N/A,#N/A,TRUE,"Y총물량";#N/A,#N/A,TRUE,"Y능력";#N/A,#N/A,TRUE,"YKD"}</definedName>
    <definedName name="갸" hidden="1">{#N/A,#N/A,TRUE,"Y생산";#N/A,#N/A,TRUE,"Y판매";#N/A,#N/A,TRUE,"Y총물량";#N/A,#N/A,TRUE,"Y능력";#N/A,#N/A,TRUE,"YKD"}</definedName>
    <definedName name="거아ㅏ라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거지" localSheetId="14" hidden="1">#REF!</definedName>
    <definedName name="거지" hidden="1">#REF!</definedName>
    <definedName name="건"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건물현황분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건물현황분류" hidden="1">{#N/A,#N/A,FALSE,"손익표지";#N/A,#N/A,FALSE,"손익계산";#N/A,#N/A,FALSE,"일반관리비";#N/A,#N/A,FALSE,"영업외수익";#N/A,#N/A,FALSE,"영업외비용";#N/A,#N/A,FALSE,"매출액";#N/A,#N/A,FALSE,"요약손익";#N/A,#N/A,FALSE,"요약대차";#N/A,#N/A,FALSE,"매출채권현황";#N/A,#N/A,FALSE,"매출채권명세"}</definedName>
    <definedName name="건설"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건설"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가계정명세서" localSheetId="14" hidden="1">#REF!</definedName>
    <definedName name="건설가계정명세서" localSheetId="13" hidden="1">#REF!</definedName>
    <definedName name="건설가계정명세서" localSheetId="27" hidden="1">#REF!</definedName>
    <definedName name="건설가계정명세서" localSheetId="20" hidden="1">#REF!</definedName>
    <definedName name="건설가계정명세서" hidden="1">#REF!</definedName>
    <definedName name="건설팀" hidden="1">{#N/A,#N/A,TRUE,"Y생산";#N/A,#N/A,TRUE,"Y판매";#N/A,#N/A,TRUE,"Y총물량";#N/A,#N/A,TRUE,"Y능력";#N/A,#N/A,TRUE,"YKD"}</definedName>
    <definedName name="건축팀별" hidden="1">{#N/A,#N/A,FALSE,"지침";#N/A,#N/A,FALSE,"환경분석";#N/A,#N/A,FALSE,"Sheet16"}</definedName>
    <definedName name="겉장" localSheetId="14" hidden="1">{#N/A,#N/A,FALSE,"단축1";#N/A,#N/A,FALSE,"단축2";#N/A,#N/A,FALSE,"단축3";#N/A,#N/A,FALSE,"장축";#N/A,#N/A,FALSE,"4WD"}</definedName>
    <definedName name="겉장" hidden="1">{#N/A,#N/A,FALSE,"단축1";#N/A,#N/A,FALSE,"단축2";#N/A,#N/A,FALSE,"단축3";#N/A,#N/A,FALSE,"장축";#N/A,#N/A,FALSE,"4WD"}</definedName>
    <definedName name="겉장1" localSheetId="14" hidden="1">{#N/A,#N/A,FALSE,"단축1";#N/A,#N/A,FALSE,"단축2";#N/A,#N/A,FALSE,"단축3";#N/A,#N/A,FALSE,"장축";#N/A,#N/A,FALSE,"4WD"}</definedName>
    <definedName name="겉장1" hidden="1">{#N/A,#N/A,FALSE,"단축1";#N/A,#N/A,FALSE,"단축2";#N/A,#N/A,FALSE,"단축3";#N/A,#N/A,FALSE,"장축";#N/A,#N/A,FALSE,"4WD"}</definedName>
    <definedName name="겉지" localSheetId="14" hidden="1">{#N/A,#N/A,FALSE,"단축1";#N/A,#N/A,FALSE,"단축2";#N/A,#N/A,FALSE,"단축3";#N/A,#N/A,FALSE,"장축";#N/A,#N/A,FALSE,"4WD"}</definedName>
    <definedName name="겉지" hidden="1">{#N/A,#N/A,FALSE,"단축1";#N/A,#N/A,FALSE,"단축2";#N/A,#N/A,FALSE,"단축3";#N/A,#N/A,FALSE,"장축";#N/A,#N/A,FALSE,"4WD"}</definedName>
    <definedName name="경"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기고속" hidden="1">{#N/A,#N/A,FALSE,"PART-1234-8-12-9(41)";#N/A,#N/A,FALSE,"PARTS-2(3)";#N/A,#N/A,FALSE,"VAN SYSTEM";#N/A,#N/A,FALSE,"PARTS-10(26)";#N/A,#N/A,FALSE,"PART-5-6-7-11(14)";#N/A,#N/A,FALSE,"PARTS-4(3)";#N/A,#N/A,FALSE,"PCLASS"}</definedName>
    <definedName name="경로별" localSheetId="14" hidden="1">{"'5'!$A$1:$BB$147"}</definedName>
    <definedName name="경로별" hidden="1">{"'5'!$A$1:$BB$147"}</definedName>
    <definedName name="경리손익" localSheetId="14" hidden="1">{#N/A,#N/A,FALSE,"정공"}</definedName>
    <definedName name="경리손익" hidden="1">{#N/A,#N/A,FALSE,"정공"}</definedName>
    <definedName name="경비" localSheetId="14" hidden="1">{#N/A,#N/A,FALSE,"KMC최종회의(7월) 자료"}</definedName>
    <definedName name="경비" hidden="1">{#N/A,#N/A,FALSE,"KMC최종회의(7월) 자료"}</definedName>
    <definedName name="경비3차" localSheetId="14" hidden="1">{#N/A,#N/A,FALSE,"정공"}</definedName>
    <definedName name="경비3차" hidden="1">{#N/A,#N/A,FALSE,"정공"}</definedName>
    <definedName name="경비래요" localSheetId="14" hidden="1">{#N/A,#N/A,FALSE,"정공"}</definedName>
    <definedName name="경비래요" hidden="1">{#N/A,#N/A,FALSE,"정공"}</definedName>
    <definedName name="경비실적" localSheetId="14" hidden="1">{#N/A,#N/A,FALSE,"정공"}</definedName>
    <definedName name="경비실적" hidden="1">{#N/A,#N/A,FALSE,"정공"}</definedName>
    <definedName name="경상이익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경상이익1"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영" localSheetId="14" hidden="1">{#N/A,#N/A,FALSE,"97년 투자계획 세부내역 "}</definedName>
    <definedName name="경영" hidden="1">{#N/A,#N/A,FALSE,"KMC최종회의(7월) 자료"}</definedName>
    <definedName name="경영계획MT" localSheetId="14" hidden="1">{#N/A,#N/A,FALSE,"정공"}</definedName>
    <definedName name="경영계획MT" hidden="1">{#N/A,#N/A,FALSE,"정공"}</definedName>
    <definedName name="경영방침"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경영방침"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쟁사동향" hidden="1">{#N/A,#N/A,FALSE,"97년 투자계획 세부내역 "}</definedName>
    <definedName name="경주경주" localSheetId="14" hidden="1">{#N/A,#N/A,FALSE,"KMC최종회의(7월) 자료"}</definedName>
    <definedName name="경주경주" hidden="1">{#N/A,#N/A,FALSE,"KMC최종회의(7월) 자료"}</definedName>
    <definedName name="경주기록" localSheetId="14" hidden="1">{#N/A,#N/A,FALSE,"KMC최종회의(7월) 자료"}</definedName>
    <definedName name="경주기록" hidden="1">{#N/A,#N/A,FALSE,"KMC최종회의(7월) 자료"}</definedName>
    <definedName name="경차" localSheetId="14" hidden="1">{#N/A,#N/A,TRUE,"Y생산";#N/A,#N/A,TRUE,"Y판매";#N/A,#N/A,TRUE,"Y총물량";#N/A,#N/A,TRUE,"Y능력";#N/A,#N/A,TRUE,"YKD"}</definedName>
    <definedName name="경차" hidden="1">{#N/A,#N/A,TRUE,"Y생산";#N/A,#N/A,TRUE,"Y판매";#N/A,#N/A,TRUE,"Y총물량";#N/A,#N/A,TRUE,"Y능력";#N/A,#N/A,TRUE,"YKD"}</definedName>
    <definedName name="경합금2과운연계획" localSheetId="14" hidden="1">{#N/A,#N/A,TRUE,"Y생산";#N/A,#N/A,TRUE,"Y판매";#N/A,#N/A,TRUE,"Y총물량";#N/A,#N/A,TRUE,"Y능력";#N/A,#N/A,TRUE,"YKD"}</definedName>
    <definedName name="경합금2과운연계획" hidden="1">{#N/A,#N/A,TRUE,"Y생산";#N/A,#N/A,TRUE,"Y판매";#N/A,#N/A,TRUE,"Y총물량";#N/A,#N/A,TRUE,"Y능력";#N/A,#N/A,TRUE,"YKD"}</definedName>
    <definedName name="계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계산" hidden="1">{#N/A,#N/A,FALSE,"손익표지";#N/A,#N/A,FALSE,"손익계산";#N/A,#N/A,FALSE,"일반관리비";#N/A,#N/A,FALSE,"영업외수익";#N/A,#N/A,FALSE,"영업외비용";#N/A,#N/A,FALSE,"매출액";#N/A,#N/A,FALSE,"요약손익";#N/A,#N/A,FALSE,"요약대차";#N/A,#N/A,FALSE,"매출채권현황";#N/A,#N/A,FALSE,"매출채권명세"}</definedName>
    <definedName name="계산근거용" localSheetId="14" hidden="1">{#N/A,#N/A,FALSE,"KMC최종회의(7월) 자료"}</definedName>
    <definedName name="계산근거용" hidden="1">{#N/A,#N/A,FALSE,"KMC최종회의(7월) 자료"}</definedName>
    <definedName name="계산요약표" localSheetId="14" hidden="1">{#N/A,#N/A,FALSE,"정공"}</definedName>
    <definedName name="계산요약표" hidden="1">{#N/A,#N/A,FALSE,"정공"}</definedName>
    <definedName name="계수" hidden="1">{#N/A,#N/A,FALSE,"지침";#N/A,#N/A,FALSE,"환경분석";#N/A,#N/A,FALSE,"Sheet16"}</definedName>
    <definedName name="계정과목">OFFSET([63]참조!$A$2,0,0,COUNTA([63]참조!$A$1:$A$65536)-1,1)</definedName>
    <definedName name="계정명세서" localSheetId="14" hidden="1">{#N/A,#N/A,FALSE,"Sheet5"}</definedName>
    <definedName name="계정명세서" localSheetId="13" hidden="1">{#N/A,#N/A,FALSE,"Sheet5"}</definedName>
    <definedName name="계정명세서" hidden="1">{#N/A,#N/A,FALSE,"Sheet5"}</definedName>
    <definedName name="계획" localSheetId="14" hidden="1">{#N/A,#N/A,FALSE,"정공"}</definedName>
    <definedName name="계획" hidden="1">{#N/A,#N/A,FALSE,"정공"}</definedName>
    <definedName name="계획2" localSheetId="14" hidden="1">{#N/A,#N/A,FALSE,"정공"}</definedName>
    <definedName name="계획2" hidden="1">{#N/A,#N/A,FALSE,"정공"}</definedName>
    <definedName name="계획대실적" localSheetId="14" hidden="1">{#N/A,#N/A,FALSE,"KMC최종회의(7월) 자료"}</definedName>
    <definedName name="계획대실적" hidden="1">{#N/A,#N/A,FALSE,"KMC최종회의(7월) 자료"}</definedName>
    <definedName name="계획수정" localSheetId="14" hidden="1">{#N/A,#N/A,FALSE,"KMC최종회의(7월) 자료"}</definedName>
    <definedName name="계획수정" hidden="1">{#N/A,#N/A,FALSE,"KMC최종회의(7월) 자료"}</definedName>
    <definedName name="고" localSheetId="14"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고" hidden="1">{#N/A,#N/A,FALSE,"KMC최종회의(7월) 자료"}</definedName>
    <definedName name="고1" localSheetId="14" hidden="1">{#N/A,#N/A,FALSE,"KMC최종회의(7월) 자료"}</definedName>
    <definedName name="고1" hidden="1">{#N/A,#N/A,FALSE,"KMC최종회의(7월) 자료"}</definedName>
    <definedName name="고가5개년"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고가6개년"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고객"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고객만족oe" localSheetId="14" hidden="1">#REF!</definedName>
    <definedName name="고객만족oe" hidden="1">#REF!</definedName>
    <definedName name="고객시스템" hidden="1">{#N/A,#N/A,FALSE,"PART-1234-8-12-9(41)";#N/A,#N/A,FALSE,"PARTS-2(3)";#N/A,#N/A,FALSE,"VAN SYSTEM";#N/A,#N/A,FALSE,"PARTS-10(26)";#N/A,#N/A,FALSE,"PART-5-6-7-11(14)";#N/A,#N/A,FALSE,"PARTS-4(3)";#N/A,#N/A,FALSE,"PCLASS"}</definedName>
    <definedName name="고만" localSheetId="14" hidden="1">#REF!</definedName>
    <definedName name="고만" hidden="1">#REF!</definedName>
    <definedName name="고만OE" localSheetId="14" hidden="1">#REF!</definedName>
    <definedName name="고만OE" hidden="1">#REF!</definedName>
    <definedName name="고만해" localSheetId="14" hidden="1">#REF!</definedName>
    <definedName name="고만해" hidden="1">#REF!</definedName>
    <definedName name="고인" hidden="1">{#N/A,#N/A,FALSE,"PART-1234-8-12-9(41)";#N/A,#N/A,FALSE,"PARTS-2(3)";#N/A,#N/A,FALSE,"VAN SYSTEM";#N/A,#N/A,FALSE,"PARTS-10(26)";#N/A,#N/A,FALSE,"PART-5-6-7-11(14)";#N/A,#N/A,FALSE,"PARTS-4(3)";#N/A,#N/A,FALSE,"PCLASS"}</definedName>
    <definedName name="고현호" hidden="1">{#N/A,#N/A,FALSE,"97년 투자계획 세부내역 "}</definedName>
    <definedName name="고ㅗ고ㅗ교ㅛ" localSheetId="14" hidden="1">{#N/A,#N/A,FALSE,"KMC최종회의(7월) 자료"}</definedName>
    <definedName name="고ㅗ고ㅗ교ㅛ" hidden="1">{#N/A,#N/A,FALSE,"KMC최종회의(7월) 자료"}</definedName>
    <definedName name="공" localSheetId="14" hidden="1">{#N/A,#N/A,FALSE,"KMC최종회의(7월) 자료"}</definedName>
    <definedName name="공" hidden="1">{#N/A,#N/A,FALSE,"KMC최종회의(7월) 자료"}</definedName>
    <definedName name="공개입찰" localSheetId="14" hidden="1">{#N/A,#N/A,FALSE,"정공"}</definedName>
    <definedName name="공개입찰" hidden="1">{#N/A,#N/A,FALSE,"정공"}</definedName>
    <definedName name="공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공공"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공공" localSheetId="31" hidden="1">{#N/A,#N/A,FALSE,"손익표지";#N/A,#N/A,FALSE,"손익계산";#N/A,#N/A,FALSE,"일반관리비";#N/A,#N/A,FALSE,"영업외수익";#N/A,#N/A,FALSE,"영업외비용";#N/A,#N/A,FALSE,"매출액";#N/A,#N/A,FALSE,"요약손익";#N/A,#N/A,FALSE,"요약대차";#N/A,#N/A,FALSE,"매출채권현황";#N/A,#N/A,FALSE,"매출채권명세"}</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공공" localSheetId="14" hidden="1">{#N/A,#N/A,FALSE,"정공"}</definedName>
    <definedName name="공공공" hidden="1">{#N/A,#N/A,FALSE,"정공"}</definedName>
    <definedName name="공급자" localSheetId="14" hidden="1">#REF!</definedName>
    <definedName name="공급자" hidden="1">#REF!</definedName>
    <definedName name="공도체설문" localSheetId="14" hidden="1">#REF!</definedName>
    <definedName name="공도체설문" hidden="1">#REF!</definedName>
    <definedName name="공미" localSheetId="14" hidden="1">{"'분양원가'!$B$1:$F$113"}</definedName>
    <definedName name="공미" localSheetId="13" hidden="1">{"'분양원가'!$B$1:$F$113"}</definedName>
    <definedName name="공미" hidden="1">{"'분양원가'!$B$1:$F$113"}</definedName>
    <definedName name="공성환" localSheetId="14" hidden="1">{#N/A,#N/A,FALSE,"단축1";#N/A,#N/A,FALSE,"단축2";#N/A,#N/A,FALSE,"단축3";#N/A,#N/A,FALSE,"장축";#N/A,#N/A,FALSE,"4WD"}</definedName>
    <definedName name="공성환" hidden="1">{#N/A,#N/A,FALSE,"단축1";#N/A,#N/A,FALSE,"단축2";#N/A,#N/A,FALSE,"단축3";#N/A,#N/A,FALSE,"장축";#N/A,#N/A,FALSE,"4WD"}</definedName>
    <definedName name="공수" localSheetId="14" hidden="1">{#N/A,#N/A,FALSE,"KMC최종회의(7월) 자료"}</definedName>
    <definedName name="공수" hidden="1">{#N/A,#N/A,FALSE,"KMC최종회의(7월) 자료"}</definedName>
    <definedName name="공수관리하청" localSheetId="14" hidden="1">{#N/A,#N/A,FALSE,"KMC최종회의(7월) 자료"}</definedName>
    <definedName name="공수관리하청" hidden="1">{#N/A,#N/A,FALSE,"KMC최종회의(7월) 자료"}</definedName>
    <definedName name="공수투입" localSheetId="14" hidden="1">{#N/A,#N/A,FALSE,"정공"}</definedName>
    <definedName name="공수투입" hidden="1">{#N/A,#N/A,FALSE,"정공"}</definedName>
    <definedName name="공우석" localSheetId="14" hidden="1">{#N/A,#N/A,FALSE,"KMC최종회의(7월) 자료"}</definedName>
    <definedName name="공우석" hidden="1">{#N/A,#N/A,FALSE,"KMC최종회의(7월) 자료"}</definedName>
    <definedName name="공우석aa" localSheetId="14" hidden="1">{#N/A,#N/A,FALSE,"KMC최종회의(7월) 자료"}</definedName>
    <definedName name="공우석aa" hidden="1">{#N/A,#N/A,FALSE,"KMC최종회의(7월) 자료"}</definedName>
    <definedName name="공우석AAA" localSheetId="14" hidden="1">{#N/A,#N/A,FALSE,"KMC최종회의(7월) 자료"}</definedName>
    <definedName name="공우석AAA" hidden="1">{#N/A,#N/A,FALSE,"KMC최종회의(7월) 자료"}</definedName>
    <definedName name="공임표1" hidden="1">{#N/A,#N/A,FALSE,"PART-1234-8-12-9(41)";#N/A,#N/A,FALSE,"PARTS-2(3)";#N/A,#N/A,FALSE,"VAN SYSTEM";#N/A,#N/A,FALSE,"PARTS-10(26)";#N/A,#N/A,FALSE,"PART-5-6-7-11(14)";#N/A,#N/A,FALSE,"PARTS-4(3)";#N/A,#N/A,FALSE,"PCLASS"}</definedName>
    <definedName name="공작" localSheetId="14" hidden="1">{#N/A,#N/A,FALSE,"KMC최종회의(7월) 자료"}</definedName>
    <definedName name="공작" hidden="1">{#N/A,#N/A,FALSE,"KMC최종회의(7월) 자료"}</definedName>
    <definedName name="공작1" localSheetId="14" hidden="1">{#N/A,#N/A,FALSE,"KMC최종회의(7월) 자료"}</definedName>
    <definedName name="공작1" hidden="1">{#N/A,#N/A,FALSE,"KMC최종회의(7월) 자료"}</definedName>
    <definedName name="공작기계" localSheetId="14" hidden="1">{#N/A,#N/A,FALSE,"KMC최종회의(7월) 자료"}</definedName>
    <definedName name="공작기계" hidden="1">{#N/A,#N/A,FALSE,"KMC최종회의(7월) 자료"}</definedName>
    <definedName name="공작부문2" localSheetId="14" hidden="1">{#N/A,#N/A,FALSE,"KMC최종회의(7월) 자료"}</definedName>
    <definedName name="공작부문2" hidden="1">{#N/A,#N/A,FALSE,"KMC최종회의(7월) 자료"}</definedName>
    <definedName name="공정" localSheetId="14" hidden="1">#REF!</definedName>
    <definedName name="공정" localSheetId="13" hidden="1">#REF!</definedName>
    <definedName name="공정" hidden="1">#REF!</definedName>
    <definedName name="공통" localSheetId="14" hidden="1">{#N/A,#N/A,FALSE,"단축1";#N/A,#N/A,FALSE,"단축2";#N/A,#N/A,FALSE,"단축3";#N/A,#N/A,FALSE,"장축";#N/A,#N/A,FALSE,"4WD"}</definedName>
    <definedName name="공통" hidden="1">{#N/A,#N/A,FALSE,"단축1";#N/A,#N/A,FALSE,"단축2";#N/A,#N/A,FALSE,"단축3";#N/A,#N/A,FALSE,"장축";#N/A,#N/A,FALSE,"4WD"}</definedName>
    <definedName name="공헌이익기준손익계산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과거" localSheetId="14" hidden="1">#REF!</definedName>
    <definedName name="과거" hidden="1">#REF!</definedName>
    <definedName name="과거차" localSheetId="14" hidden="1">{#N/A,#N/A,FALSE,"단축1";#N/A,#N/A,FALSE,"단축2";#N/A,#N/A,FALSE,"단축3";#N/A,#N/A,FALSE,"장축";#N/A,#N/A,FALSE,"4WD"}</definedName>
    <definedName name="과거차" hidden="1">{#N/A,#N/A,FALSE,"단축1";#N/A,#N/A,FALSE,"단축2";#N/A,#N/A,FALSE,"단축3";#N/A,#N/A,FALSE,"장축";#N/A,#N/A,FALSE,"4WD"}</definedName>
    <definedName name="과거차문제1" localSheetId="14" hidden="1">{#N/A,#N/A,FALSE,"단축1";#N/A,#N/A,FALSE,"단축2";#N/A,#N/A,FALSE,"단축3";#N/A,#N/A,FALSE,"장축";#N/A,#N/A,FALSE,"4WD"}</definedName>
    <definedName name="과거차문제1" hidden="1">{#N/A,#N/A,FALSE,"단축1";#N/A,#N/A,FALSE,"단축2";#N/A,#N/A,FALSE,"단축3";#N/A,#N/A,FALSE,"장축";#N/A,#N/A,FALSE,"4WD"}</definedName>
    <definedName name="과거차문제11" localSheetId="14" hidden="1">{#N/A,#N/A,FALSE,"단축1";#N/A,#N/A,FALSE,"단축2";#N/A,#N/A,FALSE,"단축3";#N/A,#N/A,FALSE,"장축";#N/A,#N/A,FALSE,"4WD"}</definedName>
    <definedName name="과거차문제11" hidden="1">{#N/A,#N/A,FALSE,"단축1";#N/A,#N/A,FALSE,"단축2";#N/A,#N/A,FALSE,"단축3";#N/A,#N/A,FALSE,"장축";#N/A,#N/A,FALSE,"4WD"}</definedName>
    <definedName name="관련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관련팀" hidden="1">{#N/A,#N/A,FALSE,"손익표지";#N/A,#N/A,FALSE,"손익계산";#N/A,#N/A,FALSE,"일반관리비";#N/A,#N/A,FALSE,"영업외수익";#N/A,#N/A,FALSE,"영업외비용";#N/A,#N/A,FALSE,"매출액";#N/A,#N/A,FALSE,"요약손익";#N/A,#N/A,FALSE,"요약대차";#N/A,#N/A,FALSE,"매출채권현황";#N/A,#N/A,FALSE,"매출채권명세"}</definedName>
    <definedName name="관리지표04" localSheetId="14" hidden="1">#REF!</definedName>
    <definedName name="관리지표04" hidden="1">#REF!</definedName>
    <definedName name="관리지표2" localSheetId="14" hidden="1">{#N/A,#N/A,TRUE,"Y생산";#N/A,#N/A,TRUE,"Y판매";#N/A,#N/A,TRUE,"Y총물량";#N/A,#N/A,TRUE,"Y능력";#N/A,#N/A,TRUE,"YKD"}</definedName>
    <definedName name="관리지표2" hidden="1">{#N/A,#N/A,TRUE,"Y생산";#N/A,#N/A,TRUE,"Y판매";#N/A,#N/A,TRUE,"Y총물량";#N/A,#N/A,TRUE,"Y능력";#N/A,#N/A,TRUE,"YKD"}</definedName>
    <definedName name="광주공장" localSheetId="14" hidden="1">#REF!</definedName>
    <definedName name="광주공장" localSheetId="13" hidden="1">#REF!</definedName>
    <definedName name="광주공장" hidden="1">#REF!</definedName>
    <definedName name="광주추진" localSheetId="14" hidden="1">{"'5'!$A$1:$BB$147"}</definedName>
    <definedName name="광주추진" hidden="1">{"'5'!$A$1:$BB$147"}</definedName>
    <definedName name="교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교1" hidden="1">{#N/A,#N/A,FALSE,"손익표지";#N/A,#N/A,FALSE,"손익계산";#N/A,#N/A,FALSE,"일반관리비";#N/A,#N/A,FALSE,"영업외수익";#N/A,#N/A,FALSE,"영업외비용";#N/A,#N/A,FALSE,"매출액";#N/A,#N/A,FALSE,"요약손익";#N/A,#N/A,FALSE,"요약대차";#N/A,#N/A,FALSE,"매출채권현황";#N/A,#N/A,FALSE,"매출채권명세"}</definedName>
    <definedName name="교육"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교육"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교육1" hidden="1">{#N/A,#N/A,FALSE,"손익표지";#N/A,#N/A,FALSE,"손익계산";#N/A,#N/A,FALSE,"일반관리비";#N/A,#N/A,FALSE,"영업외수익";#N/A,#N/A,FALSE,"영업외비용";#N/A,#N/A,FALSE,"매출액";#N/A,#N/A,FALSE,"요약손익";#N/A,#N/A,FALSE,"요약대차";#N/A,#N/A,FALSE,"매출채권현황";#N/A,#N/A,FALSE,"매출채권명세"}</definedName>
    <definedName name="교육계획"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교육계획" hidden="1">{#N/A,#N/A,FALSE,"손익표지";#N/A,#N/A,FALSE,"손익계산";#N/A,#N/A,FALSE,"일반관리비";#N/A,#N/A,FALSE,"영업외수익";#N/A,#N/A,FALSE,"영업외비용";#N/A,#N/A,FALSE,"매출액";#N/A,#N/A,FALSE,"요약손익";#N/A,#N/A,FALSE,"요약대차";#N/A,#N/A,FALSE,"매출채권현황";#N/A,#N/A,FALSE,"매출채권명세"}</definedName>
    <definedName name="교육실적" localSheetId="14" hidden="1">{#N/A,#N/A,FALSE,"정공"}</definedName>
    <definedName name="교육실적" hidden="1">{#N/A,#N/A,FALSE,"정공"}</definedName>
    <definedName name="구"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구" hidden="1">{#N/A,#N/A,FALSE,"손익표지";#N/A,#N/A,FALSE,"손익계산";#N/A,#N/A,FALSE,"일반관리비";#N/A,#N/A,FALSE,"영업외수익";#N/A,#N/A,FALSE,"영업외비용";#N/A,#N/A,FALSE,"매출액";#N/A,#N/A,FALSE,"요약손익";#N/A,#N/A,FALSE,"요약대차";#N/A,#N/A,FALSE,"매출채권현황";#N/A,#N/A,FALSE,"매출채권명세"}</definedName>
    <definedName name="구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매가"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구매부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구매부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부품TOT" hidden="1">{#N/A,#N/A,FALSE,"Aging Summary";#N/A,#N/A,FALSE,"Ratio Analysis";#N/A,#N/A,FALSE,"Test 120 Day Accts";#N/A,#N/A,FALSE,"Tickmarks"}</definedName>
    <definedName name="구매절차서1" localSheetId="14" hidden="1">{#N/A,#N/A,FALSE,"신규dep";#N/A,#N/A,FALSE,"신규dep-금형상각후";#N/A,#N/A,FALSE,"신규dep-연구비상각후";#N/A,#N/A,FALSE,"신규dep-기계,공구상각후"}</definedName>
    <definedName name="구매절차서1" hidden="1">{#N/A,#N/A,FALSE,"신규dep";#N/A,#N/A,FALSE,"신규dep-금형상각후";#N/A,#N/A,FALSE,"신규dep-연구비상각후";#N/A,#N/A,FALSE,"신규dep-기계,공구상각후"}</definedName>
    <definedName name="구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31"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구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구분" hidden="1">{#N/A,#N/A,FALSE,"손익표지";#N/A,#N/A,FALSE,"손익계산";#N/A,#N/A,FALSE,"일반관리비";#N/A,#N/A,FALSE,"영업외수익";#N/A,#N/A,FALSE,"영업외비용";#N/A,#N/A,FALSE,"매출액";#N/A,#N/A,FALSE,"요약손익";#N/A,#N/A,FALSE,"요약대차";#N/A,#N/A,FALSE,"매출채권현황";#N/A,#N/A,FALSE,"매출채권명세"}</definedName>
    <definedName name="구분2월평균" localSheetId="14" hidden="1">{#N/A,#N/A,FALSE,"정공"}</definedName>
    <definedName name="구분2월평균" hidden="1">{#N/A,#N/A,FALSE,"정공"}</definedName>
    <definedName name="구분손익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손익3"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구분손익3" hidden="1">{#N/A,#N/A,FALSE,"손익표지";#N/A,#N/A,FALSE,"손익계산";#N/A,#N/A,FALSE,"일반관리비";#N/A,#N/A,FALSE,"영업외수익";#N/A,#N/A,FALSE,"영업외비용";#N/A,#N/A,FALSE,"매출액";#N/A,#N/A,FALSE,"요약손익";#N/A,#N/A,FALSE,"요약대차";#N/A,#N/A,FALSE,"매출채권현황";#N/A,#N/A,FALSE,"매출채권명세"}</definedName>
    <definedName name="구분장기PL"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분하소" localSheetId="14" hidden="1">{#N/A,#N/A,FALSE,"정공"}</definedName>
    <definedName name="구분하소" hidden="1">{#N/A,#N/A,FALSE,"정공"}</definedName>
    <definedName name="구자봉" localSheetId="14" hidden="1">{#N/A,#N/A,FALSE,"KMC최종회의(7월) 자료"}</definedName>
    <definedName name="구자봉" hidden="1">{#N/A,#N/A,FALSE,"KMC최종회의(7월) 자료"}</definedName>
    <definedName name="구조본양식" hidden="1">{#N/A,#N/A,FALSE,"97년 투자계획 세부내역 "}</definedName>
    <definedName name="국내선" localSheetId="14" hidden="1">{"'tel2'!$B$29:$J$45","'tel2'!$A$5:$G$19","'tel2'!$B$50:$F$57","'tel2'!$B$105:$G$110","'tel2'!$B$63:$H$85","'tel2'!$B$14:$G$18","'tel2'!$B$29:$C$29"}</definedName>
    <definedName name="국내선" hidden="1">{"'tel2'!$B$29:$J$45","'tel2'!$A$5:$G$19","'tel2'!$B$50:$F$57","'tel2'!$B$105:$G$110","'tel2'!$B$63:$H$85","'tel2'!$B$14:$G$18","'tel2'!$B$29:$C$29"}</definedName>
    <definedName name="국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국제거래"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군포"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군포" hidden="1">{#N/A,#N/A,FALSE,"손익표지";#N/A,#N/A,FALSE,"손익계산";#N/A,#N/A,FALSE,"일반관리비";#N/A,#N/A,FALSE,"영업외수익";#N/A,#N/A,FALSE,"영업외비용";#N/A,#N/A,FALSE,"매출액";#N/A,#N/A,FALSE,"요약손익";#N/A,#N/A,FALSE,"요약대차";#N/A,#N/A,FALSE,"매출채권현황";#N/A,#N/A,FALSE,"매출채권명세"}</definedName>
    <definedName name="군포손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군포손익" hidden="1">{#N/A,#N/A,FALSE,"손익표지";#N/A,#N/A,FALSE,"손익계산";#N/A,#N/A,FALSE,"일반관리비";#N/A,#N/A,FALSE,"영업외수익";#N/A,#N/A,FALSE,"영업외비용";#N/A,#N/A,FALSE,"매출액";#N/A,#N/A,FALSE,"요약손익";#N/A,#N/A,FALSE,"요약대차";#N/A,#N/A,FALSE,"매출채권현황";#N/A,#N/A,FALSE,"매출채권명세"}</definedName>
    <definedName name="권" localSheetId="14" hidden="1">{#N/A,#N/A,FALSE,"KMC최종회의(7월) 자료"}</definedName>
    <definedName name="권" hidden="1">{#N/A,#N/A,FALSE,"KMC최종회의(7월) 자료"}</definedName>
    <definedName name="권영갑" localSheetId="14" hidden="1">{#N/A,#N/A,FALSE,"KMC최종회의(7월) 자료"}</definedName>
    <definedName name="권영갑" hidden="1">{#N/A,#N/A,FALSE,"KMC최종회의(7월) 자료"}</definedName>
    <definedName name="권오종" localSheetId="14" hidden="1">{#N/A,#N/A,FALSE,"단축1";#N/A,#N/A,FALSE,"단축2";#N/A,#N/A,FALSE,"단축3";#N/A,#N/A,FALSE,"장축";#N/A,#N/A,FALSE,"4WD"}</definedName>
    <definedName name="권오종" hidden="1">{#N/A,#N/A,FALSE,"단축1";#N/A,#N/A,FALSE,"단축2";#N/A,#N/A,FALSE,"단축3";#N/A,#N/A,FALSE,"장축";#N/A,#N/A,FALSE,"4WD"}</definedName>
    <definedName name="권중혁" hidden="1">{#N/A,#N/A,FALSE,"PART-1234-8-12-9(41)";#N/A,#N/A,FALSE,"PARTS-2(3)";#N/A,#N/A,FALSE,"VAN SYSTEM";#N/A,#N/A,FALSE,"PARTS-10(26)";#N/A,#N/A,FALSE,"PART-5-6-7-11(14)";#N/A,#N/A,FALSE,"PARTS-4(3)";#N/A,#N/A,FALSE,"PCLASS"}</definedName>
    <definedName name="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남이" localSheetId="1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냥" localSheetId="14" hidden="1">[64]수정시산표!#REF!</definedName>
    <definedName name="그냥"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그냥">#REF!</definedName>
    <definedName name="그냥1" localSheetId="14" hidden="1">[65]수정시산표!#REF!</definedName>
    <definedName name="그냥1" hidden="1">[66]수정시산표!#REF!</definedName>
    <definedName name="그냥2">#REF!</definedName>
    <definedName name="그래서" localSheetId="14" hidden="1">{#N/A,#N/A,FALSE,"KMC최종회의(7월) 자료"}</definedName>
    <definedName name="그래서" hidden="1">{#N/A,#N/A,FALSE,"KMC최종회의(7월) 자료"}</definedName>
    <definedName name="그러니" localSheetId="14" hidden="1">{#N/A,#N/A,FALSE,"KMC최종회의(7월) 자료"}</definedName>
    <definedName name="그러니" hidden="1">{#N/A,#N/A,FALSE,"KMC최종회의(7월) 자료"}</definedName>
    <definedName name="그럼" localSheetId="14" hidden="1">{#N/A,#N/A,FALSE,"KMC최종회의(7월) 자료"}</definedName>
    <definedName name="그럼" hidden="1">{#N/A,#N/A,FALSE,"KMC최종회의(7월) 자료"}</definedName>
    <definedName name="그룹경영전략종합"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나눈" localSheetId="14" hidden="1">{#N/A,#N/A,FALSE,"단축1";#N/A,#N/A,FALSE,"단축2";#N/A,#N/A,FALSE,"단축3";#N/A,#N/A,FALSE,"장축";#N/A,#N/A,FALSE,"4WD"}</definedName>
    <definedName name="그룹나눈" hidden="1">{#N/A,#N/A,FALSE,"단축1";#N/A,#N/A,FALSE,"단축2";#N/A,#N/A,FALSE,"단축3";#N/A,#N/A,FALSE,"장축";#N/A,#N/A,FALSE,"4WD"}</definedName>
    <definedName name="그룹방침"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그룹방침"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리일" localSheetId="14" hidden="1">#REF!</definedName>
    <definedName name="그리일" localSheetId="13" hidden="1">#REF!</definedName>
    <definedName name="그리일" localSheetId="27" hidden="1">#REF!</definedName>
    <definedName name="그리일" localSheetId="20" hidden="1">#REF!</definedName>
    <definedName name="그리일" hidden="1">#REF!</definedName>
    <definedName name="근" localSheetId="14" hidden="1">{#N/A,#N/A,FALSE,"KMC최종회의(7월) 자료"}</definedName>
    <definedName name="근" hidden="1">{#N/A,#N/A,FALSE,"KMC최종회의(7월) 자료"}</definedName>
    <definedName name="근거1" localSheetId="14" hidden="1">{#N/A,#N/A,FALSE,"단축1";#N/A,#N/A,FALSE,"단축2";#N/A,#N/A,FALSE,"단축3";#N/A,#N/A,FALSE,"장축";#N/A,#N/A,FALSE,"4WD"}</definedName>
    <definedName name="근거1" hidden="1">{#N/A,#N/A,FALSE,"단축1";#N/A,#N/A,FALSE,"단축2";#N/A,#N/A,FALSE,"단축3";#N/A,#N/A,FALSE,"장축";#N/A,#N/A,FALSE,"4WD"}</definedName>
    <definedName name="근거2" localSheetId="14" hidden="1">{#N/A,#N/A,FALSE,"단축1";#N/A,#N/A,FALSE,"단축2";#N/A,#N/A,FALSE,"단축3";#N/A,#N/A,FALSE,"장축";#N/A,#N/A,FALSE,"4WD"}</definedName>
    <definedName name="근거2" hidden="1">{#N/A,#N/A,FALSE,"단축1";#N/A,#N/A,FALSE,"단축2";#N/A,#N/A,FALSE,"단축3";#N/A,#N/A,FALSE,"장축";#N/A,#N/A,FALSE,"4WD"}</definedName>
    <definedName name="근태" localSheetId="14" hidden="1">{#N/A,#N/A,FALSE,"KMC최종회의(7월) 자료"}</definedName>
    <definedName name="근태" hidden="1">{#N/A,#N/A,FALSE,"KMC최종회의(7월) 자료"}</definedName>
    <definedName name="근태관" localSheetId="14" hidden="1">{#N/A,#N/A,FALSE,"KMC최종회의(7월) 자료"}</definedName>
    <definedName name="근태관" hidden="1">{#N/A,#N/A,FALSE,"KMC최종회의(7월) 자료"}</definedName>
    <definedName name="글세" localSheetId="14" hidden="1">{#N/A,#N/A,FALSE,"KMC최종회의(7월) 자료"}</definedName>
    <definedName name="글세" hidden="1">{#N/A,#N/A,FALSE,"KMC최종회의(7월) 자료"}</definedName>
    <definedName name="글쎄" hidden="1">{#N/A,#N/A,FALSE,"97년 투자계획 세부내역 "}</definedName>
    <definedName name="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금" hidden="1">{#N/A,#N/A,FALSE,"손익표지";#N/A,#N/A,FALSE,"손익계산";#N/A,#N/A,FALSE,"일반관리비";#N/A,#N/A,FALSE,"영업외수익";#N/A,#N/A,FALSE,"영업외비용";#N/A,#N/A,FALSE,"매출액";#N/A,#N/A,FALSE,"요약손익";#N/A,#N/A,FALSE,"요약대차";#N/A,#N/A,FALSE,"매출채권현황";#N/A,#N/A,FALSE,"매출채권명세"}</definedName>
    <definedName name="금월" localSheetId="14" hidden="1">{#N/A,#N/A,TRUE,"Y생산";#N/A,#N/A,TRUE,"Y판매";#N/A,#N/A,TRUE,"Y총물량";#N/A,#N/A,TRUE,"Y능력";#N/A,#N/A,TRUE,"YKD"}</definedName>
    <definedName name="금월" hidden="1">{#N/A,#N/A,TRUE,"Y생산";#N/A,#N/A,TRUE,"Y판매";#N/A,#N/A,TRUE,"Y총물량";#N/A,#N/A,TRUE,"Y능력";#N/A,#N/A,TRUE,"YKD"}</definedName>
    <definedName name="금융비용"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금융비용" hidden="1">{#N/A,#N/A,FALSE,"손익표지";#N/A,#N/A,FALSE,"손익계산";#N/A,#N/A,FALSE,"일반관리비";#N/A,#N/A,FALSE,"영업외수익";#N/A,#N/A,FALSE,"영업외비용";#N/A,#N/A,FALSE,"매출액";#N/A,#N/A,FALSE,"요약손익";#N/A,#N/A,FALSE,"요약대차";#N/A,#N/A,FALSE,"매출채권현황";#N/A,#N/A,FALSE,"매출채권명세"}</definedName>
    <definedName name="금형" localSheetId="14" hidden="1">{#N/A,#N/A,FALSE,"단축1";#N/A,#N/A,FALSE,"단축2";#N/A,#N/A,FALSE,"단축3";#N/A,#N/A,FALSE,"장축";#N/A,#N/A,FALSE,"4WD"}</definedName>
    <definedName name="금형" hidden="1">{#N/A,#N/A,FALSE,"단축1";#N/A,#N/A,FALSE,"단축2";#N/A,#N/A,FALSE,"단축3";#N/A,#N/A,FALSE,"장축";#N/A,#N/A,FALSE,"4WD"}</definedName>
    <definedName name="금형선급조정" localSheetId="14" hidden="1">{#N/A,#N/A,FALSE,"정공"}</definedName>
    <definedName name="금형선급조정" hidden="1">{#N/A,#N/A,FALSE,"정공"}</definedName>
    <definedName name="금형편성표" localSheetId="14" hidden="1">{#N/A,#N/A,FALSE,"단축1";#N/A,#N/A,FALSE,"단축2";#N/A,#N/A,FALSE,"단축3";#N/A,#N/A,FALSE,"장축";#N/A,#N/A,FALSE,"4WD"}</definedName>
    <definedName name="금형편성표" hidden="1">{#N/A,#N/A,FALSE,"단축1";#N/A,#N/A,FALSE,"단축2";#N/A,#N/A,FALSE,"단축3";#N/A,#N/A,FALSE,"장축";#N/A,#N/A,FALSE,"4WD"}</definedName>
    <definedName name="금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금호" hidden="1">{#N/A,#N/A,FALSE,"손익표지";#N/A,#N/A,FALSE,"손익계산";#N/A,#N/A,FALSE,"일반관리비";#N/A,#N/A,FALSE,"영업외수익";#N/A,#N/A,FALSE,"영업외비용";#N/A,#N/A,FALSE,"매출액";#N/A,#N/A,FALSE,"요약손익";#N/A,#N/A,FALSE,"요약대차";#N/A,#N/A,FALSE,"매출채권현황";#N/A,#N/A,FALSE,"매출채권명세"}</definedName>
    <definedName name="금호산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금호산업" hidden="1">{#N/A,#N/A,FALSE,"손익표지";#N/A,#N/A,FALSE,"손익계산";#N/A,#N/A,FALSE,"일반관리비";#N/A,#N/A,FALSE,"영업외수익";#N/A,#N/A,FALSE,"영업외비용";#N/A,#N/A,FALSE,"매출액";#N/A,#N/A,FALSE,"요약손익";#N/A,#N/A,FALSE,"요약대차";#N/A,#N/A,FALSE,"매출채권현황";#N/A,#N/A,FALSE,"매출채권명세"}</definedName>
    <definedName name="긑내" localSheetId="14" hidden="1">{#N/A,#N/A,FALSE,"KMC최종회의(7월) 자료"}</definedName>
    <definedName name="긑내" hidden="1">{#N/A,#N/A,FALSE,"KMC최종회의(7월) 자료"}</definedName>
    <definedName name="기개발"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기계" hidden="1">[67]building!$F$4:$F$50</definedName>
    <definedName name="기공" hidden="1">'[68](실사조정)총괄'!#REF!</definedName>
    <definedName name="기록" localSheetId="14" hidden="1">{#N/A,#N/A,FALSE,"KMC최종회의(7월) 자료"}</definedName>
    <definedName name="기록" hidden="1">{#N/A,#N/A,FALSE,"KMC최종회의(7월) 자료"}</definedName>
    <definedName name="기본2" hidden="1">#REF!</definedName>
    <definedName name="기사등" localSheetId="14" hidden="1">{#N/A,#N/A,FALSE,"KMC최종회의(7월) 자료"}</definedName>
    <definedName name="기사등" hidden="1">{#N/A,#N/A,FALSE,"KMC최종회의(7월) 자료"}</definedName>
    <definedName name="기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31"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31"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아" localSheetId="14" hidden="1">{#N/A,#N/A,FALSE,"단축1";#N/A,#N/A,FALSE,"단축2";#N/A,#N/A,FALSE,"단축3";#N/A,#N/A,FALSE,"장축";#N/A,#N/A,FALSE,"4WD"}</definedName>
    <definedName name="기아" hidden="1">{#N/A,#N/A,FALSE,"단축1";#N/A,#N/A,FALSE,"단축2";#N/A,#N/A,FALSE,"단축3";#N/A,#N/A,FALSE,"장축";#N/A,#N/A,FALSE,"4WD"}</definedName>
    <definedName name="기아모텍" localSheetId="14" hidden="1">{#N/A,#N/A,FALSE,"정공"}</definedName>
    <definedName name="기아모텍" hidden="1">{#N/A,#N/A,FALSE,"정공"}</definedName>
    <definedName name="기아자동차" localSheetId="14" hidden="1">{#N/A,#N/A,TRUE,"Y생산";#N/A,#N/A,TRUE,"Y판매";#N/A,#N/A,TRUE,"Y총물량";#N/A,#N/A,TRUE,"Y능력";#N/A,#N/A,TRUE,"YKD"}</definedName>
    <definedName name="기아자동차" hidden="1">{#N/A,#N/A,TRUE,"Y생산";#N/A,#N/A,TRUE,"Y판매";#N/A,#N/A,TRUE,"Y총물량";#N/A,#N/A,TRUE,"Y능력";#N/A,#N/A,TRUE,"YKD"}</definedName>
    <definedName name="기아전자" localSheetId="14" hidden="1">{#N/A,#N/A,FALSE,"정공"}</definedName>
    <definedName name="기아전자" hidden="1">{#N/A,#N/A,FALSE,"정공"}</definedName>
    <definedName name="기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기준" hidden="1">{#N/A,#N/A,FALSE,"손익표지";#N/A,#N/A,FALSE,"손익계산";#N/A,#N/A,FALSE,"일반관리비";#N/A,#N/A,FALSE,"영업외수익";#N/A,#N/A,FALSE,"영업외비용";#N/A,#N/A,FALSE,"매출액";#N/A,#N/A,FALSE,"요약손익";#N/A,#N/A,FALSE,"요약대차";#N/A,#N/A,FALSE,"매출채권현황";#N/A,#N/A,FALSE,"매출채권명세"}</definedName>
    <definedName name="기준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기준1" hidden="1">{#N/A,#N/A,FALSE,"손익표지";#N/A,#N/A,FALSE,"손익계산";#N/A,#N/A,FALSE,"일반관리비";#N/A,#N/A,FALSE,"영업외수익";#N/A,#N/A,FALSE,"영업외비용";#N/A,#N/A,FALSE,"매출액";#N/A,#N/A,FALSE,"요약손익";#N/A,#N/A,FALSE,"요약대차";#N/A,#N/A,FALSE,"매출채권현황";#N/A,#N/A,FALSE,"매출채권명세"}</definedName>
    <definedName name="기준일" hidden="1">{#N/A,#N/A,FALSE,"지침";#N/A,#N/A,FALSE,"환경분석";#N/A,#N/A,FALSE,"Sheet16"}</definedName>
    <definedName name="기준점">#REF!</definedName>
    <definedName name="기타" localSheetId="14" hidden="1">[69]수정시산표!#REF!</definedName>
    <definedName name="기타" hidden="1">{#N/A,#N/A,FALSE,"손익표지";#N/A,#N/A,FALSE,"손익계산";#N/A,#N/A,FALSE,"일반관리비";#N/A,#N/A,FALSE,"영업외수익";#N/A,#N/A,FALSE,"영업외비용";#N/A,#N/A,FALSE,"매출액";#N/A,#N/A,FALSE,"요약손익";#N/A,#N/A,FALSE,"요약대차";#N/A,#N/A,FALSE,"매출채권현황";#N/A,#N/A,FALSE,"매출채권명세"}</definedName>
    <definedName name="기타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기타1" hidden="1">{#N/A,#N/A,FALSE,"손익표지";#N/A,#N/A,FALSE,"손익계산";#N/A,#N/A,FALSE,"일반관리비";#N/A,#N/A,FALSE,"영업외수익";#N/A,#N/A,FALSE,"영업외비용";#N/A,#N/A,FALSE,"매출액";#N/A,#N/A,FALSE,"요약손익";#N/A,#N/A,FALSE,"요약대차";#N/A,#N/A,FALSE,"매출채권현황";#N/A,#N/A,FALSE,"매출채권명세"}</definedName>
    <definedName name="기타자산_종업원채권_Y_List">#REF!</definedName>
    <definedName name="기획"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31"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김" localSheetId="14" hidden="1">{#N/A,#N/A,FALSE,"PART-1234-8-12-9(41)";#N/A,#N/A,FALSE,"PARTS-2(3)";#N/A,#N/A,FALSE,"VAN SYSTEM";#N/A,#N/A,FALSE,"PARTS-10(26)";#N/A,#N/A,FALSE,"PART-5-6-7-11(14)";#N/A,#N/A,FALSE,"PARTS-4(3)";#N/A,#N/A,FALSE,"PCLASS"}</definedName>
    <definedName name="김" hidden="1">{#N/A,#N/A,FALSE,"손익표지";#N/A,#N/A,FALSE,"손익계산";#N/A,#N/A,FALSE,"일반관리비";#N/A,#N/A,FALSE,"영업외수익";#N/A,#N/A,FALSE,"영업외비용";#N/A,#N/A,FALSE,"매출액";#N/A,#N/A,FALSE,"요약손익";#N/A,#N/A,FALSE,"요약대차";#N/A,#N/A,FALSE,"매출채권현황";#N/A,#N/A,FALSE,"매출채권명세"}</definedName>
    <definedName name="김강완" hidden="1">{#N/A,#N/A,FALSE,"97년 투자계획 세부내역 "}</definedName>
    <definedName name="김강완2" hidden="1">{#N/A,#N/A,FALSE,"97년 투자계획 세부내역 "}</definedName>
    <definedName name="김권두" localSheetId="14" hidden="1">{#N/A,#N/A,FALSE,"Sheet5"}</definedName>
    <definedName name="김권두" localSheetId="13" hidden="1">{#N/A,#N/A,FALSE,"Sheet5"}</definedName>
    <definedName name="김권두" hidden="1">{#N/A,#N/A,FALSE,"Sheet5"}</definedName>
    <definedName name="김권수" localSheetId="14" hidden="1">{#N/A,#N/A,FALSE,"Sheet5"}</definedName>
    <definedName name="김권수" localSheetId="13" hidden="1">{#N/A,#N/A,FALSE,"Sheet5"}</definedName>
    <definedName name="김권수" hidden="1">{#N/A,#N/A,FALSE,"Sheet5"}</definedName>
    <definedName name="김김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김김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도윤" localSheetId="14" hidden="1">{#N/A,#N/A,TRUE,"Y생산";#N/A,#N/A,TRUE,"Y판매";#N/A,#N/A,TRUE,"Y총물량";#N/A,#N/A,TRUE,"Y능력";#N/A,#N/A,TRUE,"YKD"}</definedName>
    <definedName name="김도윤" hidden="1">{#N/A,#N/A,TRUE,"Y생산";#N/A,#N/A,TRUE,"Y판매";#N/A,#N/A,TRUE,"Y총물량";#N/A,#N/A,TRUE,"Y능력";#N/A,#N/A,TRUE,"YKD"}</definedName>
    <definedName name="김민주" localSheetId="14" hidden="1">{#N/A,#N/A,FALSE,"BS";#N/A,#N/A,FALSE,"PL";#N/A,#N/A,FALSE,"처분";#N/A,#N/A,FALSE,"현금";#N/A,#N/A,FALSE,"매출";#N/A,#N/A,FALSE,"원가";#N/A,#N/A,FALSE,"경영"}</definedName>
    <definedName name="김민주" localSheetId="13" hidden="1">{#N/A,#N/A,FALSE,"BS";#N/A,#N/A,FALSE,"PL";#N/A,#N/A,FALSE,"처분";#N/A,#N/A,FALSE,"현금";#N/A,#N/A,FALSE,"매출";#N/A,#N/A,FALSE,"원가";#N/A,#N/A,FALSE,"경영"}</definedName>
    <definedName name="김민주" hidden="1">{#N/A,#N/A,FALSE,"BS";#N/A,#N/A,FALSE,"PL";#N/A,#N/A,FALSE,"처분";#N/A,#N/A,FALSE,"현금";#N/A,#N/A,FALSE,"매출";#N/A,#N/A,FALSE,"원가";#N/A,#N/A,FALSE,"경영"}</definedName>
    <definedName name="김상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김상귀" hidden="1">{#N/A,#N/A,FALSE,"손익표지";#N/A,#N/A,FALSE,"손익계산";#N/A,#N/A,FALSE,"일반관리비";#N/A,#N/A,FALSE,"영업외수익";#N/A,#N/A,FALSE,"영업외비용";#N/A,#N/A,FALSE,"매출액";#N/A,#N/A,FALSE,"요약손익";#N/A,#N/A,FALSE,"요약대차";#N/A,#N/A,FALSE,"매출채권현황";#N/A,#N/A,FALSE,"매출채권명세"}</definedName>
    <definedName name="김석빈" localSheetId="14" hidden="1">{#N/A,#N/A,FALSE,"단축1";#N/A,#N/A,FALSE,"단축2";#N/A,#N/A,FALSE,"단축3";#N/A,#N/A,FALSE,"장축";#N/A,#N/A,FALSE,"4WD"}</definedName>
    <definedName name="김석빈" hidden="1">{#N/A,#N/A,FALSE,"단축1";#N/A,#N/A,FALSE,"단축2";#N/A,#N/A,FALSE,"단축3";#N/A,#N/A,FALSE,"장축";#N/A,#N/A,FALSE,"4WD"}</definedName>
    <definedName name="김수영" localSheetId="14" hidden="1">{#N/A,#N/A,FALSE,"BS";#N/A,#N/A,FALSE,"PL";#N/A,#N/A,FALSE,"처분";#N/A,#N/A,FALSE,"현금";#N/A,#N/A,FALSE,"매출";#N/A,#N/A,FALSE,"원가";#N/A,#N/A,FALSE,"경영"}</definedName>
    <definedName name="김수영" localSheetId="13" hidden="1">{#N/A,#N/A,FALSE,"BS";#N/A,#N/A,FALSE,"PL";#N/A,#N/A,FALSE,"처분";#N/A,#N/A,FALSE,"현금";#N/A,#N/A,FALSE,"매출";#N/A,#N/A,FALSE,"원가";#N/A,#N/A,FALSE,"경영"}</definedName>
    <definedName name="김수영" hidden="1">{#N/A,#N/A,FALSE,"BS";#N/A,#N/A,FALSE,"PL";#N/A,#N/A,FALSE,"처분";#N/A,#N/A,FALSE,"현금";#N/A,#N/A,FALSE,"매출";#N/A,#N/A,FALSE,"원가";#N/A,#N/A,FALSE,"경영"}</definedName>
    <definedName name="김승준"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김씨"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김씨"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아ㅏ" hidden="1">{#N/A,#N/A,FALSE,"지침";#N/A,#N/A,FALSE,"환경분석";#N/A,#N/A,FALSE,"Sheet16"}</definedName>
    <definedName name="김영삼" hidden="1">{#N/A,#N/A,FALSE,"지침";#N/A,#N/A,FALSE,"환경분석";#N/A,#N/A,FALSE,"Sheet16"}</definedName>
    <definedName name="김영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김영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진" localSheetId="14" hidden="1">{#N/A,#N/A,FALSE,"KMC최종회의(7월) 자료"}</definedName>
    <definedName name="김영진" hidden="1">{#N/A,#N/A,FALSE,"KMC최종회의(7월) 자료"}</definedName>
    <definedName name="김영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31"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완준" hidden="1">{#N/A,#N/A,FALSE,"PART-1234-8-12-9(41)";#N/A,#N/A,FALSE,"PARTS-2(3)";#N/A,#N/A,FALSE,"VAN SYSTEM";#N/A,#N/A,FALSE,"PARTS-10(26)";#N/A,#N/A,FALSE,"PART-5-6-7-11(14)";#N/A,#N/A,FALSE,"PARTS-4(3)";#N/A,#N/A,FALSE,"PCLASS"}</definedName>
    <definedName name="김은정" hidden="1">{#N/A,#N/A,FALSE,"PART-1234-8-12-9(41)";#N/A,#N/A,FALSE,"PARTS-2(3)";#N/A,#N/A,FALSE,"VAN SYSTEM";#N/A,#N/A,FALSE,"PARTS-10(26)";#N/A,#N/A,FALSE,"PART-5-6-7-11(14)";#N/A,#N/A,FALSE,"PARTS-4(3)";#N/A,#N/A,FALSE,"PCLASS"}</definedName>
    <definedName name="김인섭" localSheetId="14" hidden="1">{"'5'!$A$1:$BB$147"}</definedName>
    <definedName name="김인섭" hidden="1">{"'5'!$A$1:$BB$147"}</definedName>
    <definedName name="김정기" hidden="1">{#N/A,#N/A,FALSE,"지침";#N/A,#N/A,FALSE,"환경분석";#N/A,#N/A,FALSE,"Sheet16"}</definedName>
    <definedName name="김정희" localSheetId="14" hidden="1">{"'5'!$A$1:$BB$147"}</definedName>
    <definedName name="김정희" hidden="1">{"'5'!$A$1:$BB$147"}</definedName>
    <definedName name="김종완" localSheetId="14" hidden="1">{#N/A,#N/A,FALSE,"KMC최종회의(7월) 자료"}</definedName>
    <definedName name="김종완" hidden="1">{#N/A,#N/A,FALSE,"KMC최종회의(7월) 자료"}</definedName>
    <definedName name="김중"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치" localSheetId="14" hidden="1">{#N/A,#N/A,FALSE,"KMC최종회의(7월) 자료"}</definedName>
    <definedName name="김치" hidden="1">{#N/A,#N/A,FALSE,"KMC최종회의(7월) 자료"}</definedName>
    <definedName name="김태헌" localSheetId="14" hidden="1">{"'5'!$A$1:$BB$147"}</definedName>
    <definedName name="김태헌" hidden="1">{"'5'!$A$1:$BB$147"}</definedName>
    <definedName name="김형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김형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ㄳㄱ" hidden="1">{#N/A,#N/A,FALSE,"Aging Summary";#N/A,#N/A,FALSE,"Ratio Analysis";#N/A,#N/A,FALSE,"Test 120 Day Accts";#N/A,#N/A,FALSE,"Tickmarks"}</definedName>
    <definedName name="ㄳㄷㅅㄷㄱㅈ" localSheetId="14" hidden="1">{"'5'!$A$1:$BB$147"}</definedName>
    <definedName name="ㄳㄷㅅㄷㄱㅈ" hidden="1">{"'5'!$A$1:$BB$147"}</definedName>
    <definedName name="ㄳㅎㅅ호ㅛ" localSheetId="14" hidden="1">{#N/A,#N/A,FALSE,"KMC최종회의(7월) 자료"}</definedName>
    <definedName name="ㄳㅎㅅ호ㅛ" hidden="1">{#N/A,#N/A,FALSE,"KMC최종회의(7월) 자료"}</definedName>
    <definedName name="ㄴ" localSheetId="14" hidden="1">{#N/A,#N/A,FALSE,"BS";#N/A,#N/A,FALSE,"PL";#N/A,#N/A,FALSE,"처분";#N/A,#N/A,FALSE,"현금";#N/A,#N/A,FALSE,"매출";#N/A,#N/A,FALSE,"원가";#N/A,#N/A,FALSE,"경영"}</definedName>
    <definedName name="ㄴ" localSheetId="13" hidden="1">{#N/A,#N/A,FALSE,"BS";#N/A,#N/A,FALSE,"PL";#N/A,#N/A,FALSE,"처분";#N/A,#N/A,FALSE,"현금";#N/A,#N/A,FALSE,"매출";#N/A,#N/A,FALSE,"원가";#N/A,#N/A,FALSE,"경영"}</definedName>
    <definedName name="ㄴ"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ㄴ" hidden="1">{#N/A,#N/A,FALSE,"BS";#N/A,#N/A,FALSE,"PL";#N/A,#N/A,FALSE,"처분";#N/A,#N/A,FALSE,"현금";#N/A,#N/A,FALSE,"매출";#N/A,#N/A,FALSE,"원가";#N/A,#N/A,FALSE,"경영"}</definedName>
    <definedName name="ㄴ1" localSheetId="14" hidden="1">{#N/A,#N/A,FALSE,"KMC최종회의(7월) 자료"}</definedName>
    <definedName name="ㄴ1" hidden="1">{#N/A,#N/A,FALSE,"KMC최종회의(7월) 자료"}</definedName>
    <definedName name="ㄴ22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14" hidden="1">{"'분양원가'!$B$1:$F$113"}</definedName>
    <definedName name="ㄴㄴ" localSheetId="13" hidden="1">{"'분양원가'!$B$1:$F$113"}</definedName>
    <definedName name="ㄴㄴ" hidden="1">{"'분양원가'!$B$1:$F$113"}</definedName>
    <definedName name="ㄴㄴㄴ" localSheetId="14" hidden="1">#REF!</definedName>
    <definedName name="ㄴㄴ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손익표지";#N/A,#N/A,FALSE,"손익계산";#N/A,#N/A,FALSE,"일반관리비";#N/A,#N/A,FALSE,"영업외수익";#N/A,#N/A,FALSE,"영업외비용";#N/A,#N/A,FALSE,"매출액";#N/A,#N/A,FALSE,"요약손익";#N/A,#N/A,FALSE,"요약대차";#N/A,#N/A,FALSE,"매출채권현황";#N/A,#N/A,FALSE,"매출채권명세"}</definedName>
    <definedName name="ㄴㄴㄴㄳㄷㄷㅀ" hidden="1">{#N/A,#N/A,FALSE,"PART-1234-8-12-9(41)";#N/A,#N/A,FALSE,"PARTS-2(3)";#N/A,#N/A,FALSE,"VAN SYSTEM";#N/A,#N/A,FALSE,"PARTS-10(26)";#N/A,#N/A,FALSE,"PART-5-6-7-11(14)";#N/A,#N/A,FALSE,"PARTS-4(3)";#N/A,#N/A,FALSE,"PCLASS"}</definedName>
    <definedName name="ㄴㄴㄴㄴ" localSheetId="14" hidden="1">{"'경매 schedule'!$A$1:$Y$78"}</definedName>
    <definedName name="ㄴㄴㄴ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ㄴㄴㄴ" hidden="1">{#N/A,#N/A,FALSE,"손익표지";#N/A,#N/A,FALSE,"손익계산";#N/A,#N/A,FALSE,"일반관리비";#N/A,#N/A,FALSE,"영업외수익";#N/A,#N/A,FALSE,"영업외비용";#N/A,#N/A,FALSE,"매출액";#N/A,#N/A,FALSE,"요약손익";#N/A,#N/A,FALSE,"요약대차";#N/A,#N/A,FALSE,"매출채권현황";#N/A,#N/A,FALSE,"매출채권명세"}</definedName>
    <definedName name="ㄴㄴㄴㄴㄴ" localSheetId="14" hidden="1">{#N/A,#N/A,FALSE,"BS";#N/A,#N/A,FALSE,"PL";#N/A,#N/A,FALSE,"처분";#N/A,#N/A,FALSE,"현금";#N/A,#N/A,FALSE,"매출";#N/A,#N/A,FALSE,"원가";#N/A,#N/A,FALSE,"경영"}</definedName>
    <definedName name="ㄴㄴㄴㄴㄴ" localSheetId="13" hidden="1">{#N/A,#N/A,FALSE,"BS";#N/A,#N/A,FALSE,"PL";#N/A,#N/A,FALSE,"처분";#N/A,#N/A,FALSE,"현금";#N/A,#N/A,FALSE,"매출";#N/A,#N/A,FALSE,"원가";#N/A,#N/A,FALSE,"경영"}</definedName>
    <definedName name="ㄴㄴㄴㄴㄴ" hidden="1">{#N/A,#N/A,FALSE,"BS";#N/A,#N/A,FALSE,"PL";#N/A,#N/A,FALSE,"처분";#N/A,#N/A,FALSE,"현금";#N/A,#N/A,FALSE,"매출";#N/A,#N/A,FALSE,"원가";#N/A,#N/A,FALSE,"경영"}</definedName>
    <definedName name="ㄴㄴㄴㄴㄴㄴ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ㄴ"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ㄴㄴㄴㄴㄴㄴㄴ"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ㄴㄴㄶㄹㅇㅅㅅㅅ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ㄴㄴㄹㄴㄹㅇ" hidden="1">{#N/A,#N/A,FALSE,"PART-1234-8-12-9(41)";#N/A,#N/A,FALSE,"PARTS-2(3)";#N/A,#N/A,FALSE,"VAN SYSTEM";#N/A,#N/A,FALSE,"PARTS-10(26)";#N/A,#N/A,FALSE,"PART-5-6-7-11(14)";#N/A,#N/A,FALSE,"PARTS-4(3)";#N/A,#N/A,FALSE,"PCLASS"}</definedName>
    <definedName name="ㄴㄴㄹㅇㅇㅎㅎㄴㅇ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ㄷ더" localSheetId="14" hidden="1">{#N/A,#N/A,FALSE,"단축1";#N/A,#N/A,FALSE,"단축2";#N/A,#N/A,FALSE,"단축3";#N/A,#N/A,FALSE,"장축";#N/A,#N/A,FALSE,"4WD"}</definedName>
    <definedName name="ㄴㄷ더" hidden="1">{#N/A,#N/A,FALSE,"단축1";#N/A,#N/A,FALSE,"단축2";#N/A,#N/A,FALSE,"단축3";#N/A,#N/A,FALSE,"장축";#N/A,#N/A,FALSE,"4WD"}</definedName>
    <definedName name="ㄴㄹ" localSheetId="14" hidden="1">{#N/A,#N/A,FALSE,"KMC최종회의(7월) 자료"}</definedName>
    <definedName name="ㄴㄹ" hidden="1">{#N/A,#N/A,FALSE,"KMC최종회의(7월) 자료"}</definedName>
    <definedName name="ㄴㄹㄴㄹ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ㄹㄴㄹㄴ" hidden="1">{#N/A,#N/A,FALSE,"손익표지";#N/A,#N/A,FALSE,"손익계산";#N/A,#N/A,FALSE,"일반관리비";#N/A,#N/A,FALSE,"영업외수익";#N/A,#N/A,FALSE,"영업외비용";#N/A,#N/A,FALSE,"매출액";#N/A,#N/A,FALSE,"요약손익";#N/A,#N/A,FALSE,"요약대차";#N/A,#N/A,FALSE,"매출채권현황";#N/A,#N/A,FALSE,"매출채권명세"}</definedName>
    <definedName name="ㄴㄹㄹ" localSheetId="14"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ㄹㅇ"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ㄻㄴ" localSheetId="14"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ㅁ" hidden="1">{#N/A,#N/A,FALSE,"97년 투자계획 세부내역 "}</definedName>
    <definedName name="ㄴㅁㄹ" localSheetId="14" hidden="1">{#N/A,#N/A,FALSE,"단축1";#N/A,#N/A,FALSE,"단축2";#N/A,#N/A,FALSE,"단축3";#N/A,#N/A,FALSE,"장축";#N/A,#N/A,FALSE,"4WD"}</definedName>
    <definedName name="ㄴㅁㄹ" hidden="1">{#N/A,#N/A,FALSE,"단축1";#N/A,#N/A,FALSE,"단축2";#N/A,#N/A,FALSE,"단축3";#N/A,#N/A,FALSE,"장축";#N/A,#N/A,FALSE,"4WD"}</definedName>
    <definedName name="ㄴㅁㄻㄹ" localSheetId="14" hidden="1">{#N/A,#N/A,FALSE,"정공"}</definedName>
    <definedName name="ㄴㅁㄻㄹ" hidden="1">{#N/A,#N/A,FALSE,"정공"}</definedName>
    <definedName name="ㄴㅁㅇㅎㅇ롱로" localSheetId="14" hidden="1">#REF!</definedName>
    <definedName name="ㄴㅁㅇㅎㅇ롱로" hidden="1">#REF!</definedName>
    <definedName name="ㄴㅅㄱㄷㅅㄱㄷㅅㄱㄷ4" hidden="1">{#N/A,#N/A,FALSE,"PART-1234-8-12-9(41)";#N/A,#N/A,FALSE,"PARTS-2(3)";#N/A,#N/A,FALSE,"VAN SYSTEM";#N/A,#N/A,FALSE,"PARTS-10(26)";#N/A,#N/A,FALSE,"PART-5-6-7-11(14)";#N/A,#N/A,FALSE,"PARTS-4(3)";#N/A,#N/A,FALSE,"PCLASS"}</definedName>
    <definedName name="ㄴㅅㄱㄷㅅㄷㄱㄱㄱㄱㄱㄱㅇ" hidden="1">{#N/A,#N/A,FALSE,"PART-1234-8-12-9(41)";#N/A,#N/A,FALSE,"PARTS-2(3)";#N/A,#N/A,FALSE,"VAN SYSTEM";#N/A,#N/A,FALSE,"PARTS-10(26)";#N/A,#N/A,FALSE,"PART-5-6-7-11(14)";#N/A,#N/A,FALSE,"PARTS-4(3)";#N/A,#N/A,FALSE,"PCLASS"}</definedName>
    <definedName name="ㄴㅅㄱㄷㅅㄷㄷㅅㄳㄱㄷㅅㄱㄷㄴㄱ" hidden="1">{#N/A,#N/A,FALSE,"PART-1234-8-12-9(41)";#N/A,#N/A,FALSE,"PARTS-2(3)";#N/A,#N/A,FALSE,"VAN SYSTEM";#N/A,#N/A,FALSE,"PARTS-10(26)";#N/A,#N/A,FALSE,"PART-5-6-7-11(14)";#N/A,#N/A,FALSE,"PARTS-4(3)";#N/A,#N/A,FALSE,"PCLASS"}</definedName>
    <definedName name="ㄴㅅ고" localSheetId="14" hidden="1">{#N/A,#N/A,TRUE,"Y생산";#N/A,#N/A,TRUE,"Y판매";#N/A,#N/A,TRUE,"Y총물량";#N/A,#N/A,TRUE,"Y능력";#N/A,#N/A,TRUE,"YKD"}</definedName>
    <definedName name="ㄴㅅ고" hidden="1">{#N/A,#N/A,TRUE,"Y생산";#N/A,#N/A,TRUE,"Y판매";#N/A,#N/A,TRUE,"Y총물량";#N/A,#N/A,TRUE,"Y능력";#N/A,#N/A,TRUE,"YKD"}</definedName>
    <definedName name="ㄴㅅㄷㄳㄴㄱㄷㅅㄱㄷ" hidden="1">{#N/A,#N/A,FALSE,"PART-1234-8-12-9(41)";#N/A,#N/A,FALSE,"PARTS-2(3)";#N/A,#N/A,FALSE,"VAN SYSTEM";#N/A,#N/A,FALSE,"PARTS-10(26)";#N/A,#N/A,FALSE,"PART-5-6-7-11(14)";#N/A,#N/A,FALSE,"PARTS-4(3)";#N/A,#N/A,FALSE,"PCLASS"}</definedName>
    <definedName name="ㄴㅅㅅㄱㄷㄴㄳ"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ㄴㅇ" localSheetId="14" hidden="1">{#N/A,#N/A,TRUE,"Y생산";#N/A,#N/A,TRUE,"Y판매";#N/A,#N/A,TRUE,"Y총물량";#N/A,#N/A,TRUE,"Y능력";#N/A,#N/A,TRUE,"YKD"}</definedName>
    <definedName name="ㄴㅇ" hidden="1">{#N/A,#N/A,TRUE,"Y생산";#N/A,#N/A,TRUE,"Y판매";#N/A,#N/A,TRUE,"Y총물량";#N/A,#N/A,TRUE,"Y능력";#N/A,#N/A,TRUE,"YKD"}</definedName>
    <definedName name="ㄴㅇㄴ" localSheetId="14" hidden="1">{#N/A,#N/A,FALSE,"단축1";#N/A,#N/A,FALSE,"단축2";#N/A,#N/A,FALSE,"단축3";#N/A,#N/A,FALSE,"장축";#N/A,#N/A,FALSE,"4WD"}</definedName>
    <definedName name="ㄴㅇㄴ" hidden="1">{#N/A,#N/A,FALSE,"단축1";#N/A,#N/A,FALSE,"단축2";#N/A,#N/A,FALSE,"단축3";#N/A,#N/A,FALSE,"장축";#N/A,#N/A,FALSE,"4WD"}</definedName>
    <definedName name="ㄴㅇㄴㅁㅇㅁ" localSheetId="14" hidden="1">{#N/A,#N/A,FALSE,"KMC최종회의(7월) 자료"}</definedName>
    <definedName name="ㄴㅇㄴㅁㅇㅁ" hidden="1">{#N/A,#N/A,FALSE,"KMC최종회의(7월) 자료"}</definedName>
    <definedName name="ㄴㅇㄴㅇㄴ" localSheetId="14" hidden="1">{#N/A,#N/A,FALSE,"단축1";#N/A,#N/A,FALSE,"단축2";#N/A,#N/A,FALSE,"단축3";#N/A,#N/A,FALSE,"장축";#N/A,#N/A,FALSE,"4WD"}</definedName>
    <definedName name="ㄴㅇㄴㅇㄴ" hidden="1">{#N/A,#N/A,FALSE,"단축1";#N/A,#N/A,FALSE,"단축2";#N/A,#N/A,FALSE,"단축3";#N/A,#N/A,FALSE,"장축";#N/A,#N/A,FALSE,"4WD"}</definedName>
    <definedName name="ㄴㅇㄴㅇㄴㅇ" localSheetId="14" hidden="1">{#N/A,#N/A,FALSE,"단축1";#N/A,#N/A,FALSE,"단축2";#N/A,#N/A,FALSE,"단축3";#N/A,#N/A,FALSE,"장축";#N/A,#N/A,FALSE,"4WD"}</definedName>
    <definedName name="ㄴㅇㄴㅇㄴㅇ" hidden="1">{#N/A,#N/A,FALSE,"단축1";#N/A,#N/A,FALSE,"단축2";#N/A,#N/A,FALSE,"단축3";#N/A,#N/A,FALSE,"장축";#N/A,#N/A,FALSE,"4WD"}</definedName>
    <definedName name="ㄴㅇㄹ" localSheetId="14" hidden="1">{#N/A,#N/A,FALSE,"97년 투자계획 세부내역 "}</definedName>
    <definedName name="ㄴㅇ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[70]첨부1!$B$1:$F$18,[70]첨부1!#REF!,[70]첨부1!#REF!</definedName>
    <definedName name="ㄴㅇㄹㄴㅇ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ㅀㅎ" localSheetId="14" hidden="1">{#N/A,#N/A,FALSE,"KMC최종회의(7월) 자료"}</definedName>
    <definedName name="ㄴㅇㄹㄴㅇㅀㅎ" hidden="1">{#N/A,#N/A,FALSE,"KMC최종회의(7월) 자료"}</definedName>
    <definedName name="ㄴㅇㄹㄹ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ㅇㄹㄹㅇ" hidden="1">{#N/A,#N/A,FALSE,"손익표지";#N/A,#N/A,FALSE,"손익계산";#N/A,#N/A,FALSE,"일반관리비";#N/A,#N/A,FALSE,"영업외수익";#N/A,#N/A,FALSE,"영업외비용";#N/A,#N/A,FALSE,"매출액";#N/A,#N/A,FALSE,"요약손익";#N/A,#N/A,FALSE,"요약대차";#N/A,#N/A,FALSE,"매출채권현황";#N/A,#N/A,FALSE,"매출채권명세"}</definedName>
    <definedName name="ㄴㅇ류" localSheetId="14" hidden="1">{#N/A,#N/A,FALSE,"96 3월물량표";#N/A,#N/A,FALSE,"96 4월물량표";#N/A,#N/A,FALSE,"96 5월물량표"}</definedName>
    <definedName name="ㄴㅇ류" hidden="1">{#N/A,#N/A,FALSE,"96 3월물량표";#N/A,#N/A,FALSE,"96 4월물량표";#N/A,#N/A,FALSE,"96 5월물량표"}</definedName>
    <definedName name="ㄴㅇㄻ"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ㄻㄴ" localSheetId="14" hidden="1">{#N/A,#N/A,FALSE,"Status";#N/A,#N/A,FALSE,"Deckblatt 1";#N/A,#N/A,FALSE,"Deckblatt2"}</definedName>
    <definedName name="ㄴㅇㄻㄴ" hidden="1">{#N/A,#N/A,FALSE,"Status";#N/A,#N/A,FALSE,"Deckblatt 1";#N/A,#N/A,FALSE,"Deckblatt2"}</definedName>
    <definedName name="ㄴㅇㄻㄴㅇㄻ"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 localSheetId="14" hidden="1">{#N/A,#N/A,FALSE,"96 3월물량표";#N/A,#N/A,FALSE,"96 4월물량표";#N/A,#N/A,FALSE,"96 5월물량표"}</definedName>
    <definedName name="ㄴㅇㅀ" hidden="1">{#N/A,#N/A,FALSE,"96 3월물량표";#N/A,#N/A,FALSE,"96 4월물량표";#N/A,#N/A,FALSE,"96 5월물량표"}</definedName>
    <definedName name="ㄴㅇㅀㅁㅇㅎㄴㅇㅁㅀㅇㅀㄴㅇㅀ" localSheetId="14" hidden="1">{#N/A,#N/A,FALSE,"정공"}</definedName>
    <definedName name="ㄴㅇㅀㅁㅇㅎㄴㅇㅁㅀㅇㅀㄴㅇㅀ" hidden="1">{#N/A,#N/A,FALSE,"정공"}</definedName>
    <definedName name="ㄴㅇㅁㅀㅎㄹㄴㅇㅎ" localSheetId="14" hidden="1">{#N/A,#N/A,FALSE,"KMC최종회의(7월) 자료"}</definedName>
    <definedName name="ㄴㅇㅁㅀㅎㄹㄴㅇㅎ" hidden="1">{#N/A,#N/A,FALSE,"KMC최종회의(7월) 자료"}</definedName>
    <definedName name="ㄴㅇㅇㄴㄹ" localSheetId="14" hidden="1">{#N/A,#N/A,FALSE,"BS";#N/A,#N/A,FALSE,"PL";#N/A,#N/A,FALSE,"처분";#N/A,#N/A,FALSE,"현금";#N/A,#N/A,FALSE,"매출";#N/A,#N/A,FALSE,"원가";#N/A,#N/A,FALSE,"경영"}</definedName>
    <definedName name="ㄴㅇㅇㄴㄹ" localSheetId="13" hidden="1">{#N/A,#N/A,FALSE,"BS";#N/A,#N/A,FALSE,"PL";#N/A,#N/A,FALSE,"처분";#N/A,#N/A,FALSE,"현금";#N/A,#N/A,FALSE,"매출";#N/A,#N/A,FALSE,"원가";#N/A,#N/A,FALSE,"경영"}</definedName>
    <definedName name="ㄴㅇㅇㄴㄹ" hidden="1">{#N/A,#N/A,FALSE,"BS";#N/A,#N/A,FALSE,"PL";#N/A,#N/A,FALSE,"처분";#N/A,#N/A,FALSE,"현금";#N/A,#N/A,FALSE,"매출";#N/A,#N/A,FALSE,"원가";#N/A,#N/A,FALSE,"경영"}</definedName>
    <definedName name="ㄴㅇㅇㅇㅇ" localSheetId="14" hidden="1">{#N/A,#N/A,FALSE,"정공"}</definedName>
    <definedName name="ㄴㅇㅇㅇㅇ" hidden="1">{#N/A,#N/A,FALSE,"정공"}</definedName>
    <definedName name="ㄴㅇㅍㅇㅀ호" localSheetId="14" hidden="1">{#N/A,#N/A,FALSE,"KMC최종회의(7월) 자료"}</definedName>
    <definedName name="ㄴㅇㅍㅇㅀ호" hidden="1">{#N/A,#N/A,FALSE,"KMC최종회의(7월) 자료"}</definedName>
    <definedName name="ㄴㅇㅎㄹㄴㅇㄹ" hidden="1">{#N/A,#N/A,FALSE,"지침";#N/A,#N/A,FALSE,"환경분석";#N/A,#N/A,FALSE,"Sheet16"}</definedName>
    <definedName name="ㄴㅇ허ㅔㅇ" localSheetId="14" hidden="1">{#N/A,#N/A,FALSE,"KMC최종회의(7월) 자료"}</definedName>
    <definedName name="ㄴㅇ허ㅔㅇ" hidden="1">{#N/A,#N/A,FALSE,"KMC최종회의(7월) 자료"}</definedName>
    <definedName name="ㄴㅊㅁㅊㄴ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ㅋ" localSheetId="14" hidden="1">{#N/A,#N/A,FALSE,"단축1";#N/A,#N/A,FALSE,"단축2";#N/A,#N/A,FALSE,"단축3";#N/A,#N/A,FALSE,"장축";#N/A,#N/A,FALSE,"4WD"}</definedName>
    <definedName name="ㄴㅋ" hidden="1">{#N/A,#N/A,FALSE,"단축1";#N/A,#N/A,FALSE,"단축2";#N/A,#N/A,FALSE,"단축3";#N/A,#N/A,FALSE,"장축";#N/A,#N/A,FALSE,"4WD"}</definedName>
    <definedName name="ㄴㅣ"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ㄴㅣ" hidden="1">{#N/A,#N/A,FALSE,"손익표지";#N/A,#N/A,FALSE,"손익계산";#N/A,#N/A,FALSE,"일반관리비";#N/A,#N/A,FALSE,"영업외수익";#N/A,#N/A,FALSE,"영업외비용";#N/A,#N/A,FALSE,"매출액";#N/A,#N/A,FALSE,"요약손익";#N/A,#N/A,FALSE,"요약대차";#N/A,#N/A,FALSE,"매출채권현황";#N/A,#N/A,FALSE,"매출채권명세"}</definedName>
    <definedName name="나" localSheetId="14" hidden="1">{#N/A,#N/A,FALSE,"Sheet5"}</definedName>
    <definedName name="나" localSheetId="13" hidden="1">{#N/A,#N/A,FALSE,"Sheet5"}</definedName>
    <definedName name="나" localSheetId="31" hidden="1">{#N/A,#N/A,FALSE,"손익표지";#N/A,#N/A,FALSE,"손익계산";#N/A,#N/A,FALSE,"일반관리비";#N/A,#N/A,FALSE,"영업외수익";#N/A,#N/A,FALSE,"영업외비용";#N/A,#N/A,FALSE,"매출액";#N/A,#N/A,FALSE,"요약손익";#N/A,#N/A,FALSE,"요약대차";#N/A,#N/A,FALSE,"매출채권현황";#N/A,#N/A,FALSE,"매출채권명세"}</definedName>
    <definedName name="나" hidden="1">{#N/A,#N/A,FALSE,"Sheet5"}</definedName>
    <definedName name="나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나나"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나나" localSheetId="31" hidden="1">{#N/A,#N/A,FALSE,"손익표지";#N/A,#N/A,FALSE,"손익계산";#N/A,#N/A,FALSE,"일반관리비";#N/A,#N/A,FALSE,"영업외수익";#N/A,#N/A,FALSE,"영업외비용";#N/A,#N/A,FALSE,"매출액";#N/A,#N/A,FALSE,"요약손익";#N/A,#N/A,FALSE,"요약대차";#N/A,#N/A,FALSE,"매출채권현황";#N/A,#N/A,FALSE,"매출채권명세"}</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localSheetId="14" hidden="1">{"'미착금액'!$A$4:$G$14"}</definedName>
    <definedName name="나나나" localSheetId="13" hidden="1">{"'미착금액'!$A$4:$G$14"}</definedName>
    <definedName name="나나나" hidden="1">{"'미착금액'!$A$4:$G$14"}</definedName>
    <definedName name="나나나ㅏ난" localSheetId="14" hidden="1">{"'5'!$A$1:$BB$147"}</definedName>
    <definedName name="나나나ㅏ난" hidden="1">{"'5'!$A$1:$BB$147"}</definedName>
    <definedName name="나나아ㅓㅇㅇ" localSheetId="14" hidden="1">{#N/A,#N/A,FALSE,"정공"}</definedName>
    <definedName name="나나아ㅓㅇㅇ" hidden="1">{#N/A,#N/A,FALSE,"정공"}</definedName>
    <definedName name="나너" hidden="1">{#N/A,#N/A,FALSE,"97년 투자계획 세부내역 "}</definedName>
    <definedName name="나라" hidden="1">{#N/A,#N/A,FALSE,"지침";#N/A,#N/A,FALSE,"환경분석";#N/A,#N/A,FALSE,"Sheet16"}</definedName>
    <definedName name="나라사랑" localSheetId="14" hidden="1">{#N/A,#N/A,FALSE,"정공"}</definedName>
    <definedName name="나라사랑" hidden="1">{#N/A,#N/A,FALSE,"정공"}</definedName>
    <definedName name="나무라오" localSheetId="14" hidden="1">{#N/A,#N/A,FALSE,"정공"}</definedName>
    <definedName name="나무라오" hidden="1">{#N/A,#N/A,FALSE,"정공"}</definedName>
    <definedName name="나오너라" localSheetId="14" hidden="1">{#N/A,#N/A,FALSE,"정공"}</definedName>
    <definedName name="나오너라" hidden="1">{#N/A,#N/A,FALSE,"정공"}</definedName>
    <definedName name="나오아" localSheetId="14" hidden="1">{#N/A,#N/A,FALSE,"정공"}</definedName>
    <definedName name="나오아" hidden="1">{#N/A,#N/A,FALSE,"정공"}</definedName>
    <definedName name="나ㅣ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규" localSheetId="14" hidden="1">{"'5'!$A$1:$BB$147"}</definedName>
    <definedName name="낙규" hidden="1">{"'5'!$A$1:$BB$147"}</definedName>
    <definedName name="남" localSheetId="14" hidden="1">{#N/A,#N/A,FALSE,"Sheet5"}</definedName>
    <definedName name="남" localSheetId="13" hidden="1">{#N/A,#N/A,FALSE,"Sheet5"}</definedName>
    <definedName name="남" hidden="1">{#N/A,#N/A,FALSE,"Sheet5"}</definedName>
    <definedName name="남의나라" localSheetId="14" hidden="1">{#N/A,#N/A,FALSE,"정공"}</definedName>
    <definedName name="남의나라" hidden="1">{#N/A,#N/A,FALSE,"정공"}</definedName>
    <definedName name="납품현황" localSheetId="14" hidden="1">{#N/A,#N/A,FALSE,"단축1";#N/A,#N/A,FALSE,"단축2";#N/A,#N/A,FALSE,"단축3";#N/A,#N/A,FALSE,"장축";#N/A,#N/A,FALSE,"4WD"}</definedName>
    <definedName name="납품현황" hidden="1">{#N/A,#N/A,FALSE,"단축1";#N/A,#N/A,FALSE,"단축2";#N/A,#N/A,FALSE,"단축3";#N/A,#N/A,FALSE,"장축";#N/A,#N/A,FALSE,"4WD"}</definedName>
    <definedName name="내구재" localSheetId="14" hidden="1">{"'5'!$A$1:$BB$147"}</definedName>
    <definedName name="내구재" hidden="1">{"'5'!$A$1:$BB$147"}</definedName>
    <definedName name="내구혁" localSheetId="14" hidden="1">#REF!</definedName>
    <definedName name="내구혁" hidden="1">#REF!</definedName>
    <definedName name="내국력드라이브" localSheetId="14" hidden="1">'[22]980731'!#REF!</definedName>
    <definedName name="내국력드라이브" hidden="1">'[22]980731'!#REF!</definedName>
    <definedName name="내용" hidden="1">{#N/A,#N/A,TRUE,"Y생산";#N/A,#N/A,TRUE,"Y판매";#N/A,#N/A,TRUE,"Y총물량";#N/A,#N/A,TRUE,"Y능력";#N/A,#N/A,TRUE,"YKD"}</definedName>
    <definedName name="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너"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ㅣ니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넉" hidden="1">{#N/A,#N/A,FALSE,"PART-1234-8-12-9(41)";#N/A,#N/A,FALSE,"PARTS-2(3)";#N/A,#N/A,FALSE,"VAN SYSTEM";#N/A,#N/A,FALSE,"PARTS-10(26)";#N/A,#N/A,FALSE,"PART-5-6-7-11(14)";#N/A,#N/A,FALSE,"PARTS-4(3)";#N/A,#N/A,FALSE,"PCLASS"}</definedName>
    <definedName name="네" localSheetId="14" hidden="1">{#N/A,#N/A,FALSE,"Sheet5"}</definedName>
    <definedName name="네" localSheetId="13" hidden="1">{#N/A,#N/A,FALSE,"Sheet5"}</definedName>
    <definedName name="네" hidden="1">{#N/A,#N/A,FALSE,"Sheet5"}</definedName>
    <definedName name="년간예산">#REF!</definedName>
    <definedName name="년간전망" localSheetId="14" hidden="1">{#N/A,#N/A,FALSE,"KMC최종회의(7월) 자료"}</definedName>
    <definedName name="년간전망" hidden="1">{#N/A,#N/A,FALSE,"KMC최종회의(7월) 자료"}</definedName>
    <definedName name="년간종합2" localSheetId="14" hidden="1">{#N/A,#N/A,FALSE,"KMC최종회의(7월) 자료"}</definedName>
    <definedName name="년간종합2" hidden="1">{#N/A,#N/A,FALSE,"KMC최종회의(7월) 자료"}</definedName>
    <definedName name="년도별손익" hidden="1">{#N/A,#N/A,FALSE,"PART-1234-8-12-9(41)";#N/A,#N/A,FALSE,"PARTS-2(3)";#N/A,#N/A,FALSE,"VAN SYSTEM";#N/A,#N/A,FALSE,"PARTS-10(26)";#N/A,#N/A,FALSE,"PART-5-6-7-11(14)";#N/A,#N/A,FALSE,"PARTS-4(3)";#N/A,#N/A,FALSE,"PCLASS"}</definedName>
    <definedName name="년도별손익분석" localSheetId="14" hidden="1">{"'10_03일자별'!$A$2:$H$31"}</definedName>
    <definedName name="년도별손익분석" localSheetId="13" hidden="1">{"'10_03일자별'!$A$2:$H$31"}</definedName>
    <definedName name="년도별손익분석" hidden="1">{"'10_03일자별'!$A$2:$H$31"}</definedName>
    <definedName name="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노" hidden="1">{#N/A,#N/A,FALSE,"손익표지";#N/A,#N/A,FALSE,"손익계산";#N/A,#N/A,FALSE,"일반관리비";#N/A,#N/A,FALSE,"영업외수익";#N/A,#N/A,FALSE,"영업외비용";#N/A,#N/A,FALSE,"매출액";#N/A,#N/A,FALSE,"요약손익";#N/A,#N/A,FALSE,"요약대차";#N/A,#N/A,FALSE,"매출채권현황";#N/A,#N/A,FALSE,"매출채권명세"}</definedName>
    <definedName name="노1" localSheetId="14" hidden="1">{#N/A,#N/A,FALSE,"KMC최종회의(7월) 자료"}</definedName>
    <definedName name="노1" hidden="1">{#N/A,#N/A,FALSE,"KMC최종회의(7월) 자료"}</definedName>
    <definedName name="노무비" localSheetId="14" hidden="1">{#N/A,#N/A,FALSE,"KMC최종회의(7월) 자료"}</definedName>
    <definedName name="노무비" hidden="1">{#N/A,#N/A,FALSE,"KMC최종회의(7월) 자료"}</definedName>
    <definedName name="노무비월" localSheetId="14" hidden="1">{#N/A,#N/A,FALSE,"KMC최종회의(7월) 자료"}</definedName>
    <definedName name="노무비월" hidden="1">{#N/A,#N/A,FALSE,"KMC최종회의(7월) 자료"}</definedName>
    <definedName name="노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은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노은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녿대" localSheetId="14" hidden="1">{#N/A,#N/A,FALSE,"단축1";#N/A,#N/A,FALSE,"단축2";#N/A,#N/A,FALSE,"단축3";#N/A,#N/A,FALSE,"장축";#N/A,#N/A,FALSE,"4WD"}</definedName>
    <definedName name="녿대" hidden="1">{#N/A,#N/A,FALSE,"단축1";#N/A,#N/A,FALSE,"단축2";#N/A,#N/A,FALSE,"단축3";#N/A,#N/A,FALSE,"장축";#N/A,#N/A,FALSE,"4WD"}</definedName>
    <definedName name="뇩ㄷㄱㄷㅅㄱㄷㅅㄱㄷ"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누" localSheetId="14" hidden="1">{#N/A,#N/A,FALSE,"Sheet5"}</definedName>
    <definedName name="누" localSheetId="13" hidden="1">{#N/A,#N/A,FALSE,"Sheet5"}</definedName>
    <definedName name="누" hidden="1">{#N/A,#N/A,FALSE,"Sheet5"}</definedName>
    <definedName name="누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누계" hidden="1">{#N/A,#N/A,FALSE,"손익표지";#N/A,#N/A,FALSE,"손익계산";#N/A,#N/A,FALSE,"일반관리비";#N/A,#N/A,FALSE,"영업외수익";#N/A,#N/A,FALSE,"영업외비용";#N/A,#N/A,FALSE,"매출액";#N/A,#N/A,FALSE,"요약손익";#N/A,#N/A,FALSE,"요약대차";#N/A,#N/A,FALSE,"매출채권현황";#N/A,#N/A,FALSE,"매출채권명세"}</definedName>
    <definedName name="누계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목표" localSheetId="14" hidden="1">{#N/A,#N/A,FALSE,"정공"}</definedName>
    <definedName name="누계목표" hidden="1">{#N/A,#N/A,FALSE,"정공"}</definedName>
    <definedName name="누계손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누계손익" hidden="1">{#N/A,#N/A,FALSE,"손익표지";#N/A,#N/A,FALSE,"손익계산";#N/A,#N/A,FALSE,"일반관리비";#N/A,#N/A,FALSE,"영업외수익";#N/A,#N/A,FALSE,"영업외비용";#N/A,#N/A,FALSE,"매출액";#N/A,#N/A,FALSE,"요약손익";#N/A,#N/A,FALSE,"요약대차";#N/A,#N/A,FALSE,"매출채권현황";#N/A,#N/A,FALSE,"매출채권명세"}</definedName>
    <definedName name="누계증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누계카피" localSheetId="14" hidden="1">{#N/A,#N/A,FALSE,"정공"}</definedName>
    <definedName name="누계카피" hidden="1">{#N/A,#N/A,FALSE,"정공"}</definedName>
    <definedName name="누적손익" hidden="1">{#N/A,#N/A,FALSE,"지침";#N/A,#N/A,FALSE,"환경분석";#N/A,#N/A,FALSE,"Sheet16"}</definedName>
    <definedName name="뉴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31"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스" localSheetId="14" hidden="1">{#N/A,#N/A,FALSE,"KMC최종회의(7월) 자료"}</definedName>
    <definedName name="뉴스" hidden="1">{#N/A,#N/A,FALSE,"KMC최종회의(7월) 자료"}</definedName>
    <definedName name="느는" localSheetId="14" hidden="1">{#N/A,#N/A,FALSE,"KMC최종회의(7월) 자료"}</definedName>
    <definedName name="느는" hidden="1">{#N/A,#N/A,FALSE,"KMC최종회의(7월) 자료"}</definedName>
    <definedName name="는"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는"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 localSheetId="14" hidden="1">{#N/A,#N/A,FALSE,"Sheet5"}</definedName>
    <definedName name="니" localSheetId="13" hidden="1">{#N/A,#N/A,FALSE,"Sheet5"}</definedName>
    <definedName name="니" hidden="1">{#N/A,#N/A,FALSE,"Sheet5"}</definedName>
    <definedName name="니기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니기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 localSheetId="14" hidden="1">{#N/A,#N/A,FALSE,"신규dep";#N/A,#N/A,FALSE,"신규dep-금형상각후";#N/A,#N/A,FALSE,"신규dep-연구비상각후";#N/A,#N/A,FALSE,"신규dep-기계,공구상각후"}</definedName>
    <definedName name="니니" hidden="1">{#N/A,#N/A,FALSE,"신규dep";#N/A,#N/A,FALSE,"신규dep-금형상각후";#N/A,#N/A,FALSE,"신규dep-연구비상각후";#N/A,#N/A,FALSE,"신규dep-기계,공구상각후"}</definedName>
    <definedName name="니니ㅣ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ㄶ"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ㄶ" hidden="1">{#N/A,#N/A,FALSE,"손익표지";#N/A,#N/A,FALSE,"손익계산";#N/A,#N/A,FALSE,"일반관리비";#N/A,#N/A,FALSE,"영업외수익";#N/A,#N/A,FALSE,"영업외비용";#N/A,#N/A,FALSE,"매출액";#N/A,#N/A,FALSE,"요약손익";#N/A,#N/A,FALSE,"요약대차";#N/A,#N/A,FALSE,"매출채권현황";#N/A,#N/A,FALSE,"매출채권명세"}</definedName>
    <definedName name="ㄶㅇㄴㅇㅎㄴㅇㅎ" hidden="1">#REF!</definedName>
    <definedName name="ㄶㅇㅅㄷㄷ" hidden="1">{#N/A,#N/A,FALSE,"PART-1234-8-12-9(41)";#N/A,#N/A,FALSE,"PARTS-2(3)";#N/A,#N/A,FALSE,"VAN SYSTEM";#N/A,#N/A,FALSE,"PARTS-10(26)";#N/A,#N/A,FALSE,"PART-5-6-7-11(14)";#N/A,#N/A,FALSE,"PARTS-4(3)";#N/A,#N/A,FALSE,"PCLASS"}</definedName>
    <definedName name="ㄶㅇㅇㅎㅎ" hidden="1">{#N/A,#N/A,FALSE,"PART-1234-8-12-9(41)";#N/A,#N/A,FALSE,"PARTS-2(3)";#N/A,#N/A,FALSE,"VAN SYSTEM";#N/A,#N/A,FALSE,"PARTS-10(26)";#N/A,#N/A,FALSE,"PART-5-6-7-11(14)";#N/A,#N/A,FALSE,"PARTS-4(3)";#N/A,#N/A,FALSE,"PCLASS"}</definedName>
    <definedName name="ㄶㅎㄺㄷㄷㄷ"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ㄶㅎㄺㅅㅎㄴ" hidden="1">{#N/A,#N/A,FALSE,"PART-1234-8-12-9(41)";#N/A,#N/A,FALSE,"PARTS-2(3)";#N/A,#N/A,FALSE,"VAN SYSTEM";#N/A,#N/A,FALSE,"PARTS-10(26)";#N/A,#N/A,FALSE,"PART-5-6-7-11(14)";#N/A,#N/A,FALSE,"PARTS-4(3)";#N/A,#N/A,FALSE,"PCLASS"}</definedName>
    <definedName name="ㄶㅎㅎㅎㄴㄹ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ㄷ" localSheetId="14" hidden="1">{#N/A,#N/A,FALSE,"BS";#N/A,#N/A,FALSE,"PL";#N/A,#N/A,FALSE,"처분";#N/A,#N/A,FALSE,"현금";#N/A,#N/A,FALSE,"매출";#N/A,#N/A,FALSE,"원가";#N/A,#N/A,FALSE,"경영"}</definedName>
    <definedName name="ㄷ" localSheetId="13" hidden="1">{#N/A,#N/A,FALSE,"BS";#N/A,#N/A,FALSE,"PL";#N/A,#N/A,FALSE,"처분";#N/A,#N/A,FALSE,"현금";#N/A,#N/A,FALSE,"매출";#N/A,#N/A,FALSE,"원가";#N/A,#N/A,FALSE,"경영"}</definedName>
    <definedName name="ㄷ"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ㄷ" hidden="1">{#N/A,#N/A,FALSE,"BS";#N/A,#N/A,FALSE,"PL";#N/A,#N/A,FALSE,"처분";#N/A,#N/A,FALSE,"현금";#N/A,#N/A,FALSE,"매출";#N/A,#N/A,FALSE,"원가";#N/A,#N/A,FALSE,"경영"}</definedName>
    <definedName name="ㄷ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ㄷㄱ소" localSheetId="14" hidden="1">{#N/A,#N/A,TRUE,"Y생산";#N/A,#N/A,TRUE,"Y판매";#N/A,#N/A,TRUE,"Y총물량";#N/A,#N/A,TRUE,"Y능력";#N/A,#N/A,TRUE,"YKD"}</definedName>
    <definedName name="ㄷㄱㄷㄱ소" hidden="1">{#N/A,#N/A,TRUE,"Y생산";#N/A,#N/A,TRUE,"Y판매";#N/A,#N/A,TRUE,"Y총물량";#N/A,#N/A,TRUE,"Y능력";#N/A,#N/A,TRUE,"YKD"}</definedName>
    <definedName name="ㄷㄱㄷㄱㅎ" localSheetId="14" hidden="1">{#N/A,#N/A,FALSE,"96 3월물량표";#N/A,#N/A,FALSE,"96 4월물량표";#N/A,#N/A,FALSE,"96 5월물량표"}</definedName>
    <definedName name="ㄷㄱㄷㄱㅎ" hidden="1">{#N/A,#N/A,FALSE,"96 3월물량표";#N/A,#N/A,FALSE,"96 4월물량표";#N/A,#N/A,FALSE,"96 5월물량표"}</definedName>
    <definedName name="ㄷㄱㄹㅇㄹ" localSheetId="14" hidden="1">{#N/A,#N/A,FALSE,"정공"}</definedName>
    <definedName name="ㄷㄱㄹㅇㄹ" hidden="1">{#N/A,#N/A,FALSE,"정공"}</definedName>
    <definedName name="ㄷ고" localSheetId="14" hidden="1">{#N/A,#N/A,FALSE,"96 3월물량표";#N/A,#N/A,FALSE,"96 4월물량표";#N/A,#N/A,FALSE,"96 5월물량표"}</definedName>
    <definedName name="ㄷ고" hidden="1">{#N/A,#N/A,FALSE,"96 3월물량표";#N/A,#N/A,FALSE,"96 4월물량표";#N/A,#N/A,FALSE,"96 5월물량표"}</definedName>
    <definedName name="ㄷ교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localSheetId="14" hidden="1">{#N/A,#N/A,FALSE,"단축1";#N/A,#N/A,FALSE,"단축2";#N/A,#N/A,FALSE,"단축3";#N/A,#N/A,FALSE,"장축";#N/A,#N/A,FALSE,"4WD"}</definedName>
    <definedName name="ㄷㄳ" hidden="1">{#N/A,#N/A,FALSE,"단축1";#N/A,#N/A,FALSE,"단축2";#N/A,#N/A,FALSE,"단축3";#N/A,#N/A,FALSE,"장축";#N/A,#N/A,FALSE,"4WD"}</definedName>
    <definedName name="ㄷㄳ34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곳고" localSheetId="14" hidden="1">{#N/A,#N/A,TRUE,"Y생산";#N/A,#N/A,TRUE,"Y판매";#N/A,#N/A,TRUE,"Y총물량";#N/A,#N/A,TRUE,"Y능력";#N/A,#N/A,TRUE,"YKD"}</definedName>
    <definedName name="ㄷㄳ곳고" hidden="1">{#N/A,#N/A,TRUE,"Y생산";#N/A,#N/A,TRUE,"Y판매";#N/A,#N/A,TRUE,"Y총물량";#N/A,#N/A,TRUE,"Y능력";#N/A,#N/A,TRUE,"YKD"}</definedName>
    <definedName name="ㄷㄳ곻" localSheetId="14" hidden="1">{#N/A,#N/A,TRUE,"Y생산";#N/A,#N/A,TRUE,"Y판매";#N/A,#N/A,TRUE,"Y총물량";#N/A,#N/A,TRUE,"Y능력";#N/A,#N/A,TRUE,"YKD"}</definedName>
    <definedName name="ㄷㄳ곻" hidden="1">{#N/A,#N/A,TRUE,"Y생산";#N/A,#N/A,TRUE,"Y판매";#N/A,#N/A,TRUE,"Y총물량";#N/A,#N/A,TRUE,"Y능력";#N/A,#N/A,TRUE,"YKD"}</definedName>
    <definedName name="ㄷㄳ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4" hidden="1">{#N/A,#N/A,FALSE,"BS";#N/A,#N/A,FALSE,"PL";#N/A,#N/A,FALSE,"처분";#N/A,#N/A,FALSE,"현금";#N/A,#N/A,FALSE,"매출";#N/A,#N/A,FALSE,"원가";#N/A,#N/A,FALSE,"경영"}</definedName>
    <definedName name="ㄷㄷ" localSheetId="13" hidden="1">{#N/A,#N/A,FALSE,"BS";#N/A,#N/A,FALSE,"PL";#N/A,#N/A,FALSE,"처분";#N/A,#N/A,FALSE,"현금";#N/A,#N/A,FALSE,"매출";#N/A,#N/A,FALSE,"원가";#N/A,#N/A,FALSE,"경영"}</definedName>
    <definedName name="ㄷㄷ" hidden="1">{#N/A,#N/A,FALSE,"BS";#N/A,#N/A,FALSE,"PL";#N/A,#N/A,FALSE,"처분";#N/A,#N/A,FALSE,"현금";#N/A,#N/A,FALSE,"매출";#N/A,#N/A,FALSE,"원가";#N/A,#N/A,FALSE,"경영"}</definedName>
    <definedName name="ㄷㄷㄱㅈㄱㅈ" hidden="1">{#N/A,#N/A,FALSE,"지침";#N/A,#N/A,FALSE,"환경분석";#N/A,#N/A,FALSE,"Sheet16"}</definedName>
    <definedName name="ㄷㄷㄷ" localSheetId="14" hidden="1">{#N/A,#N/A,TRUE,"일정"}</definedName>
    <definedName name="ㄷㄷㄷ" hidden="1">{#N/A,#N/A,TRUE,"일정"}</definedName>
    <definedName name="ㄷㄹ" hidden="1">{#N/A,#N/A,FALSE,"지침";#N/A,#N/A,FALSE,"환경분석";#N/A,#N/A,FALSE,"Sheet16"}</definedName>
    <definedName name="ㄷㄹㅇㅁ" hidden="1">{#N/A,#N/A,FALSE,"지침";#N/A,#N/A,FALSE,"환경분석";#N/A,#N/A,FALSE,"Sheet16"}</definedName>
    <definedName name="ㄷㄹ햐" hidden="1">{#N/A,#N/A,FALSE,"지침";#N/A,#N/A,FALSE,"환경분석";#N/A,#N/A,FALSE,"Sheet16"}</definedName>
    <definedName name="ㄷㅅㄷ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localSheetId="14" hidden="1">{#N/A,#N/A,TRUE,"Y생산";#N/A,#N/A,TRUE,"Y판매";#N/A,#N/A,TRUE,"Y총물량";#N/A,#N/A,TRUE,"Y능력";#N/A,#N/A,TRUE,"YKD"}</definedName>
    <definedName name="ㄷㅇ" hidden="1">{#N/A,#N/A,TRUE,"Y생산";#N/A,#N/A,TRUE,"Y판매";#N/A,#N/A,TRUE,"Y총물량";#N/A,#N/A,TRUE,"Y능력";#N/A,#N/A,TRUE,"YKD"}</definedName>
    <definedName name="ㄷㅈㄱ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ㅎㅅ흇ㄱ" localSheetId="14" hidden="1">{#N/A,#N/A,FALSE,"KMC최종회의(7월) 자료"}</definedName>
    <definedName name="ㄷㅎㅅ흇ㄱ" hidden="1">{#N/A,#N/A,FALSE,"KMC최종회의(7월) 자료"}</definedName>
    <definedName name="다" localSheetId="14" hidden="1">{#N/A,#N/A,FALSE,"Sheet5"}</definedName>
    <definedName name="다" localSheetId="13" hidden="1">{#N/A,#N/A,FALSE,"Sheet5"}</definedName>
    <definedName name="다" hidden="1">{#N/A,#N/A,FALSE,"Sheet5"}</definedName>
    <definedName name="다나가라" localSheetId="14" hidden="1">{#N/A,#N/A,FALSE,"정공"}</definedName>
    <definedName name="다나가라" hidden="1">{#N/A,#N/A,FALSE,"정공"}</definedName>
    <definedName name="다다라라다라" localSheetId="14" hidden="1">{"'5'!$A$1:$BB$147"}</definedName>
    <definedName name="다다라라다라" hidden="1">{"'5'!$A$1:$BB$147"}</definedName>
    <definedName name="다다음" hidden="1">{#N/A,#N/A,FALSE,"지침";#N/A,#N/A,FALSE,"환경분석";#N/A,#N/A,FALSE,"Sheet16"}</definedName>
    <definedName name="다다익선" localSheetId="14" hidden="1">{#N/A,#N/A,FALSE,"정공"}</definedName>
    <definedName name="다다익선" hidden="1">{#N/A,#N/A,FALSE,"정공"}</definedName>
    <definedName name="다달이" localSheetId="14" hidden="1">{#N/A,#N/A,FALSE,"정공"}</definedName>
    <definedName name="다달이" hidden="1">{#N/A,#N/A,FALSE,"정공"}</definedName>
    <definedName name="다라니경" localSheetId="14" hidden="1">{#N/A,#N/A,FALSE,"정공"}</definedName>
    <definedName name="다라니경" hidden="1">{#N/A,#N/A,FALSE,"정공"}</definedName>
    <definedName name="다라니경을피우자" localSheetId="14" hidden="1">{#N/A,#N/A,FALSE,"정공"}</definedName>
    <definedName name="다라니경을피우자" hidden="1">{#N/A,#N/A,FALSE,"정공"}</definedName>
    <definedName name="다라다라라" localSheetId="14" hidden="1">{"'5'!$A$1:$BB$147"}</definedName>
    <definedName name="다라다라라" hidden="1">{"'5'!$A$1:$BB$147"}</definedName>
    <definedName name="다라라" localSheetId="14" hidden="1">{"'5'!$A$1:$BB$147"}</definedName>
    <definedName name="다라라" hidden="1">{"'5'!$A$1:$BB$147"}</definedName>
    <definedName name="다라자라" localSheetId="14" hidden="1">{"'5'!$A$1:$BB$147"}</definedName>
    <definedName name="다라자라" hidden="1">{"'5'!$A$1:$BB$147"}</definedName>
    <definedName name="다라자라파" localSheetId="14" hidden="1">{"'5'!$A$1:$BB$147"}</definedName>
    <definedName name="다라자라파" hidden="1">{"'5'!$A$1:$BB$147"}</definedName>
    <definedName name="다시" localSheetId="14" hidden="1">{#N/A,#N/A,FALSE,"KMC최종회의(7월) 자료"}</definedName>
    <definedName name="다시" hidden="1">{#N/A,#N/A,FALSE,"KMC최종회의(7월) 자료"}</definedName>
    <definedName name="다음" hidden="1">{#N/A,#N/A,FALSE,"지침";#N/A,#N/A,FALSE,"환경분석";#N/A,#N/A,FALSE,"Sheet16"}</definedName>
    <definedName name="단" localSheetId="14" hidden="1">{"'5'!$A$1:$BB$147"}</definedName>
    <definedName name="단" hidden="1">{"'5'!$A$1:$BB$147"}</definedName>
    <definedName name="단가기준" localSheetId="14" hidden="1">{#N/A,#N/A,TRUE,"Y생산";#N/A,#N/A,TRUE,"Y판매";#N/A,#N/A,TRUE,"Y총물량";#N/A,#N/A,TRUE,"Y능력";#N/A,#N/A,TRUE,"YKD"}</definedName>
    <definedName name="단가기준" hidden="1">{#N/A,#N/A,TRUE,"Y생산";#N/A,#N/A,TRUE,"Y판매";#N/A,#N/A,TRUE,"Y총물량";#N/A,#N/A,TRUE,"Y능력";#N/A,#N/A,TRUE,"YKD"}</definedName>
    <definedName name="단가테이블" localSheetId="14" hidden="1">{#N/A,#N/A,FALSE,"KMC최종회의(7월) 자료"}</definedName>
    <definedName name="단가테이블" hidden="1">{#N/A,#N/A,FALSE,"KMC최종회의(7월) 자료"}</definedName>
    <definedName name="단기" localSheetId="14" hidden="1">{#N/A,#N/A,TRUE,"Y생산";#N/A,#N/A,TRUE,"Y판매";#N/A,#N/A,TRUE,"Y총물량";#N/A,#N/A,TRUE,"Y능력";#N/A,#N/A,TRUE,"YKD"}</definedName>
    <definedName name="단기" hidden="1">{#N/A,#N/A,TRUE,"Y생산";#N/A,#N/A,TRUE,"Y판매";#N/A,#N/A,TRUE,"Y총물량";#N/A,#N/A,TRUE,"Y능력";#N/A,#N/A,TRUE,"YKD"}</definedName>
    <definedName name="단기대여금" localSheetId="14" hidden="1">{#N/A,#N/A,TRUE,"Y생산";#N/A,#N/A,TRUE,"Y판매";#N/A,#N/A,TRUE,"Y총물량";#N/A,#N/A,TRUE,"Y능력";#N/A,#N/A,TRUE,"YKD"}</definedName>
    <definedName name="단기대여금" hidden="1">{#N/A,#N/A,TRUE,"Y생산";#N/A,#N/A,TRUE,"Y판매";#N/A,#N/A,TRUE,"Y총물량";#N/A,#N/A,TRUE,"Y능력";#N/A,#N/A,TRUE,"YKD"}</definedName>
    <definedName name="단기예치금5월" localSheetId="14" hidden="1">{"'분양원가'!$B$1:$F$113"}</definedName>
    <definedName name="단기예치금5월" localSheetId="13" hidden="1">{"'분양원가'!$B$1:$F$113"}</definedName>
    <definedName name="단기예치금5월" hidden="1">{"'분양원가'!$B$1:$F$113"}</definedName>
    <definedName name="단말기" localSheetId="14" hidden="1">{#N/A,#N/A,FALSE,"정공"}</definedName>
    <definedName name="단말기" hidden="1">{#N/A,#N/A,FALSE,"정공"}</definedName>
    <definedName name="단말기번호" localSheetId="14" hidden="1">{#N/A,#N/A,FALSE,"정공"}</definedName>
    <definedName name="단말기번호" hidden="1">{#N/A,#N/A,FALSE,"정공"}</definedName>
    <definedName name="단알기" localSheetId="14" hidden="1">{#N/A,#N/A,FALSE,"정공"}</definedName>
    <definedName name="단알기" hidden="1">{#N/A,#N/A,FALSE,"정공"}</definedName>
    <definedName name="단조편성표" localSheetId="14" hidden="1">{#N/A,#N/A,FALSE,"단축1";#N/A,#N/A,FALSE,"단축2";#N/A,#N/A,FALSE,"단축3";#N/A,#N/A,FALSE,"장축";#N/A,#N/A,FALSE,"4WD"}</definedName>
    <definedName name="단조편성표" hidden="1">{#N/A,#N/A,FALSE,"단축1";#N/A,#N/A,FALSE,"단축2";#N/A,#N/A,FALSE,"단축3";#N/A,#N/A,FALSE,"장축";#N/A,#N/A,FALSE,"4WD"}</definedName>
    <definedName name="달"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달"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성방안최신" localSheetId="14" hidden="1">{#N/A,#N/A,FALSE,"KMC최종회의(7월) 자료"}</definedName>
    <definedName name="달성방안최신" hidden="1">{#N/A,#N/A,FALSE,"KMC최종회의(7월) 자료"}</definedName>
    <definedName name="당기중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분석" localSheetId="14" hidden="1">{#N/A,#N/A,FALSE,"KMC최종회의(7월) 자료"}</definedName>
    <definedName name="당분석" hidden="1">{#N/A,#N/A,FALSE,"KMC최종회의(7월) 자료"}</definedName>
    <definedName name="당조">[71]통장출금액!$A$192:$P$351</definedName>
    <definedName name="당초기준손이" localSheetId="14" hidden="1">{#N/A,#N/A,FALSE,"정공"}</definedName>
    <definedName name="당초기준손이" hidden="1">{#N/A,#N/A,FALSE,"정공"}</definedName>
    <definedName name="당초대비비교표" localSheetId="14" hidden="1">{#N/A,#N/A,FALSE,"정공"}</definedName>
    <definedName name="당초대비비교표" hidden="1">{#N/A,#N/A,FALSE,"정공"}</definedName>
    <definedName name="당초손익표" localSheetId="14" hidden="1">{#N/A,#N/A,FALSE,"정공"}</definedName>
    <definedName name="당초손익표" hidden="1">{#N/A,#N/A,FALSE,"정공"}</definedName>
    <definedName name="대" localSheetId="14" hidden="1">{#N/A,#N/A,FALSE,"평균임금기준퇴직금"}</definedName>
    <definedName name="대" hidden="1">{#N/A,#N/A,FALSE,"평균임금기준퇴직금"}</definedName>
    <definedName name="대리님" localSheetId="14" hidden="1">{#N/A,#N/A,FALSE,"정공"}</definedName>
    <definedName name="대리님" hidden="1">{#N/A,#N/A,FALSE,"정공"}</definedName>
    <definedName name="대방총괄" localSheetId="14" hidden="1">{#N/A,#N/A,FALSE,"단축1";#N/A,#N/A,FALSE,"단축2";#N/A,#N/A,FALSE,"단축3";#N/A,#N/A,FALSE,"장축";#N/A,#N/A,FALSE,"4WD"}</definedName>
    <definedName name="대방총괄" hidden="1">{#N/A,#N/A,FALSE,"단축1";#N/A,#N/A,FALSE,"단축2";#N/A,#N/A,FALSE,"단축3";#N/A,#N/A,FALSE,"장축";#N/A,#N/A,FALSE,"4WD"}</definedName>
    <definedName name="대부" localSheetId="14" hidden="1">{#N/A,#N/A,FALSE,"단축1";#N/A,#N/A,FALSE,"단축2";#N/A,#N/A,FALSE,"단축3";#N/A,#N/A,FALSE,"장축";#N/A,#N/A,FALSE,"4WD"}</definedName>
    <definedName name="대부" hidden="1">{#N/A,#N/A,FALSE,"단축1";#N/A,#N/A,FALSE,"단축2";#N/A,#N/A,FALSE,"단축3";#N/A,#N/A,FALSE,"장축";#N/A,#N/A,FALSE,"4WD"}</definedName>
    <definedName name="대상시트" localSheetId="14" hidden="1">{#N/A,#N/A,FALSE,"정공"}</definedName>
    <definedName name="대상시트" hidden="1">{#N/A,#N/A,FALSE,"정공"}</definedName>
    <definedName name="대손변동" localSheetId="14" hidden="1">{#N/A,#N/A,FALSE,"평균임금기준퇴직금"}</definedName>
    <definedName name="대손변동" hidden="1">{#N/A,#N/A,FALSE,"평균임금기준퇴직금"}</definedName>
    <definedName name="대우" localSheetId="14" hidden="1">{#N/A,#N/A,FALSE,"정공"}</definedName>
    <definedName name="대우" hidden="1">{#N/A,#N/A,FALSE,"정공"}</definedName>
    <definedName name="대우하세요" localSheetId="14" hidden="1">{#N/A,#N/A,FALSE,"정공"}</definedName>
    <definedName name="대우하세요" hidden="1">{#N/A,#N/A,FALSE,"정공"}</definedName>
    <definedName name="대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31"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31"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정부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차" localSheetId="14" hidden="1">{#N/A,#N/A,FALSE,"평균임금기준퇴직금"}</definedName>
    <definedName name="대차" hidden="1">{#N/A,#N/A,FALSE,"평균임금기준퇴직금"}</definedName>
    <definedName name="대책서" localSheetId="14" hidden="1">{#N/A,#N/A,FALSE,"단축1";#N/A,#N/A,FALSE,"단축2";#N/A,#N/A,FALSE,"단축3";#N/A,#N/A,FALSE,"장축";#N/A,#N/A,FALSE,"4WD"}</definedName>
    <definedName name="대책서" hidden="1">{#N/A,#N/A,FALSE,"단축1";#N/A,#N/A,FALSE,"단축2";#N/A,#N/A,FALSE,"단축3";#N/A,#N/A,FALSE,"장축";#N/A,#N/A,FALSE,"4WD"}</definedName>
    <definedName name="대한민국"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대한민국" hidden="1">{#N/A,#N/A,FALSE,"손익표지";#N/A,#N/A,FALSE,"손익계산";#N/A,#N/A,FALSE,"일반관리비";#N/A,#N/A,FALSE,"영업외수익";#N/A,#N/A,FALSE,"영업외비용";#N/A,#N/A,FALSE,"매출액";#N/A,#N/A,FALSE,"요약손익";#N/A,#N/A,FALSE,"요약대차";#N/A,#N/A,FALSE,"매출채권현황";#N/A,#N/A,FALSE,"매출채권명세"}</definedName>
    <definedName name="대화상자" localSheetId="14" hidden="1">{#N/A,#N/A,FALSE,"정공"}</definedName>
    <definedName name="대화상자" hidden="1">{#N/A,#N/A,FALSE,"정공"}</definedName>
    <definedName name="더나앙ㄹ랑ㄹ" localSheetId="14" hidden="1">{#N/A,#N/A,FALSE,"단축1";#N/A,#N/A,FALSE,"단축2";#N/A,#N/A,FALSE,"단축3";#N/A,#N/A,FALSE,"장축";#N/A,#N/A,FALSE,"4WD"}</definedName>
    <definedName name="더나앙ㄹ랑ㄹ" hidden="1">{#N/A,#N/A,FALSE,"단축1";#N/A,#N/A,FALSE,"단축2";#N/A,#N/A,FALSE,"단축3";#N/A,#N/A,FALSE,"장축";#N/A,#N/A,FALSE,"4WD"}</definedName>
    <definedName name="던" localSheetId="14" hidden="1">{#N/A,#N/A,FALSE,"Sheet5"}</definedName>
    <definedName name="던" localSheetId="13" hidden="1">{#N/A,#N/A,FALSE,"Sheet5"}</definedName>
    <definedName name="던" hidden="1">{#N/A,#N/A,FALSE,"Sheet5"}</definedName>
    <definedName name="도" localSheetId="14" hidden="1">{#N/A,#N/A,FALSE,"KMC최종회의(7월) 자료"}</definedName>
    <definedName name="도" hidden="1">{#N/A,#N/A,FALSE,"KMC최종회의(7월) 자료"}</definedName>
    <definedName name="도서인쇄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장일정"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돌" localSheetId="14" hidden="1">{#N/A,#N/A,FALSE,"Sheet5"}</definedName>
    <definedName name="돌" localSheetId="13" hidden="1">{#N/A,#N/A,FALSE,"Sheet5"}</definedName>
    <definedName name="돌" hidden="1">{#N/A,#N/A,FALSE,"Sheet5"}</definedName>
    <definedName name="돌1" localSheetId="14" hidden="1">{#N/A,#N/A,FALSE,"KMC최종회의(7월) 자료"}</definedName>
    <definedName name="돌1" hidden="1">{#N/A,#N/A,FALSE,"KMC최종회의(7월) 자료"}</definedName>
    <definedName name="동"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동"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10" localSheetId="14" hidden="1">{#N/A,#N/A,FALSE,"KMC최종회의(7월) 자료"}</definedName>
    <definedName name="동10" hidden="1">{#N/A,#N/A,FALSE,"KMC최종회의(7월) 자료"}</definedName>
    <definedName name="동3" localSheetId="14" hidden="1">{#N/A,#N/A,FALSE,"KMC최종회의(7월) 자료"}</definedName>
    <definedName name="동3" hidden="1">{#N/A,#N/A,FALSE,"KMC최종회의(7월) 자료"}</definedName>
    <definedName name="동4" localSheetId="14" hidden="1">{#N/A,#N/A,FALSE,"KMC최종회의(7월) 자료"}</definedName>
    <definedName name="동4" hidden="1">{#N/A,#N/A,FALSE,"KMC최종회의(7월) 자료"}</definedName>
    <definedName name="동6" localSheetId="14" hidden="1">{#N/A,#N/A,FALSE,"KMC최종회의(7월) 자료"}</definedName>
    <definedName name="동6" hidden="1">{#N/A,#N/A,FALSE,"KMC최종회의(7월) 자료"}</definedName>
    <definedName name="동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동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방" localSheetId="14" hidden="1">{#N/A,#N/A,FALSE,"BS";#N/A,#N/A,FALSE,"PL";#N/A,#N/A,FALSE,"처분";#N/A,#N/A,FALSE,"현금";#N/A,#N/A,FALSE,"매출";#N/A,#N/A,FALSE,"원가";#N/A,#N/A,FALSE,"경영"}</definedName>
    <definedName name="동방" localSheetId="13"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14" hidden="1">{#N/A,#N/A,FALSE,"BS";#N/A,#N/A,FALSE,"PL";#N/A,#N/A,FALSE,"A";#N/A,#N/A,FALSE,"B";#N/A,#N/A,FALSE,"B1";#N/A,#N/A,FALSE,"C";#N/A,#N/A,FALSE,"C1";#N/A,#N/A,FALSE,"C2";#N/A,#N/A,FALSE,"D";#N/A,#N/A,FALSE,"E";#N/A,#N/A,FALSE,"F";#N/A,#N/A,FALSE,"AA";#N/A,#N/A,FALSE,"BB";#N/A,#N/A,FALSE,"CC";#N/A,#N/A,FALSE,"DD";#N/A,#N/A,FALSE,"EE";#N/A,#N/A,FALSE,"FF";#N/A,#N/A,FALSE,"PL10";#N/A,#N/A,FALSE,"PL20";#N/A,#N/A,FALSE,"PL30"}</definedName>
    <definedName name="동방1" localSheetId="13"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시" localSheetId="14" hidden="1">{#N/A,#N/A,FALSE,"단축1";#N/A,#N/A,FALSE,"단축2";#N/A,#N/A,FALSE,"단축3";#N/A,#N/A,FALSE,"장축";#N/A,#N/A,FALSE,"4WD"}</definedName>
    <definedName name="동시" hidden="1">{#N/A,#N/A,FALSE,"단축1";#N/A,#N/A,FALSE,"단축2";#N/A,#N/A,FALSE,"단축3";#N/A,#N/A,FALSE,"장축";#N/A,#N/A,FALSE,"4WD"}</definedName>
    <definedName name="동시투자" localSheetId="14" hidden="1">{#N/A,#N/A,FALSE,"단축1";#N/A,#N/A,FALSE,"단축2";#N/A,#N/A,FALSE,"단축3";#N/A,#N/A,FALSE,"장축";#N/A,#N/A,FALSE,"4WD"}</definedName>
    <definedName name="동시투자" hidden="1">{#N/A,#N/A,FALSE,"단축1";#N/A,#N/A,FALSE,"단축2";#N/A,#N/A,FALSE,"단축3";#N/A,#N/A,FALSE,"장축";#N/A,#N/A,FALSE,"4WD"}</definedName>
    <definedName name="동시투자MIP" localSheetId="14" hidden="1">{#N/A,#N/A,FALSE,"단축1";#N/A,#N/A,FALSE,"단축2";#N/A,#N/A,FALSE,"단축3";#N/A,#N/A,FALSE,"장축";#N/A,#N/A,FALSE,"4WD"}</definedName>
    <definedName name="동시투자MIP" hidden="1">{#N/A,#N/A,FALSE,"단축1";#N/A,#N/A,FALSE,"단축2";#N/A,#N/A,FALSE,"단축3";#N/A,#N/A,FALSE,"장축";#N/A,#N/A,FALSE,"4WD"}</definedName>
    <definedName name="동시투자투자비" localSheetId="14" hidden="1">{#N/A,#N/A,FALSE,"단축1";#N/A,#N/A,FALSE,"단축2";#N/A,#N/A,FALSE,"단축3";#N/A,#N/A,FALSE,"장축";#N/A,#N/A,FALSE,"4WD"}</definedName>
    <definedName name="동시투자투자비" hidden="1">{#N/A,#N/A,FALSE,"단축1";#N/A,#N/A,FALSE,"단축2";#N/A,#N/A,FALSE,"단축3";#N/A,#N/A,FALSE,"장축";#N/A,#N/A,FALSE,"4WD"}</definedName>
    <definedName name="동아재무비율" localSheetId="14" hidden="1">[72]수정시산표!#REF!</definedName>
    <definedName name="동아재무비율" hidden="1">[73]수정시산표!#REF!</definedName>
    <definedName name="동해물과백두산이" hidden="1">{#N/A,#N/A,FALSE,"지침";#N/A,#N/A,FALSE,"환경분석";#N/A,#N/A,FALSE,"Sheet16"}</definedName>
    <definedName name="동향5월"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동향5월"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번째" localSheetId="14" hidden="1">{#N/A,#N/A,FALSE,"정공"}</definedName>
    <definedName name="두번째" hidden="1">{#N/A,#N/A,FALSE,"정공"}</definedName>
    <definedName name="듛ㅎ로ㅛ고" localSheetId="14" hidden="1">{#N/A,#N/A,FALSE,"KMC최종회의(7월) 자료"}</definedName>
    <definedName name="듛ㅎ로ㅛ고" hidden="1">{#N/A,#N/A,FALSE,"KMC최종회의(7월) 자료"}</definedName>
    <definedName name="드라이브" localSheetId="14" hidden="1">#REF!</definedName>
    <definedName name="드라이브" hidden="1">#REF!</definedName>
    <definedName name="등속1" localSheetId="14" hidden="1">{#N/A,#N/A,FALSE,"KMC최종회의(7월) 자료"}</definedName>
    <definedName name="등속1" hidden="1">{#N/A,#N/A,FALSE,"KMC최종회의(7월) 자료"}</definedName>
    <definedName name="또" localSheetId="14"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14"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14"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14"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똥" localSheetId="14" hidden="1">{"'5'!$A$1:$BB$147"}</definedName>
    <definedName name="똥" hidden="1">{"'5'!$A$1:$BB$147"}</definedName>
    <definedName name="똥1" localSheetId="14" hidden="1">{"'5'!$A$1:$BB$147"}</definedName>
    <definedName name="똥1" hidden="1">{"'5'!$A$1:$BB$147"}</definedName>
    <definedName name="ㄹ" localSheetId="14" hidden="1">{#N/A,#N/A,FALSE,"BS";#N/A,#N/A,FALSE,"PL";#N/A,#N/A,FALSE,"처분";#N/A,#N/A,FALSE,"현금";#N/A,#N/A,FALSE,"매출";#N/A,#N/A,FALSE,"원가";#N/A,#N/A,FALSE,"경영"}</definedName>
    <definedName name="ㄹ" localSheetId="13" hidden="1">{#N/A,#N/A,FALSE,"BS";#N/A,#N/A,FALSE,"PL";#N/A,#N/A,FALSE,"처분";#N/A,#N/A,FALSE,"현금";#N/A,#N/A,FALSE,"매출";#N/A,#N/A,FALSE,"원가";#N/A,#N/A,FALSE,"경영"}</definedName>
    <definedName name="ㄹ"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ㄹ" hidden="1">{#N/A,#N/A,FALSE,"BS";#N/A,#N/A,FALSE,"PL";#N/A,#N/A,FALSE,"처분";#N/A,#N/A,FALSE,"현금";#N/A,#N/A,FALSE,"매출";#N/A,#N/A,FALSE,"원가";#N/A,#N/A,FALSE,"경영"}</definedName>
    <definedName name="ㄹ43" localSheetId="14" hidden="1">[4]목표세부명세!#REF!</definedName>
    <definedName name="ㄹ43" hidden="1">[4]목표세부명세!#REF!</definedName>
    <definedName name="ㄹㄴ" localSheetId="14" hidden="1">{#N/A,#N/A,FALSE,"KMC최종회의(7월) 자료"}</definedName>
    <definedName name="ㄹㄴ" hidden="1">{#N/A,#N/A,FALSE,"KMC최종회의(7월) 자료"}</definedName>
    <definedName name="ㄹㄴㄹㅇ" hidden="1">{#N/A,#N/A,FALSE,"PART-1234-8-12-9(41)";#N/A,#N/A,FALSE,"PARTS-2(3)";#N/A,#N/A,FALSE,"VAN SYSTEM";#N/A,#N/A,FALSE,"PARTS-10(26)";#N/A,#N/A,FALSE,"PART-5-6-7-11(14)";#N/A,#N/A,FALSE,"PARTS-4(3)";#N/A,#N/A,FALSE,"PCLASS"}</definedName>
    <definedName name="ㄹㄴㅇㄹㄴㅇㄹㄴㄱㄴㅇ" hidden="1">{#N/A,#N/A,FALSE,"지침";#N/A,#N/A,FALSE,"환경분석";#N/A,#N/A,FALSE,"Sheet16"}</definedName>
    <definedName name="ㄹㄴㅇㅁㄹㄴ"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ㄹㄷㄱㄷㅈㄴㅇㄹㅇㄴㄹ"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ㄹㄹ" localSheetId="14" hidden="1">{#N/A,#N/A,FALSE,"BS";#N/A,#N/A,FALSE,"PL";#N/A,#N/A,FALSE,"처분";#N/A,#N/A,FALSE,"현금";#N/A,#N/A,FALSE,"매출";#N/A,#N/A,FALSE,"원가";#N/A,#N/A,FALSE,"경영"}</definedName>
    <definedName name="ㄹㄹ" localSheetId="13" hidden="1">{#N/A,#N/A,FALSE,"BS";#N/A,#N/A,FALSE,"PL";#N/A,#N/A,FALSE,"처분";#N/A,#N/A,FALSE,"현금";#N/A,#N/A,FALSE,"매출";#N/A,#N/A,FALSE,"원가";#N/A,#N/A,FALSE,"경영"}</definedName>
    <definedName name="ㄹㄹ" hidden="1">{#N/A,#N/A,FALSE,"BS";#N/A,#N/A,FALSE,"PL";#N/A,#N/A,FALSE,"처분";#N/A,#N/A,FALSE,"현금";#N/A,#N/A,FALSE,"매출";#N/A,#N/A,FALSE,"원가";#N/A,#N/A,FALSE,"경영"}</definedName>
    <definedName name="ㄹㄹ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ㄹ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 localSheetId="14" hidden="1">{#N/A,#N/A,FALSE,"단축1";#N/A,#N/A,FALSE,"단축2";#N/A,#N/A,FALSE,"단축3";#N/A,#N/A,FALSE,"장축";#N/A,#N/A,FALSE,"4WD"}</definedName>
    <definedName name="ㄹㄹㄹ." hidden="1">{#N/A,#N/A,FALSE,"단축1";#N/A,#N/A,FALSE,"단축2";#N/A,#N/A,FALSE,"단축3";#N/A,#N/A,FALSE,"장축";#N/A,#N/A,FALSE,"4WD"}</definedName>
    <definedName name="ㄹㄹㄹㄴㅇㅁㄹㄴㄴㄹㅇ" hidden="1">{#N/A,#N/A,FALSE,"PART-1234-8-12-9(41)";#N/A,#N/A,FALSE,"PARTS-2(3)";#N/A,#N/A,FALSE,"VAN SYSTEM";#N/A,#N/A,FALSE,"PARTS-10(26)";#N/A,#N/A,FALSE,"PART-5-6-7-11(14)";#N/A,#N/A,FALSE,"PARTS-4(3)";#N/A,#N/A,FALSE,"PCLASS"}</definedName>
    <definedName name="ㄹㄹㄹㄷ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ㄹㄹㄹㄹㄹ" localSheetId="14" hidden="1">{#N/A,#N/A,FALSE,"97년 투자계획 세부내역 "}</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ㅐ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ㄹㄹㅐㄹ" hidden="1">{#N/A,#N/A,FALSE,"손익표지";#N/A,#N/A,FALSE,"손익계산";#N/A,#N/A,FALSE,"일반관리비";#N/A,#N/A,FALSE,"영업외수익";#N/A,#N/A,FALSE,"영업외비용";#N/A,#N/A,FALSE,"매출액";#N/A,#N/A,FALSE,"요약손익";#N/A,#N/A,FALSE,"요약대차";#N/A,#N/A,FALSE,"매출채권현황";#N/A,#N/A,FALSE,"매출채권명세"}</definedName>
    <definedName name="ㄹㄹㅇ" hidden="1">{#N/A,#N/A,FALSE,"97년 투자계획 세부내역 "}</definedName>
    <definedName name="ㄹㄹㅇㄴㄹ" hidden="1">{#N/A,#N/A,FALSE,"PART-1234-8-12-9(41)";#N/A,#N/A,FALSE,"PARTS-2(3)";#N/A,#N/A,FALSE,"VAN SYSTEM";#N/A,#N/A,FALSE,"PARTS-10(26)";#N/A,#N/A,FALSE,"PART-5-6-7-11(14)";#N/A,#N/A,FALSE,"PARTS-4(3)";#N/A,#N/A,FALSE,"PCLASS"}</definedName>
    <definedName name="ㄹㄹ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ㄹ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ㄹㅐ" hidden="1">{#N/A,#N/A,FALSE,"손익표지";#N/A,#N/A,FALSE,"손익계산";#N/A,#N/A,FALSE,"일반관리비";#N/A,#N/A,FALSE,"영업외수익";#N/A,#N/A,FALSE,"영업외비용";#N/A,#N/A,FALSE,"매출액";#N/A,#N/A,FALSE,"요약손익";#N/A,#N/A,FALSE,"요약대차";#N/A,#N/A,FALSE,"매출채권현황";#N/A,#N/A,FALSE,"매출채권명세"}</definedName>
    <definedName name="ㄹㄻㅇ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ㄻㅇ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ㅀㅎ" localSheetId="14" hidden="1">{"'5'!$A$1:$BB$147"}</definedName>
    <definedName name="ㄹㅀㅎ" hidden="1">{"'5'!$A$1:$BB$147"}</definedName>
    <definedName name="ㄹ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손익표지";#N/A,#N/A,FALSE,"손익계산";#N/A,#N/A,FALSE,"일반관리비";#N/A,#N/A,FALSE,"영업외수익";#N/A,#N/A,FALSE,"영업외비용";#N/A,#N/A,FALSE,"매출액";#N/A,#N/A,FALSE,"요약손익";#N/A,#N/A,FALSE,"요약대차";#N/A,#N/A,FALSE,"매출채권현황";#N/A,#N/A,FALSE,"매출채권명세"}</definedName>
    <definedName name="ㄹㅇㄴ" localSheetId="14" hidden="1">#REF!</definedName>
    <definedName name="ㄹㅇㄴ" hidden="1">#REF!</definedName>
    <definedName name="ㄹㅇㄹ" localSheetId="14" hidden="1">{#VALUE!,#N/A,FALSE,0}</definedName>
    <definedName name="ㄹㅇㄹ" hidden="1">{#VALUE!,#N/A,FALSE,0}</definedName>
    <definedName name="ㄹㅇㄹㄹㄹㄹ" localSheetId="14" hidden="1">{#N/A,#N/A,FALSE,"정공"}</definedName>
    <definedName name="ㄹㅇㄹㄹㄹㄹ" hidden="1">{#N/A,#N/A,FALSE,"정공"}</definedName>
    <definedName name="ㄹㅇㄹㄹㄹㄹㄹㄹㄹㄹㄹㄹㄹㄹㄹㄹㄹㄹㄹㄹㄹㄹㄹㄹㄹㄹ" hidden="1">{#N/A,#N/A,FALSE,"PART-1234-8-12-9(41)";#N/A,#N/A,FALSE,"PARTS-2(3)";#N/A,#N/A,FALSE,"VAN SYSTEM";#N/A,#N/A,FALSE,"PARTS-10(26)";#N/A,#N/A,FALSE,"PART-5-6-7-11(14)";#N/A,#N/A,FALSE,"PARTS-4(3)";#N/A,#N/A,FALSE,"PCLASS"}</definedName>
    <definedName name="ㄹㅇㄹㅇ" hidden="1">{#N/A,#N/A,FALSE,"97년 투자계획 세부내역 "}</definedName>
    <definedName name="ㄹㅇㄹㅋ" localSheetId="14" hidden="1">{#N/A,#N/A,FALSE,"KMC최종회의(7월) 자료"}</definedName>
    <definedName name="ㄹㅇㄹㅋ" hidden="1">{#N/A,#N/A,FALSE,"KMC최종회의(7월) 자료"}</definedName>
    <definedName name="ㄹㅇㅀ" localSheetId="14" hidden="1">{#N/A,#N/A,FALSE,"단축1";#N/A,#N/A,FALSE,"단축2";#N/A,#N/A,FALSE,"단축3";#N/A,#N/A,FALSE,"장축";#N/A,#N/A,FALSE,"4WD"}</definedName>
    <definedName name="ㄹㅇㅀ" hidden="1">{#N/A,#N/A,FALSE,"단축1";#N/A,#N/A,FALSE,"단축2";#N/A,#N/A,FALSE,"단축3";#N/A,#N/A,FALSE,"장축";#N/A,#N/A,FALSE,"4WD"}</definedName>
    <definedName name="ㄹㅇㅇㄹ" localSheetId="14" hidden="1">{#N/A,#N/A,FALSE,"단축1";#N/A,#N/A,FALSE,"단축2";#N/A,#N/A,FALSE,"단축3";#N/A,#N/A,FALSE,"장축";#N/A,#N/A,FALSE,"4WD"}</definedName>
    <definedName name="ㄹㅇㅇㄹ" hidden="1">{#N/A,#N/A,FALSE,"단축1";#N/A,#N/A,FALSE,"단축2";#N/A,#N/A,FALSE,"단축3";#N/A,#N/A,FALSE,"장축";#N/A,#N/A,FALSE,"4WD"}</definedName>
    <definedName name="ㄹㅇ퓨"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ㅇ퓨"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헝ㅀㅇㄹ" localSheetId="14" hidden="1">{"'5'!$A$1:$BB$147"}</definedName>
    <definedName name="ㄹ헝ㅀㅇㄹ" hidden="1">{"'5'!$A$1:$BB$147"}</definedName>
    <definedName name="ㄹ호ㅓ루" localSheetId="14" hidden="1">{#N/A,#N/A,FALSE,"KMC최종회의(7월) 자료"}</definedName>
    <definedName name="ㄹ호ㅓ루" hidden="1">{#N/A,#N/A,FALSE,"KMC최종회의(7월) 자료"}</definedName>
    <definedName name="ㄹ호ㅛㄱㄷㄴ고" localSheetId="14" hidden="1">{#N/A,#N/A,FALSE,"KMC최종회의(7월) 자료"}</definedName>
    <definedName name="ㄹ호ㅛㄱㄷㄴ고" hidden="1">{#N/A,#N/A,FALSE,"KMC최종회의(7월) 자료"}</definedName>
    <definedName name="ㄹ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ㄹ후후룷훌후" localSheetId="14" hidden="1">{#N/A,#N/A,FALSE,"KMC최종회의(7월) 자료"}</definedName>
    <definedName name="ㄹ후후룷훌후" hidden="1">{#N/A,#N/A,FALSE,"KMC최종회의(7월) 자료"}</definedName>
    <definedName name="ㄹ히" localSheetId="14" hidden="1">{#N/A,#N/A,TRUE,"Y생산";#N/A,#N/A,TRUE,"Y판매";#N/A,#N/A,TRUE,"Y총물량";#N/A,#N/A,TRUE,"Y능력";#N/A,#N/A,TRUE,"YKD"}</definedName>
    <definedName name="ㄹ히" hidden="1">{#N/A,#N/A,TRUE,"Y생산";#N/A,#N/A,TRUE,"Y판매";#N/A,#N/A,TRUE,"Y총물량";#N/A,#N/A,TRUE,"Y능력";#N/A,#N/A,TRUE,"YKD"}</definedName>
    <definedName name="ㄹ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ㅐ" hidden="1">{#N/A,#N/A,FALSE,"손익표지";#N/A,#N/A,FALSE,"손익계산";#N/A,#N/A,FALSE,"일반관리비";#N/A,#N/A,FALSE,"영업외수익";#N/A,#N/A,FALSE,"영업외비용";#N/A,#N/A,FALSE,"매출액";#N/A,#N/A,FALSE,"요약손익";#N/A,#N/A,FALSE,"요약대차";#N/A,#N/A,FALSE,"매출채권현황";#N/A,#N/A,FALSE,"매출채권명세"}</definedName>
    <definedName name="ㄹㅐㅕ"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ㅐㅕ" hidden="1">{#N/A,#N/A,FALSE,"손익표지";#N/A,#N/A,FALSE,"손익계산";#N/A,#N/A,FALSE,"일반관리비";#N/A,#N/A,FALSE,"영업외수익";#N/A,#N/A,FALSE,"영업외비용";#N/A,#N/A,FALSE,"매출액";#N/A,#N/A,FALSE,"요약손익";#N/A,#N/A,FALSE,"요약대차";#N/A,#N/A,FALSE,"매출채권현황";#N/A,#N/A,FALSE,"매출채권명세"}</definedName>
    <definedName name="ㄹㅛㅠㅑㅖㅆㅛㅑ"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ㄹㅛㅠㅑㅖㅆㅛㅑ" hidden="1">{#N/A,#N/A,FALSE,"손익표지";#N/A,#N/A,FALSE,"손익계산";#N/A,#N/A,FALSE,"일반관리비";#N/A,#N/A,FALSE,"영업외수익";#N/A,#N/A,FALSE,"영업외비용";#N/A,#N/A,FALSE,"매출액";#N/A,#N/A,FALSE,"요약손익";#N/A,#N/A,FALSE,"요약대차";#N/A,#N/A,FALSE,"매출채권현황";#N/A,#N/A,FALSE,"매출채권명세"}</definedName>
    <definedName name="라" localSheetId="14" hidden="1">{#N/A,#N/A,FALSE,"Sheet5"}</definedName>
    <definedName name="라" localSheetId="13" hidden="1">{#N/A,#N/A,FALSE,"Sheet5"}</definedName>
    <definedName name="라" localSheetId="31">[74]감가상각!$B$68</definedName>
    <definedName name="라" hidden="1">{#N/A,#N/A,FALSE,"Sheet5"}</definedName>
    <definedName name="라나라" localSheetId="14" hidden="1">{"'5'!$A$1:$BB$147"}</definedName>
    <definedName name="라나라" hidden="1">{"'5'!$A$1:$BB$147"}</definedName>
    <definedName name="라라라라라" localSheetId="14" hidden="1">{"'5'!$A$1:$BB$147"}</definedName>
    <definedName name="라라라라라" hidden="1">{"'5'!$A$1:$BB$147"}</definedName>
    <definedName name="라랑" localSheetId="14" hidden="1">{"'5'!$A$1:$BB$147"}</definedName>
    <definedName name="라랑" hidden="1">{"'5'!$A$1:$BB$147"}</definedName>
    <definedName name="라인별평가" localSheetId="14" hidden="1">{#N/A,#N/A,FALSE,"정공"}</definedName>
    <definedName name="라인별평가" hidden="1">{#N/A,#N/A,FALSE,"정공"}</definedName>
    <definedName name="란다리아" localSheetId="14" hidden="1">{#N/A,#N/A,FALSE,"정공"}</definedName>
    <definedName name="란다리아" hidden="1">{#N/A,#N/A,FALSE,"정공"}</definedName>
    <definedName name="랑" hidden="1">{#N/A,#N/A,FALSE,"지침";#N/A,#N/A,FALSE,"환경분석";#N/A,#N/A,FALSE,"Sheet16"}</definedName>
    <definedName name="랴" hidden="1">{#N/A,#N/A,FALSE,"지침";#N/A,#N/A,FALSE,"환경분석";#N/A,#N/A,FALSE,"Sheet16"}</definedName>
    <definedName name="러렁라" localSheetId="14" hidden="1">{#N/A,#N/A,FALSE,"단축1";#N/A,#N/A,FALSE,"단축2";#N/A,#N/A,FALSE,"단축3";#N/A,#N/A,FALSE,"장축";#N/A,#N/A,FALSE,"4WD"}</definedName>
    <definedName name="러렁라" hidden="1">{#N/A,#N/A,FALSE,"단축1";#N/A,#N/A,FALSE,"단축2";#N/A,#N/A,FALSE,"단축3";#N/A,#N/A,FALSE,"장축";#N/A,#N/A,FALSE,"4WD"}</definedName>
    <definedName name="러시아" localSheetId="14" hidden="1">{#N/A,#N/A,FALSE,"단축1";#N/A,#N/A,FALSE,"단축2";#N/A,#N/A,FALSE,"단축3";#N/A,#N/A,FALSE,"장축";#N/A,#N/A,FALSE,"4WD"}</definedName>
    <definedName name="러시아" hidden="1">{#N/A,#N/A,FALSE,"단축1";#N/A,#N/A,FALSE,"단축2";#N/A,#N/A,FALSE,"단축3";#N/A,#N/A,FALSE,"장축";#N/A,#N/A,FALSE,"4WD"}</definedName>
    <definedName name="렁리아" localSheetId="14" hidden="1">{#N/A,#N/A,TRUE,"Y생산";#N/A,#N/A,TRUE,"Y판매";#N/A,#N/A,TRUE,"Y총물량";#N/A,#N/A,TRUE,"Y능력";#N/A,#N/A,TRUE,"YKD"}</definedName>
    <definedName name="렁리아" hidden="1">{#N/A,#N/A,TRUE,"Y생산";#N/A,#N/A,TRUE,"Y판매";#N/A,#N/A,TRUE,"Y총물량";#N/A,#N/A,TRUE,"Y능력";#N/A,#N/A,TRUE,"YKD"}</definedName>
    <definedName name="레영1">#REF!</definedName>
    <definedName name="렌터카부문미반영"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로" hidden="1">{#N/A,#N/A,FALSE,"손익표지";#N/A,#N/A,FALSE,"손익계산";#N/A,#N/A,FALSE,"일반관리비";#N/A,#N/A,FALSE,"영업외수익";#N/A,#N/A,FALSE,"영업외비용";#N/A,#N/A,FALSE,"매출액";#N/A,#N/A,FALSE,"요약손익";#N/A,#N/A,FALSE,"요약대차";#N/A,#N/A,FALSE,"매출채권현황";#N/A,#N/A,FALSE,"매출채권명세"}</definedName>
    <definedName name="로놓ㄹ" hidden="1">{#N/A,#N/A,FALSE,"PART-1234-8-12-9(41)";#N/A,#N/A,FALSE,"PARTS-2(3)";#N/A,#N/A,FALSE,"VAN SYSTEM";#N/A,#N/A,FALSE,"PARTS-10(26)";#N/A,#N/A,FALSE,"PART-5-6-7-11(14)";#N/A,#N/A,FALSE,"PARTS-4(3)";#N/A,#N/A,FALSE,"PCLASS"}</definedName>
    <definedName name="로커커버" localSheetId="14" hidden="1">{#N/A,#N/A,FALSE,"단축1";#N/A,#N/A,FALSE,"단축2";#N/A,#N/A,FALSE,"단축3";#N/A,#N/A,FALSE,"장축";#N/A,#N/A,FALSE,"4WD"}</definedName>
    <definedName name="로커커버" hidden="1">{#N/A,#N/A,FALSE,"단축1";#N/A,#N/A,FALSE,"단축2";#N/A,#N/A,FALSE,"단축3";#N/A,#N/A,FALSE,"장축";#N/A,#N/A,FALSE,"4WD"}</definedName>
    <definedName name="로ㅓㅗㄴ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롷ㄹ훟ㄹ" localSheetId="14" hidden="1">{#N/A,#N/A,FALSE,"KMC최종회의(7월) 자료"}</definedName>
    <definedName name="롷ㄹ훟ㄹ" hidden="1">{#N/A,#N/A,FALSE,"KMC최종회의(7월) 자료"}</definedName>
    <definedName name="루" localSheetId="14" hidden="1">{#N/A,#N/A,FALSE,"KMC최종회의(7월) 자료"}</definedName>
    <definedName name="루" hidden="1">{#N/A,#N/A,FALSE,"KMC최종회의(7월) 자료"}</definedName>
    <definedName name="리" localSheetId="14" hidden="1">{#N/A,#N/A,FALSE,"Sheet5"}</definedName>
    <definedName name="리" localSheetId="13" hidden="1">{#N/A,#N/A,FALSE,"Sheet5"}</definedName>
    <definedName name="리" localSheetId="31" hidden="1">{#N/A,#N/A,FALSE,"손익표지";#N/A,#N/A,FALSE,"손익계산";#N/A,#N/A,FALSE,"일반관리비";#N/A,#N/A,FALSE,"영업외수익";#N/A,#N/A,FALSE,"영업외비용";#N/A,#N/A,FALSE,"매출액";#N/A,#N/A,FALSE,"요약손익";#N/A,#N/A,FALSE,"요약대차";#N/A,#N/A,FALSE,"매출채권현황";#N/A,#N/A,FALSE,"매출채권명세"}</definedName>
    <definedName name="리" hidden="1">{#N/A,#N/A,FALSE,"Sheet5"}</definedName>
    <definedName name="리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리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베로" localSheetId="14" hidden="1">{#N/A,#N/A,FALSE,"단축1";#N/A,#N/A,FALSE,"단축2";#N/A,#N/A,FALSE,"단축3";#N/A,#N/A,FALSE,"장축";#N/A,#N/A,FALSE,"4WD"}</definedName>
    <definedName name="리베로" hidden="1">{#N/A,#N/A,FALSE,"단축1";#N/A,#N/A,FALSE,"단축2";#N/A,#N/A,FALSE,"단축3";#N/A,#N/A,FALSE,"장축";#N/A,#N/A,FALSE,"4WD"}</definedName>
    <definedName name="리비" localSheetId="14" hidden="1">#REF!</definedName>
    <definedName name="리비" hidden="1">#REF!</definedName>
    <definedName name="리비아" localSheetId="14" hidden="1">#REF!</definedName>
    <definedName name="리비아" hidden="1">#REF!</definedName>
    <definedName name="리비아아" localSheetId="14" hidden="1">#REF!</definedName>
    <definedName name="리비아아" hidden="1">#REF!</definedName>
    <definedName name="리얼손익" localSheetId="14" hidden="1">{"'10_03일자별'!$A$2:$H$31"}</definedName>
    <definedName name="리얼손익" localSheetId="13" hidden="1">{"'10_03일자별'!$A$2:$H$31"}</definedName>
    <definedName name="리얼손익" hidden="1">{"'10_03일자별'!$A$2:$H$31"}</definedName>
    <definedName name="링" hidden="1">{#N/A,#N/A,FALSE,"지침";#N/A,#N/A,FALSE,"환경분석";#N/A,#N/A,FALSE,"Sheet16"}</definedName>
    <definedName name="ㄺ"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ㄿㅍㄷㄿ" localSheetId="14" hidden="1">{#N/A,#N/A,FALSE,"KMC최종회의(7월) 자료"}</definedName>
    <definedName name="ㄿㅍㄷㄿ" hidden="1">{#N/A,#N/A,FALSE,"KMC최종회의(7월) 자료"}</definedName>
    <definedName name="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ㅀ" hidden="1">{#N/A,#N/A,FALSE,"손익표지";#N/A,#N/A,FALSE,"손익계산";#N/A,#N/A,FALSE,"일반관리비";#N/A,#N/A,FALSE,"영업외수익";#N/A,#N/A,FALSE,"영업외비용";#N/A,#N/A,FALSE,"매출액";#N/A,#N/A,FALSE,"요약손익";#N/A,#N/A,FALSE,"요약대차";#N/A,#N/A,FALSE,"매출채권현황";#N/A,#N/A,FALSE,"매출채권명세"}</definedName>
    <definedName name="ㅀㅀ" localSheetId="14" hidden="1">{#N/A,#N/A,TRUE,"Y생산";#N/A,#N/A,TRUE,"Y판매";#N/A,#N/A,TRUE,"Y총물량";#N/A,#N/A,TRUE,"Y능력";#N/A,#N/A,TRUE,"YKD"}</definedName>
    <definedName name="ㅀㅀ" hidden="1">{#N/A,#N/A,TRUE,"Y생산";#N/A,#N/A,TRUE,"Y판매";#N/A,#N/A,TRUE,"Y총물량";#N/A,#N/A,TRUE,"Y능력";#N/A,#N/A,TRUE,"YKD"}</definedName>
    <definedName name="ㅀㅎ"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ㅀㅎㄷㄹ" localSheetId="1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ㅎㅎㅎㅎㅎㅎㅎㅎㅎㅎㅎ" localSheetId="14" hidden="1">{#N/A,#N/A,FALSE,"BS";#N/A,#N/A,FALSE,"PL";#N/A,#N/A,FALSE,"처분";#N/A,#N/A,FALSE,"현금";#N/A,#N/A,FALSE,"매출";#N/A,#N/A,FALSE,"원가";#N/A,#N/A,FALSE,"경영"}</definedName>
    <definedName name="ㅀㅎㅎㅎㅎㅎㅎㅎㅎㅎㅎㅎㅎ" localSheetId="13" hidden="1">{#N/A,#N/A,FALSE,"BS";#N/A,#N/A,FALSE,"PL";#N/A,#N/A,FALSE,"처분";#N/A,#N/A,FALSE,"현금";#N/A,#N/A,FALSE,"매출";#N/A,#N/A,FALSE,"원가";#N/A,#N/A,FALSE,"경영"}</definedName>
    <definedName name="ㅀㅎㅎㅎㅎㅎㅎㅎㅎㅎㅎㅎㅎ" hidden="1">{#N/A,#N/A,FALSE,"BS";#N/A,#N/A,FALSE,"PL";#N/A,#N/A,FALSE,"처분";#N/A,#N/A,FALSE,"현금";#N/A,#N/A,FALSE,"매출";#N/A,#N/A,FALSE,"원가";#N/A,#N/A,FALSE,"경영"}</definedName>
    <definedName name="ㅁ" localSheetId="14" hidden="1">{#N/A,#N/A,FALSE,"97년 투자계획 세부내역 "}</definedName>
    <definedName name="ㅁ" localSheetId="13" hidden="1">{#N/A,#N/A,FALSE,"BS";#N/A,#N/A,FALSE,"PL";#N/A,#N/A,FALSE,"처분";#N/A,#N/A,FALSE,"현금";#N/A,#N/A,FALSE,"매출";#N/A,#N/A,FALSE,"원가";#N/A,#N/A,FALSE,"경영"}</definedName>
    <definedName name="ㅁ" localSheetId="31">[75]첨부1!$B$1:$F$18,[75]첨부1!#REF!,[75]첨부1!#REF!</definedName>
    <definedName name="ㅁ" hidden="1">{#N/A,#N/A,FALSE,"BS";#N/A,#N/A,FALSE,"PL";#N/A,#N/A,FALSE,"처분";#N/A,#N/A,FALSE,"현금";#N/A,#N/A,FALSE,"매출";#N/A,#N/A,FALSE,"원가";#N/A,#N/A,FALSE,"경영"}</definedName>
    <definedName name="ㅁ1">[62]Sheet1!$B$152</definedName>
    <definedName name="ㅁㄱㄷㄷㄱㄷㄱ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ㅁㄱㅁㄷㅎ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localSheetId="14" hidden="1">{"'분양원가'!$B$1:$F$113"}</definedName>
    <definedName name="ㅁㄴ" localSheetId="13" hidden="1">{"'분양원가'!$B$1:$F$113"}</definedName>
    <definedName name="ㅁㄴ" hidden="1">{"'분양원가'!$B$1:$F$113"}</definedName>
    <definedName name="ㅁㄴㄴㅌ" localSheetId="14" hidden="1">{#N/A,#N/A,FALSE,"KMC최종회의(7월) 자료"}</definedName>
    <definedName name="ㅁㄴㄴㅌ" hidden="1">{#N/A,#N/A,FALSE,"KMC최종회의(7월) 자료"}</definedName>
    <definedName name="ㅁㄴㄷㄱ호" localSheetId="14" hidden="1">{#N/A,#N/A,TRUE,"Y생산";#N/A,#N/A,TRUE,"Y판매";#N/A,#N/A,TRUE,"Y총물량";#N/A,#N/A,TRUE,"Y능력";#N/A,#N/A,TRUE,"YKD"}</definedName>
    <definedName name="ㅁㄴㄷㄱ호" hidden="1">{#N/A,#N/A,TRUE,"Y생산";#N/A,#N/A,TRUE,"Y판매";#N/A,#N/A,TRUE,"Y총물량";#N/A,#N/A,TRUE,"Y능력";#N/A,#N/A,TRUE,"YKD"}</definedName>
    <definedName name="ㅁㄴㄹㅈ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ㄴㅇ" localSheetId="14"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ㅁㄴ" localSheetId="14" hidden="1">{#N/A,#N/A,FALSE,"정공"}</definedName>
    <definedName name="ㅁㄴㅁㄴ" hidden="1">{#N/A,#N/A,FALSE,"정공"}</definedName>
    <definedName name="ㅁㄴㅇ" localSheetId="14" hidden="1">{#N/A,#N/A,FALSE,"단축1";#N/A,#N/A,FALSE,"단축2";#N/A,#N/A,FALSE,"단축3";#N/A,#N/A,FALSE,"장축";#N/A,#N/A,FALSE,"4WD"}</definedName>
    <definedName name="ㅁㄴㅇ" hidden="1">{#N/A,#N/A,FALSE,"단축1";#N/A,#N/A,FALSE,"단축2";#N/A,#N/A,FALSE,"단축3";#N/A,#N/A,FALSE,"장축";#N/A,#N/A,FALSE,"4WD"}</definedName>
    <definedName name="ㅁㄴㅇㄴ" localSheetId="14" hidden="1">{#N/A,#N/A,FALSE,"정공"}</definedName>
    <definedName name="ㅁㄴㅇㄴ" hidden="1">{#N/A,#N/A,FALSE,"정공"}</definedName>
    <definedName name="ㅁㄴㅇㄴㅇㄹㄴㅇ" localSheetId="14" hidden="1">{#N/A,#N/A,FALSE,"단축1";#N/A,#N/A,FALSE,"단축2";#N/A,#N/A,FALSE,"단축3";#N/A,#N/A,FALSE,"장축";#N/A,#N/A,FALSE,"4WD"}</definedName>
    <definedName name="ㅁㄴㅇㄴㅇㄹㄴㅇ" hidden="1">{#N/A,#N/A,FALSE,"단축1";#N/A,#N/A,FALSE,"단축2";#N/A,#N/A,FALSE,"단축3";#N/A,#N/A,FALSE,"장축";#N/A,#N/A,FALSE,"4WD"}</definedName>
    <definedName name="ㅁㄴㅇㄹ" localSheetId="14"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ㄴㅁㄹ" localSheetId="14" hidden="1">{#N/A,#N/A,FALSE,"단축1";#N/A,#N/A,FALSE,"단축2";#N/A,#N/A,FALSE,"단축3";#N/A,#N/A,FALSE,"장축";#N/A,#N/A,FALSE,"4WD"}</definedName>
    <definedName name="ㅁㄴㅇㄹㄴㅁㄹ" hidden="1">{#N/A,#N/A,FALSE,"단축1";#N/A,#N/A,FALSE,"단축2";#N/A,#N/A,FALSE,"단축3";#N/A,#N/A,FALSE,"장축";#N/A,#N/A,FALSE,"4WD"}</definedName>
    <definedName name="ㅁㄴㅇㄹㄴㅁㅇㄹ" localSheetId="14" hidden="1">[4]목표세부명세!#REF!</definedName>
    <definedName name="ㅁㄴㅇㄹㄴㅁㅇㄹ" hidden="1">[4]목표세부명세!#REF!</definedName>
    <definedName name="ㅁㄴㅇㄹㄴㅇㅁ" localSheetId="14"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림ㄴ오ㅓㄹ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ㅁㄴㅇ림ㄴ오ㅓㄹㄴ"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ㅁ" localSheetId="14" hidden="1">{#N/A,#N/A,FALSE,"정공"}</definedName>
    <definedName name="ㅁㄴㅇㅁ" hidden="1">{#N/A,#N/A,FALSE,"정공"}</definedName>
    <definedName name="ㅁㄴㅇㅇㅁ" localSheetId="14" hidden="1">[3]act98!#REF!</definedName>
    <definedName name="ㅁㄴㅇㅇㅁ" localSheetId="13" hidden="1">[3]act98!#REF!</definedName>
    <definedName name="ㅁㄴㅇㅇㅁ" localSheetId="27" hidden="1">[3]act98!#REF!</definedName>
    <definedName name="ㅁㄴㅇㅇㅁ" localSheetId="20" hidden="1">[3]act98!#REF!</definedName>
    <definedName name="ㅁㄴㅇㅇㅁ" hidden="1">[3]act98!#REF!</definedName>
    <definedName name="ㅁㄷㄴㄹ" localSheetId="14" hidden="1">{#N/A,#N/A,TRUE,"Y생산";#N/A,#N/A,TRUE,"Y판매";#N/A,#N/A,TRUE,"Y총물량";#N/A,#N/A,TRUE,"Y능력";#N/A,#N/A,TRUE,"YKD"}</definedName>
    <definedName name="ㅁㄷㄴㄹ" hidden="1">{#N/A,#N/A,TRUE,"Y생산";#N/A,#N/A,TRUE,"Y판매";#N/A,#N/A,TRUE,"Y총물량";#N/A,#N/A,TRUE,"Y능력";#N/A,#N/A,TRUE,"YKD"}</definedName>
    <definedName name="ㅁㄹ" localSheetId="14" hidden="1">{#N/A,#N/A,FALSE,"단축1";#N/A,#N/A,FALSE,"단축2";#N/A,#N/A,FALSE,"단축3";#N/A,#N/A,FALSE,"장축";#N/A,#N/A,FALSE,"4WD"}</definedName>
    <definedName name="ㅁㄹ" hidden="1">{#N/A,#N/A,FALSE,"단축1";#N/A,#N/A,FALSE,"단축2";#N/A,#N/A,FALSE,"단축3";#N/A,#N/A,FALSE,"장축";#N/A,#N/A,FALSE,"4WD"}</definedName>
    <definedName name="ㅁㄹㄴ" hidden="1">{#N/A,#N/A,TRUE,"일정"}</definedName>
    <definedName name="ㅁㄹㅇ" localSheetId="14" hidden="1">{#N/A,#N/A,FALSE,"단축1";#N/A,#N/A,FALSE,"단축2";#N/A,#N/A,FALSE,"단축3";#N/A,#N/A,FALSE,"장축";#N/A,#N/A,FALSE,"4WD"}</definedName>
    <definedName name="ㅁㄹㅇ" hidden="1">{#N/A,#N/A,FALSE,"단축1";#N/A,#N/A,FALSE,"단축2";#N/A,#N/A,FALSE,"단축3";#N/A,#N/A,FALSE,"장축";#N/A,#N/A,FALSE,"4WD"}</definedName>
    <definedName name="ㅁㄹㅇㄴㅁㄴ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ㅁㄹㅇㄴㅁㄴㅇ" hidden="1">{#N/A,#N/A,FALSE,"손익표지";#N/A,#N/A,FALSE,"손익계산";#N/A,#N/A,FALSE,"일반관리비";#N/A,#N/A,FALSE,"영업외수익";#N/A,#N/A,FALSE,"영업외비용";#N/A,#N/A,FALSE,"매출액";#N/A,#N/A,FALSE,"요약손익";#N/A,#N/A,FALSE,"요약대차";#N/A,#N/A,FALSE,"매출채권현황";#N/A,#N/A,FALSE,"매출채권명세"}</definedName>
    <definedName name="ㅁㄹㅇㄹ" localSheetId="14" hidden="1">{#VALUE!,#N/A,FALSE,0}</definedName>
    <definedName name="ㅁㄹㅇㄹ" hidden="1">{#VALUE!,#N/A,FALSE,0}</definedName>
    <definedName name="ㅁㅁ" localSheetId="14" hidden="1">{#N/A,#N/A,FALSE,"97년 투자계획 세부내역 "}</definedName>
    <definedName name="ㅁㅁ" localSheetId="13" hidden="1">{#N/A,#N/A,FALSE,"BS";#N/A,#N/A,FALSE,"PL";#N/A,#N/A,FALSE,"처분";#N/A,#N/A,FALSE,"현금";#N/A,#N/A,FALSE,"매출";#N/A,#N/A,FALSE,"원가";#N/A,#N/A,FALSE,"경영"}</definedName>
    <definedName name="ㅁㅁ"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ㅁㅁ" hidden="1">{#N/A,#N/A,FALSE,"BS";#N/A,#N/A,FALSE,"PL";#N/A,#N/A,FALSE,"처분";#N/A,#N/A,FALSE,"현금";#N/A,#N/A,FALSE,"매출";#N/A,#N/A,FALSE,"원가";#N/A,#N/A,FALSE,"경영"}</definedName>
    <definedName name="ㅁㅁㅁ" localSheetId="14" hidden="1">{#N/A,#N/A,FALSE,"BS";#N/A,#N/A,FALSE,"PL";#N/A,#N/A,FALSE,"처분";#N/A,#N/A,FALSE,"현금";#N/A,#N/A,FALSE,"매출";#N/A,#N/A,FALSE,"원가";#N/A,#N/A,FALSE,"경영"}</definedName>
    <definedName name="ㅁㅁㅁ" localSheetId="13" hidden="1">{#N/A,#N/A,FALSE,"BS";#N/A,#N/A,FALSE,"PL";#N/A,#N/A,FALSE,"처분";#N/A,#N/A,FALSE,"현금";#N/A,#N/A,FALSE,"매출";#N/A,#N/A,FALSE,"원가";#N/A,#N/A,FALSE,"경영"}</definedName>
    <definedName name="ㅁㅁㅁ" localSheetId="31">#REF!</definedName>
    <definedName name="ㅁㅁㅁ" hidden="1">{#N/A,#N/A,FALSE,"BS";#N/A,#N/A,FALSE,"PL";#N/A,#N/A,FALSE,"처분";#N/A,#N/A,FALSE,"현금";#N/A,#N/A,FALSE,"매출";#N/A,#N/A,FALSE,"원가";#N/A,#N/A,FALSE,"경영"}</definedName>
    <definedName name="ㅁㅁㅁㅁ" localSheetId="14" hidden="1">{#N/A,#N/A,TRUE,"Y생산";#N/A,#N/A,TRUE,"Y판매";#N/A,#N/A,TRUE,"Y총물량";#N/A,#N/A,TRUE,"Y능력";#N/A,#N/A,TRUE,"YKD"}</definedName>
    <definedName name="ㅁㅁㅁㅁ" hidden="1">{#N/A,#N/A,TRUE,"Y생산";#N/A,#N/A,TRUE,"Y판매";#N/A,#N/A,TRUE,"Y총물량";#N/A,#N/A,TRUE,"Y능력";#N/A,#N/A,TRUE,"YKD"}</definedName>
    <definedName name="ㅁㅁㅁㅁㅁ"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ㅁㅁㅁㅁㅁㅁㅁ" localSheetId="14" hidden="1">{#N/A,#N/A,FALSE,"단축1";#N/A,#N/A,FALSE,"단축2";#N/A,#N/A,FALSE,"단축3";#N/A,#N/A,FALSE,"장축";#N/A,#N/A,FALSE,"4WD"}</definedName>
    <definedName name="ㅁㅁㅁㅁㅁㅁㅁㅁㅁㅁㅁㅁㅁㅁ" hidden="1">{#N/A,#N/A,FALSE,"단축1";#N/A,#N/A,FALSE,"단축2";#N/A,#N/A,FALSE,"단축3";#N/A,#N/A,FALSE,"장축";#N/A,#N/A,FALSE,"4WD"}</definedName>
    <definedName name="ㅁㅁㅁㅁㅁㅁㅁㅁㅁㅁㅁㅁㅁㅁㅁㅁ" hidden="1">{#N/A,#N/A,FALSE,"PART-1234-8-12-9(41)";#N/A,#N/A,FALSE,"PARTS-2(3)";#N/A,#N/A,FALSE,"VAN SYSTEM";#N/A,#N/A,FALSE,"PARTS-10(26)";#N/A,#N/A,FALSE,"PART-5-6-7-11(14)";#N/A,#N/A,FALSE,"PARTS-4(3)";#N/A,#N/A,FALSE,"PCLASS"}</definedName>
    <definedName name="ㅁㅁㅂㅂ" hidden="1">{#N/A,#N/A,FALSE,"PART-1234-8-12-9(41)";#N/A,#N/A,FALSE,"PARTS-2(3)";#N/A,#N/A,FALSE,"VAN SYSTEM";#N/A,#N/A,FALSE,"PARTS-10(26)";#N/A,#N/A,FALSE,"PART-5-6-7-11(14)";#N/A,#N/A,FALSE,"PARTS-4(3)";#N/A,#N/A,FALSE,"PCLASS"}</definedName>
    <definedName name="ㅁㅁㅇ" localSheetId="14" hidden="1">{#N/A,#N/A,FALSE,"97년 투자계획 세부내역 "}</definedName>
    <definedName name="ㅁㅁㅇ" hidden="1">{#N/A,#N/A,FALSE,"KMC최종회의(7월) 자료"}</definedName>
    <definedName name="ㅁㅂㅁㄴㅇㄻㄴㄹㄴㅇㅎㄹㄶ" hidden="1">{#N/A,#N/A,FALSE,"PART-1234-8-12-9(41)";#N/A,#N/A,FALSE,"PARTS-2(3)";#N/A,#N/A,FALSE,"VAN SYSTEM";#N/A,#N/A,FALSE,"PARTS-10(26)";#N/A,#N/A,FALSE,"PART-5-6-7-11(14)";#N/A,#N/A,FALSE,"PARTS-4(3)";#N/A,#N/A,FALSE,"PCLASS"}</definedName>
    <definedName name="ㅁㅇ" localSheetId="14" hidden="1">{#N/A,#N/A,TRUE,"Y생산";#N/A,#N/A,TRUE,"Y판매";#N/A,#N/A,TRUE,"Y총물량";#N/A,#N/A,TRUE,"Y능력";#N/A,#N/A,TRUE,"YKD"}</definedName>
    <definedName name="ㅁㅇ" hidden="1">{#N/A,#N/A,TRUE,"Y생산";#N/A,#N/A,TRUE,"Y판매";#N/A,#N/A,TRUE,"Y총물량";#N/A,#N/A,TRUE,"Y능력";#N/A,#N/A,TRUE,"YKD"}</definedName>
    <definedName name="ㅁㅇㄱㅎ" localSheetId="14" hidden="1">{#N/A,#N/A,FALSE,"단축1";#N/A,#N/A,FALSE,"단축2";#N/A,#N/A,FALSE,"단축3";#N/A,#N/A,FALSE,"장축";#N/A,#N/A,FALSE,"4WD"}</definedName>
    <definedName name="ㅁㅇㄱㅎ" hidden="1">{#N/A,#N/A,FALSE,"단축1";#N/A,#N/A,FALSE,"단축2";#N/A,#N/A,FALSE,"단축3";#N/A,#N/A,FALSE,"장축";#N/A,#N/A,FALSE,"4WD"}</definedName>
    <definedName name="ㅁㅇㄴ" hidden="1">{#N/A,#N/A,FALSE,"지침";#N/A,#N/A,FALSE,"환경분석";#N/A,#N/A,FALSE,"Sheet16"}</definedName>
    <definedName name="ㅁㅇㄹ" localSheetId="14" hidden="1">{#N/A,#N/A,FALSE,"단축1";#N/A,#N/A,FALSE,"단축2";#N/A,#N/A,FALSE,"단축3";#N/A,#N/A,FALSE,"장축";#N/A,#N/A,FALSE,"4WD"}</definedName>
    <definedName name="ㅁㅇㄹ" hidden="1">{#N/A,#N/A,FALSE,"단축1";#N/A,#N/A,FALSE,"단축2";#N/A,#N/A,FALSE,"단축3";#N/A,#N/A,FALSE,"장축";#N/A,#N/A,FALSE,"4WD"}</definedName>
    <definedName name="ㅁㅇㅀ미으므르므이츤이ㅡㄹㄴ이" hidden="1">{#N/A,#N/A,FALSE,"지침";#N/A,#N/A,FALSE,"환경분석";#N/A,#N/A,FALSE,"Sheet16"}</definedName>
    <definedName name="ㅁㅇㅂㅈㄷㄹㅇ" localSheetId="14" hidden="1">{#N/A,#N/A,FALSE,"단축1";#N/A,#N/A,FALSE,"단축2";#N/A,#N/A,FALSE,"단축3";#N/A,#N/A,FALSE,"장축";#N/A,#N/A,FALSE,"4WD"}</definedName>
    <definedName name="ㅁㅇㅂㅈㄷㄹㅇ" hidden="1">{#N/A,#N/A,FALSE,"단축1";#N/A,#N/A,FALSE,"단축2";#N/A,#N/A,FALSE,"단축3";#N/A,#N/A,FALSE,"장축";#N/A,#N/A,FALSE,"4WD"}</definedName>
    <definedName name="ㅁㅇㅇㄹㅇ" hidden="1">{#N/A,#N/A,FALSE,"97년 투자계획 세부내역 "}</definedName>
    <definedName name="ㅁㅈㄷ4교ㅓㅓㅛ" localSheetId="14" hidden="1">{#N/A,#N/A,FALSE,"96 3월물량표";#N/A,#N/A,FALSE,"96 4월물량표";#N/A,#N/A,FALSE,"96 5월물량표"}</definedName>
    <definedName name="ㅁㅈㄷ4교ㅓㅓㅛ" hidden="1">{#N/A,#N/A,FALSE,"96 3월물량표";#N/A,#N/A,FALSE,"96 4월물량표";#N/A,#N/A,FALSE,"96 5월물량표"}</definedName>
    <definedName name="ㅁㅈㅂㅈㅂ" localSheetId="14" hidden="1">#REF!</definedName>
    <definedName name="ㅁㅈㅂㅈㅂ" hidden="1">#REF!</definedName>
    <definedName name="ㅁ자ㅓㅠ" hidden="1">{#N/A,#N/A,FALSE,"PART-1234-8-12-9(41)";#N/A,#N/A,FALSE,"PARTS-2(3)";#N/A,#N/A,FALSE,"VAN SYSTEM";#N/A,#N/A,FALSE,"PARTS-10(26)";#N/A,#N/A,FALSE,"PART-5-6-7-11(14)";#N/A,#N/A,FALSE,"PARTS-4(3)";#N/A,#N/A,FALSE,"PCLASS"}</definedName>
    <definedName name="마" localSheetId="14" hidden="1">{#N/A,#N/A,FALSE,"97년 투자계획 세부내역 "}</definedName>
    <definedName name="마" localSheetId="13" hidden="1">{#N/A,#N/A,FALSE,"Sheet5"}</definedName>
    <definedName name="마" localSheetId="31" hidden="1">{#N/A,#N/A,FALSE,"손익표지";#N/A,#N/A,FALSE,"손익계산";#N/A,#N/A,FALSE,"일반관리비";#N/A,#N/A,FALSE,"영업외수익";#N/A,#N/A,FALSE,"영업외비용";#N/A,#N/A,FALSE,"매출액";#N/A,#N/A,FALSE,"요약손익";#N/A,#N/A,FALSE,"요약대차";#N/A,#N/A,FALSE,"매출채권현황";#N/A,#N/A,FALSE,"매출채권명세"}</definedName>
    <definedName name="마" hidden="1">{#N/A,#N/A,FALSE,"Sheet5"}</definedName>
    <definedName name="마11111" localSheetId="14" hidden="1">{#N/A,#N/A,TRUE,"Y생산";#N/A,#N/A,TRUE,"Y판매";#N/A,#N/A,TRUE,"Y총물량";#N/A,#N/A,TRUE,"Y능력";#N/A,#N/A,TRUE,"YKD"}</definedName>
    <definedName name="마11111" hidden="1">{#N/A,#N/A,TRUE,"Y생산";#N/A,#N/A,TRUE,"Y판매";#N/A,#N/A,TRUE,"Y총물량";#N/A,#N/A,TRUE,"Y능력";#N/A,#N/A,TRUE,"YKD"}</definedName>
    <definedName name="마감" localSheetId="14" hidden="1">{#N/A,#N/A,TRUE,"Y생산";#N/A,#N/A,TRUE,"Y판매";#N/A,#N/A,TRUE,"Y총물량";#N/A,#N/A,TRUE,"Y능력";#N/A,#N/A,TRUE,"YKD"}</definedName>
    <definedName name="마감" hidden="1">{#N/A,#N/A,TRUE,"Y생산";#N/A,#N/A,TRUE,"Y판매";#N/A,#N/A,TRUE,"Y총물량";#N/A,#N/A,TRUE,"Y능력";#N/A,#N/A,TRUE,"YKD"}</definedName>
    <definedName name="마감12" localSheetId="14" hidden="1">{#N/A,#N/A,TRUE,"Y생산";#N/A,#N/A,TRUE,"Y판매";#N/A,#N/A,TRUE,"Y총물량";#N/A,#N/A,TRUE,"Y능력";#N/A,#N/A,TRUE,"YKD"}</definedName>
    <definedName name="마감12" hidden="1">{#N/A,#N/A,TRUE,"Y생산";#N/A,#N/A,TRUE,"Y판매";#N/A,#N/A,TRUE,"Y총물량";#N/A,#N/A,TRUE,"Y능력";#N/A,#N/A,TRUE,"YKD"}</definedName>
    <definedName name="마감123" localSheetId="14" hidden="1">{#N/A,#N/A,FALSE,"96 3월물량표";#N/A,#N/A,FALSE,"96 4월물량표";#N/A,#N/A,FALSE,"96 5월물량표"}</definedName>
    <definedName name="마감123" hidden="1">{#N/A,#N/A,FALSE,"96 3월물량표";#N/A,#N/A,FALSE,"96 4월물량표";#N/A,#N/A,FALSE,"96 5월물량표"}</definedName>
    <definedName name="마감830" localSheetId="14" hidden="1">{#N/A,#N/A,TRUE,"Y생산";#N/A,#N/A,TRUE,"Y판매";#N/A,#N/A,TRUE,"Y총물량";#N/A,#N/A,TRUE,"Y능력";#N/A,#N/A,TRUE,"YKD"}</definedName>
    <definedName name="마감830" hidden="1">{#N/A,#N/A,TRUE,"Y생산";#N/A,#N/A,TRUE,"Y판매";#N/A,#N/A,TRUE,"Y총물량";#N/A,#N/A,TRUE,"Y능력";#N/A,#N/A,TRUE,"YKD"}</definedName>
    <definedName name="마감831" localSheetId="14" hidden="1">{#N/A,#N/A,FALSE,"96 3월물량표";#N/A,#N/A,FALSE,"96 4월물량표";#N/A,#N/A,FALSE,"96 5월물량표"}</definedName>
    <definedName name="마감831" hidden="1">{#N/A,#N/A,FALSE,"96 3월물량표";#N/A,#N/A,FALSE,"96 4월물량표";#N/A,#N/A,FALSE,"96 5월물량표"}</definedName>
    <definedName name="마마보이" localSheetId="14" hidden="1">{#N/A,#N/A,FALSE,"정공"}</definedName>
    <definedName name="마마보이" hidden="1">{#N/A,#N/A,FALSE,"정공"}</definedName>
    <definedName name="마맘" localSheetId="14" hidden="1">{#N/A,#N/A,FALSE,"KMC최종회의(7월) 자료"}</definedName>
    <definedName name="마맘" hidden="1">{#N/A,#N/A,FALSE,"KMC최종회의(7월) 자료"}</definedName>
    <definedName name="마미ㅣㅏㅓ"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만국어" localSheetId="14" hidden="1">{#N/A,#N/A,FALSE,"정공"}</definedName>
    <definedName name="만국어" hidden="1">{#N/A,#N/A,FALSE,"정공"}</definedName>
    <definedName name="만다라어" localSheetId="14" hidden="1">{#N/A,#N/A,FALSE,"정공"}</definedName>
    <definedName name="만다라어" hidden="1">{#N/A,#N/A,FALSE,"정공"}</definedName>
    <definedName name="만다라어빈국" localSheetId="14" hidden="1">{#N/A,#N/A,FALSE,"정공"}</definedName>
    <definedName name="만다라어빈국" hidden="1">{#N/A,#N/A,FALSE,"정공"}</definedName>
    <definedName name="망망" localSheetId="14" hidden="1">{#N/A,#N/A,FALSE,"KMC최종회의(7월) 자료"}</definedName>
    <definedName name="망망" hidden="1">{#N/A,#N/A,FALSE,"KMC최종회의(7월) 자료"}</definedName>
    <definedName name="매"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매"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매" hidden="1">{#N/A,#N/A,FALSE,"손익표지";#N/A,#N/A,FALSE,"손익계산";#N/A,#N/A,FALSE,"일반관리비";#N/A,#N/A,FALSE,"영업외수익";#N/A,#N/A,FALSE,"영업외비용";#N/A,#N/A,FALSE,"매출액";#N/A,#N/A,FALSE,"요약손익";#N/A,#N/A,FALSE,"요약대차";#N/A,#N/A,FALSE,"매출채권현황";#N/A,#N/A,FALSE,"매출채권명세"}</definedName>
    <definedName name="매출" localSheetId="14" hidden="1">'[76]업무분장 '!$F$45</definedName>
    <definedName name="매출" hidden="1">{#N/A,#N/A,FALSE,"손익표지";#N/A,#N/A,FALSE,"손익계산";#N/A,#N/A,FALSE,"일반관리비";#N/A,#N/A,FALSE,"영업외수익";#N/A,#N/A,FALSE,"영업외비용";#N/A,#N/A,FALSE,"매출액";#N/A,#N/A,FALSE,"요약손익";#N/A,#N/A,FALSE,"요약대차";#N/A,#N/A,FALSE,"매출채권현황";#N/A,#N/A,FALSE,"매출채권명세"}</definedName>
    <definedName name="매출04"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매출1" hidden="1">{#N/A,#N/A,FALSE,"손익표지";#N/A,#N/A,FALSE,"손익계산";#N/A,#N/A,FALSE,"일반관리비";#N/A,#N/A,FALSE,"영업외수익";#N/A,#N/A,FALSE,"영업외비용";#N/A,#N/A,FALSE,"매출액";#N/A,#N/A,FALSE,"요약손익";#N/A,#N/A,FALSE,"요약대차";#N/A,#N/A,FALSE,"매출채권현황";#N/A,#N/A,FALSE,"매출채권명세"}</definedName>
    <definedName name="매출3" hidden="1">{#N/A,#N/A,FALSE,"지침";#N/A,#N/A,FALSE,"환경분석";#N/A,#N/A,FALSE,"Sheet16"}</definedName>
    <definedName name="매출bogo"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31"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toc" hidden="1">'[76]업무분장 '!$F$45</definedName>
    <definedName name="매출관련"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매출기준" localSheetId="14" hidden="1">{#N/A,#N/A,FALSE,"정공"}</definedName>
    <definedName name="매출기준" hidden="1">{#N/A,#N/A,FALSE,"정공"}</definedName>
    <definedName name="매출보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31"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부진사유">#REF!</definedName>
    <definedName name="매출손익" localSheetId="14" hidden="1">{#N/A,#N/A,FALSE,"정공"}</definedName>
    <definedName name="매출손익" hidden="1">{#N/A,#N/A,FALSE,"정공"}</definedName>
    <definedName name="매출우너가율산정식" hidden="1">{#N/A,#N/A,FALSE,"지침";#N/A,#N/A,FALSE,"환경분석";#N/A,#N/A,FALSE,"Sheet16"}</definedName>
    <definedName name="매출원가율" hidden="1">{#N/A,#N/A,FALSE,"지침";#N/A,#N/A,FALSE,"환경분석";#N/A,#N/A,FALSE,"Sheet16"}</definedName>
    <definedName name="매출전환손익" localSheetId="14" hidden="1">{#N/A,#N/A,FALSE,"정공"}</definedName>
    <definedName name="매출전환손익" hidden="1">{#N/A,#N/A,FALSE,"정공"}</definedName>
    <definedName name="매출총괄표" hidden="1">{#N/A,#N/A,FALSE,"PART-1234-8-12-9(41)";#N/A,#N/A,FALSE,"PARTS-2(3)";#N/A,#N/A,FALSE,"VAN SYSTEM";#N/A,#N/A,FALSE,"PARTS-10(26)";#N/A,#N/A,FALSE,"PART-5-6-7-11(14)";#N/A,#N/A,FALSE,"PARTS-4(3)";#N/A,#N/A,FALSE,"PCLASS"}</definedName>
    <definedName name="매출추1" localSheetId="14" hidden="1">{#N/A,#N/A,FALSE,"정공"}</definedName>
    <definedName name="매출추1" hidden="1">{#N/A,#N/A,FALSE,"정공"}</definedName>
    <definedName name="매출추정" localSheetId="14" hidden="1">{#N/A,#N/A,FALSE,"정공"}</definedName>
    <definedName name="매출추정" hidden="1">{#N/A,#N/A,FALSE,"정공"}</definedName>
    <definedName name="맹구" localSheetId="14" hidden="1">{#N/A,#N/A,FALSE,"KMC최종회의(7월) 자료"}</definedName>
    <definedName name="맹구" hidden="1">{#N/A,#N/A,FALSE,"KMC최종회의(7월) 자료"}</definedName>
    <definedName name="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메가이백" hidden="1">{#N/A,#N/A,FALSE,"PART-1234-8-12-9(41)";#N/A,#N/A,FALSE,"PARTS-2(3)";#N/A,#N/A,FALSE,"VAN SYSTEM";#N/A,#N/A,FALSE,"PARTS-10(26)";#N/A,#N/A,FALSE,"PART-5-6-7-11(14)";#N/A,#N/A,FALSE,"PARTS-4(3)";#N/A,#N/A,FALSE,"PCLASS"}</definedName>
    <definedName name="모" localSheetId="14" hidden="1">{#N/A,#N/A,FALSE,"PART-1234-8-12-9(41)";#N/A,#N/A,FALSE,"PARTS-2(3)";#N/A,#N/A,FALSE,"VAN SYSTEM";#N/A,#N/A,FALSE,"PARTS-10(26)";#N/A,#N/A,FALSE,"PART-5-6-7-11(14)";#N/A,#N/A,FALSE,"PARTS-4(3)";#N/A,#N/A,FALSE,"PCLASS"}</definedName>
    <definedName name="모" hidden="1">{#N/A,#N/A,FALSE,"KMC최종회의(7월) 자료"}</definedName>
    <definedName name="모나리자아" localSheetId="14" hidden="1">{#N/A,#N/A,FALSE,"정공"}</definedName>
    <definedName name="모나리자아" hidden="1">{#N/A,#N/A,FALSE,"정공"}</definedName>
    <definedName name="모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야" localSheetId="14" hidden="1">{#N/A,#N/A,FALSE,"BS";#N/A,#N/A,FALSE,"PL";#N/A,#N/A,FALSE,"처분";#N/A,#N/A,FALSE,"현금";#N/A,#N/A,FALSE,"매출";#N/A,#N/A,FALSE,"원가";#N/A,#N/A,FALSE,"경영"}</definedName>
    <definedName name="모야" localSheetId="13" hidden="1">{#N/A,#N/A,FALSE,"BS";#N/A,#N/A,FALSE,"PL";#N/A,#N/A,FALSE,"처분";#N/A,#N/A,FALSE,"현금";#N/A,#N/A,FALSE,"매출";#N/A,#N/A,FALSE,"원가";#N/A,#N/A,FALSE,"경영"}</definedName>
    <definedName name="모야" hidden="1">{#N/A,#N/A,FALSE,"BS";#N/A,#N/A,FALSE,"PL";#N/A,#N/A,FALSE,"처분";#N/A,#N/A,FALSE,"현금";#N/A,#N/A,FALSE,"매출";#N/A,#N/A,FALSE,"원가";#N/A,#N/A,FALSE,"경영"}</definedName>
    <definedName name="목" localSheetId="14" hidden="1">{"'경매 schedule'!$A$1:$Y$78"}</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2" hidden="1">{"'경매 schedule'!$A$1:$Y$78"}</definedName>
    <definedName name="목차"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목차"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목차" hidden="1">{#N/A,#N/A,FALSE,"손익표지";#N/A,#N/A,FALSE,"손익계산";#N/A,#N/A,FALSE,"일반관리비";#N/A,#N/A,FALSE,"영업외수익";#N/A,#N/A,FALSE,"영업외비용";#N/A,#N/A,FALSE,"매출액";#N/A,#N/A,FALSE,"요약손익";#N/A,#N/A,FALSE,"요약대차";#N/A,#N/A,FALSE,"매출채권현황";#N/A,#N/A,FALSE,"매출채권명세"}</definedName>
    <definedName name="목차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목차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2"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도" localSheetId="14" hidden="1">{#N/A,#N/A,FALSE,"정공"}</definedName>
    <definedName name="목차도" hidden="1">{#N/A,#N/A,FALSE,"정공"}</definedName>
    <definedName name="목차삽입" localSheetId="14" hidden="1">{#N/A,#N/A,FALSE,"정공"}</definedName>
    <definedName name="목차삽입" hidden="1">{#N/A,#N/A,FALSE,"정공"}</definedName>
    <definedName name="목차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목차이" hidden="1">{#N/A,#N/A,FALSE,"손익표지";#N/A,#N/A,FALSE,"손익계산";#N/A,#N/A,FALSE,"일반관리비";#N/A,#N/A,FALSE,"영업외수익";#N/A,#N/A,FALSE,"영업외비용";#N/A,#N/A,FALSE,"매출액";#N/A,#N/A,FALSE,"요약손익";#N/A,#N/A,FALSE,"요약대차";#N/A,#N/A,FALSE,"매출채권현황";#N/A,#N/A,FALSE,"매출채권명세"}</definedName>
    <definedName name="목포다"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목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목표" hidden="1">{#N/A,#N/A,FALSE,"손익표지";#N/A,#N/A,FALSE,"손익계산";#N/A,#N/A,FALSE,"일반관리비";#N/A,#N/A,FALSE,"영업외수익";#N/A,#N/A,FALSE,"영업외비용";#N/A,#N/A,FALSE,"매출액";#N/A,#N/A,FALSE,"요약손익";#N/A,#N/A,FALSE,"요약대차";#N/A,#N/A,FALSE,"매출채권현황";#N/A,#N/A,FALSE,"매출채권명세"}</definedName>
    <definedName name="목표관리" localSheetId="14" hidden="1">{"'5'!$A$1:$BB$147"}</definedName>
    <definedName name="목표관리" hidden="1">{"'5'!$A$1:$BB$147"}</definedName>
    <definedName name="목표전개"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몰라" localSheetId="14" hidden="1">'[77]주주명부&lt;끝&gt;'!$A$5:$A$14</definedName>
    <definedName name="몰라">#REF!</definedName>
    <definedName name="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수" hidden="1">{#N/A,#N/A,FALSE,"지침";#N/A,#N/A,FALSE,"환경분석";#N/A,#N/A,FALSE,"Sheet16"}</definedName>
    <definedName name="무야" localSheetId="14" hidden="1">{#N/A,#N/A,FALSE,"BS";#N/A,#N/A,FALSE,"PL";#N/A,#N/A,FALSE,"A";#N/A,#N/A,FALSE,"B";#N/A,#N/A,FALSE,"B1";#N/A,#N/A,FALSE,"C";#N/A,#N/A,FALSE,"C1";#N/A,#N/A,FALSE,"C2";#N/A,#N/A,FALSE,"D";#N/A,#N/A,FALSE,"E";#N/A,#N/A,FALSE,"F";#N/A,#N/A,FALSE,"AA";#N/A,#N/A,FALSE,"BB";#N/A,#N/A,FALSE,"CC";#N/A,#N/A,FALSE,"DD";#N/A,#N/A,FALSE,"EE";#N/A,#N/A,FALSE,"FF";#N/A,#N/A,FALSE,"PL10";#N/A,#N/A,FALSE,"PL20";#N/A,#N/A,FALSE,"PL30"}</definedName>
    <definedName name="무야" localSheetId="13" hidden="1">{#N/A,#N/A,FALSE,"BS";#N/A,#N/A,FALSE,"PL";#N/A,#N/A,FALSE,"A";#N/A,#N/A,FALSE,"B";#N/A,#N/A,FALSE,"B1";#N/A,#N/A,FALSE,"C";#N/A,#N/A,FALSE,"C1";#N/A,#N/A,FALSE,"C2";#N/A,#N/A,FALSE,"D";#N/A,#N/A,FALSE,"E";#N/A,#N/A,FALSE,"F";#N/A,#N/A,FALSE,"AA";#N/A,#N/A,FALSE,"BB";#N/A,#N/A,FALSE,"CC";#N/A,#N/A,FALSE,"DD";#N/A,#N/A,FALSE,"EE";#N/A,#N/A,FALSE,"FF";#N/A,#N/A,FALSE,"PL10";#N/A,#N/A,FALSE,"PL20";#N/A,#N/A,FALSE,"PL30"}</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얼까" localSheetId="14" hidden="1">{"'분양원가'!$B$1:$F$113"}</definedName>
    <definedName name="무얼까" localSheetId="13" hidden="1">{"'분양원가'!$B$1:$F$113"}</definedName>
    <definedName name="무얼까" hidden="1">{"'분양원가'!$B$1:$F$113"}</definedName>
    <definedName name="무형" hidden="1">[78]은행!#REF!</definedName>
    <definedName name="무형고정상각명세서" localSheetId="14" hidden="1">#REF!</definedName>
    <definedName name="무형고정상각명세서" hidden="1">#REF!</definedName>
    <definedName name="문" localSheetId="14" hidden="1">{"'5'!$A$1:$BB$147"}</definedName>
    <definedName name="문" hidden="1">{"'5'!$A$1:$BB$147"}</definedName>
    <definedName name="문길원" localSheetId="14" hidden="1">{"'5'!$A$1:$BB$147"}</definedName>
    <definedName name="문길원" hidden="1">{"'5'!$A$1:$BB$147"}</definedName>
    <definedName name="문무경" hidden="1">{#N/A,#N/A,FALSE,"손익표지";#N/A,#N/A,FALSE,"손익계산";#N/A,#N/A,FALSE,"일반관리비";#N/A,#N/A,FALSE,"영업외수익";#N/A,#N/A,FALSE,"영업외비용";#N/A,#N/A,FALSE,"매출액";#N/A,#N/A,FALSE,"요약손익";#N/A,#N/A,FALSE,"요약대차";#N/A,#N/A,FALSE,"매출채권현황";#N/A,#N/A,FALSE,"매출채권명세"}</definedName>
    <definedName name="문서">#REF!</definedName>
    <definedName name="문성근" hidden="1">{#N/A,#N/A,FALSE,"97년 투자계획 세부내역 "}</definedName>
    <definedName name="문성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31"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장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문제3" localSheetId="14" hidden="1">{#N/A,#N/A,FALSE,"단축1";#N/A,#N/A,FALSE,"단축2";#N/A,#N/A,FALSE,"단축3";#N/A,#N/A,FALSE,"장축";#N/A,#N/A,FALSE,"4WD"}</definedName>
    <definedName name="문제3" hidden="1">{#N/A,#N/A,FALSE,"단축1";#N/A,#N/A,FALSE,"단축2";#N/A,#N/A,FALSE,"단축3";#N/A,#N/A,FALSE,"장축";#N/A,#N/A,FALSE,"4WD"}</definedName>
    <definedName name="물랴자" localSheetId="14" hidden="1">{#N/A,#N/A,TRUE,"Y생산";#N/A,#N/A,TRUE,"Y판매";#N/A,#N/A,TRUE,"Y총물량";#N/A,#N/A,TRUE,"Y능력";#N/A,#N/A,TRUE,"YKD"}</definedName>
    <definedName name="물랴자" hidden="1">{#N/A,#N/A,TRUE,"Y생산";#N/A,#N/A,TRUE,"Y판매";#N/A,#N/A,TRUE,"Y총물량";#N/A,#N/A,TRUE,"Y능력";#N/A,#N/A,TRUE,"YKD"}</definedName>
    <definedName name="물량" localSheetId="14" hidden="1">{#N/A,#N/A,FALSE,"KMC최종회의(7월) 자료"}</definedName>
    <definedName name="물량" hidden="1">{#N/A,#N/A,FALSE,"KMC최종회의(7월) 자료"}</definedName>
    <definedName name="물량수" localSheetId="14" hidden="1">{#N/A,#N/A,TRUE,"Y생산";#N/A,#N/A,TRUE,"Y판매";#N/A,#N/A,TRUE,"Y총물량";#N/A,#N/A,TRUE,"Y능력";#N/A,#N/A,TRUE,"YKD"}</definedName>
    <definedName name="물량수" hidden="1">{#N/A,#N/A,TRUE,"Y생산";#N/A,#N/A,TRUE,"Y판매";#N/A,#N/A,TRUE,"Y총물량";#N/A,#N/A,TRUE,"Y능력";#N/A,#N/A,TRUE,"YKD"}</definedName>
    <definedName name="물량수정" localSheetId="14" hidden="1">{#N/A,#N/A,TRUE,"Y생산";#N/A,#N/A,TRUE,"Y판매";#N/A,#N/A,TRUE,"Y총물량";#N/A,#N/A,TRUE,"Y능력";#N/A,#N/A,TRUE,"YKD"}</definedName>
    <definedName name="물량수정" hidden="1">{#N/A,#N/A,TRUE,"Y생산";#N/A,#N/A,TRUE,"Y판매";#N/A,#N/A,TRUE,"Y총물량";#N/A,#N/A,TRUE,"Y능력";#N/A,#N/A,TRUE,"YKD"}</definedName>
    <definedName name="물량수정1" localSheetId="14" hidden="1">{#N/A,#N/A,TRUE,"Y생산";#N/A,#N/A,TRUE,"Y판매";#N/A,#N/A,TRUE,"Y총물량";#N/A,#N/A,TRUE,"Y능력";#N/A,#N/A,TRUE,"YKD"}</definedName>
    <definedName name="물량수정1" hidden="1">{#N/A,#N/A,TRUE,"Y생산";#N/A,#N/A,TRUE,"Y판매";#N/A,#N/A,TRUE,"Y총물량";#N/A,#N/A,TRUE,"Y능력";#N/A,#N/A,TRUE,"YKD"}</definedName>
    <definedName name="물량수정2" localSheetId="14" hidden="1">{#N/A,#N/A,TRUE,"Y생산";#N/A,#N/A,TRUE,"Y판매";#N/A,#N/A,TRUE,"Y총물량";#N/A,#N/A,TRUE,"Y능력";#N/A,#N/A,TRUE,"YKD"}</definedName>
    <definedName name="물량수정2" hidden="1">{#N/A,#N/A,TRUE,"Y생산";#N/A,#N/A,TRUE,"Y판매";#N/A,#N/A,TRUE,"Y총물량";#N/A,#N/A,TRUE,"Y능력";#N/A,#N/A,TRUE,"YKD"}</definedName>
    <definedName name="물량정" localSheetId="14" hidden="1">{#N/A,#N/A,TRUE,"Y생산";#N/A,#N/A,TRUE,"Y판매";#N/A,#N/A,TRUE,"Y총물량";#N/A,#N/A,TRUE,"Y능력";#N/A,#N/A,TRUE,"YKD"}</definedName>
    <definedName name="물량정" hidden="1">{#N/A,#N/A,TRUE,"Y생산";#N/A,#N/A,TRUE,"Y판매";#N/A,#N/A,TRUE,"Y총물량";#N/A,#N/A,TRUE,"Y능력";#N/A,#N/A,TRUE,"YKD"}</definedName>
    <definedName name="물량조정" localSheetId="14" hidden="1">{#N/A,#N/A,TRUE,"Y생산";#N/A,#N/A,TRUE,"Y판매";#N/A,#N/A,TRUE,"Y총물량";#N/A,#N/A,TRUE,"Y능력";#N/A,#N/A,TRUE,"YKD"}</definedName>
    <definedName name="물량조정" hidden="1">{#N/A,#N/A,TRUE,"Y생산";#N/A,#N/A,TRUE,"Y판매";#N/A,#N/A,TRUE,"Y총물량";#N/A,#N/A,TRUE,"Y능력";#N/A,#N/A,TRUE,"YKD"}</definedName>
    <definedName name="물류" localSheetId="14"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류2" hidden="1">{#N/A,#N/A,FALSE,"97년 투자계획 세부내역 "}</definedName>
    <definedName name="물류3" hidden="1">{#N/A,#N/A,FALSE,"97년 투자계획 세부내역 "}</definedName>
    <definedName name="물류비검토" localSheetId="14" hidden="1">{#N/A,#N/A,FALSE,"단축1";#N/A,#N/A,FALSE,"단축2";#N/A,#N/A,FALSE,"단축3";#N/A,#N/A,FALSE,"장축";#N/A,#N/A,FALSE,"4WD"}</definedName>
    <definedName name="물류비검토" hidden="1">{#N/A,#N/A,FALSE,"단축1";#N/A,#N/A,FALSE,"단축2";#N/A,#N/A,FALSE,"단축3";#N/A,#N/A,FALSE,"장축";#N/A,#N/A,FALSE,"4WD"}</definedName>
    <definedName name="물수" localSheetId="14" hidden="1">{#N/A,#N/A,TRUE,"Y생산";#N/A,#N/A,TRUE,"Y판매";#N/A,#N/A,TRUE,"Y총물량";#N/A,#N/A,TRUE,"Y능력";#N/A,#N/A,TRUE,"YKD"}</definedName>
    <definedName name="물수" hidden="1">{#N/A,#N/A,TRUE,"Y생산";#N/A,#N/A,TRUE,"Y판매";#N/A,#N/A,TRUE,"Y총물량";#N/A,#N/A,TRUE,"Y능력";#N/A,#N/A,TRUE,"YKD"}</definedName>
    <definedName name="뭐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뭐야" hidden="1">{#N/A,#N/A,FALSE,"손익표지";#N/A,#N/A,FALSE,"손익계산";#N/A,#N/A,FALSE,"일반관리비";#N/A,#N/A,FALSE,"영업외수익";#N/A,#N/A,FALSE,"영업외비용";#N/A,#N/A,FALSE,"매출액";#N/A,#N/A,FALSE,"요약손익";#N/A,#N/A,FALSE,"요약대차";#N/A,#N/A,FALSE,"매출채권현황";#N/A,#N/A,FALSE,"매출채권명세"}</definedName>
    <definedName name="뮤" hidden="1">{#N/A,#N/A,FALSE,"지침";#N/A,#N/A,FALSE,"환경분석";#N/A,#N/A,FALSE,"Sheet16"}</definedName>
    <definedName name="미" localSheetId="14" hidden="1">{#N/A,#N/A,TRUE,"일정"}</definedName>
    <definedName name="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미" hidden="1">{#N/A,#N/A,FALSE,"손익표지";#N/A,#N/A,FALSE,"손익계산";#N/A,#N/A,FALSE,"일반관리비";#N/A,#N/A,FALSE,"영업외수익";#N/A,#N/A,FALSE,"영업외비용";#N/A,#N/A,FALSE,"매출액";#N/A,#N/A,FALSE,"요약손익";#N/A,#N/A,FALSE,"요약대차";#N/A,#N/A,FALSE,"매출채권현황";#N/A,#N/A,FALSE,"매출채권명세"}</definedName>
    <definedName name="미기록지" localSheetId="14" hidden="1">{#N/A,#N/A,FALSE,"KMC최종회의(7월) 자료"}</definedName>
    <definedName name="미기록지" hidden="1">{#N/A,#N/A,FALSE,"KMC최종회의(7월) 자료"}</definedName>
    <definedName name="미미미아" localSheetId="14" hidden="1">{#N/A,#N/A,FALSE,"정공"}</definedName>
    <definedName name="미미미아" hidden="1">{#N/A,#N/A,FALSE,"정공"}</definedName>
    <definedName name="미석" localSheetId="14" hidden="1">{#N/A,#N/A,FALSE,"정공"}</definedName>
    <definedName name="미석" hidden="1">{#N/A,#N/A,FALSE,"정공"}</definedName>
    <definedName name="미승인"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지급" localSheetId="14" hidden="1">#REF!</definedName>
    <definedName name="미지급" hidden="1">#REF!</definedName>
    <definedName name="미지급2"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미진사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31"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ㅂ" localSheetId="14" hidden="1">{#N/A,#N/A,FALSE,"BS";#N/A,#N/A,FALSE,"PL";#N/A,#N/A,FALSE,"처분";#N/A,#N/A,FALSE,"현금";#N/A,#N/A,FALSE,"매출";#N/A,#N/A,FALSE,"원가";#N/A,#N/A,FALSE,"경영"}</definedName>
    <definedName name="ㅂ" localSheetId="13" hidden="1">{#N/A,#N/A,FALSE,"BS";#N/A,#N/A,FALSE,"PL";#N/A,#N/A,FALSE,"처분";#N/A,#N/A,FALSE,"현금";#N/A,#N/A,FALSE,"매출";#N/A,#N/A,FALSE,"원가";#N/A,#N/A,FALSE,"경영"}</definedName>
    <definedName name="ㅂ"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ㅂ" hidden="1">{#N/A,#N/A,FALSE,"BS";#N/A,#N/A,FALSE,"PL";#N/A,#N/A,FALSE,"처분";#N/A,#N/A,FALSE,"현금";#N/A,#N/A,FALSE,"매출";#N/A,#N/A,FALSE,"원가";#N/A,#N/A,FALSE,"경영"}</definedName>
    <definedName name="ㅂ1" hidden="1">{#N/A,#N/A,FALSE,"97년 투자계획 세부내역 "}</definedName>
    <definedName name="ㅂ2" hidden="1">{#N/A,#N/A,FALSE,"97년 투자계획 세부내역 "}</definedName>
    <definedName name="ㅂ3" hidden="1">{#N/A,#N/A,FALSE,"97년 투자계획 세부내역 "}</definedName>
    <definedName name="ㅂ3ㄱ" localSheetId="14" hidden="1">{#N/A,#N/A,FALSE,"BS";#N/A,#N/A,FALSE,"PL";#N/A,#N/A,FALSE,"처분";#N/A,#N/A,FALSE,"현금";#N/A,#N/A,FALSE,"매출";#N/A,#N/A,FALSE,"원가";#N/A,#N/A,FALSE,"경영"}</definedName>
    <definedName name="ㅂ3ㄱ" localSheetId="13" hidden="1">{#N/A,#N/A,FALSE,"BS";#N/A,#N/A,FALSE,"PL";#N/A,#N/A,FALSE,"처분";#N/A,#N/A,FALSE,"현금";#N/A,#N/A,FALSE,"매출";#N/A,#N/A,FALSE,"원가";#N/A,#N/A,FALSE,"경영"}</definedName>
    <definedName name="ㅂ3ㄱ" hidden="1">{#N/A,#N/A,FALSE,"BS";#N/A,#N/A,FALSE,"PL";#N/A,#N/A,FALSE,"처분";#N/A,#N/A,FALSE,"현금";#N/A,#N/A,FALSE,"매출";#N/A,#N/A,FALSE,"원가";#N/A,#N/A,FALSE,"경영"}</definedName>
    <definedName name="ㅂ4" hidden="1">{#N/A,#N/A,FALSE,"97년 투자계획 세부내역 "}</definedName>
    <definedName name="ㅂ5" hidden="1">{#N/A,#N/A,FALSE,"97년 투자계획 세부내역 "}</definedName>
    <definedName name="ㅂㄱ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ㄳ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ㄴㅌ" localSheetId="14" hidden="1">{#N/A,#N/A,FALSE,"KMC최종회의(7월) 자료"}</definedName>
    <definedName name="ㅂㄴㅌ" hidden="1">{#N/A,#N/A,FALSE,"KMC최종회의(7월) 자료"}</definedName>
    <definedName name="ㅂㄷㄱ" localSheetId="14" hidden="1">{#N/A,#N/A,FALSE,"PART-1234-8-12-9(41)";#N/A,#N/A,FALSE,"PARTS-2(3)";#N/A,#N/A,FALSE,"VAN SYSTEM";#N/A,#N/A,FALSE,"PARTS-10(26)";#N/A,#N/A,FALSE,"PART-5-6-7-11(14)";#N/A,#N/A,FALSE,"PARTS-4(3)";#N/A,#N/A,FALSE,"PCLASS"}</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ㄷㄱ" hidden="1">{#N/A,#N/A,FALSE,"Aging Summary";#N/A,#N/A,FALSE,"Ratio Analysis";#N/A,#N/A,FALSE,"Test 120 Day Accts";#N/A,#N/A,FALSE,"Tickmarks"}</definedName>
    <definedName name="ㅂㄷㅂ" localSheetId="14" hidden="1">{#N/A,#N/A,TRUE,"Y생산";#N/A,#N/A,TRUE,"Y판매";#N/A,#N/A,TRUE,"Y총물량";#N/A,#N/A,TRUE,"Y능력";#N/A,#N/A,TRUE,"YKD"}</definedName>
    <definedName name="ㅂㄷㅂ" hidden="1">{#N/A,#N/A,TRUE,"Y생산";#N/A,#N/A,TRUE,"Y판매";#N/A,#N/A,TRUE,"Y총물량";#N/A,#N/A,TRUE,"Y능력";#N/A,#N/A,TRUE,"YKD"}</definedName>
    <definedName name="ㅂㄷ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ㅂㅁ" localSheetId="14" hidden="1">{#N/A,#N/A,FALSE,"KMC최종회의(7월) 자료"}</definedName>
    <definedName name="ㅂㅁ" hidden="1">{#N/A,#N/A,FALSE,"KMC최종회의(7월) 자료"}</definedName>
    <definedName name="ㅂㅂ" localSheetId="14" hidden="1">{#N/A,#N/A,FALSE,"Aging Summary";#N/A,#N/A,FALSE,"Ratio Analysis";#N/A,#N/A,FALSE,"Test 120 Day Accts";#N/A,#N/A,FALSE,"Tickmarks"}</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ㅂㅂㅂ"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hidden="1">{#N/A,#N/A,FALSE,"지침";#N/A,#N/A,FALSE,"환경분석";#N/A,#N/A,FALSE,"Sheet16"}</definedName>
    <definedName name="ㅂㅂㅂㅂㅂㅂㅂㅂㅂㅂㅂㅂㅂㅂㅂㅂㅂㅂ"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ㅂㅂㅂㅂㅂㅂㅂㅂㅂㅂㅂㅂㅂㅂ" localSheetId="14"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ㅂㅈ" hidden="1">{#N/A,#N/A,FALSE,"손익표지";#N/A,#N/A,FALSE,"손익계산";#N/A,#N/A,FALSE,"일반관리비";#N/A,#N/A,FALSE,"영업외수익";#N/A,#N/A,FALSE,"영업외비용";#N/A,#N/A,FALSE,"매출액";#N/A,#N/A,FALSE,"요약손익";#N/A,#N/A,FALSE,"요약대차";#N/A,#N/A,FALSE,"매출채권현황";#N/A,#N/A,FALSE,"매출채권명세"}</definedName>
    <definedName name="ㅂㅈㄱㄷ" localSheetId="14" hidden="1">{#N/A,#N/A,FALSE,"KMC최종회의(7월) 자료"}</definedName>
    <definedName name="ㅂㅈㄱㄷ" hidden="1">{#N/A,#N/A,FALSE,"KMC최종회의(7월) 자료"}</definedName>
    <definedName name="ㅂㅈㄱㄷㅈ" hidden="1">{#N/A,#N/A,FALSE,"Aging Summary";#N/A,#N/A,FALSE,"Ratio Analysis";#N/A,#N/A,FALSE,"Test 120 Day Accts";#N/A,#N/A,FALSE,"Tickmarks"}</definedName>
    <definedName name="ㅂㅈㄴㅁ" localSheetId="14" hidden="1">{#N/A,#N/A,FALSE,"정공"}</definedName>
    <definedName name="ㅂㅈㄴㅁ" hidden="1">{#N/A,#N/A,FALSE,"정공"}</definedName>
    <definedName name="ㅂㅈㄷ" localSheetId="14" hidden="1">{#N/A,#N/A,FALSE,"Aging Summary";#N/A,#N/A,FALSE,"Ratio Analysis";#N/A,#N/A,FALSE,"Test 120 Day Accts";#N/A,#N/A,FALSE,"Tickmarks"}</definedName>
    <definedName name="ㅂㅈㄷ">#REF!</definedName>
    <definedName name="ㅂㅈㄷㄱㅂㄷㄱ" localSheetId="14" hidden="1">{#N/A,#N/A,FALSE,"단축1";#N/A,#N/A,FALSE,"단축2";#N/A,#N/A,FALSE,"단축3";#N/A,#N/A,FALSE,"장축";#N/A,#N/A,FALSE,"4WD"}</definedName>
    <definedName name="ㅂㅈㄷㄱㅂㄷㄱ" hidden="1">{#N/A,#N/A,FALSE,"단축1";#N/A,#N/A,FALSE,"단축2";#N/A,#N/A,FALSE,"단축3";#N/A,#N/A,FALSE,"장축";#N/A,#N/A,FALSE,"4WD"}</definedName>
    <definedName name="ㅂㅈㄷ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ㅂ" localSheetId="14" hidden="1">{#N/A,#N/A,FALSE,"96 3월물량표";#N/A,#N/A,FALSE,"96 4월물량표";#N/A,#N/A,FALSE,"96 5월물량표"}</definedName>
    <definedName name="ㅂㅈㄷㅂ" hidden="1">{#N/A,#N/A,FALSE,"96 3월물량표";#N/A,#N/A,FALSE,"96 4월물량표";#N/A,#N/A,FALSE,"96 5월물량표"}</definedName>
    <definedName name="ㅂㅈ됴ㅔ." localSheetId="14" hidden="1">{#N/A,#N/A,FALSE,"BS";#N/A,#N/A,FALSE,"PL";#N/A,#N/A,FALSE,"처분";#N/A,#N/A,FALSE,"현금";#N/A,#N/A,FALSE,"매출";#N/A,#N/A,FALSE,"원가";#N/A,#N/A,FALSE,"경영"}</definedName>
    <definedName name="ㅂㅈ됴ㅔ." localSheetId="13" hidden="1">{#N/A,#N/A,FALSE,"BS";#N/A,#N/A,FALSE,"PL";#N/A,#N/A,FALSE,"처분";#N/A,#N/A,FALSE,"현금";#N/A,#N/A,FALSE,"매출";#N/A,#N/A,FALSE,"원가";#N/A,#N/A,FALSE,"경영"}</definedName>
    <definedName name="ㅂㅈ됴ㅔ." hidden="1">{#N/A,#N/A,FALSE,"BS";#N/A,#N/A,FALSE,"PL";#N/A,#N/A,FALSE,"처분";#N/A,#N/A,FALSE,"현금";#N/A,#N/A,FALSE,"매출";#N/A,#N/A,FALSE,"원가";#N/A,#N/A,FALSE,"경영"}</definedName>
    <definedName name="ㅂㅈㅂㄷ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바" localSheetId="14" hidden="1">{#N/A,#N/A,FALSE,"Sheet5"}</definedName>
    <definedName name="바" localSheetId="13" hidden="1">{#N/A,#N/A,FALSE,"Sheet5"}</definedName>
    <definedName name="바" localSheetId="31" hidden="1">{#N/A,#N/A,FALSE,"손익표지";#N/A,#N/A,FALSE,"손익계산";#N/A,#N/A,FALSE,"일반관리비";#N/A,#N/A,FALSE,"영업외수익";#N/A,#N/A,FALSE,"영업외비용";#N/A,#N/A,FALSE,"매출액";#N/A,#N/A,FALSE,"요약손익";#N/A,#N/A,FALSE,"요약대차";#N/A,#N/A,FALSE,"매출채권현황";#N/A,#N/A,FALSE,"매출채권명세"}</definedName>
    <definedName name="바" hidden="1">{#N/A,#N/A,FALSE,"Sheet5"}</definedName>
    <definedName name="바도" localSheetId="14" hidden="1">{"'분양원가'!$B$1:$F$113"}</definedName>
    <definedName name="바도" localSheetId="13" hidden="1">{"'분양원가'!$B$1:$F$113"}</definedName>
    <definedName name="바도" hidden="1">{"'분양원가'!$B$1:$F$113"}</definedName>
    <definedName name="바둑이" localSheetId="14" hidden="1">{#N/A,#N/A,TRUE,"Y생산";#N/A,#N/A,TRUE,"Y판매";#N/A,#N/A,TRUE,"Y총물량";#N/A,#N/A,TRUE,"Y능력";#N/A,#N/A,TRUE,"YKD"}</definedName>
    <definedName name="바둑이" hidden="1">{#N/A,#N/A,TRUE,"Y생산";#N/A,#N/A,TRUE,"Y판매";#N/A,#N/A,TRUE,"Y총물량";#N/A,#N/A,TRUE,"Y능력";#N/A,#N/A,TRUE,"YKD"}</definedName>
    <definedName name="바라" hidden="1">{#N/A,#N/A,FALSE,"97년 투자계획 세부내역 "}</definedName>
    <definedName name="바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바람"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바람" hidden="1">{#N/A,#N/A,FALSE,"손익표지";#N/A,#N/A,FALSE,"손익계산";#N/A,#N/A,FALSE,"일반관리비";#N/A,#N/A,FALSE,"영업외수익";#N/A,#N/A,FALSE,"영업외비용";#N/A,#N/A,FALSE,"매출액";#N/A,#N/A,FALSE,"요약손익";#N/A,#N/A,FALSE,"요약대차";#N/A,#N/A,FALSE,"매출채권현황";#N/A,#N/A,FALSE,"매출채권명세"}</definedName>
    <definedName name="바랑라" localSheetId="14" hidden="1">{#N/A,#N/A,FALSE,"정공"}</definedName>
    <definedName name="바랑라" hidden="1">{#N/A,#N/A,FALSE,"정공"}</definedName>
    <definedName name="바로가기" localSheetId="14" hidden="1">{#N/A,#N/A,FALSE,"단축1";#N/A,#N/A,FALSE,"단축2";#N/A,#N/A,FALSE,"단축3";#N/A,#N/A,FALSE,"장축";#N/A,#N/A,FALSE,"4WD"}</definedName>
    <definedName name="바로가기" hidden="1">{#N/A,#N/A,FALSE,"단축1";#N/A,#N/A,FALSE,"단축2";#N/A,#N/A,FALSE,"단축3";#N/A,#N/A,FALSE,"장축";#N/A,#N/A,FALSE,"4WD"}</definedName>
    <definedName name="바른정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바른정비" hidden="1">{#N/A,#N/A,FALSE,"손익표지";#N/A,#N/A,FALSE,"손익계산";#N/A,#N/A,FALSE,"일반관리비";#N/A,#N/A,FALSE,"영업외수익";#N/A,#N/A,FALSE,"영업외비용";#N/A,#N/A,FALSE,"매출액";#N/A,#N/A,FALSE,"요약손익";#N/A,#N/A,FALSE,"요약대차";#N/A,#N/A,FALSE,"매출채권현황";#N/A,#N/A,FALSE,"매출채권명세"}</definedName>
    <definedName name="바바라" localSheetId="14" hidden="1">{#N/A,#N/A,TRUE,"Y생산";#N/A,#N/A,TRUE,"Y판매";#N/A,#N/A,TRUE,"Y총물량";#N/A,#N/A,TRUE,"Y능력";#N/A,#N/A,TRUE,"YKD"}</definedName>
    <definedName name="바바라" hidden="1">{#N/A,#N/A,TRUE,"Y생산";#N/A,#N/A,TRUE,"Y판매";#N/A,#N/A,TRUE,"Y총물량";#N/A,#N/A,TRUE,"Y능력";#N/A,#N/A,TRUE,"YKD"}</definedName>
    <definedName name="바바바밥바바바바" localSheetId="14" hidden="1">{"'5'!$A$1:$BB$147"}</definedName>
    <definedName name="바바바밥바바바바" hidden="1">{"'5'!$A$1:$BB$147"}</definedName>
    <definedName name="바밥" localSheetId="14" hidden="1">{"'5'!$A$1:$BB$147"}</definedName>
    <definedName name="바밥" hidden="1">{"'5'!$A$1:$BB$147"}</definedName>
    <definedName name="바밥바" localSheetId="14" hidden="1">{"'5'!$A$1:$BB$147"}</definedName>
    <definedName name="바밥바" hidden="1">{"'5'!$A$1:$BB$147"}</definedName>
    <definedName name="바보" localSheetId="14" hidden="1">[79]수정시산표!#REF!</definedName>
    <definedName name="바보" hidden="1">[79]수정시산표!#REF!</definedName>
    <definedName name="바보상자" localSheetId="14" hidden="1">{#N/A,#N/A,FALSE,"정공"}</definedName>
    <definedName name="바보상자" hidden="1">{#N/A,#N/A,FALSE,"정공"}</definedName>
    <definedName name="바보ㅗ옹아아러ㅏ" localSheetId="14" hidden="1">{"'5'!$A$1:$BB$147"}</definedName>
    <definedName name="바보ㅗ옹아아러ㅏ" hidden="1">{"'5'!$A$1:$BB$147"}</definedName>
    <definedName name="바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바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박" localSheetId="14" hidden="1">{"'분양원가'!$B$1:$F$113"}</definedName>
    <definedName name="박" localSheetId="13" hidden="1">{"'분양원가'!$B$1:$F$113"}</definedName>
    <definedName name="박" hidden="1">{"'분양원가'!$B$1:$F$113"}</definedName>
    <definedName name="박건우" hidden="1">{#N/A,#N/A,FALSE,"model"}</definedName>
    <definedName name="박명용" localSheetId="14" hidden="1">{#N/A,#N/A,TRUE,"Y생산";#N/A,#N/A,TRUE,"Y판매";#N/A,#N/A,TRUE,"Y총물량";#N/A,#N/A,TRUE,"Y능력";#N/A,#N/A,TRUE,"YKD"}</definedName>
    <definedName name="박명용" hidden="1">{#N/A,#N/A,TRUE,"Y생산";#N/A,#N/A,TRUE,"Y판매";#N/A,#N/A,TRUE,"Y총물량";#N/A,#N/A,TRUE,"Y능력";#N/A,#N/A,TRUE,"YKD"}</definedName>
    <definedName name="박어쟈루" localSheetId="14" hidden="1">#REF!</definedName>
    <definedName name="박어쟈루" hidden="1">#REF!</definedName>
    <definedName name="박종균" localSheetId="14"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박지호" localSheetId="14" hidden="1">{#N/A,#N/A,FALSE,"단축1";#N/A,#N/A,FALSE,"단축2";#N/A,#N/A,FALSE,"단축3";#N/A,#N/A,FALSE,"장축";#N/A,#N/A,FALSE,"4WD"}</definedName>
    <definedName name="박지호" hidden="1">{#N/A,#N/A,FALSE,"단축1";#N/A,#N/A,FALSE,"단축2";#N/A,#N/A,FALSE,"단축3";#N/A,#N/A,FALSE,"장축";#N/A,#N/A,FALSE,"4WD"}</definedName>
    <definedName name="박흥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박흥균" hidden="1">{#N/A,#N/A,FALSE,"손익표지";#N/A,#N/A,FALSE,"손익계산";#N/A,#N/A,FALSE,"일반관리비";#N/A,#N/A,FALSE,"영업외수익";#N/A,#N/A,FALSE,"영업외비용";#N/A,#N/A,FALSE,"매출액";#N/A,#N/A,FALSE,"요약손익";#N/A,#N/A,FALSE,"요약대차";#N/A,#N/A,FALSE,"매출채권현황";#N/A,#N/A,FALSE,"매출채권명세"}</definedName>
    <definedName name="받" localSheetId="14" hidden="1">{#N/A,#N/A,TRUE,"Y생산";#N/A,#N/A,TRUE,"Y판매";#N/A,#N/A,TRUE,"Y총물량";#N/A,#N/A,TRUE,"Y능력";#N/A,#N/A,TRUE,"YKD"}</definedName>
    <definedName name="받" hidden="1">{#N/A,#N/A,TRUE,"Y생산";#N/A,#N/A,TRUE,"Y판매";#N/A,#N/A,TRUE,"Y총물량";#N/A,#N/A,TRUE,"Y능력";#N/A,#N/A,TRUE,"YKD"}</definedName>
    <definedName name="받을어음">[80]대차대조표!$E$15:$M$16</definedName>
    <definedName name="발안요약123" localSheetId="14" hidden="1">{#N/A,#N/A,FALSE,"정공"}</definedName>
    <definedName name="발안요약123" hidden="1">{#N/A,#N/A,FALSE,"정공"}</definedName>
    <definedName name="발주" localSheetId="14"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밥바" localSheetId="14" hidden="1">{"'5'!$A$1:$BB$147"}</definedName>
    <definedName name="밥바" hidden="1">{"'5'!$A$1:$BB$147"}</definedName>
    <definedName name="밥바자" localSheetId="14" hidden="1">{"'5'!$A$1:$BB$147"}</definedName>
    <definedName name="밥바자" hidden="1">{"'5'!$A$1:$BB$147"}</definedName>
    <definedName name="방안" localSheetId="14" hidden="1">{#N/A,#N/A,FALSE,"단축1";#N/A,#N/A,FALSE,"단축2";#N/A,#N/A,FALSE,"단축3";#N/A,#N/A,FALSE,"장축";#N/A,#N/A,FALSE,"4WD"}</definedName>
    <definedName name="방안" hidden="1">{#N/A,#N/A,FALSE,"단축1";#N/A,#N/A,FALSE,"단축2";#N/A,#N/A,FALSE,"단축3";#N/A,#N/A,FALSE,"장축";#N/A,#N/A,FALSE,"4WD"}</definedName>
    <definedName name="배경"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배경" hidden="1">{#N/A,#N/A,FALSE,"손익표지";#N/A,#N/A,FALSE,"손익계산";#N/A,#N/A,FALSE,"일반관리비";#N/A,#N/A,FALSE,"영업외수익";#N/A,#N/A,FALSE,"영업외비용";#N/A,#N/A,FALSE,"매출액";#N/A,#N/A,FALSE,"요약손익";#N/A,#N/A,FALSE,"요약대차";#N/A,#N/A,FALSE,"매출채권현황";#N/A,#N/A,FALSE,"매출채권명세"}</definedName>
    <definedName name="배배배" localSheetId="14" hidden="1">{"'미착금액'!$A$4:$G$14"}</definedName>
    <definedName name="배배배" localSheetId="13" hidden="1">{"'미착금액'!$A$4:$G$14"}</definedName>
    <definedName name="배배배" hidden="1">{"'미착금액'!$A$4:$G$14"}</definedName>
    <definedName name="배부기준첨부" localSheetId="14" hidden="1">{#N/A,#N/A,FALSE,"정공"}</definedName>
    <definedName name="배부기준첨부" hidden="1">{#N/A,#N/A,FALSE,"정공"}</definedName>
    <definedName name="배부기준첨부하오" localSheetId="14" hidden="1">{#N/A,#N/A,FALSE,"정공"}</definedName>
    <definedName name="배부기준첨부하오" hidden="1">{#N/A,#N/A,FALSE,"정공"}</definedName>
    <definedName name="배찬식" localSheetId="14" hidden="1">{#N/A,#N/A,FALSE,"정공"}</definedName>
    <definedName name="배찬식" hidden="1">{#N/A,#N/A,FALSE,"정공"}</definedName>
    <definedName name="배치계획"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가" localSheetId="14" hidden="1">{#N/A,#N/A,FALSE,"96 3월물량표";#N/A,#N/A,FALSE,"96 4월물량표";#N/A,#N/A,FALSE,"96 5월물량표"}</definedName>
    <definedName name="버가" hidden="1">{#N/A,#N/A,FALSE,"96 3월물량표";#N/A,#N/A,FALSE,"96 4월물량표";#N/A,#N/A,FALSE,"96 5월물량표"}</definedName>
    <definedName name="버바바" localSheetId="14" hidden="1">{#N/A,#N/A,FALSE,"정공"}</definedName>
    <definedName name="버바바" hidden="1">{#N/A,#N/A,FALSE,"정공"}</definedName>
    <definedName name="버스2002"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범위액"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범위액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법정"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변" localSheetId="14" hidden="1">{#N/A,#N/A,FALSE,"KMC최종회의(7월) 자료"}</definedName>
    <definedName name="변" hidden="1">{#N/A,#N/A,FALSE,"KMC최종회의(7월) 자료"}</definedName>
    <definedName name="변경목차" localSheetId="14" hidden="1">{#N/A,#N/A,FALSE,"단축1";#N/A,#N/A,FALSE,"단축2";#N/A,#N/A,FALSE,"단축3";#N/A,#N/A,FALSE,"장축";#N/A,#N/A,FALSE,"4WD"}</definedName>
    <definedName name="변경목차" hidden="1">{#N/A,#N/A,FALSE,"단축1";#N/A,#N/A,FALSE,"단축2";#N/A,#N/A,FALSE,"단축3";#N/A,#N/A,FALSE,"장축";#N/A,#N/A,FALSE,"4WD"}</definedName>
    <definedName name="변경양식"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변경양식" hidden="1">{#N/A,#N/A,FALSE,"손익표지";#N/A,#N/A,FALSE,"손익계산";#N/A,#N/A,FALSE,"일반관리비";#N/A,#N/A,FALSE,"영업외수익";#N/A,#N/A,FALSE,"영업외비용";#N/A,#N/A,FALSE,"매출액";#N/A,#N/A,FALSE,"요약손익";#N/A,#N/A,FALSE,"요약대차";#N/A,#N/A,FALSE,"매출채권현황";#N/A,#N/A,FALSE,"매출채권명세"}</definedName>
    <definedName name="변경후" localSheetId="14" hidden="1">{#N/A,#N/A,FALSE,"단축1";#N/A,#N/A,FALSE,"단축2";#N/A,#N/A,FALSE,"단축3";#N/A,#N/A,FALSE,"장축";#N/A,#N/A,FALSE,"4WD"}</definedName>
    <definedName name="변경후" hidden="1">{#N/A,#N/A,FALSE,"단축1";#N/A,#N/A,FALSE,"단축2";#N/A,#N/A,FALSE,"단축3";#N/A,#N/A,FALSE,"장축";#N/A,#N/A,FALSE,"4WD"}</definedName>
    <definedName name="변동" localSheetId="14" hidden="1">{#N/A,#N/A,FALSE,"단축1";#N/A,#N/A,FALSE,"단축2";#N/A,#N/A,FALSE,"단축3";#N/A,#N/A,FALSE,"장축";#N/A,#N/A,FALSE,"4WD"}</definedName>
    <definedName name="변동" hidden="1">{#N/A,#N/A,FALSE,"단축1";#N/A,#N/A,FALSE,"단축2";#N/A,#N/A,FALSE,"단축3";#N/A,#N/A,FALSE,"장축";#N/A,#N/A,FALSE,"4WD"}</definedName>
    <definedName name="변동내용" localSheetId="14" hidden="1">{#N/A,#N/A,FALSE,"단축1";#N/A,#N/A,FALSE,"단축2";#N/A,#N/A,FALSE,"단축3";#N/A,#N/A,FALSE,"장축";#N/A,#N/A,FALSE,"4WD"}</definedName>
    <definedName name="변동내용" hidden="1">{#N/A,#N/A,FALSE,"단축1";#N/A,#N/A,FALSE,"단축2";#N/A,#N/A,FALSE,"단축3";#N/A,#N/A,FALSE,"장축";#N/A,#N/A,FALSE,"4WD"}</definedName>
    <definedName name="변속" localSheetId="14" hidden="1">{#N/A,#N/A,FALSE,"KMC최종회의(7월) 자료"}</definedName>
    <definedName name="변속" hidden="1">{#N/A,#N/A,FALSE,"KMC최종회의(7월) 자료"}</definedName>
    <definedName name="변속1" localSheetId="14" hidden="1">{#N/A,#N/A,FALSE,"KMC최종회의(7월) 자료"}</definedName>
    <definedName name="변속1" hidden="1">{#N/A,#N/A,FALSE,"KMC최종회의(7월) 자료"}</definedName>
    <definedName name="변속2" localSheetId="14" hidden="1">{#N/A,#N/A,FALSE,"KMC최종회의(7월) 자료"}</definedName>
    <definedName name="변속2" hidden="1">{#N/A,#N/A,FALSE,"KMC최종회의(7월) 자료"}</definedName>
    <definedName name="변속3" localSheetId="14" hidden="1">{#N/A,#N/A,FALSE,"KMC최종회의(7월) 자료"}</definedName>
    <definedName name="변속3" hidden="1">{#N/A,#N/A,FALSE,"KMC최종회의(7월) 자료"}</definedName>
    <definedName name="변속4" localSheetId="14" hidden="1">{#N/A,#N/A,FALSE,"KMC최종회의(7월) 자료"}</definedName>
    <definedName name="변속4" hidden="1">{#N/A,#N/A,FALSE,"KMC최종회의(7월) 자료"}</definedName>
    <definedName name="별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별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별도공장기준CYLBLOCK" localSheetId="14" hidden="1">{#N/A,#N/A,FALSE,"단축1";#N/A,#N/A,FALSE,"단축2";#N/A,#N/A,FALSE,"단축3";#N/A,#N/A,FALSE,"장축";#N/A,#N/A,FALSE,"4WD"}</definedName>
    <definedName name="별도공장기준CYLBLOCK" hidden="1">{#N/A,#N/A,FALSE,"단축1";#N/A,#N/A,FALSE,"단축2";#N/A,#N/A,FALSE,"단축3";#N/A,#N/A,FALSE,"장축";#N/A,#N/A,FALSE,"4WD"}</definedName>
    <definedName name="별도투자비" localSheetId="14" hidden="1">{#N/A,#N/A,FALSE,"단축1";#N/A,#N/A,FALSE,"단축2";#N/A,#N/A,FALSE,"단축3";#N/A,#N/A,FALSE,"장축";#N/A,#N/A,FALSE,"4WD"}</definedName>
    <definedName name="별도투자비" hidden="1">{#N/A,#N/A,FALSE,"단축1";#N/A,#N/A,FALSE,"단축2";#N/A,#N/A,FALSE,"단축3";#N/A,#N/A,FALSE,"장축";#N/A,#N/A,FALSE,"4WD"}</definedName>
    <definedName name="별지8"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2" localSheetId="14" hidden="1">'[81]9710'!$B$8:$B$54</definedName>
    <definedName name="별첨2">#REF!</definedName>
    <definedName name="별첨26" hidden="1">#REF!</definedName>
    <definedName name="별첨3" localSheetId="14" hidden="1">{#N/A,#N/A,FALSE,"정공"}</definedName>
    <definedName name="별첨3" hidden="1">{#N/A,#N/A,FALSE,"정공"}</definedName>
    <definedName name="별첨그룹3" localSheetId="14" hidden="1">{#N/A,#N/A,FALSE,"정공"}</definedName>
    <definedName name="별첨그룹3" hidden="1">{#N/A,#N/A,FALSE,"정공"}</definedName>
    <definedName name="별첨추가표" localSheetId="14" hidden="1">{#N/A,#N/A,FALSE,"정공"}</definedName>
    <definedName name="별첨추가표" hidden="1">{#N/A,#N/A,FALSE,"정공"}</definedName>
    <definedName name="병" localSheetId="14" hidden="1">{#N/A,#N/A,FALSE,"단축1";#N/A,#N/A,FALSE,"단축2";#N/A,#N/A,FALSE,"단축3";#N/A,#N/A,FALSE,"장축";#N/A,#N/A,FALSE,"4WD"}</definedName>
    <definedName name="병" hidden="1">{#N/A,#N/A,FALSE,"단축1";#N/A,#N/A,FALSE,"단축2";#N/A,#N/A,FALSE,"단축3";#N/A,#N/A,FALSE,"장축";#N/A,#N/A,FALSE,"4WD"}</definedName>
    <definedName name="병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병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보고" hidden="1">{#N/A,#N/A,FALSE,"손익표지";#N/A,#N/A,FALSE,"손익계산";#N/A,#N/A,FALSE,"일반관리비";#N/A,#N/A,FALSE,"영업외수익";#N/A,#N/A,FALSE,"영업외비용";#N/A,#N/A,FALSE,"매출액";#N/A,#N/A,FALSE,"요약손익";#N/A,#N/A,FALSE,"요약대차";#N/A,#N/A,FALSE,"매출채권현황";#N/A,#N/A,FALSE,"매출채권명세"}</definedName>
    <definedName name="보고222" localSheetId="14" hidden="1">{#N/A,#N/A,FALSE,"KMC최종회의(7월) 자료"}</definedName>
    <definedName name="보고222" hidden="1">{#N/A,#N/A,FALSE,"KMC최종회의(7월) 자료"}</definedName>
    <definedName name="보고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서111" localSheetId="14" hidden="1">{#N/A,#N/A,FALSE,"KMC최종회의(7월) 자료"}</definedName>
    <definedName name="보고서111" hidden="1">{#N/A,#N/A,FALSE,"KMC최종회의(7월) 자료"}</definedName>
    <definedName name="보고양식"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보고일정"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보고일정"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보고일정" hidden="1">{#N/A,#N/A,FALSE,"손익표지";#N/A,#N/A,FALSE,"손익계산";#N/A,#N/A,FALSE,"일반관리비";#N/A,#N/A,FALSE,"영업외수익";#N/A,#N/A,FALSE,"영업외비용";#N/A,#N/A,FALSE,"매출액";#N/A,#N/A,FALSE,"요약손익";#N/A,#N/A,FALSE,"요약대차";#N/A,#N/A,FALSE,"매출채권현황";#N/A,#N/A,FALSE,"매출채권명세"}</definedName>
    <definedName name="보고자료5"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보곤" localSheetId="14"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보봅" hidden="1">{#N/A,#N/A,FALSE,"Aging Summary";#N/A,#N/A,FALSE,"Ratio Analysis";#N/A,#N/A,FALSE,"Test 120 Day Accts";#N/A,#N/A,FALSE,"Tickmarks"}</definedName>
    <definedName name="보전" localSheetId="14" hidden="1">{#N/A,#N/A,FALSE,"KMC최종회의(7월) 자료"}</definedName>
    <definedName name="보전" hidden="1">{#N/A,#N/A,FALSE,"KMC최종회의(7월) 자료"}</definedName>
    <definedName name="보증CLAIM"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보증CLAIM" hidden="1">{#N/A,#N/A,FALSE,"손익표지";#N/A,#N/A,FALSE,"손익계산";#N/A,#N/A,FALSE,"일반관리비";#N/A,#N/A,FALSE,"영업외수익";#N/A,#N/A,FALSE,"영업외비용";#N/A,#N/A,FALSE,"매출액";#N/A,#N/A,FALSE,"요약손익";#N/A,#N/A,FALSE,"요약대차";#N/A,#N/A,FALSE,"매출채권현황";#N/A,#N/A,FALSE,"매출채권명세"}</definedName>
    <definedName name="보지" localSheetId="14" hidden="1">{"'5'!$A$1:$BB$147"}</definedName>
    <definedName name="보지" hidden="1">{"'5'!$A$1:$BB$147"}</definedName>
    <definedName name="보험" localSheetId="14" hidden="1">{#N/A,#N/A,FALSE,"BS";#N/A,#N/A,FALSE,"PL";#N/A,#N/A,FALSE,"처분";#N/A,#N/A,FALSE,"현금";#N/A,#N/A,FALSE,"매출";#N/A,#N/A,FALSE,"원가";#N/A,#N/A,FALSE,"경영"}</definedName>
    <definedName name="보험" localSheetId="13" hidden="1">{#N/A,#N/A,FALSE,"BS";#N/A,#N/A,FALSE,"PL";#N/A,#N/A,FALSE,"처분";#N/A,#N/A,FALSE,"현금";#N/A,#N/A,FALSE,"매출";#N/A,#N/A,FALSE,"원가";#N/A,#N/A,FALSE,"경영"}</definedName>
    <definedName name="보험" hidden="1">{#N/A,#N/A,FALSE,"BS";#N/A,#N/A,FALSE,"PL";#N/A,#N/A,FALSE,"처분";#N/A,#N/A,FALSE,"현금";#N/A,#N/A,FALSE,"매출";#N/A,#N/A,FALSE,"원가";#N/A,#N/A,FALSE,"경영"}</definedName>
    <definedName name="보험료" hidden="1">{#N/A,#N/A,FALSE,"Aging Summary";#N/A,#N/A,FALSE,"Ratio Analysis";#N/A,#N/A,FALSE,"Test 120 Day Accts";#N/A,#N/A,FALSE,"Tickmarks"}</definedName>
    <definedName name="복사본" localSheetId="14" hidden="1">{#N/A,#N/A,FALSE,"BS";#N/A,#N/A,FALSE,"PL";#N/A,#N/A,FALSE,"처분";#N/A,#N/A,FALSE,"현금";#N/A,#N/A,FALSE,"매출";#N/A,#N/A,FALSE,"원가";#N/A,#N/A,FALSE,"경영"}</definedName>
    <definedName name="복사본" localSheetId="13" hidden="1">{#N/A,#N/A,FALSE,"BS";#N/A,#N/A,FALSE,"PL";#N/A,#N/A,FALSE,"처분";#N/A,#N/A,FALSE,"현금";#N/A,#N/A,FALSE,"매출";#N/A,#N/A,FALSE,"원가";#N/A,#N/A,FALSE,"경영"}</definedName>
    <definedName name="복사본" hidden="1">{#N/A,#N/A,FALSE,"BS";#N/A,#N/A,FALSE,"PL";#N/A,#N/A,FALSE,"처분";#N/A,#N/A,FALSE,"현금";#N/A,#N/A,FALSE,"매출";#N/A,#N/A,FALSE,"원가";#N/A,#N/A,FALSE,"경영"}</definedName>
    <definedName name="본부" localSheetId="14" hidden="1">{"'5'!$A$1:$BB$147"}</definedName>
    <definedName name="본부" hidden="1">{"'5'!$A$1:$BB$147"}</definedName>
    <definedName name="볼트수정" localSheetId="14" hidden="1">{#N/A,#N/A,FALSE,"단축1";#N/A,#N/A,FALSE,"단축2";#N/A,#N/A,FALSE,"단축3";#N/A,#N/A,FALSE,"장축";#N/A,#N/A,FALSE,"4WD"}</definedName>
    <definedName name="볼트수정" hidden="1">{#N/A,#N/A,FALSE,"단축1";#N/A,#N/A,FALSE,"단축2";#N/A,#N/A,FALSE,"단축3";#N/A,#N/A,FALSE,"장축";#N/A,#N/A,FALSE,"4WD"}</definedName>
    <definedName name="부라보단가테이블" localSheetId="14" hidden="1">{#N/A,#N/A,FALSE,"KMC최종회의(7월) 자료"}</definedName>
    <definedName name="부라보단가테이블" hidden="1">{#N/A,#N/A,FALSE,"KMC최종회의(7월) 자료"}</definedName>
    <definedName name="부라보자료" localSheetId="14" hidden="1">{#N/A,#N/A,FALSE,"KMC최종회의(7월) 자료"}</definedName>
    <definedName name="부라보자료" hidden="1">{#N/A,#N/A,FALSE,"KMC최종회의(7월) 자료"}</definedName>
    <definedName name="부문별손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부" hidden="1">'[82]지역별약정(당일)'!#REF!</definedName>
    <definedName name="부산지하철310"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서절감계획" localSheetId="14" hidden="1">{#N/A,#N/A,FALSE,"정공"}</definedName>
    <definedName name="부서절감계획" hidden="1">{#N/A,#N/A,FALSE,"정공"}</definedName>
    <definedName name="부서절감계획2" localSheetId="14" hidden="1">{#N/A,#N/A,FALSE,"정공"}</definedName>
    <definedName name="부서절감계획2" hidden="1">{#N/A,#N/A,FALSE,"정공"}</definedName>
    <definedName name="부서종합" localSheetId="14" hidden="1">{#N/A,#N/A,FALSE,"KMC최종회의(7월) 자료"}</definedName>
    <definedName name="부서종합" hidden="1">{#N/A,#N/A,FALSE,"KMC최종회의(7월) 자료"}</definedName>
    <definedName name="부속" localSheetId="14" hidden="1">[83]수정시산표!#REF!</definedName>
    <definedName name="부속" hidden="1">[84]수정시산표!#REF!</definedName>
    <definedName name="부재재" hidden="1">{#N/A,#N/A,FALSE,"PART-1234-8-12-9(41)";#N/A,#N/A,FALSE,"PARTS-2(3)";#N/A,#N/A,FALSE,"VAN SYSTEM";#N/A,#N/A,FALSE,"PARTS-10(26)";#N/A,#N/A,FALSE,"PART-5-6-7-11(14)";#N/A,#N/A,FALSE,"PARTS-4(3)";#N/A,#N/A,FALSE,"PCLASS"}</definedName>
    <definedName name="부진" hidden="1">'[82]지역별약정(당일)'!#REF!</definedName>
    <definedName name="부품별" localSheetId="14" hidden="1">{#N/A,#N/A,FALSE,"KMC최종회의(7월) 자료"}</definedName>
    <definedName name="부품별" hidden="1">{#N/A,#N/A,FALSE,"KMC최종회의(7월) 자료"}</definedName>
    <definedName name="부하내구시험실" localSheetId="14" hidden="1">'[22]980731'!#REF!</definedName>
    <definedName name="부하내구시험실" hidden="1">'[22]980731'!#REF!</definedName>
    <definedName name="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분" hidden="1">{#N/A,#N/A,FALSE,"손익표지";#N/A,#N/A,FALSE,"손익계산";#N/A,#N/A,FALSE,"일반관리비";#N/A,#N/A,FALSE,"영업외수익";#N/A,#N/A,FALSE,"영업외비용";#N/A,#N/A,FALSE,"매출액";#N/A,#N/A,FALSE,"요약손익";#N/A,#N/A,FALSE,"요약대차";#N/A,#N/A,FALSE,"매출채권현황";#N/A,#N/A,FALSE,"매출채권명세"}</definedName>
    <definedName name="분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분기" hidden="1">{#N/A,#N/A,FALSE,"손익표지";#N/A,#N/A,FALSE,"손익계산";#N/A,#N/A,FALSE,"일반관리비";#N/A,#N/A,FALSE,"영업외수익";#N/A,#N/A,FALSE,"영업외비용";#N/A,#N/A,FALSE,"매출액";#N/A,#N/A,FALSE,"요약손익";#N/A,#N/A,FALSE,"요약대차";#N/A,#N/A,FALSE,"매출채권현황";#N/A,#N/A,FALSE,"매출채권명세"}</definedName>
    <definedName name="분기별" localSheetId="14" hidden="1">{#N/A,#N/A,TRUE,"Y생산";#N/A,#N/A,TRUE,"Y판매";#N/A,#N/A,TRUE,"Y총물량";#N/A,#N/A,TRUE,"Y능력";#N/A,#N/A,TRUE,"YKD"}</definedName>
    <definedName name="분기별" hidden="1">{#N/A,#N/A,TRUE,"Y생산";#N/A,#N/A,TRUE,"Y판매";#N/A,#N/A,TRUE,"Y총물량";#N/A,#N/A,TRUE,"Y능력";#N/A,#N/A,TRUE,"YKD"}</definedName>
    <definedName name="분기에비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분기에비타" hidden="1">{#N/A,#N/A,FALSE,"손익표지";#N/A,#N/A,FALSE,"손익계산";#N/A,#N/A,FALSE,"일반관리비";#N/A,#N/A,FALSE,"영업외수익";#N/A,#N/A,FALSE,"영업외비용";#N/A,#N/A,FALSE,"매출액";#N/A,#N/A,FALSE,"요약손익";#N/A,#N/A,FALSE,"요약대차";#N/A,#N/A,FALSE,"매출채권현황";#N/A,#N/A,FALSE,"매출채권명세"}</definedName>
    <definedName name="분석" localSheetId="14" hidden="1">{#N/A,#N/A,FALSE,"KMC최종회의(7월) 자료"}</definedName>
    <definedName name="분석" hidden="1">{#N/A,#N/A,FALSE,"KMC최종회의(7월) 자료"}</definedName>
    <definedName name="분석1" localSheetId="14" hidden="1">{#N/A,#N/A,FALSE,"PART-1234-8-12-9(41)";#N/A,#N/A,FALSE,"PARTS-2(3)";#N/A,#N/A,FALSE,"VAN SYSTEM";#N/A,#N/A,FALSE,"PARTS-10(26)";#N/A,#N/A,FALSE,"PART-5-6-7-11(14)";#N/A,#N/A,FALSE,"PARTS-4(3)";#N/A,#N/A,FALSE,"PCLASS"}</definedName>
    <definedName name="분석1" hidden="1">{#N/A,#N/A,FALSE,"KMC최종회의(7월) 자료"}</definedName>
    <definedName name="분석2" hidden="1">{#N/A,#N/A,FALSE,"PART-1234-8-12-9(41)";#N/A,#N/A,FALSE,"PARTS-2(3)";#N/A,#N/A,FALSE,"VAN SYSTEM";#N/A,#N/A,FALSE,"PARTS-10(26)";#N/A,#N/A,FALSE,"PART-5-6-7-11(14)";#N/A,#N/A,FALSE,"PARTS-4(3)";#N/A,#N/A,FALSE,"PCLASS"}</definedName>
    <definedName name="분석3" hidden="1">{#N/A,#N/A,FALSE,"PART-1234-8-12-9(41)";#N/A,#N/A,FALSE,"PARTS-2(3)";#N/A,#N/A,FALSE,"VAN SYSTEM";#N/A,#N/A,FALSE,"PARTS-10(26)";#N/A,#N/A,FALSE,"PART-5-6-7-11(14)";#N/A,#N/A,FALSE,"PARTS-4(3)";#N/A,#N/A,FALSE,"PCLASS"}</definedName>
    <definedName name="분석4" localSheetId="14"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분석4"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양">#REF!</definedName>
    <definedName name="불량재고경비실적" localSheetId="14" hidden="1">{#N/A,#N/A,TRUE,"Y생산";#N/A,#N/A,TRUE,"Y판매";#N/A,#N/A,TRUE,"Y총물량";#N/A,#N/A,TRUE,"Y능력";#N/A,#N/A,TRUE,"YKD"}</definedName>
    <definedName name="불량재고경비실적" hidden="1">{#N/A,#N/A,TRUE,"Y생산";#N/A,#N/A,TRUE,"Y판매";#N/A,#N/A,TRUE,"Y총물량";#N/A,#N/A,TRUE,"Y능력";#N/A,#N/A,TRUE,"YKD"}</definedName>
    <definedName name="비" localSheetId="14" hidden="1">{#N/A,#N/A,FALSE,"Sheet5"}</definedName>
    <definedName name="비" localSheetId="13" hidden="1">{#N/A,#N/A,FALSE,"Sheet5"}</definedName>
    <definedName name="비" hidden="1">{#N/A,#N/A,FALSE,"Sheet5"}</definedName>
    <definedName name="비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비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고" localSheetId="14" hidden="1">{#N/A,#N/A,FALSE,"97년 투자계획 세부내역 "}</definedName>
    <definedName name="비고">#REF!</definedName>
    <definedName name="비교" hidden="1">{#N/A,#N/A,FALSE,"지침";#N/A,#N/A,FALSE,"환경분석";#N/A,#N/A,FALSE,"Sheet16"}</definedName>
    <definedName name="비교손익당초" localSheetId="14" hidden="1">{#N/A,#N/A,FALSE,"정공"}</definedName>
    <definedName name="비교손익당초" hidden="1">{#N/A,#N/A,FALSE,"정공"}</definedName>
    <definedName name="비교자료3"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비비비" localSheetId="14" hidden="1">[83]수정시산표!#REF!</definedName>
    <definedName name="비비비" hidden="1">[84]수정시산표!#REF!</definedName>
    <definedName name="비스피엘" localSheetId="14" hidden="1">{#N/A,#N/A,FALSE,"정공"}</definedName>
    <definedName name="비스피엘" hidden="1">{#N/A,#N/A,FALSE,"정공"}</definedName>
    <definedName name="비용분석"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비용분석" hidden="1">{#N/A,#N/A,FALSE,"손익표지";#N/A,#N/A,FALSE,"손익계산";#N/A,#N/A,FALSE,"일반관리비";#N/A,#N/A,FALSE,"영업외수익";#N/A,#N/A,FALSE,"영업외비용";#N/A,#N/A,FALSE,"매출액";#N/A,#N/A,FALSE,"요약손익";#N/A,#N/A,FALSE,"요약대차";#N/A,#N/A,FALSE,"매출채권현황";#N/A,#N/A,FALSE,"매출채권명세"}</definedName>
    <definedName name="비용분해2" localSheetId="14" hidden="1">{#N/A,#N/A,FALSE,"정공"}</definedName>
    <definedName name="비용분해2" hidden="1">{#N/A,#N/A,FALSE,"정공"}</definedName>
    <definedName name="비율0" localSheetId="14" hidden="1">'[85]경영비율 '!#REF!</definedName>
    <definedName name="비율0" hidden="1">'[86]경영비율 '!#REF!</definedName>
    <definedName name="비율2" localSheetId="14" hidden="1">[83]수정시산표!#REF!</definedName>
    <definedName name="비율2" hidden="1">[84]수정시산표!#REF!</definedName>
    <definedName name="비이피" localSheetId="14" hidden="1">#REF!</definedName>
    <definedName name="비이피" hidden="1">#REF!</definedName>
    <definedName name="비이피01년" localSheetId="14" hidden="1">#REF!</definedName>
    <definedName name="비이피01년" hidden="1">#REF!</definedName>
    <definedName name="비이피22" localSheetId="14" hidden="1">{#N/A,#N/A,FALSE,"정공"}</definedName>
    <definedName name="비이피22" hidden="1">{#N/A,#N/A,FALSE,"정공"}</definedName>
    <definedName name="비전경영수립지침"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비전경영수립지침" hidden="1">{#N/A,#N/A,FALSE,"손익표지";#N/A,#N/A,FALSE,"손익계산";#N/A,#N/A,FALSE,"일반관리비";#N/A,#N/A,FALSE,"영업외수익";#N/A,#N/A,FALSE,"영업외비용";#N/A,#N/A,FALSE,"매출액";#N/A,#N/A,FALSE,"요약손익";#N/A,#N/A,FALSE,"요약대차";#N/A,#N/A,FALSE,"매출채권현황";#N/A,#N/A,FALSE,"매출채권명세"}</definedName>
    <definedName name="비즈2" localSheetId="14" hidden="1">#REF!</definedName>
    <definedName name="비즈2" hidden="1">#REF!</definedName>
    <definedName name="빈" localSheetId="14" hidden="1">{#N/A,#N/A,FALSE,"단축1";#N/A,#N/A,FALSE,"단축2";#N/A,#N/A,FALSE,"단축3";#N/A,#N/A,FALSE,"장축";#N/A,#N/A,FALSE,"4WD"}</definedName>
    <definedName name="빈" hidden="1">{#N/A,#N/A,FALSE,"단축1";#N/A,#N/A,FALSE,"단축2";#N/A,#N/A,FALSE,"단축3";#N/A,#N/A,FALSE,"장축";#N/A,#N/A,FALSE,"4WD"}</definedName>
    <definedName name="ㅅ" localSheetId="14" hidden="1">{#N/A,#N/A,FALSE,"BS";#N/A,#N/A,FALSE,"PL";#N/A,#N/A,FALSE,"처분";#N/A,#N/A,FALSE,"현금";#N/A,#N/A,FALSE,"매출";#N/A,#N/A,FALSE,"원가";#N/A,#N/A,FALSE,"경영"}</definedName>
    <definedName name="ㅅ" localSheetId="13" hidden="1">{#N/A,#N/A,FALSE,"BS";#N/A,#N/A,FALSE,"PL";#N/A,#N/A,FALSE,"처분";#N/A,#N/A,FALSE,"현금";#N/A,#N/A,FALSE,"매출";#N/A,#N/A,FALSE,"원가";#N/A,#N/A,FALSE,"경영"}</definedName>
    <definedName name="ㅅ"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ㅅ" hidden="1">{#N/A,#N/A,FALSE,"BS";#N/A,#N/A,FALSE,"PL";#N/A,#N/A,FALSE,"처분";#N/A,#N/A,FALSE,"현금";#N/A,#N/A,FALSE,"매출";#N/A,#N/A,FALSE,"원가";#N/A,#N/A,FALSE,"경영"}</definedName>
    <definedName name="ㅅ4ㅎㅅㄱㅎㅅ" localSheetId="14" hidden="1">{#N/A,#N/A,FALSE,"KMC최종회의(7월) 자료"}</definedName>
    <definedName name="ㅅ4ㅎㅅㄱㅎㅅ" hidden="1">{#N/A,#N/A,FALSE,"KMC최종회의(7월) 자료"}</definedName>
    <definedName name="ㅅㄱ" localSheetId="14" hidden="1">{#N/A,#N/A,TRUE,"Y생산";#N/A,#N/A,TRUE,"Y판매";#N/A,#N/A,TRUE,"Y총물량";#N/A,#N/A,TRUE,"Y능력";#N/A,#N/A,TRUE,"YKD"}</definedName>
    <definedName name="ㅅㄱ" hidden="1">{#N/A,#N/A,TRUE,"Y생산";#N/A,#N/A,TRUE,"Y판매";#N/A,#N/A,TRUE,"Y총물량";#N/A,#N/A,TRUE,"Y능력";#N/A,#N/A,TRUE,"YKD"}</definedName>
    <definedName name="ㅅㄱㄷㄴㅅㄱㄷㅅㄱㄷㅅㄱㄷㅅㄱ"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ㅅㄱㄷㅅㄱㄱㄷㅅㄷㄷㅅ" hidden="1">{#N/A,#N/A,FALSE,"PART-1234-8-12-9(41)";#N/A,#N/A,FALSE,"PARTS-2(3)";#N/A,#N/A,FALSE,"VAN SYSTEM";#N/A,#N/A,FALSE,"PARTS-10(26)";#N/A,#N/A,FALSE,"PART-5-6-7-11(14)";#N/A,#N/A,FALSE,"PARTS-4(3)";#N/A,#N/A,FALSE,"PCLASS"}</definedName>
    <definedName name="ㅅㄱㄽㄱㄳㄱ" localSheetId="14" hidden="1">{#N/A,#N/A,FALSE,"KMC최종회의(7월) 자료"}</definedName>
    <definedName name="ㅅㄱㄽㄱㄳㄱ" hidden="1">{#N/A,#N/A,FALSE,"KMC최종회의(7월) 자료"}</definedName>
    <definedName name="ㅅ거ㅏ" localSheetId="14" hidden="1">{#N/A,#N/A,TRUE,"Y생산";#N/A,#N/A,TRUE,"Y판매";#N/A,#N/A,TRUE,"Y총물량";#N/A,#N/A,TRUE,"Y능력";#N/A,#N/A,TRUE,"YKD"}</definedName>
    <definedName name="ㅅ거ㅏ" hidden="1">{#N/A,#N/A,TRUE,"Y생산";#N/A,#N/A,TRUE,"Y판매";#N/A,#N/A,TRUE,"Y총물량";#N/A,#N/A,TRUE,"Y능력";#N/A,#N/A,TRUE,"YKD"}</definedName>
    <definedName name="ㅅ거ㅛㅕㅣㅏ" localSheetId="14" hidden="1">{#N/A,#N/A,FALSE,"96 3월물량표";#N/A,#N/A,FALSE,"96 4월물량표";#N/A,#N/A,FALSE,"96 5월물량표"}</definedName>
    <definedName name="ㅅ거ㅛㅕㅣㅏ" hidden="1">{#N/A,#N/A,FALSE,"96 3월물량표";#N/A,#N/A,FALSE,"96 4월물량표";#N/A,#N/A,FALSE,"96 5월물량표"}</definedName>
    <definedName name="ㅅ교ㄳ"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localSheetId="14" hidden="1">{#N/A,#N/A,FALSE,"KMC최종회의(7월) 자료"}</definedName>
    <definedName name="ㅅㅅ" hidden="1">{#N/A,#N/A,FALSE,"KMC최종회의(7월) 자료"}</definedName>
    <definedName name="ㅅㅅㅅ" localSheetId="14" hidden="1">{#N/A,#N/A,FALSE,"단축1";#N/A,#N/A,FALSE,"단축2";#N/A,#N/A,FALSE,"단축3";#N/A,#N/A,FALSE,"장축";#N/A,#N/A,FALSE,"4WD"}</definedName>
    <definedName name="ㅅㅅㅅ" hidden="1">{#N/A,#N/A,FALSE,"단축1";#N/A,#N/A,FALSE,"단축2";#N/A,#N/A,FALSE,"단축3";#N/A,#N/A,FALSE,"장축";#N/A,#N/A,FALSE,"4WD"}</definedName>
    <definedName name="ㅅㅅㅅㅅ" hidden="1">{#N/A,#N/A,FALSE,"PART-1234-8-12-9(41)";#N/A,#N/A,FALSE,"PARTS-2(3)";#N/A,#N/A,FALSE,"VAN SYSTEM";#N/A,#N/A,FALSE,"PARTS-10(26)";#N/A,#N/A,FALSE,"PART-5-6-7-11(14)";#N/A,#N/A,FALSE,"PARTS-4(3)";#N/A,#N/A,FALSE,"PCLASS"}</definedName>
    <definedName name="ㅅㅎㄹ" hidden="1">{#N/A,#N/A,FALSE,"97년 투자계획 세부내역 "}</definedName>
    <definedName name="ㅅㅎㅅㅅㅎㅅ" localSheetId="14" hidden="1">{#N/A,#N/A,FALSE,"KMC최종회의(7월) 자료"}</definedName>
    <definedName name="ㅅㅎㅅㅅㅎㅅ" hidden="1">{#N/A,#N/A,FALSE,"KMC최종회의(7월) 자료"}</definedName>
    <definedName name="사" localSheetId="14"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사" hidden="1">'[87]경영비율 '!#REF!</definedName>
    <definedName name="사1" hidden="1">{#N/A,#N/A,FALSE,"지침";#N/A,#N/A,FALSE,"환경분석";#N/A,#N/A,FALSE,"Sheet16"}</definedName>
    <definedName name="사고수상실적"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내" localSheetId="14" hidden="1">{"'5'!$A$1:$BB$147"}</definedName>
    <definedName name="사내" hidden="1">{"'5'!$A$1:$BB$147"}</definedName>
    <definedName name="사다라다라" localSheetId="14" hidden="1">{"'5'!$A$1:$BB$147"}</definedName>
    <definedName name="사다라다라" hidden="1">{"'5'!$A$1:$BB$147"}</definedName>
    <definedName name="사다함이" localSheetId="14" hidden="1">{#N/A,#N/A,FALSE,"정공"}</definedName>
    <definedName name="사다함이" hidden="1">{#N/A,#N/A,FALSE,"정공"}</definedName>
    <definedName name="사라다라사" localSheetId="14" hidden="1">{"'5'!$A$1:$BB$147"}</definedName>
    <definedName name="사라다라사" hidden="1">{"'5'!$A$1:$BB$147"}</definedName>
    <definedName name="사랄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사랄랄" hidden="1">{#N/A,#N/A,FALSE,"손익표지";#N/A,#N/A,FALSE,"손익계산";#N/A,#N/A,FALSE,"일반관리비";#N/A,#N/A,FALSE,"영업외수익";#N/A,#N/A,FALSE,"영업외비용";#N/A,#N/A,FALSE,"매출액";#N/A,#N/A,FALSE,"요약손익";#N/A,#N/A,FALSE,"요약대차";#N/A,#N/A,FALSE,"매출채권현황";#N/A,#N/A,FALSE,"매출채권명세"}</definedName>
    <definedName name="사람이야" localSheetId="14" hidden="1">{#N/A,#N/A,FALSE,"정공"}</definedName>
    <definedName name="사람이야" hidden="1">{#N/A,#N/A,FALSE,"정공"}</definedName>
    <definedName name="사랑" hidden="1">{#N/A,#N/A,FALSE,"지침";#N/A,#N/A,FALSE,"환경분석";#N/A,#N/A,FALSE,"Sheet16"}</definedName>
    <definedName name="사랑2" localSheetId="14" hidden="1">{"'5'!$A$1:$BB$147"}</definedName>
    <definedName name="사랑2" hidden="1">{"'5'!$A$1:$BB$147"}</definedName>
    <definedName name="사랑3" localSheetId="14" hidden="1">{"'5'!$A$1:$BB$147"}</definedName>
    <definedName name="사랑3" hidden="1">{"'5'!$A$1:$BB$147"}</definedName>
    <definedName name="사랑하오" localSheetId="14" hidden="1">{#N/A,#N/A,FALSE,"정공"}</definedName>
    <definedName name="사랑하오" hidden="1">{#N/A,#N/A,FALSE,"정공"}</definedName>
    <definedName name="사본" localSheetId="14" hidden="1">{#N/A,#N/A,FALSE,"정공"}</definedName>
    <definedName name="사본" hidden="1">{#N/A,#N/A,FALSE,"정공"}</definedName>
    <definedName name="사양" localSheetId="14"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안" localSheetId="14" hidden="1">{#N/A,#N/A,FALSE,"단축1";#N/A,#N/A,FALSE,"단축2";#N/A,#N/A,FALSE,"단축3";#N/A,#N/A,FALSE,"장축";#N/A,#N/A,FALSE,"4WD"}</definedName>
    <definedName name="사양안" hidden="1">{#N/A,#N/A,FALSE,"단축1";#N/A,#N/A,FALSE,"단축2";#N/A,#N/A,FALSE,"단축3";#N/A,#N/A,FALSE,"장축";#N/A,#N/A,FALSE,"4WD"}</definedName>
    <definedName name="사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사업" hidden="1">{#N/A,#N/A,FALSE,"손익표지";#N/A,#N/A,FALSE,"손익계산";#N/A,#N/A,FALSE,"일반관리비";#N/A,#N/A,FALSE,"영업외수익";#N/A,#N/A,FALSE,"영업외비용";#N/A,#N/A,FALSE,"매출액";#N/A,#N/A,FALSE,"요약손익";#N/A,#N/A,FALSE,"요약대차";#N/A,#N/A,FALSE,"매출채권현황";#N/A,#N/A,FALSE,"매출채권명세"}</definedName>
    <definedName name="사업계획2" localSheetId="14" hidden="1">{#N/A,#N/A,FALSE,"정공"}</definedName>
    <definedName name="사업계획2" hidden="1">{#N/A,#N/A,FALSE,"정공"}</definedName>
    <definedName name="사업관리" hidden="1">{#N/A,#N/A,FALSE,"PART-1234-8-12-9(41)";#N/A,#N/A,FALSE,"PARTS-2(3)";#N/A,#N/A,FALSE,"VAN SYSTEM";#N/A,#N/A,FALSE,"PARTS-10(26)";#N/A,#N/A,FALSE,"PART-5-6-7-11(14)";#N/A,#N/A,FALSE,"PARTS-4(3)";#N/A,#N/A,FALSE,"PCLASS"}</definedName>
    <definedName name="사업달성방안" localSheetId="14" hidden="1">{#N/A,#N/A,FALSE,"KMC최종회의(7월) 자료"}</definedName>
    <definedName name="사업달성방안" hidden="1">{#N/A,#N/A,FALSE,"KMC최종회의(7월) 자료"}</definedName>
    <definedName name="사업부별손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사업부별손익" hidden="1">{#N/A,#N/A,FALSE,"손익표지";#N/A,#N/A,FALSE,"손익계산";#N/A,#N/A,FALSE,"일반관리비";#N/A,#N/A,FALSE,"영업외수익";#N/A,#N/A,FALSE,"영업외비용";#N/A,#N/A,FALSE,"매출액";#N/A,#N/A,FALSE,"요약손익";#N/A,#N/A,FALSE,"요약대차";#N/A,#N/A,FALSE,"매출채권현황";#N/A,#N/A,FALSE,"매출채권명세"}</definedName>
    <definedName name="사업부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비교표" localSheetId="14" hidden="1">{#N/A,#N/A,FALSE,"정공"}</definedName>
    <definedName name="사업비교표" hidden="1">{#N/A,#N/A,FALSE,"정공"}</definedName>
    <definedName name="사업추진" localSheetId="14" hidden="1">{#N/A,#N/A,FALSE,"정공"}</definedName>
    <definedName name="사업추진" hidden="1">{#N/A,#N/A,FALSE,"정공"}</definedName>
    <definedName name="사용료"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사진" localSheetId="14" hidden="1">{#N/A,#N/A,FALSE,"단축1";#N/A,#N/A,FALSE,"단축2";#N/A,#N/A,FALSE,"단축3";#N/A,#N/A,FALSE,"장축";#N/A,#N/A,FALSE,"4WD"}</definedName>
    <definedName name="사진" hidden="1">{#N/A,#N/A,FALSE,"단축1";#N/A,#N/A,FALSE,"단축2";#N/A,#N/A,FALSE,"단축3";#N/A,#N/A,FALSE,"장축";#N/A,#N/A,FALSE,"4WD"}</definedName>
    <definedName name="사진1" localSheetId="14" hidden="1">{#N/A,#N/A,FALSE,"단축1";#N/A,#N/A,FALSE,"단축2";#N/A,#N/A,FALSE,"단축3";#N/A,#N/A,FALSE,"장축";#N/A,#N/A,FALSE,"4WD"}</definedName>
    <definedName name="사진1" hidden="1">{#N/A,#N/A,FALSE,"단축1";#N/A,#N/A,FALSE,"단축2";#N/A,#N/A,FALSE,"단축3";#N/A,#N/A,FALSE,"장축";#N/A,#N/A,FALSE,"4WD"}</definedName>
    <definedName name="사진복사2" localSheetId="14" hidden="1">{#N/A,#N/A,TRUE,"Y생산";#N/A,#N/A,TRUE,"Y판매";#N/A,#N/A,TRUE,"Y총물량";#N/A,#N/A,TRUE,"Y능력";#N/A,#N/A,TRUE,"YKD"}</definedName>
    <definedName name="사진복사2" hidden="1">{#N/A,#N/A,TRUE,"Y생산";#N/A,#N/A,TRUE,"Y판매";#N/A,#N/A,TRUE,"Y총물량";#N/A,#N/A,TRUE,"Y능력";#N/A,#N/A,TRUE,"YKD"}</definedName>
    <definedName name="사ㅏ" localSheetId="14" hidden="1">{#N/A,#N/A,FALSE,"BS";#N/A,#N/A,FALSE,"PL";#N/A,#N/A,FALSE,"처분";#N/A,#N/A,FALSE,"현금";#N/A,#N/A,FALSE,"매출";#N/A,#N/A,FALSE,"원가";#N/A,#N/A,FALSE,"경영"}</definedName>
    <definedName name="사ㅏ" localSheetId="13" hidden="1">{#N/A,#N/A,FALSE,"BS";#N/A,#N/A,FALSE,"PL";#N/A,#N/A,FALSE,"처분";#N/A,#N/A,FALSE,"현금";#N/A,#N/A,FALSE,"매출";#N/A,#N/A,FALSE,"원가";#N/A,#N/A,FALSE,"경영"}</definedName>
    <definedName name="사ㅏ" hidden="1">{#N/A,#N/A,FALSE,"BS";#N/A,#N/A,FALSE,"PL";#N/A,#N/A,FALSE,"처분";#N/A,#N/A,FALSE,"현금";#N/A,#N/A,FALSE,"매출";#N/A,#N/A,FALSE,"원가";#N/A,#N/A,FALSE,"경영"}</definedName>
    <definedName name="산" localSheetId="14" hidden="1">{#N/A,#N/A,FALSE,"KMC최종회의(7월) 자료"}</definedName>
    <definedName name="산" hidden="1">{#N/A,#N/A,FALSE,"KMC최종회의(7월) 자료"}</definedName>
    <definedName name="산기3팀" localSheetId="14" hidden="1">{#N/A,#N/A,FALSE,"KMC최종회의(7월) 자료"}</definedName>
    <definedName name="산기3팀" hidden="1">{#N/A,#N/A,FALSE,"KMC최종회의(7월) 자료"}</definedName>
    <definedName name="산업수요2" localSheetId="14" hidden="1">{#N/A,#N/A,FALSE,"단축1";#N/A,#N/A,FALSE,"단축2";#N/A,#N/A,FALSE,"단축3";#N/A,#N/A,FALSE,"장축";#N/A,#N/A,FALSE,"4WD"}</definedName>
    <definedName name="산업수요2" hidden="1">{#N/A,#N/A,FALSE,"단축1";#N/A,#N/A,FALSE,"단축2";#N/A,#N/A,FALSE,"단축3";#N/A,#N/A,FALSE,"장축";#N/A,#N/A,FALSE,"4WD"}</definedName>
    <definedName name="산업은행"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산업은행" hidden="1">{#N/A,#N/A,FALSE,"손익표지";#N/A,#N/A,FALSE,"손익계산";#N/A,#N/A,FALSE,"일반관리비";#N/A,#N/A,FALSE,"영업외수익";#N/A,#N/A,FALSE,"영업외비용";#N/A,#N/A,FALSE,"매출액";#N/A,#N/A,FALSE,"요약손익";#N/A,#N/A,FALSE,"요약대차";#N/A,#N/A,FALSE,"매출채권현황";#N/A,#N/A,FALSE,"매출채권명세"}</definedName>
    <definedName name="삼성" localSheetId="14" hidden="1">{#N/A,#N/A,FALSE,"정공"}</definedName>
    <definedName name="삼성" hidden="1">{#N/A,#N/A,FALSE,"정공"}</definedName>
    <definedName name="삼성2" localSheetId="14" hidden="1">{#N/A,#N/A,FALSE,"정공"}</definedName>
    <definedName name="삼성2" hidden="1">{#N/A,#N/A,FALSE,"정공"}</definedName>
    <definedName name="삽입추가2" localSheetId="14" hidden="1">{#N/A,#N/A,FALSE,"정공"}</definedName>
    <definedName name="삽입추가2" hidden="1">{#N/A,#N/A,FALSE,"정공"}</definedName>
    <definedName name="상" hidden="1">{#N/A,#N/A,FALSE,"PART-1234-8-12-9(41)";#N/A,#N/A,FALSE,"PARTS-2(3)";#N/A,#N/A,FALSE,"VAN SYSTEM";#N/A,#N/A,FALSE,"PARTS-10(26)";#N/A,#N/A,FALSE,"PART-5-6-7-11(14)";#N/A,#N/A,FALSE,"PARTS-4(3)";#N/A,#N/A,FALSE,"PCLASS"}</definedName>
    <definedName name="상로허호" localSheetId="14" hidden="1">{#N/A,#N/A,FALSE,"정공"}</definedName>
    <definedName name="상로허호" hidden="1">{#N/A,#N/A,FALSE,"정공"}</definedName>
    <definedName name="상록"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상록"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localSheetId="14" hidden="1">{#N/A,#N/A,FALSE,"단축1";#N/A,#N/A,FALSE,"단축2";#N/A,#N/A,FALSE,"단축3";#N/A,#N/A,FALSE,"장축";#N/A,#N/A,FALSE,"4WD"}</definedName>
    <definedName name="상반기" hidden="1">{#N/A,#N/A,FALSE,"단축1";#N/A,#N/A,FALSE,"단축2";#N/A,#N/A,FALSE,"단축3";#N/A,#N/A,FALSE,"장축";#N/A,#N/A,FALSE,"4WD"}</definedName>
    <definedName name="상반기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상반기1" hidden="1">{#N/A,#N/A,FALSE,"손익표지";#N/A,#N/A,FALSE,"손익계산";#N/A,#N/A,FALSE,"일반관리비";#N/A,#N/A,FALSE,"영업외수익";#N/A,#N/A,FALSE,"영업외비용";#N/A,#N/A,FALSE,"매출액";#N/A,#N/A,FALSE,"요약손익";#N/A,#N/A,FALSE,"요약대차";#N/A,#N/A,FALSE,"매출채권현황";#N/A,#N/A,FALSE,"매출채권명세"}</definedName>
    <definedName name="상반기22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상반기222" hidden="1">{#N/A,#N/A,FALSE,"손익표지";#N/A,#N/A,FALSE,"손익계산";#N/A,#N/A,FALSE,"일반관리비";#N/A,#N/A,FALSE,"영업외수익";#N/A,#N/A,FALSE,"영업외비용";#N/A,#N/A,FALSE,"매출액";#N/A,#N/A,FALSE,"요약손익";#N/A,#N/A,FALSE,"요약대차";#N/A,#N/A,FALSE,"매출채권현황";#N/A,#N/A,FALSE,"매출채권명세"}</definedName>
    <definedName name="상반기실적" localSheetId="14" hidden="1">{#N/A,#N/A,FALSE,"KMC최종회의(7월) 자료"}</definedName>
    <definedName name="상반기실적" hidden="1">{#N/A,#N/A,FALSE,"KMC최종회의(7월) 자료"}</definedName>
    <definedName name="상반실분석" localSheetId="14" hidden="1">#REF!</definedName>
    <definedName name="상반실분석" hidden="1">#REF!</definedName>
    <definedName name="상반요인편집" localSheetId="14" hidden="1">{#N/A,#N/A,FALSE,"정공"}</definedName>
    <definedName name="상반요인편집" hidden="1">{#N/A,#N/A,FALSE,"정공"}</definedName>
    <definedName name="상세" localSheetId="14" hidden="1">{#N/A,#N/A,FALSE,"KMC최종회의(7월) 자료"}</definedName>
    <definedName name="상세" hidden="1">{#N/A,#N/A,FALSE,"KMC최종회의(7월) 자료"}</definedName>
    <definedName name="상수도" hidden="1">{#N/A,#N/A,FALSE,"PART-1234-8-12-9(41)";#N/A,#N/A,FALSE,"PARTS-2(3)";#N/A,#N/A,FALSE,"VAN SYSTEM";#N/A,#N/A,FALSE,"PARTS-10(26)";#N/A,#N/A,FALSE,"PART-5-6-7-11(14)";#N/A,#N/A,FALSE,"PARTS-4(3)";#N/A,#N/A,FALSE,"PCLASS"}</definedName>
    <definedName name="상주" hidden="1">{#N/A,#N/A,FALSE,"지침";#N/A,#N/A,FALSE,"환경분석";#N/A,#N/A,FALSE,"Sheet16"}</definedName>
    <definedName name="상주감리" hidden="1">{#N/A,#N/A,FALSE,"지침";#N/A,#N/A,FALSE,"환경분석";#N/A,#N/A,FALSE,"Sheet16"}</definedName>
    <definedName name="상품" localSheetId="14" hidden="1">{#N/A,#N/A,FALSE,"Sheet5"}</definedName>
    <definedName name="상품" localSheetId="13" hidden="1">{#N/A,#N/A,FALSE,"Sheet5"}</definedName>
    <definedName name="상품" hidden="1">{#N/A,#N/A,FALSE,"Sheet5"}</definedName>
    <definedName name="상품별" localSheetId="14" hidden="1">{"'5'!$A$1:$BB$147"}</definedName>
    <definedName name="상품별" hidden="1">{"'5'!$A$1:$BB$147"}</definedName>
    <definedName name="상품별연체율추이" localSheetId="14" hidden="1">{"'5'!$A$1:$BB$147"}</definedName>
    <definedName name="상품별연체율추이" hidden="1">{"'5'!$A$1:$BB$147"}</definedName>
    <definedName name="상품성1" localSheetId="14" hidden="1">{#N/A,#N/A,FALSE,"단축1";#N/A,#N/A,FALSE,"단축2";#N/A,#N/A,FALSE,"단축3";#N/A,#N/A,FALSE,"장축";#N/A,#N/A,FALSE,"4WD"}</definedName>
    <definedName name="상품성1" hidden="1">{#N/A,#N/A,FALSE,"단축1";#N/A,#N/A,FALSE,"단축2";#N/A,#N/A,FALSE,"단축3";#N/A,#N/A,FALSE,"장축";#N/A,#N/A,FALSE,"4WD"}</definedName>
    <definedName name="상품성보고" localSheetId="14" hidden="1">#REF!</definedName>
    <definedName name="상품성보고" hidden="1">#REF!</definedName>
    <definedName name="상품원가" localSheetId="14" hidden="1">{#N/A,#N/A,FALSE,"Sheet5"}</definedName>
    <definedName name="상품원가" localSheetId="13" hidden="1">{#N/A,#N/A,FALSE,"Sheet5"}</definedName>
    <definedName name="상품원가" hidden="1">{#N/A,#N/A,FALSE,"Sheet5"}</definedName>
    <definedName name="새" localSheetId="14" hidden="1">{#N/A,#N/A,FALSE,"Aging Summary";#N/A,#N/A,FALSE,"Ratio Analysis";#N/A,#N/A,FALSE,"Test 120 Day Accts";#N/A,#N/A,FALSE,"Tickmarks"}</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로" localSheetId="14" hidden="1">{#N/A,#N/A,FALSE,"KMC최종회의(7월) 자료"}</definedName>
    <definedName name="새로" hidden="1">{#N/A,#N/A,FALSE,"KMC최종회의(7월) 자료"}</definedName>
    <definedName name="새로운" localSheetId="14" hidden="1">{#N/A,#N/A,FALSE,"단축1";#N/A,#N/A,FALSE,"단축2";#N/A,#N/A,FALSE,"단축3";#N/A,#N/A,FALSE,"장축";#N/A,#N/A,FALSE,"4WD"}</definedName>
    <definedName name="새로운" hidden="1">{#N/A,#N/A,FALSE,"단축1";#N/A,#N/A,FALSE,"단축2";#N/A,#N/A,FALSE,"단축3";#N/A,#N/A,FALSE,"장축";#N/A,#N/A,FALSE,"4WD"}</definedName>
    <definedName name="새새샛" localSheetId="14" hidden="1">{"'미착금액'!$A$4:$G$14"}</definedName>
    <definedName name="새새샛" localSheetId="13" hidden="1">{"'미착금액'!$A$4:$G$14"}</definedName>
    <definedName name="새새샛" hidden="1">{"'미착금액'!$A$4:$G$14"}</definedName>
    <definedName name="새세" localSheetId="14" hidden="1">{#N/A,#N/A,FALSE,"단축1";#N/A,#N/A,FALSE,"단축2";#N/A,#N/A,FALSE,"단축3";#N/A,#N/A,FALSE,"장축";#N/A,#N/A,FALSE,"4WD"}</definedName>
    <definedName name="새세" hidden="1">{#N/A,#N/A,FALSE,"단축1";#N/A,#N/A,FALSE,"단축2";#N/A,#N/A,FALSE,"단축3";#N/A,#N/A,FALSE,"장축";#N/A,#N/A,FALSE,"4WD"}</definedName>
    <definedName name="새이름" localSheetId="14" hidden="1">{#N/A,#N/A,FALSE,"97년 투자계획 세부내역 "}</definedName>
    <definedName name="새이름" hidden="1">[88]수정시산표!#REF!</definedName>
    <definedName name="새파일편집" localSheetId="14" hidden="1">{#N/A,#N/A,FALSE,"정공"}</definedName>
    <definedName name="새파일편집" hidden="1">{#N/A,#N/A,FALSE,"정공"}</definedName>
    <definedName name="생기" localSheetId="14" hidden="1">{#N/A,#N/A,FALSE,"KMC최종회의(7월) 자료"}</definedName>
    <definedName name="생기" hidden="1">{#N/A,#N/A,FALSE,"KMC최종회의(7월) 자료"}</definedName>
    <definedName name="생기수정" localSheetId="14" hidden="1">{#N/A,#N/A,FALSE,"KMC최종회의(7월) 자료"}</definedName>
    <definedName name="생기수정" hidden="1">{#N/A,#N/A,FALSE,"KMC최종회의(7월) 자료"}</definedName>
    <definedName name="생기종합수정MH" localSheetId="14" hidden="1">{#N/A,#N/A,FALSE,"KMC최종회의(7월) 자료"}</definedName>
    <definedName name="생기종합수정MH" hidden="1">{#N/A,#N/A,FALSE,"KMC최종회의(7월) 자료"}</definedName>
    <definedName name="생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생산"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TON" localSheetId="14" hidden="1">{#N/A,#N/A,TRUE,"Y생산";#N/A,#N/A,TRUE,"Y판매";#N/A,#N/A,TRUE,"Y총물량";#N/A,#N/A,TRUE,"Y능력";#N/A,#N/A,TRUE,"YKD"}</definedName>
    <definedName name="생산TON" hidden="1">{#N/A,#N/A,TRUE,"Y생산";#N/A,#N/A,TRUE,"Y판매";#N/A,#N/A,TRUE,"Y총물량";#N/A,#N/A,TRUE,"Y능력";#N/A,#N/A,TRUE,"YKD"}</definedName>
    <definedName name="생산능력" localSheetId="14" hidden="1">{#N/A,#N/A,FALSE,"정공"}</definedName>
    <definedName name="생산능력" hidden="1">{#N/A,#N/A,FALSE,"정공"}</definedName>
    <definedName name="생산부문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생산부문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14" hidden="1">{#N/A,#N/A,FALSE,"KMC최종회의(7월) 자료"}</definedName>
    <definedName name="생산성" hidden="1">{#N/A,#N/A,FALSE,"KMC최종회의(7월) 자료"}</definedName>
    <definedName name="생산성향상" localSheetId="14" hidden="1">{#N/A,#N/A,TRUE,"Y생산";#N/A,#N/A,TRUE,"Y판매";#N/A,#N/A,TRUE,"Y총물량";#N/A,#N/A,TRUE,"Y능력";#N/A,#N/A,TRUE,"YKD"}</definedName>
    <definedName name="생산성향상" hidden="1">{#N/A,#N/A,TRUE,"Y생산";#N/A,#N/A,TRUE,"Y판매";#N/A,#N/A,TRUE,"Y총물량";#N/A,#N/A,TRUE,"Y능력";#N/A,#N/A,TRUE,"YKD"}</definedName>
    <definedName name="생산손익" localSheetId="14" hidden="1">{#N/A,#N/A,FALSE,"정공"}</definedName>
    <definedName name="생산손익" hidden="1">{#N/A,#N/A,FALSE,"정공"}</definedName>
    <definedName name="생산직실적" localSheetId="14" hidden="1">{#N/A,#N/A,FALSE,"KMC최종회의(7월) 자료"}</definedName>
    <definedName name="생산직실적" hidden="1">{#N/A,#N/A,FALSE,"KMC최종회의(7월) 자료"}</definedName>
    <definedName name="생산품목" localSheetId="14" hidden="1">{#N/A,#N/A,FALSE,"정공"}</definedName>
    <definedName name="생산품목" hidden="1">{#N/A,#N/A,FALSE,"정공"}</definedName>
    <definedName name="서" localSheetId="14" hidden="1">{#N/A,#N/A,FALSE,"96 3월물량표";#N/A,#N/A,FALSE,"96 4월물량표";#N/A,#N/A,FALSE,"96 5월물량표"}</definedName>
    <definedName name="서" hidden="1">{#N/A,#N/A,FALSE,"96 3월물량표";#N/A,#N/A,FALSE,"96 4월물량표";#N/A,#N/A,FALSE,"96 5월물량표"}</definedName>
    <definedName name="서광" localSheetId="14" hidden="1">{"'5'!$A$1:$BB$147"}</definedName>
    <definedName name="서광" hidden="1">{"'5'!$A$1:$BB$147"}</definedName>
    <definedName name="서교원" localSheetId="14" hidden="1">{#N/A,#N/A,TRUE,"Y생산";#N/A,#N/A,TRUE,"Y판매";#N/A,#N/A,TRUE,"Y총물량";#N/A,#N/A,TRUE,"Y능력";#N/A,#N/A,TRUE,"YKD"}</definedName>
    <definedName name="서교원" hidden="1">{#N/A,#N/A,TRUE,"Y생산";#N/A,#N/A,TRUE,"Y판매";#N/A,#N/A,TRUE,"Y총물량";#N/A,#N/A,TRUE,"Y능력";#N/A,#N/A,TRUE,"YKD"}</definedName>
    <definedName name="서기창" hidden="1">{#N/A,#N/A,FALSE,"97년 투자계획 세부내역 "}</definedName>
    <definedName name="서대원" localSheetId="14" hidden="1">{"'5'!$A$1:$BB$147"}</definedName>
    <definedName name="서대원" hidden="1">{"'5'!$A$1:$BB$147"}</definedName>
    <definedName name="서미선" localSheetId="14" hidden="1">{"'5'!$A$1:$BB$147"}</definedName>
    <definedName name="서미선" hidden="1">{"'5'!$A$1:$BB$147"}</definedName>
    <definedName name="서미선1" localSheetId="14" hidden="1">{"'5'!$A$1:$BB$147"}</definedName>
    <definedName name="서미선1" hidden="1">{"'5'!$A$1:$BB$147"}</definedName>
    <definedName name="서미선10" localSheetId="14" hidden="1">{"'5'!$A$1:$BB$147"}</definedName>
    <definedName name="서미선10" hidden="1">{"'5'!$A$1:$BB$147"}</definedName>
    <definedName name="서미선2" localSheetId="14" hidden="1">{"'5'!$A$1:$BB$147"}</definedName>
    <definedName name="서미선2" hidden="1">{"'5'!$A$1:$BB$147"}</definedName>
    <definedName name="서미선3" localSheetId="14" hidden="1">{"'5'!$A$1:$BB$147"}</definedName>
    <definedName name="서미선3" hidden="1">{"'5'!$A$1:$BB$147"}</definedName>
    <definedName name="서미선4" localSheetId="14" hidden="1">{"'5'!$A$1:$BB$147"}</definedName>
    <definedName name="서미선4" hidden="1">{"'5'!$A$1:$BB$147"}</definedName>
    <definedName name="서미선5" localSheetId="14" hidden="1">{"'5'!$A$1:$BB$147"}</definedName>
    <definedName name="서미선5" hidden="1">{"'5'!$A$1:$BB$147"}</definedName>
    <definedName name="서미선6" localSheetId="14" hidden="1">{"'5'!$A$1:$BB$147"}</definedName>
    <definedName name="서미선6" hidden="1">{"'5'!$A$1:$BB$147"}</definedName>
    <definedName name="서미선서미선" localSheetId="14" hidden="1">{"'5'!$A$1:$BB$147"}</definedName>
    <definedName name="서미선서미선" hidden="1">{"'5'!$A$1:$BB$147"}</definedName>
    <definedName name="서비스" localSheetId="14"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서술요약" localSheetId="14" hidden="1">{#N/A,#N/A,FALSE,"정공"}</definedName>
    <definedName name="서술요약" hidden="1">{#N/A,#N/A,FALSE,"정공"}</definedName>
    <definedName name="서승수" localSheetId="14" hidden="1">{#N/A,#N/A,TRUE,"Y생산";#N/A,#N/A,TRUE,"Y판매";#N/A,#N/A,TRUE,"Y총물량";#N/A,#N/A,TRUE,"Y능력";#N/A,#N/A,TRUE,"YKD"}</definedName>
    <definedName name="서승수" hidden="1">{#N/A,#N/A,TRUE,"Y생산";#N/A,#N/A,TRUE,"Y판매";#N/A,#N/A,TRUE,"Y총물량";#N/A,#N/A,TRUE,"Y능력";#N/A,#N/A,TRUE,"YKD"}</definedName>
    <definedName name="서울" hidden="1">{#N/A,#N/A,FALSE,"지침";#N/A,#N/A,FALSE,"환경분석";#N/A,#N/A,FALSE,"Sheet16"}</definedName>
    <definedName name="서울표지" localSheetId="14" hidden="1">#REF!</definedName>
    <definedName name="서울표지" hidden="1">#REF!</definedName>
    <definedName name="서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서주" hidden="1">{#N/A,#N/A,FALSE,"손익표지";#N/A,#N/A,FALSE,"손익계산";#N/A,#N/A,FALSE,"일반관리비";#N/A,#N/A,FALSE,"영업외수익";#N/A,#N/A,FALSE,"영업외비용";#N/A,#N/A,FALSE,"매출액";#N/A,#N/A,FALSE,"요약손익";#N/A,#N/A,FALSE,"요약대차";#N/A,#N/A,FALSE,"매출채권현황";#N/A,#N/A,FALSE,"매출채권명세"}</definedName>
    <definedName name="석빈" localSheetId="14" hidden="1">{#N/A,#N/A,FALSE,"단축1";#N/A,#N/A,FALSE,"단축2";#N/A,#N/A,FALSE,"단축3";#N/A,#N/A,FALSE,"장축";#N/A,#N/A,FALSE,"4WD"}</definedName>
    <definedName name="석빈" hidden="1">{#N/A,#N/A,FALSE,"단축1";#N/A,#N/A,FALSE,"단축2";#N/A,#N/A,FALSE,"단축3";#N/A,#N/A,FALSE,"장축";#N/A,#N/A,FALSE,"4WD"}</definedName>
    <definedName name="석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석주" hidden="1">{#N/A,#N/A,FALSE,"손익표지";#N/A,#N/A,FALSE,"손익계산";#N/A,#N/A,FALSE,"일반관리비";#N/A,#N/A,FALSE,"영업외수익";#N/A,#N/A,FALSE,"영업외비용";#N/A,#N/A,FALSE,"매출액";#N/A,#N/A,FALSE,"요약손익";#N/A,#N/A,FALSE,"요약대차";#N/A,#N/A,FALSE,"매출채권현황";#N/A,#N/A,FALSE,"매출채권명세"}</definedName>
    <definedName name="석주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석주1" hidden="1">{#N/A,#N/A,FALSE,"손익표지";#N/A,#N/A,FALSE,"손익계산";#N/A,#N/A,FALSE,"일반관리비";#N/A,#N/A,FALSE,"영업외수익";#N/A,#N/A,FALSE,"영업외비용";#N/A,#N/A,FALSE,"매출액";#N/A,#N/A,FALSE,"요약손익";#N/A,#N/A,FALSE,"요약대차";#N/A,#N/A,FALSE,"매출채권현황";#N/A,#N/A,FALSE,"매출채권명세"}</definedName>
    <definedName name="선" hidden="1">{#N/A,#N/A,FALSE,"지침";#N/A,#N/A,FALSE,"환경분석";#N/A,#N/A,FALSE,"Sheet16"}</definedName>
    <definedName name="선급반영"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선급반영" hidden="1">{#N/A,#N/A,FALSE,"손익표지";#N/A,#N/A,FALSE,"손익계산";#N/A,#N/A,FALSE,"일반관리비";#N/A,#N/A,FALSE,"영업외수익";#N/A,#N/A,FALSE,"영업외비용";#N/A,#N/A,FALSE,"매출액";#N/A,#N/A,FALSE,"요약손익";#N/A,#N/A,FALSE,"요약대차";#N/A,#N/A,FALSE,"매출채권현황";#N/A,#N/A,FALSE,"매출채권명세"}</definedName>
    <definedName name="선급비용" localSheetId="1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선급비용" hidden="1">{#N/A,#N/A,FALSE,"KMC최종회의(7월) 자료"}</definedName>
    <definedName name="선민" hidden="1">{#N/A,#N/A,FALSE,"지침";#N/A,#N/A,FALSE,"환경분석";#N/A,#N/A,FALSE,"Sheet16"}</definedName>
    <definedName name="선입선출법" localSheetId="14" hidden="1">[89]수정시산표!#REF!</definedName>
    <definedName name="선입선출법" hidden="1">[84]수정시산표!#REF!</definedName>
    <definedName name="선택" hidden="1">{#N/A,#N/A,FALSE,"지침";#N/A,#N/A,FALSE,"환경분석";#N/A,#N/A,FALSE,"Sheet16"}</definedName>
    <definedName name="설" localSheetId="14" hidden="1">{#N/A,#N/A,FALSE,"KMC최종회의(7월) 자료"}</definedName>
    <definedName name="설" hidden="1">{#N/A,#N/A,FALSE,"KMC최종회의(7월) 자료"}</definedName>
    <definedName name="설계FMEA" localSheetId="14" hidden="1">{#N/A,#N/A,FALSE,"단축1";#N/A,#N/A,FALSE,"단축2";#N/A,#N/A,FALSE,"단축3";#N/A,#N/A,FALSE,"장축";#N/A,#N/A,FALSE,"4WD"}</definedName>
    <definedName name="설계FMEA" hidden="1">{#N/A,#N/A,FALSE,"단축1";#N/A,#N/A,FALSE,"단축2";#N/A,#N/A,FALSE,"단축3";#N/A,#N/A,FALSE,"장축";#N/A,#N/A,FALSE,"4WD"}</definedName>
    <definedName name="설명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변" localSheetId="14" hidden="1">{#N/A,#N/A,FALSE,"KMC최종회의(7월) 자료"}</definedName>
    <definedName name="설변" hidden="1">{#N/A,#N/A,FALSE,"KMC최종회의(7월) 자료"}</definedName>
    <definedName name="설변1" localSheetId="14" hidden="1">{#N/A,#N/A,FALSE,"KMC최종회의(7월) 자료"}</definedName>
    <definedName name="설변1" hidden="1">{#N/A,#N/A,FALSE,"KMC최종회의(7월) 자료"}</definedName>
    <definedName name="설비가동율계획" localSheetId="14" hidden="1">{#N/A,#N/A,FALSE,"KMC최종회의(7월) 자료"}</definedName>
    <definedName name="설비가동율계획" hidden="1">{#N/A,#N/A,FALSE,"KMC최종회의(7월) 자료"}</definedName>
    <definedName name="설비절감방안" localSheetId="14" hidden="1">{#N/A,#N/A,FALSE,"단축1";#N/A,#N/A,FALSE,"단축2";#N/A,#N/A,FALSE,"단축3";#N/A,#N/A,FALSE,"장축";#N/A,#N/A,FALSE,"4WD"}</definedName>
    <definedName name="설비절감방안" hidden="1">{#N/A,#N/A,FALSE,"단축1";#N/A,#N/A,FALSE,"단축2";#N/A,#N/A,FALSE,"단축3";#N/A,#N/A,FALSE,"장축";#N/A,#N/A,FALSE,"4WD"}</definedName>
    <definedName name="설비투자" localSheetId="14" hidden="1">{#N/A,#N/A,FALSE,"정공"}</definedName>
    <definedName name="설비투자" hidden="1">{#N/A,#N/A,FALSE,"정공"}</definedName>
    <definedName name="설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성" hidden="1">{#N/A,#N/A,FALSE,"손익표지";#N/A,#N/A,FALSE,"손익계산";#N/A,#N/A,FALSE,"일반관리비";#N/A,#N/A,FALSE,"영업외수익";#N/A,#N/A,FALSE,"영업외비용";#N/A,#N/A,FALSE,"매출액";#N/A,#N/A,FALSE,"요약손익";#N/A,#N/A,FALSE,"요약대차";#N/A,#N/A,FALSE,"매출채권현황";#N/A,#N/A,FALSE,"매출채권명세"}</definedName>
    <definedName name="성공" hidden="1">{#N/A,#N/A,FALSE,"97년 투자계획 세부내역 "}</definedName>
    <definedName name="세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세계" hidden="1">{#N/A,#N/A,FALSE,"손익표지";#N/A,#N/A,FALSE,"손익계산";#N/A,#N/A,FALSE,"일반관리비";#N/A,#N/A,FALSE,"영업외수익";#N/A,#N/A,FALSE,"영업외비용";#N/A,#N/A,FALSE,"매출액";#N/A,#N/A,FALSE,"요약손익";#N/A,#N/A,FALSE,"요약대차";#N/A,#N/A,FALSE,"매출채권현황";#N/A,#N/A,FALSE,"매출채권명세"}</definedName>
    <definedName name="세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세부" hidden="1">{#N/A,#N/A,FALSE,"손익표지";#N/A,#N/A,FALSE,"손익계산";#N/A,#N/A,FALSE,"일반관리비";#N/A,#N/A,FALSE,"영업외수익";#N/A,#N/A,FALSE,"영업외비용";#N/A,#N/A,FALSE,"매출액";#N/A,#N/A,FALSE,"요약손익";#N/A,#N/A,FALSE,"요약대차";#N/A,#N/A,FALSE,"매출채권현황";#N/A,#N/A,FALSE,"매출채권명세"}</definedName>
    <definedName name="세부내용"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세부생산계획" localSheetId="14" hidden="1">{#N/A,#N/A,TRUE,"Y생산";#N/A,#N/A,TRUE,"Y판매";#N/A,#N/A,TRUE,"Y총물량";#N/A,#N/A,TRUE,"Y능력";#N/A,#N/A,TRUE,"YKD"}</definedName>
    <definedName name="세부생산계획" hidden="1">{#N/A,#N/A,TRUE,"Y생산";#N/A,#N/A,TRUE,"Y판매";#N/A,#N/A,TRUE,"Y총물량";#N/A,#N/A,TRUE,"Y능력";#N/A,#N/A,TRUE,"YKD"}</definedName>
    <definedName name="세부월별" localSheetId="14" hidden="1">{#N/A,#N/A,FALSE,"정공"}</definedName>
    <definedName name="세부월별" hidden="1">{#N/A,#N/A,FALSE,"정공"}</definedName>
    <definedName name="세부일정" localSheetId="14" hidden="1">{#N/A,#N/A,FALSE,"단축1";#N/A,#N/A,FALSE,"단축2";#N/A,#N/A,FALSE,"단축3";#N/A,#N/A,FALSE,"장축";#N/A,#N/A,FALSE,"4WD"}</definedName>
    <definedName name="세부일정" hidden="1">{#N/A,#N/A,FALSE,"단축1";#N/A,#N/A,FALSE,"단축2";#N/A,#N/A,FALSE,"단축3";#N/A,#N/A,FALSE,"장축";#N/A,#N/A,FALSE,"4WD"}</definedName>
    <definedName name="세부일정.1" localSheetId="14" hidden="1">{#N/A,#N/A,FALSE,"단축1";#N/A,#N/A,FALSE,"단축2";#N/A,#N/A,FALSE,"단축3";#N/A,#N/A,FALSE,"장축";#N/A,#N/A,FALSE,"4WD"}</definedName>
    <definedName name="세부일정.1" hidden="1">{#N/A,#N/A,FALSE,"단축1";#N/A,#N/A,FALSE,"단축2";#N/A,#N/A,FALSE,"단축3";#N/A,#N/A,FALSE,"장축";#N/A,#N/A,FALSE,"4WD"}</definedName>
    <definedName name="세부절감명세서" localSheetId="14" hidden="1">{#N/A,#N/A,FALSE,"정공"}</definedName>
    <definedName name="세부절감명세서" hidden="1">{#N/A,#N/A,FALSE,"정공"}</definedName>
    <definedName name="세부추진" localSheetId="14" hidden="1">{#N/A,#N/A,FALSE,"정공"}</definedName>
    <definedName name="세부추진" hidden="1">{#N/A,#N/A,FALSE,"정공"}</definedName>
    <definedName name="세부항목">OFFSET([63]참조!$C$2,MATCH(INDIRECT(ADDRESS(ROW(),COLUMN()-1,4)),[63]참조!$C$1:$C$65536,0)-2,1,COUNTIF([63]참조!$C$1:$C$65536,INDIRECT(ADDRESS(ROW(),COLUMN()-1,4))),1)</definedName>
    <definedName name="세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세연"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욱">#REF!</definedName>
    <definedName name="세전익익" hidden="1">{#N/A,#N/A,FALSE,"지침";#N/A,#N/A,FALSE,"환경분석";#N/A,#N/A,FALSE,"Sheet16"}</definedName>
    <definedName name="세종">'[90]Job Assign'!$A$1</definedName>
    <definedName name="세피아축소" localSheetId="14" hidden="1">{#N/A,#N/A,TRUE,"Y생산";#N/A,#N/A,TRUE,"Y판매";#N/A,#N/A,TRUE,"Y총물량";#N/A,#N/A,TRUE,"Y능력";#N/A,#N/A,TRUE,"YKD"}</definedName>
    <definedName name="세피아축소" hidden="1">{#N/A,#N/A,TRUE,"Y생산";#N/A,#N/A,TRUE,"Y판매";#N/A,#N/A,TRUE,"Y총물량";#N/A,#N/A,TRUE,"Y능력";#N/A,#N/A,TRUE,"YKD"}</definedName>
    <definedName name="셀리카" localSheetId="14" hidden="1">#REF!</definedName>
    <definedName name="셀리카" hidden="1">#REF!</definedName>
    <definedName name="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소"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득구분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소뮨" localSheetId="14" hidden="1">{#N/A,#N/A,FALSE,"단축1";#N/A,#N/A,FALSE,"단축2";#N/A,#N/A,FALSE,"단축3";#N/A,#N/A,FALSE,"장축";#N/A,#N/A,FALSE,"4WD"}</definedName>
    <definedName name="소뮨" hidden="1">{#N/A,#N/A,FALSE,"단축1";#N/A,#N/A,FALSE,"단축2";#N/A,#N/A,FALSE,"단축3";#N/A,#N/A,FALSE,"장축";#N/A,#N/A,FALSE,"4WD"}</definedName>
    <definedName name="销售计划" hidden="1">#REF!</definedName>
    <definedName name="소요금액" localSheetId="14" hidden="1">{#N/A,#N/A,FALSE,"단축1";#N/A,#N/A,FALSE,"단축2";#N/A,#N/A,FALSE,"단축3";#N/A,#N/A,FALSE,"장축";#N/A,#N/A,FALSE,"4WD"}</definedName>
    <definedName name="소요금액" hidden="1">{#N/A,#N/A,FALSE,"단축1";#N/A,#N/A,FALSE,"단축2";#N/A,#N/A,FALSE,"단축3";#N/A,#N/A,FALSE,"장축";#N/A,#N/A,FALSE,"4WD"}</definedName>
    <definedName name="소요기간" localSheetId="14" hidden="1">{#N/A,#N/A,FALSE,"정공"}</definedName>
    <definedName name="소요기간" hidden="1">{#N/A,#N/A,FALSE,"정공"}</definedName>
    <definedName name="소집통지서">#REF!</definedName>
    <definedName name="소하프로젝트" localSheetId="14" hidden="1">{#N/A,#N/A,FALSE,"단축1";#N/A,#N/A,FALSE,"단축2";#N/A,#N/A,FALSE,"단축3";#N/A,#N/A,FALSE,"장축";#N/A,#N/A,FALSE,"4WD"}</definedName>
    <definedName name="소하프로젝트" hidden="1">{#N/A,#N/A,FALSE,"단축1";#N/A,#N/A,FALSE,"단축2";#N/A,#N/A,FALSE,"단축3";#N/A,#N/A,FALSE,"장축";#N/A,#N/A,FALSE,"4WD"}</definedName>
    <definedName name="소화주철장판" localSheetId="14" hidden="1">{#N/A,#N/A,FALSE,"단축1";#N/A,#N/A,FALSE,"단축2";#N/A,#N/A,FALSE,"단축3";#N/A,#N/A,FALSE,"장축";#N/A,#N/A,FALSE,"4WD"}</definedName>
    <definedName name="소화주철장판" hidden="1">{#N/A,#N/A,FALSE,"단축1";#N/A,#N/A,FALSE,"단축2";#N/A,#N/A,FALSE,"단축3";#N/A,#N/A,FALSE,"장축";#N/A,#N/A,FALSE,"4WD"}</definedName>
    <definedName name="소ㅓ" localSheetId="14" hidden="1">{#N/A,#N/A,FALSE,"KMC최종회의(7월) 자료"}</definedName>
    <definedName name="소ㅓ" hidden="1">{#N/A,#N/A,FALSE,"KMC최종회의(7월) 자료"}</definedName>
    <definedName name="소ㅜㅛㅕㅓㅓㅕ" localSheetId="14" hidden="1">{#N/A,#N/A,FALSE,"KMC최종회의(7월) 자료"}</definedName>
    <definedName name="소ㅜㅛㅕㅓㅓㅕ" hidden="1">{#N/A,#N/A,FALSE,"KMC최종회의(7월) 자료"}</definedName>
    <definedName name="손"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익" localSheetId="14" hidden="1">{"'10_03일자별'!$A$2:$H$31"}</definedName>
    <definedName name="손익" localSheetId="13" hidden="1">{"'10_03일자별'!$A$2:$H$31"}</definedName>
    <definedName name="손익" localSheetId="31">#REF!</definedName>
    <definedName name="손익" hidden="1">{"'10_03일자별'!$A$2:$H$31"}</definedName>
    <definedName name="손익2"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손익22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22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3"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3" hidden="1">{#N/A,#N/A,FALSE,"손익표지";#N/A,#N/A,FALSE,"손익계산";#N/A,#N/A,FALSE,"일반관리비";#N/A,#N/A,FALSE,"영업외수익";#N/A,#N/A,FALSE,"영업외비용";#N/A,#N/A,FALSE,"매출액";#N/A,#N/A,FALSE,"요약손익";#N/A,#N/A,FALSE,"요약대차";#N/A,#N/A,FALSE,"매출채권현황";#N/A,#N/A,FALSE,"매출채권명세"}</definedName>
    <definedName name="손익4"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4"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8월">#REF!</definedName>
    <definedName name="손익계">[91]감가상각!$B$58</definedName>
    <definedName name="손익계산" localSheetId="14" hidden="1">{#N/A,#N/A,FALSE,"정공"}</definedName>
    <definedName name="손익계산" hidden="1">{#N/A,#N/A,FALSE,"정공"}</definedName>
    <definedName name="손익계산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손익관리2" localSheetId="14" hidden="1">{#N/A,#N/A,FALSE,"정공"}</definedName>
    <definedName name="손익관리2" hidden="1">{#N/A,#N/A,FALSE,"정공"}</definedName>
    <definedName name="손익구분" localSheetId="14" hidden="1">#REF!</definedName>
    <definedName name="손익구분" hidden="1">#REF!</definedName>
    <definedName name="손익두번째" hidden="1">{#N/A,#N/A,FALSE,"PART-1234-8-12-9(41)";#N/A,#N/A,FALSE,"PARTS-2(3)";#N/A,#N/A,FALSE,"VAN SYSTEM";#N/A,#N/A,FALSE,"PARTS-10(26)";#N/A,#N/A,FALSE,"PART-5-6-7-11(14)";#N/A,#N/A,FALSE,"PARTS-4(3)";#N/A,#N/A,FALSE,"PCLASS"}</definedName>
    <definedName name="손익변경" hidden="1">{#N/A,#N/A,FALSE,"지침";#N/A,#N/A,FALSE,"환경분석";#N/A,#N/A,FALSE,"Sheet16"}</definedName>
    <definedName name="손익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곡"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분석"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분석" hidden="1">{#N/A,#N/A,FALSE,"손익표지";#N/A,#N/A,FALSE,"손익계산";#N/A,#N/A,FALSE,"일반관리비";#N/A,#N/A,FALSE,"영업외수익";#N/A,#N/A,FALSE,"영업외비용";#N/A,#N/A,FALSE,"매출액";#N/A,#N/A,FALSE,"요약손익";#N/A,#N/A,FALSE,"요약대차";#N/A,#N/A,FALSE,"매출채권현황";#N/A,#N/A,FALSE,"매출채권명세"}</definedName>
    <definedName name="손익비교22" localSheetId="14" hidden="1">{#N/A,#N/A,FALSE,"정공"}</definedName>
    <definedName name="손익비교22" hidden="1">{#N/A,#N/A,FALSE,"정공"}</definedName>
    <definedName name="손익비교표b" localSheetId="14" hidden="1">{#N/A,#N/A,FALSE,"정공"}</definedName>
    <definedName name="손익비교표b" hidden="1">{#N/A,#N/A,FALSE,"정공"}</definedName>
    <definedName name="손익사업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손익사업부" hidden="1">{#N/A,#N/A,FALSE,"손익표지";#N/A,#N/A,FALSE,"손익계산";#N/A,#N/A,FALSE,"일반관리비";#N/A,#N/A,FALSE,"영업외수익";#N/A,#N/A,FALSE,"영업외비용";#N/A,#N/A,FALSE,"매출액";#N/A,#N/A,FALSE,"요약손익";#N/A,#N/A,FALSE,"요약대차";#N/A,#N/A,FALSE,"매출채권현황";#N/A,#N/A,FALSE,"매출채권명세"}</definedName>
    <definedName name="손익양식0903" localSheetId="14" hidden="1">{#N/A,#N/A,FALSE,"정공"}</definedName>
    <definedName name="손익양식0903" hidden="1">{#N/A,#N/A,FALSE,"정공"}</definedName>
    <definedName name="손익종합2" localSheetId="14" hidden="1">{#N/A,#N/A,FALSE,"정공"}</definedName>
    <definedName name="손익종합2" hidden="1">{#N/A,#N/A,FALSE,"정공"}</definedName>
    <definedName name="솔" localSheetId="14" hidden="1">{#N/A,#N/A,FALSE,"KMC최종회의(7월) 자료"}</definedName>
    <definedName name="솔" hidden="1">{#N/A,#N/A,FALSE,"KMC최종회의(7월) 자료"}</definedName>
    <definedName name="송" localSheetId="14" hidden="1">{#N/A,#N/A,TRUE,"Y생산";#N/A,#N/A,TRUE,"Y판매";#N/A,#N/A,TRUE,"Y총물량";#N/A,#N/A,TRUE,"Y능력";#N/A,#N/A,TRUE,"YKD"}</definedName>
    <definedName name="송" hidden="1">{#N/A,#N/A,TRUE,"Y생산";#N/A,#N/A,TRUE,"Y판매";#N/A,#N/A,TRUE,"Y총물량";#N/A,#N/A,TRUE,"Y능력";#N/A,#N/A,TRUE,"YKD"}</definedName>
    <definedName name="송익" localSheetId="14" hidden="1">{#N/A,#N/A,FALSE,"정공"}</definedName>
    <definedName name="송익" hidden="1">{#N/A,#N/A,FALSE,"정공"}</definedName>
    <definedName name="송창기" localSheetId="14" hidden="1">{#N/A,#N/A,TRUE,"Y생산";#N/A,#N/A,TRUE,"Y판매";#N/A,#N/A,TRUE,"Y총물량";#N/A,#N/A,TRUE,"Y능력";#N/A,#N/A,TRUE,"YKD"}</definedName>
    <definedName name="송창기" hidden="1">{#N/A,#N/A,TRUE,"Y생산";#N/A,#N/A,TRUE,"Y판매";#N/A,#N/A,TRUE,"Y총물량";#N/A,#N/A,TRUE,"Y능력";#N/A,#N/A,TRUE,"YKD"}</definedName>
    <definedName name="쇼바2" localSheetId="14" hidden="1">{#N/A,#N/A,FALSE,"단축1";#N/A,#N/A,FALSE,"단축2";#N/A,#N/A,FALSE,"단축3";#N/A,#N/A,FALSE,"장축";#N/A,#N/A,FALSE,"4WD"}</definedName>
    <definedName name="쇼바2" hidden="1">{#N/A,#N/A,FALSE,"단축1";#N/A,#N/A,FALSE,"단축2";#N/A,#N/A,FALSE,"단축3";#N/A,#N/A,FALSE,"장축";#N/A,#N/A,FALSE,"4WD"}</definedName>
    <definedName name="쇼ㅏㅓㅘㅡ" localSheetId="14" hidden="1">{#N/A,#N/A,TRUE,"Y생산";#N/A,#N/A,TRUE,"Y판매";#N/A,#N/A,TRUE,"Y총물량";#N/A,#N/A,TRUE,"Y능력";#N/A,#N/A,TRUE,"YKD"}</definedName>
    <definedName name="쇼ㅏㅓㅘㅡ" hidden="1">{#N/A,#N/A,TRUE,"Y생산";#N/A,#N/A,TRUE,"Y판매";#N/A,#N/A,TRUE,"Y총물량";#N/A,#N/A,TRUE,"Y능력";#N/A,#N/A,TRUE,"YKD"}</definedName>
    <definedName name="쇼ㅓ" localSheetId="14" hidden="1">{#N/A,#N/A,FALSE,"96 3월물량표";#N/A,#N/A,FALSE,"96 4월물량표";#N/A,#N/A,FALSE,"96 5월물량표"}</definedName>
    <definedName name="쇼ㅓ" hidden="1">{#N/A,#N/A,FALSE,"96 3월물량표";#N/A,#N/A,FALSE,"96 4월물량표";#N/A,#N/A,FALSE,"96 5월물량표"}</definedName>
    <definedName name="쇼ㅓㅑㅛㅕㅏㅣ" localSheetId="14" hidden="1">{#N/A,#N/A,TRUE,"Y생산";#N/A,#N/A,TRUE,"Y판매";#N/A,#N/A,TRUE,"Y총물량";#N/A,#N/A,TRUE,"Y능력";#N/A,#N/A,TRUE,"YKD"}</definedName>
    <definedName name="쇼ㅓㅑㅛㅕㅏㅣ" hidden="1">{#N/A,#N/A,TRUE,"Y생산";#N/A,#N/A,TRUE,"Y판매";#N/A,#N/A,TRUE,"Y총물량";#N/A,#N/A,TRUE,"Y능력";#N/A,#N/A,TRUE,"YKD"}</definedName>
    <definedName name="쇼ㅓㅡㅜ" localSheetId="14" hidden="1">{#N/A,#N/A,TRUE,"Y생산";#N/A,#N/A,TRUE,"Y판매";#N/A,#N/A,TRUE,"Y총물량";#N/A,#N/A,TRUE,"Y능력";#N/A,#N/A,TRUE,"YKD"}</definedName>
    <definedName name="쇼ㅓㅡㅜ" hidden="1">{#N/A,#N/A,TRUE,"Y생산";#N/A,#N/A,TRUE,"Y판매";#N/A,#N/A,TRUE,"Y총물량";#N/A,#N/A,TRUE,"Y능력";#N/A,#N/A,TRUE,"YKD"}</definedName>
    <definedName name="쇼ㅛㅕㅓㅛ" localSheetId="14" hidden="1">{#N/A,#N/A,FALSE,"KMC최종회의(7월) 자료"}</definedName>
    <definedName name="쇼ㅛㅕㅓㅛ" hidden="1">{#N/A,#N/A,FALSE,"KMC최종회의(7월) 자료"}</definedName>
    <definedName name="쇽더ㅓㅕ6ㅛ" localSheetId="14" hidden="1">{#N/A,#N/A,FALSE,"KMC최종회의(7월) 자료"}</definedName>
    <definedName name="쇽더ㅓㅕ6ㅛ" hidden="1">{#N/A,#N/A,FALSE,"KMC최종회의(7월) 자료"}</definedName>
    <definedName name="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수" hidden="1">{#N/A,#N/A,FALSE,"손익표지";#N/A,#N/A,FALSE,"손익계산";#N/A,#N/A,FALSE,"일반관리비";#N/A,#N/A,FALSE,"영업외수익";#N/A,#N/A,FALSE,"영업외비용";#N/A,#N/A,FALSE,"매출액";#N/A,#N/A,FALSE,"요약손익";#N/A,#N/A,FALSE,"요약대차";#N/A,#N/A,FALSE,"매출채권현황";#N/A,#N/A,FALSE,"매출채권명세"}</definedName>
    <definedName name="수금양식" localSheetId="14" hidden="1">{#N/A,#N/A,FALSE,"KMC최종회의(7월) 자료"}</definedName>
    <definedName name="수금양식" hidden="1">{#N/A,#N/A,FALSE,"KMC최종회의(7월) 자료"}</definedName>
    <definedName name="수단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수단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비절감"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수량적ㅇ둉" localSheetId="14" hidden="1">{"'Sheet1'!$A$3:$M$19"}</definedName>
    <definedName name="수량적ㅇ둉" hidden="1">{"'Sheet1'!$A$3:$M$19"}</definedName>
    <definedName name="수량추정" localSheetId="14" hidden="1">{#N/A,#N/A,FALSE,"정공"}</definedName>
    <definedName name="수량추정" hidden="1">{#N/A,#N/A,FALSE,"정공"}</definedName>
    <definedName name="수수수수수숫" localSheetId="14" hidden="1">{#N/A,#N/A,FALSE,"KMC최종회의(7월) 자료"}</definedName>
    <definedName name="수수수수수숫" hidden="1">{#N/A,#N/A,FALSE,"KMC최종회의(7월) 자료"}</definedName>
    <definedName name="수영" localSheetId="14" hidden="1">{#N/A,#N/A,FALSE,"BS";#N/A,#N/A,FALSE,"PL";#N/A,#N/A,FALSE,"처분";#N/A,#N/A,FALSE,"현금";#N/A,#N/A,FALSE,"매출";#N/A,#N/A,FALSE,"원가";#N/A,#N/A,FALSE,"경영"}</definedName>
    <definedName name="수영" localSheetId="13" hidden="1">{#N/A,#N/A,FALSE,"BS";#N/A,#N/A,FALSE,"PL";#N/A,#N/A,FALSE,"처분";#N/A,#N/A,FALSE,"현금";#N/A,#N/A,FALSE,"매출";#N/A,#N/A,FALSE,"원가";#N/A,#N/A,FALSE,"경영"}</definedName>
    <definedName name="수영" hidden="1">{#N/A,#N/A,FALSE,"BS";#N/A,#N/A,FALSE,"PL";#N/A,#N/A,FALSE,"처분";#N/A,#N/A,FALSE,"현금";#N/A,#N/A,FALSE,"매출";#N/A,#N/A,FALSE,"원가";#N/A,#N/A,FALSE,"경영"}</definedName>
    <definedName name="수요분석최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익4속" localSheetId="14" hidden="1">{#N/A,#N/A,FALSE,"단축1";#N/A,#N/A,FALSE,"단축2";#N/A,#N/A,FALSE,"단축3";#N/A,#N/A,FALSE,"장축";#N/A,#N/A,FALSE,"4WD"}</definedName>
    <definedName name="수익4속" hidden="1">{#N/A,#N/A,FALSE,"단축1";#N/A,#N/A,FALSE,"단축2";#N/A,#N/A,FALSE,"단축3";#N/A,#N/A,FALSE,"장축";#N/A,#N/A,FALSE,"4WD"}</definedName>
    <definedName name="수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정" localSheetId="14" hidden="1">{#N/A,#N/A,FALSE,"BS";#N/A,#N/A,FALSE,"PL";#N/A,#N/A,FALSE,"처분";#N/A,#N/A,FALSE,"현금";#N/A,#N/A,FALSE,"매출";#N/A,#N/A,FALSE,"원가";#N/A,#N/A,FALSE,"경영"}</definedName>
    <definedName name="수정" localSheetId="13" hidden="1">{#N/A,#N/A,FALSE,"BS";#N/A,#N/A,FALSE,"PL";#N/A,#N/A,FALSE,"처분";#N/A,#N/A,FALSE,"현금";#N/A,#N/A,FALSE,"매출";#N/A,#N/A,FALSE,"원가";#N/A,#N/A,FALSE,"경영"}</definedName>
    <definedName name="수정" hidden="1">{#N/A,#N/A,FALSE,"BS";#N/A,#N/A,FALSE,"PL";#N/A,#N/A,FALSE,"처분";#N/A,#N/A,FALSE,"현금";#N/A,#N/A,FALSE,"매출";#N/A,#N/A,FALSE,"원가";#N/A,#N/A,FALSE,"경영"}</definedName>
    <definedName name="수정1211" localSheetId="14" hidden="1">{"'10_03일자별'!$A$2:$H$31"}</definedName>
    <definedName name="수정1211" localSheetId="13" hidden="1">{"'10_03일자별'!$A$2:$H$31"}</definedName>
    <definedName name="수정1211" hidden="1">{"'10_03일자별'!$A$2:$H$31"}</definedName>
    <definedName name="수정1212" localSheetId="14" hidden="1">{"'10_03일자별'!$A$2:$H$31"}</definedName>
    <definedName name="수정1212" localSheetId="13" hidden="1">{"'10_03일자별'!$A$2:$H$31"}</definedName>
    <definedName name="수정1212" hidden="1">{"'10_03일자별'!$A$2:$H$31"}</definedName>
    <definedName name="수정15변속기MH" localSheetId="14" hidden="1">{#N/A,#N/A,FALSE,"KMC최종회의(7월) 자료"}</definedName>
    <definedName name="수정15변속기MH" hidden="1">{#N/A,#N/A,FALSE,"KMC최종회의(7월) 자료"}</definedName>
    <definedName name="수정물량" localSheetId="14" hidden="1">{#N/A,#N/A,TRUE,"Y생산";#N/A,#N/A,TRUE,"Y판매";#N/A,#N/A,TRUE,"Y총물량";#N/A,#N/A,TRUE,"Y능력";#N/A,#N/A,TRUE,"YKD"}</definedName>
    <definedName name="수정물량" hidden="1">{#N/A,#N/A,TRUE,"Y생산";#N/A,#N/A,TRUE,"Y판매";#N/A,#N/A,TRUE,"Y총물량";#N/A,#N/A,TRUE,"Y능력";#N/A,#N/A,TRUE,"YKD"}</definedName>
    <definedName name="수정본" hidden="1">{#N/A,#N/A,FALSE,"지침";#N/A,#N/A,FALSE,"환경분석";#N/A,#N/A,FALSE,"Sheet16"}</definedName>
    <definedName name="수정분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정사업달성방안" localSheetId="14" hidden="1">{#N/A,#N/A,FALSE,"KMC최종회의(7월) 자료"}</definedName>
    <definedName name="수정사업달성방안" hidden="1">{#N/A,#N/A,FALSE,"KMC최종회의(7월) 자료"}</definedName>
    <definedName name="수정사항" localSheetId="14" hidden="1">{#N/A,#N/A,FALSE,"KMC최종회의(7월) 자료"}</definedName>
    <definedName name="수정사항" hidden="1">{#N/A,#N/A,FALSE,"KMC최종회의(7월) 자료"}</definedName>
    <definedName name="수정사항집계표" localSheetId="14" hidden="1">[92]상품입고집계!#REF!</definedName>
    <definedName name="수정사항집계표" hidden="1">[92]상품입고집계!#REF!</definedName>
    <definedName name="수정손익" localSheetId="14" hidden="1">{#N/A,#N/A,FALSE,"정공"}</definedName>
    <definedName name="수정손익" hidden="1">{#N/A,#N/A,FALSE,"정공"}</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주실적" hidden="1">#REF!</definedName>
    <definedName name="수출P2지원" localSheetId="14" hidden="1">{#N/A,#N/A,FALSE,"단축1";#N/A,#N/A,FALSE,"단축2";#N/A,#N/A,FALSE,"단축3";#N/A,#N/A,FALSE,"장축";#N/A,#N/A,FALSE,"4WD"}</definedName>
    <definedName name="수출P2지원" hidden="1">{#N/A,#N/A,FALSE,"단축1";#N/A,#N/A,FALSE,"단축2";#N/A,#N/A,FALSE,"단축3";#N/A,#N/A,FALSE,"장축";#N/A,#N/A,FALSE,"4WD"}</definedName>
    <definedName name="수출오더현황12월" localSheetId="14" hidden="1">{#N/A,#N/A,TRUE,"Y생산";#N/A,#N/A,TRUE,"Y판매";#N/A,#N/A,TRUE,"Y총물량";#N/A,#N/A,TRUE,"Y능력";#N/A,#N/A,TRUE,"YKD"}</definedName>
    <definedName name="수출오더현황12월" hidden="1">{#N/A,#N/A,TRUE,"Y생산";#N/A,#N/A,TRUE,"Y판매";#N/A,#N/A,TRUE,"Y총물량";#N/A,#N/A,TRUE,"Y능력";#N/A,#N/A,TRUE,"YKD"}</definedName>
    <definedName name="수출판촉비총괄" hidden="1">#N/A</definedName>
    <definedName name="수합계" hidden="1">#REF!</definedName>
    <definedName name="순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_연향_1차">#REF!</definedName>
    <definedName name="순천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슈퓨퓨ㅠ" localSheetId="14" hidden="1">{#N/A,#N/A,FALSE,"KMC최종회의(7월) 자료"}</definedName>
    <definedName name="슈퓨퓨ㅠ" hidden="1">{#N/A,#N/A,FALSE,"KMC최종회의(7월) 자료"}</definedName>
    <definedName name="슈ㅗㅗㅜ" localSheetId="14" hidden="1">{#N/A,#N/A,FALSE,"KMC최종회의(7월) 자료"}</definedName>
    <definedName name="슈ㅗㅗㅜ" hidden="1">{#N/A,#N/A,FALSE,"KMC최종회의(7월) 자료"}</definedName>
    <definedName name="스"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스"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타렉스" localSheetId="14" hidden="1">{#N/A,#N/A,FALSE,"단축1";#N/A,#N/A,FALSE,"단축2";#N/A,#N/A,FALSE,"단축3";#N/A,#N/A,FALSE,"장축";#N/A,#N/A,FALSE,"4WD"}</definedName>
    <definedName name="스타렉스" hidden="1">{#N/A,#N/A,FALSE,"단축1";#N/A,#N/A,FALSE,"단축2";#N/A,#N/A,FALSE,"단축3";#N/A,#N/A,FALSE,"장축";#N/A,#N/A,FALSE,"4WD"}</definedName>
    <definedName name="승민" localSheetId="14" hidden="1">{#N/A,#N/A,FALSE,"KMC최종회의(7월) 자료"}</definedName>
    <definedName name="승민" hidden="1">{#N/A,#N/A,FALSE,"KMC최종회의(7월) 자료"}</definedName>
    <definedName name="시" localSheetId="14" hidden="1">{#N/A,#N/A,FALSE,"KMC최종회의(7월) 자료"}</definedName>
    <definedName name="시" hidden="1">{#N/A,#N/A,FALSE,"KMC최종회의(7월) 자료"}</definedName>
    <definedName name="시1" localSheetId="14" hidden="1">{#N/A,#N/A,FALSE,"KMC최종회의(7월) 자료"}</definedName>
    <definedName name="시1" hidden="1">{#N/A,#N/A,FALSE,"KMC최종회의(7월) 자료"}</definedName>
    <definedName name="시간" localSheetId="14" hidden="1">{#N/A,#N/A,TRUE,"Y생산";#N/A,#N/A,TRUE,"Y판매";#N/A,#N/A,TRUE,"Y총물량";#N/A,#N/A,TRUE,"Y능력";#N/A,#N/A,TRUE,"YKD"}</definedName>
    <definedName name="시간" hidden="1">{#N/A,#N/A,TRUE,"Y생산";#N/A,#N/A,TRUE,"Y판매";#N/A,#N/A,TRUE,"Y총물량";#N/A,#N/A,TRUE,"Y능력";#N/A,#N/A,TRUE,"YKD"}</definedName>
    <definedName name="시기조정" localSheetId="14"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내교통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스템"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시장동향"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시장동향" hidden="1">{#N/A,#N/A,FALSE,"손익표지";#N/A,#N/A,FALSE,"손익계산";#N/A,#N/A,FALSE,"일반관리비";#N/A,#N/A,FALSE,"영업외수익";#N/A,#N/A,FALSE,"영업외비용";#N/A,#N/A,FALSE,"매출액";#N/A,#N/A,FALSE,"요약손익";#N/A,#N/A,FALSE,"요약대차";#N/A,#N/A,FALSE,"매출채권현황";#N/A,#N/A,FALSE,"매출채권명세"}</definedName>
    <definedName name="시트" localSheetId="14" hidden="1">[4]목표세부명세!#REF!</definedName>
    <definedName name="시트" hidden="1">[4]목표세부명세!#REF!</definedName>
    <definedName name="시트2" localSheetId="14" hidden="1">#REF!</definedName>
    <definedName name="시트2" hidden="1">#REF!</definedName>
    <definedName name="식기" hidden="1">{#N/A,#N/A,FALSE,"지침";#N/A,#N/A,FALSE,"환경분석";#N/A,#N/A,FALSE,"Sheet16"}</definedName>
    <definedName name="신AT종합" localSheetId="14" hidden="1">{#N/A,#N/A,FALSE,"단축1";#N/A,#N/A,FALSE,"단축2";#N/A,#N/A,FALSE,"단축3";#N/A,#N/A,FALSE,"장축";#N/A,#N/A,FALSE,"4WD"}</definedName>
    <definedName name="신AT종합" hidden="1">{#N/A,#N/A,FALSE,"단축1";#N/A,#N/A,FALSE,"단축2";#N/A,#N/A,FALSE,"단축3";#N/A,#N/A,FALSE,"장축";#N/A,#N/A,FALSE,"4WD"}</definedName>
    <definedName name="신기술_신공법" localSheetId="14" hidden="1">{#N/A,#N/A,FALSE,"단축1";#N/A,#N/A,FALSE,"단축2";#N/A,#N/A,FALSE,"단축3";#N/A,#N/A,FALSE,"장축";#N/A,#N/A,FALSE,"4WD"}</definedName>
    <definedName name="신기술_신공법" hidden="1">{#N/A,#N/A,FALSE,"단축1";#N/A,#N/A,FALSE,"단축2";#N/A,#N/A,FALSE,"단축3";#N/A,#N/A,FALSE,"장축";#N/A,#N/A,FALSE,"4WD"}</definedName>
    <definedName name="신기술2" localSheetId="14" hidden="1">{#N/A,#N/A,FALSE,"단축1";#N/A,#N/A,FALSE,"단축2";#N/A,#N/A,FALSE,"단축3";#N/A,#N/A,FALSE,"장축";#N/A,#N/A,FALSE,"4WD"}</definedName>
    <definedName name="신기술2" hidden="1">{#N/A,#N/A,FALSE,"단축1";#N/A,#N/A,FALSE,"단축2";#N/A,#N/A,FALSE,"단축3";#N/A,#N/A,FALSE,"장축";#N/A,#N/A,FALSE,"4WD"}</definedName>
    <definedName name="신동" localSheetId="14"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14"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14" hidden="1">{#N/A,#N/A,FALSE,"단축1";#N/A,#N/A,FALSE,"단축2";#N/A,#N/A,FALSE,"단축3";#N/A,#N/A,FALSE,"장축";#N/A,#N/A,FALSE,"4WD"}</definedName>
    <definedName name="신동좁" hidden="1">{#N/A,#N/A,FALSE,"단축1";#N/A,#N/A,FALSE,"단축2";#N/A,#N/A,FALSE,"단축3";#N/A,#N/A,FALSE,"장축";#N/A,#N/A,FALSE,"4WD"}</definedName>
    <definedName name="신뢰" localSheetId="14" hidden="1">{#N/A,#N/A,FALSE,"KMC최종회의(7월) 자료"}</definedName>
    <definedName name="신뢰" hidden="1">{#N/A,#N/A,FALSE,"KMC최종회의(7월) 자료"}</definedName>
    <definedName name="신세대종합" localSheetId="14" hidden="1">{#N/A,#N/A,FALSE,"단축1";#N/A,#N/A,FALSE,"단축2";#N/A,#N/A,FALSE,"단축3";#N/A,#N/A,FALSE,"장축";#N/A,#N/A,FALSE,"4WD"}</definedName>
    <definedName name="신세대종합" hidden="1">{#N/A,#N/A,FALSE,"단축1";#N/A,#N/A,FALSE,"단축2";#N/A,#N/A,FALSE,"단축3";#N/A,#N/A,FALSE,"장축";#N/A,#N/A,FALSE,"4WD"}</definedName>
    <definedName name="신용" localSheetId="14"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차품질일정" localSheetId="14" hidden="1">{#N/A,#N/A,FALSE,"단축1";#N/A,#N/A,FALSE,"단축2";#N/A,#N/A,FALSE,"단축3";#N/A,#N/A,FALSE,"장축";#N/A,#N/A,FALSE,"4WD"}</definedName>
    <definedName name="신차품질일정" hidden="1">{#N/A,#N/A,FALSE,"단축1";#N/A,#N/A,FALSE,"단축2";#N/A,#N/A,FALSE,"단축3";#N/A,#N/A,FALSE,"장축";#N/A,#N/A,FALSE,"4WD"}</definedName>
    <definedName name="신추진사업" localSheetId="14" hidden="1">{#N/A,#N/A,TRUE,"Y생산";#N/A,#N/A,TRUE,"Y판매";#N/A,#N/A,TRUE,"Y총물량";#N/A,#N/A,TRUE,"Y능력";#N/A,#N/A,TRUE,"YKD"}</definedName>
    <definedName name="신추진사업" hidden="1">{#N/A,#N/A,TRUE,"Y생산";#N/A,#N/A,TRUE,"Y판매";#N/A,#N/A,TRUE,"Y총물량";#N/A,#N/A,TRUE,"Y능력";#N/A,#N/A,TRUE,"YKD"}</definedName>
    <definedName name="신품질개선" localSheetId="14" hidden="1">{#N/A,#N/A,TRUE,"Y생산";#N/A,#N/A,TRUE,"Y판매";#N/A,#N/A,TRUE,"Y총물량";#N/A,#N/A,TRUE,"Y능력";#N/A,#N/A,TRUE,"YKD"}</definedName>
    <definedName name="신품질개선" hidden="1">{#N/A,#N/A,TRUE,"Y생산";#N/A,#N/A,TRUE,"Y판매";#N/A,#N/A,TRUE,"Y총물량";#N/A,#N/A,TRUE,"Y능력";#N/A,#N/A,TRUE,"YKD"}</definedName>
    <definedName name="신품질개선3" localSheetId="14" hidden="1">{#N/A,#N/A,TRUE,"Y생산";#N/A,#N/A,TRUE,"Y판매";#N/A,#N/A,TRUE,"Y총물량";#N/A,#N/A,TRUE,"Y능력";#N/A,#N/A,TRUE,"YKD"}</definedName>
    <definedName name="신품질개선3" hidden="1">{#N/A,#N/A,TRUE,"Y생산";#N/A,#N/A,TRUE,"Y판매";#N/A,#N/A,TRUE,"Y총물량";#N/A,#N/A,TRUE,"Y능력";#N/A,#N/A,TRUE,"YKD"}</definedName>
    <definedName name="신현식"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실긴수2" hidden="1">{#N/A,#N/A,FALSE,"지침";#N/A,#N/A,FALSE,"환경분석";#N/A,#N/A,FALSE,"Sheet16"}</definedName>
    <definedName name="실시" localSheetId="14" hidden="1">{#N/A,#N/A,FALSE,"단축1";#N/A,#N/A,FALSE,"단축2";#N/A,#N/A,FALSE,"단축3";#N/A,#N/A,FALSE,"장축";#N/A,#N/A,FALSE,"4WD"}</definedName>
    <definedName name="실시" hidden="1">{#N/A,#N/A,FALSE,"단축1";#N/A,#N/A,FALSE,"단축2";#N/A,#N/A,FALSE,"단축3";#N/A,#N/A,FALSE,"장축";#N/A,#N/A,FALSE,"4WD"}</definedName>
    <definedName name="실적" hidden="1">{#N/A,#N/A,FALSE,"손익표지";#N/A,#N/A,FALSE,"손익계산";#N/A,#N/A,FALSE,"일반관리비";#N/A,#N/A,FALSE,"영업외수익";#N/A,#N/A,FALSE,"영업외비용";#N/A,#N/A,FALSE,"매출액";#N/A,#N/A,FALSE,"요약손익";#N/A,#N/A,FALSE,"요약대차";#N/A,#N/A,FALSE,"매출채권현황";#N/A,#N/A,FALSE,"매출채권명세"}</definedName>
    <definedName name="실적4"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실적4" hidden="1">{#N/A,#N/A,FALSE,"손익표지";#N/A,#N/A,FALSE,"손익계산";#N/A,#N/A,FALSE,"일반관리비";#N/A,#N/A,FALSE,"영업외수익";#N/A,#N/A,FALSE,"영업외비용";#N/A,#N/A,FALSE,"매출액";#N/A,#N/A,FALSE,"요약손익";#N/A,#N/A,FALSE,"요약대차";#N/A,#N/A,FALSE,"매출채권현황";#N/A,#N/A,FALSE,"매출채권명세"}</definedName>
    <definedName name="실적보고" hidden="1">{#N/A,#N/A,FALSE,"PART-1234-8-12-9(41)";#N/A,#N/A,FALSE,"PARTS-2(3)";#N/A,#N/A,FALSE,"VAN SYSTEM";#N/A,#N/A,FALSE,"PARTS-10(26)";#N/A,#N/A,FALSE,"PART-5-6-7-11(14)";#N/A,#N/A,FALSE,"PARTS-4(3)";#N/A,#N/A,FALSE,"PCLASS"}</definedName>
    <definedName name="실적자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실적종합" localSheetId="14" hidden="1">{#N/A,#N/A,FALSE,"KMC최종회의(7월) 자료"}</definedName>
    <definedName name="실적종합" hidden="1">{#N/A,#N/A,FALSE,"KMC최종회의(7월) 자료"}</definedName>
    <definedName name="실적집계" localSheetId="14" hidden="1">{#N/A,#N/A,FALSE,"단축1";#N/A,#N/A,FALSE,"단축2";#N/A,#N/A,FALSE,"단축3";#N/A,#N/A,FALSE,"장축";#N/A,#N/A,FALSE,"4WD"}</definedName>
    <definedName name="실적집계" hidden="1">{#N/A,#N/A,FALSE,"단축1";#N/A,#N/A,FALSE,"단축2";#N/A,#N/A,FALSE,"단축3";#N/A,#N/A,FALSE,"장축";#N/A,#N/A,FALSE,"4WD"}</definedName>
    <definedName name="ㅇ" localSheetId="14" hidden="1">{#N/A,#N/A,FALSE,"97년 투자계획 세부내역 "}</definedName>
    <definedName name="ㅇ" localSheetId="13" hidden="1">{#N/A,#N/A,FALSE,"BS";#N/A,#N/A,FALSE,"PL";#N/A,#N/A,FALSE,"처분";#N/A,#N/A,FALSE,"현금";#N/A,#N/A,FALSE,"매출";#N/A,#N/A,FALSE,"원가";#N/A,#N/A,FALSE,"경영"}</definedName>
    <definedName name="ㅇ"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ㅇ" hidden="1">{#N/A,#N/A,FALSE,"BS";#N/A,#N/A,FALSE,"PL";#N/A,#N/A,FALSE,"처분";#N/A,#N/A,FALSE,"현금";#N/A,#N/A,FALSE,"매출";#N/A,#N/A,FALSE,"원가";#N/A,#N/A,FALSE,"경영"}</definedName>
    <definedName name="ㅇ0" localSheetId="1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localSheetId="1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ㄴ" hidden="1">{#N/A,#N/A,FALSE,"PART-1234-8-12-9(41)";#N/A,#N/A,FALSE,"PARTS-2(3)";#N/A,#N/A,FALSE,"VAN SYSTEM";#N/A,#N/A,FALSE,"PARTS-10(26)";#N/A,#N/A,FALSE,"PART-5-6-7-11(14)";#N/A,#N/A,FALSE,"PARTS-4(3)";#N/A,#N/A,FALSE,"PCLASS"}</definedName>
    <definedName name="ㅇㄴㄴ" localSheetId="14" hidden="1">#REF!</definedName>
    <definedName name="ㅇㄴㄴ" hidden="1">#REF!</definedName>
    <definedName name="ㅇㄴ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ㅇㄴㄹㅇㄴ" hidden="1">1</definedName>
    <definedName name="ㅇㄴ라니얼니안링" hidden="1">#REF!</definedName>
    <definedName name="ㅇㄴㅇ" localSheetId="14" hidden="1">{#N/A,#N/A,FALSE,"BS";#N/A,#N/A,FALSE,"PL";#N/A,#N/A,FALSE,"처분";#N/A,#N/A,FALSE,"현금";#N/A,#N/A,FALSE,"매출";#N/A,#N/A,FALSE,"원가";#N/A,#N/A,FALSE,"경영"}</definedName>
    <definedName name="ㅇㄴㅇ" localSheetId="13" hidden="1">{#N/A,#N/A,FALSE,"BS";#N/A,#N/A,FALSE,"PL";#N/A,#N/A,FALSE,"처분";#N/A,#N/A,FALSE,"현금";#N/A,#N/A,FALSE,"매출";#N/A,#N/A,FALSE,"원가";#N/A,#N/A,FALSE,"경영"}</definedName>
    <definedName name="ㅇㄴㅇ" hidden="1">{#N/A,#N/A,FALSE,"BS";#N/A,#N/A,FALSE,"PL";#N/A,#N/A,FALSE,"처분";#N/A,#N/A,FALSE,"현금";#N/A,#N/A,FALSE,"매출";#N/A,#N/A,FALSE,"원가";#N/A,#N/A,FALSE,"경영"}</definedName>
    <definedName name="ㅇㄶㅇㄶ" hidden="1">#REF!</definedName>
    <definedName name="ㅇㄷ" hidden="1">{#N/A,#N/A,FALSE,"지침";#N/A,#N/A,FALSE,"환경분석";#N/A,#N/A,FALSE,"Sheet16"}</definedName>
    <definedName name="ㅇㄷㄱㅎ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ㄷㄴ" hidden="1">{#N/A,#N/A,FALSE,"Aging Summary";#N/A,#N/A,FALSE,"Ratio Analysis";#N/A,#N/A,FALSE,"Test 120 Day Accts";#N/A,#N/A,FALSE,"Tickmarks"}</definedName>
    <definedName name="ㅇㄹ" localSheetId="14" hidden="1">{#N/A,#N/A,FALSE,"97년 투자계획 세부내역 "}</definedName>
    <definedName name="ㅇㄹ" localSheetId="13" hidden="1">{#N/A,#N/A,FALSE,"BS";#N/A,#N/A,FALSE,"PL";#N/A,#N/A,FALSE,"처분";#N/A,#N/A,FALSE,"현금";#N/A,#N/A,FALSE,"매출";#N/A,#N/A,FALSE,"원가";#N/A,#N/A,FALSE,"경영"}</definedName>
    <definedName name="ㅇㄹ" localSheetId="31">#N/A</definedName>
    <definedName name="ㅇㄹ" hidden="1">{#N/A,#N/A,FALSE,"BS";#N/A,#N/A,FALSE,"PL";#N/A,#N/A,FALSE,"처분";#N/A,#N/A,FALSE,"현금";#N/A,#N/A,FALSE,"매출";#N/A,#N/A,FALSE,"원가";#N/A,#N/A,FALSE,"경영"}</definedName>
    <definedName name="ㅇㄹㄴ" localSheetId="14" hidden="1">{#N/A,#N/A,FALSE,"97년 투자계획 세부내역 "}</definedName>
    <definedName name="ㅇㄹㄴ" hidden="1">{#N/A,#N/A,FALSE,"단축1";#N/A,#N/A,FALSE,"단축2";#N/A,#N/A,FALSE,"단축3";#N/A,#N/A,FALSE,"장축";#N/A,#N/A,FALSE,"4WD"}</definedName>
    <definedName name="ㅇㄹㄴㅁ"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ㄹㄹㄴㄹ" localSheetId="14" hidden="1">{#N/A,#N/A,FALSE,"단축1";#N/A,#N/A,FALSE,"단축2";#N/A,#N/A,FALSE,"단축3";#N/A,#N/A,FALSE,"장축";#N/A,#N/A,FALSE,"4WD"}</definedName>
    <definedName name="ㅇㄹㄹㄹㄴㄹ" hidden="1">{#N/A,#N/A,FALSE,"단축1";#N/A,#N/A,FALSE,"단축2";#N/A,#N/A,FALSE,"단축3";#N/A,#N/A,FALSE,"장축";#N/A,#N/A,FALSE,"4WD"}</definedName>
    <definedName name="ㅇㄹㄹㄹㄹ" localSheetId="14" hidden="1">{#N/A,#N/A,FALSE,"정공"}</definedName>
    <definedName name="ㅇㄹㄹㄹㄹ" hidden="1">{#N/A,#N/A,FALSE,"정공"}</definedName>
    <definedName name="ㅇㄹㅀㅎ" hidden="1">{#N/A,#N/A,FALSE,"Aging Summary";#N/A,#N/A,FALSE,"Ratio Analysis";#N/A,#N/A,FALSE,"Test 120 Day Accts";#N/A,#N/A,FALSE,"Tickmarks"}</definedName>
    <definedName name="ㅇㄹ뮤ㅠㄹ" localSheetId="14" hidden="1">{#N/A,#N/A,FALSE,"KMC최종회의(7월) 자료"}</definedName>
    <definedName name="ㅇㄹ뮤ㅠㄹ" hidden="1">{#N/A,#N/A,FALSE,"KMC최종회의(7월) 자료"}</definedName>
    <definedName name="ㅇㄹ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ㄹㅇ" hidden="1">{#N/A,#N/A,FALSE,"손익표지";#N/A,#N/A,FALSE,"손익계산";#N/A,#N/A,FALSE,"일반관리비";#N/A,#N/A,FALSE,"영업외수익";#N/A,#N/A,FALSE,"영업외비용";#N/A,#N/A,FALSE,"매출액";#N/A,#N/A,FALSE,"요약손익";#N/A,#N/A,FALSE,"요약대차";#N/A,#N/A,FALSE,"매출채권현황";#N/A,#N/A,FALSE,"매출채권명세"}</definedName>
    <definedName name="ㅇㄹㅇㄴㄹㄴㄹ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ㄹㅇㄴㄹㄴㄹㅇ" hidden="1">{#N/A,#N/A,FALSE,"손익표지";#N/A,#N/A,FALSE,"손익계산";#N/A,#N/A,FALSE,"일반관리비";#N/A,#N/A,FALSE,"영업외수익";#N/A,#N/A,FALSE,"영업외비용";#N/A,#N/A,FALSE,"매출액";#N/A,#N/A,FALSE,"요약손익";#N/A,#N/A,FALSE,"요약대차";#N/A,#N/A,FALSE,"매출채권현황";#N/A,#N/A,FALSE,"매출채권명세"}</definedName>
    <definedName name="ㅇㄹㅇㄹ" hidden="1">{#N/A,#N/A,FALSE,"지침";#N/A,#N/A,FALSE,"환경분석";#N/A,#N/A,FALSE,"Sheet16"}</definedName>
    <definedName name="ㅇㄹㅇㄹㅇ" localSheetId="14" hidden="1">{#N/A,#N/A,FALSE,"정공"}</definedName>
    <definedName name="ㅇㄹㅇㄹㅇ" hidden="1">{#N/A,#N/A,FALSE,"정공"}</definedName>
    <definedName name="ㅇㄹㅇㄹㅇㄹ" localSheetId="14" hidden="1">{#N/A,#N/A,FALSE,"단축1";#N/A,#N/A,FALSE,"단축2";#N/A,#N/A,FALSE,"단축3";#N/A,#N/A,FALSE,"장축";#N/A,#N/A,FALSE,"4WD"}</definedName>
    <definedName name="ㅇㄹㅇㄹㅇㄹ" hidden="1">{#N/A,#N/A,FALSE,"단축1";#N/A,#N/A,FALSE,"단축2";#N/A,#N/A,FALSE,"단축3";#N/A,#N/A,FALSE,"장축";#N/A,#N/A,FALSE,"4WD"}</definedName>
    <definedName name="ㅇㄹㅇㄹㅇㅁㄴㄻㄹㅇ" hidden="1">{#N/A,#N/A,FALSE,"PART-1234-8-12-9(41)";#N/A,#N/A,FALSE,"PARTS-2(3)";#N/A,#N/A,FALSE,"VAN SYSTEM";#N/A,#N/A,FALSE,"PARTS-10(26)";#N/A,#N/A,FALSE,"PART-5-6-7-11(14)";#N/A,#N/A,FALSE,"PARTS-4(3)";#N/A,#N/A,FALSE,"PCLASS"}</definedName>
    <definedName name="ㅇㄹㅇ륭로ㅠ" localSheetId="14" hidden="1">{#N/A,#N/A,FALSE,"KMC최종회의(7월) 자료"}</definedName>
    <definedName name="ㅇㄹㅇ륭로ㅠ" hidden="1">{#N/A,#N/A,FALSE,"KMC최종회의(7월) 자료"}</definedName>
    <definedName name="ㅇㄹㅇㅁㄴ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ㄹ훌후ㅜ" localSheetId="14" hidden="1">{#N/A,#N/A,FALSE,"KMC최종회의(7월) 자료"}</definedName>
    <definedName name="ㅇㄹ훌후ㅜ" hidden="1">{#N/A,#N/A,FALSE,"KMC최종회의(7월) 자료"}</definedName>
    <definedName name="ㅇㄹ흏ㅎ" localSheetId="14" hidden="1">{#N/A,#N/A,FALSE,"KMC최종회의(7월) 자료"}</definedName>
    <definedName name="ㅇㄹ흏ㅎ" hidden="1">{#N/A,#N/A,FALSE,"KMC최종회의(7월) 자료"}</definedName>
    <definedName name="ㅇ롱" localSheetId="14" hidden="1">{#N/A,#N/A,FALSE,"단축1";#N/A,#N/A,FALSE,"단축2";#N/A,#N/A,FALSE,"단축3";#N/A,#N/A,FALSE,"장축";#N/A,#N/A,FALSE,"4WD"}</definedName>
    <definedName name="ㅇ롱" hidden="1">{#N/A,#N/A,FALSE,"단축1";#N/A,#N/A,FALSE,"단축2";#N/A,#N/A,FALSE,"단축3";#N/A,#N/A,FALSE,"장축";#N/A,#N/A,FALSE,"4WD"}</definedName>
    <definedName name="ㅇ롷ㄷㄱㅎ"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롷ㄷㄱㅎ" hidden="1">{#N/A,#N/A,FALSE,"손익표지";#N/A,#N/A,FALSE,"손익계산";#N/A,#N/A,FALSE,"일반관리비";#N/A,#N/A,FALSE,"영업외수익";#N/A,#N/A,FALSE,"영업외비용";#N/A,#N/A,FALSE,"매출액";#N/A,#N/A,FALSE,"요약손익";#N/A,#N/A,FALSE,"요약대차";#N/A,#N/A,FALSE,"매출채권현황";#N/A,#N/A,FALSE,"매출채권명세"}</definedName>
    <definedName name="ㅇ류" localSheetId="14" hidden="1">{#N/A,#N/A,FALSE,"단축1";#N/A,#N/A,FALSE,"단축2";#N/A,#N/A,FALSE,"단축3";#N/A,#N/A,FALSE,"장축";#N/A,#N/A,FALSE,"4WD"}</definedName>
    <definedName name="ㅇ류" hidden="1">{#N/A,#N/A,FALSE,"단축1";#N/A,#N/A,FALSE,"단축2";#N/A,#N/A,FALSE,"단축3";#N/A,#N/A,FALSE,"장축";#N/A,#N/A,FALSE,"4WD"}</definedName>
    <definedName name="ㅇ류류ㅗㅠ" localSheetId="14" hidden="1">{#N/A,#N/A,FALSE,"KMC최종회의(7월) 자료"}</definedName>
    <definedName name="ㅇ류류ㅗㅠ" hidden="1">{#N/A,#N/A,FALSE,"KMC최종회의(7월) 자료"}</definedName>
    <definedName name="ㅇ류뮤" localSheetId="14" hidden="1">{#N/A,#N/A,FALSE,"KMC최종회의(7월) 자료"}</definedName>
    <definedName name="ㅇ류뮤" hidden="1">{#N/A,#N/A,FALSE,"KMC최종회의(7월) 자료"}</definedName>
    <definedName name="ㅇ륭" localSheetId="14" hidden="1">{#N/A,#N/A,FALSE,"단축1";#N/A,#N/A,FALSE,"단축2";#N/A,#N/A,FALSE,"단축3";#N/A,#N/A,FALSE,"장축";#N/A,#N/A,FALSE,"4WD"}</definedName>
    <definedName name="ㅇ륭" hidden="1">{#N/A,#N/A,FALSE,"단축1";#N/A,#N/A,FALSE,"단축2";#N/A,#N/A,FALSE,"단축3";#N/A,#N/A,FALSE,"장축";#N/A,#N/A,FALSE,"4WD"}</definedName>
    <definedName name="ㅇ륭ㅎㄴ모" localSheetId="14" hidden="1">{#N/A,#N/A,FALSE,"KMC최종회의(7월) 자료"}</definedName>
    <definedName name="ㅇ륭ㅎㄴ모" hidden="1">{#N/A,#N/A,FALSE,"KMC최종회의(7월) 자료"}</definedName>
    <definedName name="ㅇㄻㄴㅇ롸ㅣ" localSheetId="14" hidden="1">{#N/A,#N/A,FALSE,"단축1";#N/A,#N/A,FALSE,"단축2";#N/A,#N/A,FALSE,"단축3";#N/A,#N/A,FALSE,"장축";#N/A,#N/A,FALSE,"4WD"}</definedName>
    <definedName name="ㅇㄻㄴㅇ롸ㅣ" hidden="1">{#N/A,#N/A,FALSE,"단축1";#N/A,#N/A,FALSE,"단축2";#N/A,#N/A,FALSE,"단축3";#N/A,#N/A,FALSE,"장축";#N/A,#N/A,FALSE,"4WD"}</definedName>
    <definedName name="ㅇㅀ" localSheetId="14" hidden="1">{#N/A,#N/A,FALSE,"BS";#N/A,#N/A,FALSE,"PL";#N/A,#N/A,FALSE,"A";#N/A,#N/A,FALSE,"B";#N/A,#N/A,FALSE,"B1";#N/A,#N/A,FALSE,"C";#N/A,#N/A,FALSE,"C1";#N/A,#N/A,FALSE,"C2";#N/A,#N/A,FALSE,"D";#N/A,#N/A,FALSE,"E";#N/A,#N/A,FALSE,"F";#N/A,#N/A,FALSE,"AA";#N/A,#N/A,FALSE,"BB";#N/A,#N/A,FALSE,"CC";#N/A,#N/A,FALSE,"DD";#N/A,#N/A,FALSE,"EE";#N/A,#N/A,FALSE,"FF";#N/A,#N/A,FALSE,"PL10";#N/A,#N/A,FALSE,"PL20";#N/A,#N/A,FALSE,"PL30"}</definedName>
    <definedName name="ㅇㅀ" localSheetId="13" hidden="1">{#N/A,#N/A,FALSE,"BS";#N/A,#N/A,FALSE,"PL";#N/A,#N/A,FALSE,"A";#N/A,#N/A,FALSE,"B";#N/A,#N/A,FALSE,"B1";#N/A,#N/A,FALSE,"C";#N/A,#N/A,FALSE,"C1";#N/A,#N/A,FALSE,"C2";#N/A,#N/A,FALSE,"D";#N/A,#N/A,FALSE,"E";#N/A,#N/A,FALSE,"F";#N/A,#N/A,FALSE,"AA";#N/A,#N/A,FALSE,"BB";#N/A,#N/A,FALSE,"CC";#N/A,#N/A,FALSE,"DD";#N/A,#N/A,FALSE,"EE";#N/A,#N/A,FALSE,"FF";#N/A,#N/A,FALSE,"PL10";#N/A,#N/A,FALSE,"PL20";#N/A,#N/A,FALSE,"PL30"}</definedName>
    <definedName name="ㅇㅀ"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ㅀㅇ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ㅎ" localSheetId="14" hidden="1">{#N/A,#N/A,FALSE,"정공"}</definedName>
    <definedName name="ㅇㅀㅎ" hidden="1">{#N/A,#N/A,FALSE,"정공"}</definedName>
    <definedName name="ㅇㅀ호" localSheetId="14" hidden="1">{#N/A,#N/A,FALSE,"단축1";#N/A,#N/A,FALSE,"단축2";#N/A,#N/A,FALSE,"단축3";#N/A,#N/A,FALSE,"장축";#N/A,#N/A,FALSE,"4WD"}</definedName>
    <definedName name="ㅇㅀ호" hidden="1">{#N/A,#N/A,FALSE,"단축1";#N/A,#N/A,FALSE,"단축2";#N/A,#N/A,FALSE,"단축3";#N/A,#N/A,FALSE,"장축";#N/A,#N/A,FALSE,"4WD"}</definedName>
    <definedName name="ㅇㅁㄴㄻㄴ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localSheetId="14" hidden="1">{#N/A,#N/A,FALSE,"단축1";#N/A,#N/A,FALSE,"단축2";#N/A,#N/A,FALSE,"단축3";#N/A,#N/A,FALSE,"장축";#N/A,#N/A,FALSE,"4WD"}</definedName>
    <definedName name="ㅇㅁㄴㅇ" hidden="1">{#N/A,#N/A,FALSE,"단축1";#N/A,#N/A,FALSE,"단축2";#N/A,#N/A,FALSE,"단축3";#N/A,#N/A,FALSE,"장축";#N/A,#N/A,FALSE,"4WD"}</definedName>
    <definedName name="ㅇㅁ류ㅠㅁ유" localSheetId="14" hidden="1">{#N/A,#N/A,FALSE,"KMC최종회의(7월) 자료"}</definedName>
    <definedName name="ㅇㅁ류ㅠㅁ유" hidden="1">{#N/A,#N/A,FALSE,"KMC최종회의(7월) 자료"}</definedName>
    <definedName name="ㅇㅁㄻㄴ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ㅇ" localSheetId="14" hidden="1">{#N/A,#N/A,FALSE,"97년 투자계획 세부내역 "}</definedName>
    <definedName name="ㅇㅇ" localSheetId="13" hidden="1">{#N/A,#N/A,FALSE,"BS";#N/A,#N/A,FALSE,"PL";#N/A,#N/A,FALSE,"처분";#N/A,#N/A,FALSE,"현금";#N/A,#N/A,FALSE,"매출";#N/A,#N/A,FALSE,"원가";#N/A,#N/A,FALSE,"경영"}</definedName>
    <definedName name="ㅇㅇ"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ㅇㅇ" hidden="1">{#N/A,#N/A,FALSE,"BS";#N/A,#N/A,FALSE,"PL";#N/A,#N/A,FALSE,"처분";#N/A,#N/A,FALSE,"현금";#N/A,#N/A,FALSE,"매출";#N/A,#N/A,FALSE,"원가";#N/A,#N/A,FALSE,"경영"}</definedName>
    <definedName name="ㅇㅇ000"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ㄴㅇㄴ" localSheetId="14" hidden="1">{#N/A,#N/A,FALSE,"정공"}</definedName>
    <definedName name="ㅇㅇㄴㅇㄴ" hidden="1">{#N/A,#N/A,FALSE,"정공"}</definedName>
    <definedName name="ㅇㅇㄹㄹ" localSheetId="14"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ㅀ" localSheetId="14" hidden="1">{#N/A,#N/A,FALSE,"BS";#N/A,#N/A,FALSE,"PL";#N/A,#N/A,FALSE,"A";#N/A,#N/A,FALSE,"B";#N/A,#N/A,FALSE,"B1";#N/A,#N/A,FALSE,"C";#N/A,#N/A,FALSE,"C1";#N/A,#N/A,FALSE,"C2";#N/A,#N/A,FALSE,"D";#N/A,#N/A,FALSE,"E";#N/A,#N/A,FALSE,"F";#N/A,#N/A,FALSE,"AA";#N/A,#N/A,FALSE,"BB";#N/A,#N/A,FALSE,"CC";#N/A,#N/A,FALSE,"DD";#N/A,#N/A,FALSE,"EE";#N/A,#N/A,FALSE,"FF";#N/A,#N/A,FALSE,"PL10";#N/A,#N/A,FALSE,"PL20";#N/A,#N/A,FALSE,"PL30"}</definedName>
    <definedName name="ㅇㅇㅀ" localSheetId="13" hidden="1">{#N/A,#N/A,FALSE,"BS";#N/A,#N/A,FALSE,"PL";#N/A,#N/A,FALSE,"A";#N/A,#N/A,FALSE,"B";#N/A,#N/A,FALSE,"B1";#N/A,#N/A,FALSE,"C";#N/A,#N/A,FALSE,"C1";#N/A,#N/A,FALSE,"C2";#N/A,#N/A,FALSE,"D";#N/A,#N/A,FALSE,"E";#N/A,#N/A,FALSE,"F";#N/A,#N/A,FALSE,"AA";#N/A,#N/A,FALSE,"BB";#N/A,#N/A,FALSE,"CC";#N/A,#N/A,FALSE,"DD";#N/A,#N/A,FALSE,"EE";#N/A,#N/A,FALSE,"FF";#N/A,#N/A,FALSE,"PL10";#N/A,#N/A,FALSE,"PL20";#N/A,#N/A,FALSE,"PL30"}</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ㅇ" localSheetId="14" hidden="1">{#N/A,#N/A,FALSE,"97년 투자계획 세부내역 "}</definedName>
    <definedName name="ㅇㅇㅇ" localSheetId="13" hidden="1">{#N/A,#N/A,FALSE,"BS";#N/A,#N/A,FALSE,"PL";#N/A,#N/A,FALSE,"처분";#N/A,#N/A,FALSE,"현금";#N/A,#N/A,FALSE,"매출";#N/A,#N/A,FALSE,"원가";#N/A,#N/A,FALSE,"경영"}</definedName>
    <definedName name="ㅇㅇㅇ" localSheetId="31">#REF!</definedName>
    <definedName name="ㅇㅇㅇ" hidden="1">{#N/A,#N/A,FALSE,"BS";#N/A,#N/A,FALSE,"PL";#N/A,#N/A,FALSE,"처분";#N/A,#N/A,FALSE,"현금";#N/A,#N/A,FALSE,"매출";#N/A,#N/A,FALSE,"원가";#N/A,#N/A,FALSE,"경영"}</definedName>
    <definedName name="ㅇㅇㅇㄴㄴ" localSheetId="14" hidden="1">{#N/A,#N/A,FALSE,"정공"}</definedName>
    <definedName name="ㅇㅇㅇㄴㄴ" hidden="1">{#N/A,#N/A,FALSE,"정공"}</definedName>
    <definedName name="ㅇㅇㅇㅇ" localSheetId="14" hidden="1">{#N/A,#N/A,FALSE,"97년 투자계획 세부내역 "}</definedName>
    <definedName name="ㅇㅇㅇㅇ" localSheetId="13" hidden="1">{#N/A,#N/A,FALSE,"Sheet5"}</definedName>
    <definedName name="ㅇㅇㅇㅇ" hidden="1">{#N/A,#N/A,FALSE,"Sheet5"}</definedName>
    <definedName name="ㅇㅇㅇㅇ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ㅇㅇㅇ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ㅇ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 hidden="1">{#N/A,#N/A,FALSE,"지침";#N/A,#N/A,FALSE,"환경분석";#N/A,#N/A,FALSE,"Sheet16"}</definedName>
    <definedName name="ㅇㅇㅇㅇㅇㅇㅇㅇㅇ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ㅇㅇㅇㅇㅇㅇ" localSheetId="14" hidden="1">{#VALUE!,#N/A,FALSE,0}</definedName>
    <definedName name="ㅇㅇㅇㅇㅇㅇㅇㅇㅇㅇㅇㅇㅇㅇㅇㅇ" hidden="1">{#VALUE!,#N/A,FALSE,0}</definedName>
    <definedName name="ㅇ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 localSheetId="1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ㅎ" localSheetId="14" hidden="1">{#N/A,#N/A,FALSE,"BS";#N/A,#N/A,FALSE,"PL";#N/A,#N/A,FALSE,"처분";#N/A,#N/A,FALSE,"현금";#N/A,#N/A,FALSE,"매출";#N/A,#N/A,FALSE,"원가";#N/A,#N/A,FALSE,"경영"}</definedName>
    <definedName name="ㅇㅎ" localSheetId="13" hidden="1">{#N/A,#N/A,FALSE,"BS";#N/A,#N/A,FALSE,"PL";#N/A,#N/A,FALSE,"처분";#N/A,#N/A,FALSE,"현금";#N/A,#N/A,FALSE,"매출";#N/A,#N/A,FALSE,"원가";#N/A,#N/A,FALSE,"경영"}</definedName>
    <definedName name="ㅇㅎ" hidden="1">{#N/A,#N/A,FALSE,"BS";#N/A,#N/A,FALSE,"PL";#N/A,#N/A,FALSE,"처분";#N/A,#N/A,FALSE,"현금";#N/A,#N/A,FALSE,"매출";#N/A,#N/A,FALSE,"원가";#N/A,#N/A,FALSE,"경영"}</definedName>
    <definedName name="ㅇㅎㄹ" localSheetId="14" hidden="1">{#N/A,#N/A,FALSE,"단축1";#N/A,#N/A,FALSE,"단축2";#N/A,#N/A,FALSE,"단축3";#N/A,#N/A,FALSE,"장축";#N/A,#N/A,FALSE,"4WD"}</definedName>
    <definedName name="ㅇㅎㄹ" hidden="1">{#N/A,#N/A,FALSE,"단축1";#N/A,#N/A,FALSE,"단축2";#N/A,#N/A,FALSE,"단축3";#N/A,#N/A,FALSE,"장축";#N/A,#N/A,FALSE,"4WD"}</definedName>
    <definedName name="ㅇㅎㅁ" hidden="1">{#N/A,#N/A,FALSE,"97년 투자계획 세부내역 "}</definedName>
    <definedName name="ㅇ호ㅓ"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ㅏ"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ㅏ" hidden="1">{#N/A,#N/A,FALSE,"손익표지";#N/A,#N/A,FALSE,"손익계산";#N/A,#N/A,FALSE,"일반관리비";#N/A,#N/A,FALSE,"영업외수익";#N/A,#N/A,FALSE,"영업외비용";#N/A,#N/A,FALSE,"매출액";#N/A,#N/A,FALSE,"요약손익";#N/A,#N/A,FALSE,"요약대차";#N/A,#N/A,FALSE,"매출채권현황";#N/A,#N/A,FALSE,"매출채권명세"}</definedName>
    <definedName name="아" localSheetId="14" hidden="1">{#N/A,#N/A,FALSE,"BS";#N/A,#N/A,FALSE,"PL";#N/A,#N/A,FALSE,"처분";#N/A,#N/A,FALSE,"현금";#N/A,#N/A,FALSE,"매출";#N/A,#N/A,FALSE,"원가";#N/A,#N/A,FALSE,"경영"}</definedName>
    <definedName name="아" localSheetId="13" hidden="1">{#N/A,#N/A,FALSE,"BS";#N/A,#N/A,FALSE,"PL";#N/A,#N/A,FALSE,"처분";#N/A,#N/A,FALSE,"현금";#N/A,#N/A,FALSE,"매출";#N/A,#N/A,FALSE,"원가";#N/A,#N/A,FALSE,"경영"}</definedName>
    <definedName name="아"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아" hidden="1">{#N/A,#N/A,FALSE,"BS";#N/A,#N/A,FALSE,"PL";#N/A,#N/A,FALSE,"처분";#N/A,#N/A,FALSE,"현금";#N/A,#N/A,FALSE,"매출";#N/A,#N/A,FALSE,"원가";#N/A,#N/A,FALSE,"경영"}</definedName>
    <definedName name="我"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아나나" localSheetId="14" hidden="1">{#N/A,#N/A,FALSE,"정공"}</definedName>
    <definedName name="아나나" hidden="1">{#N/A,#N/A,FALSE,"정공"}</definedName>
    <definedName name="아나마오" localSheetId="14" hidden="1">{#N/A,#N/A,FALSE,"정공"}</definedName>
    <definedName name="아나마오" hidden="1">{#N/A,#N/A,FALSE,"정공"}</definedName>
    <definedName name="아니래요" localSheetId="14" hidden="1">{#N/A,#N/A,FALSE,"정공"}</definedName>
    <definedName name="아니래요" hidden="1">{#N/A,#N/A,FALSE,"정공"}</definedName>
    <definedName name="아니면말고" localSheetId="14" hidden="1">{#N/A,#N/A,FALSE,"정공"}</definedName>
    <definedName name="아니면말고" hidden="1">{#N/A,#N/A,FALSE,"정공"}</definedName>
    <definedName name="아니오" localSheetId="14" hidden="1">{#N/A,#N/A,FALSE,"정공"}</definedName>
    <definedName name="아니오" hidden="1">{#N/A,#N/A,FALSE,"정공"}</definedName>
    <definedName name="아니오아" localSheetId="14" hidden="1">{#N/A,#N/A,FALSE,"KMC최종회의(7월) 자료"}</definedName>
    <definedName name="아니오아" hidden="1">{#N/A,#N/A,FALSE,"KMC최종회의(7월) 자료"}</definedName>
    <definedName name="아니오옹" localSheetId="14" hidden="1">{#N/A,#N/A,FALSE,"정공"}</definedName>
    <definedName name="아니오옹" hidden="1">{#N/A,#N/A,FALSE,"정공"}</definedName>
    <definedName name="아니요표지" localSheetId="14" hidden="1">{#N/A,#N/A,FALSE,"정공"}</definedName>
    <definedName name="아니요표지" hidden="1">{#N/A,#N/A,FALSE,"정공"}</definedName>
    <definedName name="아님" localSheetId="14" hidden="1">[93]수정시산표!#REF!</definedName>
    <definedName name="아님" hidden="1">[93]수정시산표!#REF!</definedName>
    <definedName name="아닙니다" localSheetId="14" hidden="1">{#N/A,#N/A,FALSE,"정공"}</definedName>
    <definedName name="아닙니다" hidden="1">{#N/A,#N/A,FALSE,"정공"}</definedName>
    <definedName name="아들"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아라" localSheetId="14" hidden="1">{"'5'!$A$1:$BB$147"}</definedName>
    <definedName name="아라" hidden="1">{"'5'!$A$1:$BB$147"}</definedName>
    <definedName name="아러" localSheetId="14" hidden="1">{#N/A,#N/A,FALSE,"BS";#N/A,#N/A,FALSE,"PL";#N/A,#N/A,FALSE,"처분";#N/A,#N/A,FALSE,"현금";#N/A,#N/A,FALSE,"매출";#N/A,#N/A,FALSE,"원가";#N/A,#N/A,FALSE,"경영"}</definedName>
    <definedName name="아러" localSheetId="13" hidden="1">{#N/A,#N/A,FALSE,"BS";#N/A,#N/A,FALSE,"PL";#N/A,#N/A,FALSE,"처분";#N/A,#N/A,FALSE,"현금";#N/A,#N/A,FALSE,"매출";#N/A,#N/A,FALSE,"원가";#N/A,#N/A,FALSE,"경영"}</definedName>
    <definedName name="아러" hidden="1">{#N/A,#N/A,FALSE,"BS";#N/A,#N/A,FALSE,"PL";#N/A,#N/A,FALSE,"처분";#N/A,#N/A,FALSE,"현금";#N/A,#N/A,FALSE,"매출";#N/A,#N/A,FALSE,"원가";#N/A,#N/A,FALSE,"경영"}</definedName>
    <definedName name="아리" hidden="1">{#N/A,#N/A,FALSE,"지침";#N/A,#N/A,FALSE,"환경분석";#N/A,#N/A,FALSE,"Sheet16"}</definedName>
    <definedName name="아리랑" localSheetId="14" hidden="1">{#N/A,#N/A,FALSE,"정공"}</definedName>
    <definedName name="아리랑" hidden="1">{#N/A,#N/A,FALSE,"정공"}</definedName>
    <definedName name="아리랑동동" localSheetId="14" hidden="1">{#N/A,#N/A,FALSE,"정공"}</definedName>
    <definedName name="아리랑동동" hidden="1">{#N/A,#N/A,FALSE,"정공"}</definedName>
    <definedName name="아마도" hidden="1">{#N/A,#N/A,FALSE,"97년 투자계획 세부내역 "}</definedName>
    <definedName name="아무개"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啊是" hidden="1">{#N/A,#N/A,FALSE,"PART-1234-8-12-9(41)";#N/A,#N/A,FALSE,"PARTS-2(3)";#N/A,#N/A,FALSE,"VAN SYSTEM";#N/A,#N/A,FALSE,"PARTS-10(26)";#N/A,#N/A,FALSE,"PART-5-6-7-11(14)";#N/A,#N/A,FALSE,"PARTS-4(3)";#N/A,#N/A,FALSE,"PCLASS"}</definedName>
    <definedName name="아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아아" hidden="1">{#N/A,#N/A,FALSE,"손익표지";#N/A,#N/A,FALSE,"손익계산";#N/A,#N/A,FALSE,"일반관리비";#N/A,#N/A,FALSE,"영업외수익";#N/A,#N/A,FALSE,"영업외비용";#N/A,#N/A,FALSE,"매출액";#N/A,#N/A,FALSE,"요약손익";#N/A,#N/A,FALSE,"요약대차";#N/A,#N/A,FALSE,"매출채권현황";#N/A,#N/A,FALSE,"매출채권명세"}</definedName>
    <definedName name="아아아" localSheetId="14" hidden="1">{"'미착금액'!$A$4:$G$14"}</definedName>
    <definedName name="아아아" localSheetId="13" hidden="1">{"'미착금액'!$A$4:$G$14"}</definedName>
    <definedName name="아아아" hidden="1">{"'미착금액'!$A$4:$G$14"}</definedName>
    <definedName name="아알" localSheetId="14" hidden="1">{"'5'!$A$1:$BB$147"}</definedName>
    <definedName name="아알" hidden="1">{"'5'!$A$1:$BB$147"}</definedName>
    <definedName name="아이" localSheetId="14" hidden="1">{#N/A,#N/A,FALSE,"정공"}</definedName>
    <definedName name="아이" hidden="1">{#N/A,#N/A,FALSE,"정공"}</definedName>
    <definedName name="아자" localSheetId="14" hidden="1">{"'5'!$A$1:$BB$147"}</definedName>
    <definedName name="아자" hidden="1">{"'5'!$A$1:$BB$147"}</definedName>
    <definedName name="아ㅏ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아ㅏㅇ" hidden="1">{#N/A,#N/A,FALSE,"손익표지";#N/A,#N/A,FALSE,"손익계산";#N/A,#N/A,FALSE,"일반관리비";#N/A,#N/A,FALSE,"영업외수익";#N/A,#N/A,FALSE,"영업외비용";#N/A,#N/A,FALSE,"매출액";#N/A,#N/A,FALSE,"요약손익";#N/A,#N/A,FALSE,"요약대차";#N/A,#N/A,FALSE,"매출채권현황";#N/A,#N/A,FALSE,"매출채권명세"}</definedName>
    <definedName name="아ㅏㅏ" localSheetId="14" hidden="1">#REF!</definedName>
    <definedName name="아ㅏㅏ" hidden="1">#REF!</definedName>
    <definedName name="아ㅓ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아ㅓ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안" hidden="1">[94]공통!$F$45</definedName>
    <definedName name="안건" localSheetId="14" hidden="1">{#N/A,#N/A,FALSE,"BS";#N/A,#N/A,FALSE,"PL";#N/A,#N/A,FALSE,"처분";#N/A,#N/A,FALSE,"현금";#N/A,#N/A,FALSE,"매출";#N/A,#N/A,FALSE,"원가";#N/A,#N/A,FALSE,"경영"}</definedName>
    <definedName name="안건" localSheetId="13" hidden="1">{#N/A,#N/A,FALSE,"BS";#N/A,#N/A,FALSE,"PL";#N/A,#N/A,FALSE,"처분";#N/A,#N/A,FALSE,"현금";#N/A,#N/A,FALSE,"매출";#N/A,#N/A,FALSE,"원가";#N/A,#N/A,FALSE,"경영"}</definedName>
    <definedName name="안건" hidden="1">{#N/A,#N/A,FALSE,"BS";#N/A,#N/A,FALSE,"PL";#N/A,#N/A,FALSE,"처분";#N/A,#N/A,FALSE,"현금";#N/A,#N/A,FALSE,"매출";#N/A,#N/A,FALSE,"원가";#N/A,#N/A,FALSE,"경영"}</definedName>
    <definedName name="안광민"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안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안분" hidden="1">{#N/A,#N/A,FALSE,"손익표지";#N/A,#N/A,FALSE,"손익계산";#N/A,#N/A,FALSE,"일반관리비";#N/A,#N/A,FALSE,"영업외수익";#N/A,#N/A,FALSE,"영업외비용";#N/A,#N/A,FALSE,"매출액";#N/A,#N/A,FALSE,"요약손익";#N/A,#N/A,FALSE,"요약대차";#N/A,#N/A,FALSE,"매출채권현황";#N/A,#N/A,FALSE,"매출채권명세"}</definedName>
    <definedName name="안전" hidden="1">{#N/A,#N/A,FALSE,"PART-1234-8-12-9(41)";#N/A,#N/A,FALSE,"PARTS-2(3)";#N/A,#N/A,FALSE,"VAN SYSTEM";#N/A,#N/A,FALSE,"PARTS-10(26)";#N/A,#N/A,FALSE,"PART-5-6-7-11(14)";#N/A,#N/A,FALSE,"PARTS-4(3)";#N/A,#N/A,FALSE,"PCLASS"}</definedName>
    <definedName name="안현모" localSheetId="14" hidden="1">{#N/A,#N/A,FALSE,"단축1";#N/A,#N/A,FALSE,"단축2";#N/A,#N/A,FALSE,"단축3";#N/A,#N/A,FALSE,"장축";#N/A,#N/A,FALSE,"4WD"}</definedName>
    <definedName name="안현모" hidden="1">{#N/A,#N/A,FALSE,"단축1";#N/A,#N/A,FALSE,"단축2";#N/A,#N/A,FALSE,"단축3";#N/A,#N/A,FALSE,"장축";#N/A,#N/A,FALSE,"4WD"}</definedName>
    <definedName name="안홍수" hidden="1">{#N/A,#N/A,FALSE,"지침";#N/A,#N/A,FALSE,"환경분석";#N/A,#N/A,FALSE,"Sheet16"}</definedName>
    <definedName name="앗서" localSheetId="14" hidden="1">{#N/A,#N/A,FALSE,"정공"}</definedName>
    <definedName name="앗서" hidden="1">{#N/A,#N/A,FALSE,"정공"}</definedName>
    <definedName name="앙" localSheetId="14" hidden="1">{#N/A,#N/A,FALSE,"BS";#N/A,#N/A,FALSE,"PL";#N/A,#N/A,FALSE,"처분";#N/A,#N/A,FALSE,"현금";#N/A,#N/A,FALSE,"매출";#N/A,#N/A,FALSE,"원가";#N/A,#N/A,FALSE,"경영"}</definedName>
    <definedName name="앙" localSheetId="13" hidden="1">{#N/A,#N/A,FALSE,"BS";#N/A,#N/A,FALSE,"PL";#N/A,#N/A,FALSE,"처분";#N/A,#N/A,FALSE,"현금";#N/A,#N/A,FALSE,"매출";#N/A,#N/A,FALSE,"원가";#N/A,#N/A,FALSE,"경영"}</definedName>
    <definedName name="앙" hidden="1">{#N/A,#N/A,FALSE,"BS";#N/A,#N/A,FALSE,"PL";#N/A,#N/A,FALSE,"처분";#N/A,#N/A,FALSE,"현금";#N/A,#N/A,FALSE,"매출";#N/A,#N/A,FALSE,"원가";#N/A,#N/A,FALSE,"경영"}</definedName>
    <definedName name="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애" hidden="1">{#N/A,#N/A,FALSE,"손익표지";#N/A,#N/A,FALSE,"손익계산";#N/A,#N/A,FALSE,"일반관리비";#N/A,#N/A,FALSE,"영업외수익";#N/A,#N/A,FALSE,"영업외비용";#N/A,#N/A,FALSE,"매출액";#N/A,#N/A,FALSE,"요약손익";#N/A,#N/A,FALSE,"요약대차";#N/A,#N/A,FALSE,"매출채권현황";#N/A,#N/A,FALSE,"매출채권명세"}</definedName>
    <definedName name="爱你"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야" localSheetId="14" hidden="1">{#N/A,#N/A,TRUE,"Y생산";#N/A,#N/A,TRUE,"Y판매";#N/A,#N/A,TRUE,"Y총물량";#N/A,#N/A,TRUE,"Y능력";#N/A,#N/A,TRUE,"YKD"}</definedName>
    <definedName name="야" hidden="1">{#N/A,#N/A,TRUE,"Y생산";#N/A,#N/A,TRUE,"Y판매";#N/A,#N/A,TRUE,"Y총물량";#N/A,#N/A,TRUE,"Y능력";#N/A,#N/A,TRUE,"YKD"}</definedName>
    <definedName name="약식손익" localSheetId="14" hidden="1">{#N/A,#N/A,FALSE,"정공"}</definedName>
    <definedName name="약식손익" hidden="1">{#N/A,#N/A,FALSE,"정공"}</definedName>
    <definedName name="약정상환2" localSheetId="14" hidden="1">{#N/A,#N/A,FALSE,"KMC최종회의(7월) 자료"}</definedName>
    <definedName name="약정상환2" hidden="1">{#N/A,#N/A,FALSE,"KMC최종회의(7월) 자료"}</definedName>
    <definedName name="약정잉자" localSheetId="14" hidden="1">{#N/A,#N/A,FALSE,"정공"}</definedName>
    <definedName name="약정잉자" hidden="1">{#N/A,#N/A,FALSE,"정공"}</definedName>
    <definedName name="양"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양산" hidden="1">{#N/A,#N/A,FALSE,"손익표지";#N/A,#N/A,FALSE,"손익계산";#N/A,#N/A,FALSE,"일반관리비";#N/A,#N/A,FALSE,"영업외수익";#N/A,#N/A,FALSE,"영업외비용";#N/A,#N/A,FALSE,"매출액";#N/A,#N/A,FALSE,"요약손익";#N/A,#N/A,FALSE,"요약대차";#N/A,#N/A,FALSE,"매출채권현황";#N/A,#N/A,FALSE,"매출채권명세"}</definedName>
    <definedName name="양산손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양산손익" hidden="1">{#N/A,#N/A,FALSE,"손익표지";#N/A,#N/A,FALSE,"손익계산";#N/A,#N/A,FALSE,"일반관리비";#N/A,#N/A,FALSE,"영업외수익";#N/A,#N/A,FALSE,"영업외비용";#N/A,#N/A,FALSE,"매출액";#N/A,#N/A,FALSE,"요약손익";#N/A,#N/A,FALSE,"요약대차";#N/A,#N/A,FALSE,"매출채권현황";#N/A,#N/A,FALSE,"매출채권명세"}</definedName>
    <definedName name="양산품질1" localSheetId="14" hidden="1">{#N/A,#N/A,FALSE,"KMC최종회의(7월) 자료"}</definedName>
    <definedName name="양산품질1" hidden="1">{#N/A,#N/A,FALSE,"KMC최종회의(7월) 자료"}</definedName>
    <definedName name="양식" localSheetId="14" hidden="1">{"'10_03일자별'!$A$2:$H$31"}</definedName>
    <definedName name="양식" localSheetId="13" hidden="1">{"'10_03일자별'!$A$2:$H$31"}</definedName>
    <definedName name="양식"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양식" hidden="1">{"'10_03일자별'!$A$2:$H$31"}</definedName>
    <definedName name="양식1" localSheetId="14" hidden="1">{#N/A,#N/A,FALSE,"단축1";#N/A,#N/A,FALSE,"단축2";#N/A,#N/A,FALSE,"단축3";#N/A,#N/A,FALSE,"장축";#N/A,#N/A,FALSE,"4WD"}</definedName>
    <definedName name="양식1" hidden="1">{#N/A,#N/A,FALSE,"단축1";#N/A,#N/A,FALSE,"단축2";#N/A,#N/A,FALSE,"단축3";#N/A,#N/A,FALSE,"장축";#N/A,#N/A,FALSE,"4WD"}</definedName>
    <definedName name="양식3" localSheetId="14" hidden="1">{#N/A,#N/A,FALSE,"KMC최종회의(7월) 자료"}</definedName>
    <definedName name="양식3" hidden="1">{#N/A,#N/A,FALSE,"KMC최종회의(7월) 자료"}</definedName>
    <definedName name="양정모" hidden="1">{"'경매 schedule'!$A$1:$Y$78"}</definedName>
    <definedName name="얘" localSheetId="14" hidden="1">{#N/A,#N/A,FALSE,"KMC최종회의(7월) 자료"}</definedName>
    <definedName name="얘" hidden="1">{#N/A,#N/A,FALSE,"KMC최종회의(7월) 자료"}</definedName>
    <definedName name="어" localSheetId="14" hidden="1">{#N/A,#N/A,FALSE,"Sheet5"}</definedName>
    <definedName name="어" localSheetId="13" hidden="1">{#N/A,#N/A,FALSE,"Sheet5"}</definedName>
    <definedName name="어" hidden="1">{#N/A,#N/A,FALSE,"Sheet5"}</definedName>
    <definedName name="어랑" localSheetId="14" hidden="1">{#N/A,#N/A,FALSE,"BS";#N/A,#N/A,FALSE,"PL";#N/A,#N/A,FALSE,"처분";#N/A,#N/A,FALSE,"현금";#N/A,#N/A,FALSE,"매출";#N/A,#N/A,FALSE,"원가";#N/A,#N/A,FALSE,"경영"}</definedName>
    <definedName name="어랑" localSheetId="13" hidden="1">{#N/A,#N/A,FALSE,"BS";#N/A,#N/A,FALSE,"PL";#N/A,#N/A,FALSE,"처분";#N/A,#N/A,FALSE,"현금";#N/A,#N/A,FALSE,"매출";#N/A,#N/A,FALSE,"원가";#N/A,#N/A,FALSE,"경영"}</definedName>
    <definedName name="어랑" hidden="1">{#N/A,#N/A,FALSE,"BS";#N/A,#N/A,FALSE,"PL";#N/A,#N/A,FALSE,"처분";#N/A,#N/A,FALSE,"현금";#N/A,#N/A,FALSE,"매출";#N/A,#N/A,FALSE,"원가";#N/A,#N/A,FALSE,"경영"}</definedName>
    <definedName name="엄태" hidden="1">{#N/A,#N/A,FALSE,"지침";#N/A,#N/A,FALSE,"환경분석";#N/A,#N/A,FALSE,"Sheet16"}</definedName>
    <definedName name="업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업무" hidden="1">{#N/A,#N/A,FALSE,"손익표지";#N/A,#N/A,FALSE,"손익계산";#N/A,#N/A,FALSE,"일반관리비";#N/A,#N/A,FALSE,"영업외수익";#N/A,#N/A,FALSE,"영업외비용";#N/A,#N/A,FALSE,"매출액";#N/A,#N/A,FALSE,"요약손익";#N/A,#N/A,FALSE,"요약대차";#N/A,#N/A,FALSE,"매출채권현황";#N/A,#N/A,FALSE,"매출채권명세"}</definedName>
    <definedName name="业务改善实绩" hidden="1">{#N/A,#N/A,TRUE,"1.????";#N/A,#N/A,TRUE,"2.????";#N/A,#N/A,TRUE,"3.????";#N/A,#N/A,TRUE,"4.????";#N/A,#N/A,TRUE,"5.????";#N/A,#N/A,TRUE,"6.????";#N/A,#N/A,TRUE,"7.????";#N/A,#N/A,TRUE,"8.????";#N/A,#N/A,TRUE,"11.????";#N/A,#N/A,TRUE,"12.????";#N/A,#N/A,TRUE,"??";#N/A,#N/A,TRUE,"??";#N/A,#N/A,TRUE,"???? "}</definedName>
    <definedName name="업무계획" localSheetId="14" hidden="1">{#N/A,#N/A,FALSE,"KMC최종회의(7월) 자료"}</definedName>
    <definedName name="업무계획" hidden="1">{#N/A,#N/A,FALSE,"KMC최종회의(7월) 자료"}</definedName>
    <definedName name="업무보고2002" localSheetId="14" hidden="1">{#N/A,#N/A,TRUE,"Y생산";#N/A,#N/A,TRUE,"Y판매";#N/A,#N/A,TRUE,"Y총물량";#N/A,#N/A,TRUE,"Y능력";#N/A,#N/A,TRUE,"YKD"}</definedName>
    <definedName name="업무보고2002" hidden="1">{#N/A,#N/A,TRUE,"Y생산";#N/A,#N/A,TRUE,"Y판매";#N/A,#N/A,TRUE,"Y총물량";#N/A,#N/A,TRUE,"Y능력";#N/A,#N/A,TRUE,"YKD"}</definedName>
    <definedName name="업무보고용" localSheetId="14" hidden="1">{#N/A,#N/A,FALSE,"정공"}</definedName>
    <definedName name="업무보고용" hidden="1">{#N/A,#N/A,FALSE,"정공"}</definedName>
    <definedName name="업무추진방향"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업무카렌다"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업무카렌다" hidden="1">{#N/A,#N/A,FALSE,"손익표지";#N/A,#N/A,FALSE,"손익계산";#N/A,#N/A,FALSE,"일반관리비";#N/A,#N/A,FALSE,"영업외수익";#N/A,#N/A,FALSE,"영업외비용";#N/A,#N/A,FALSE,"매출액";#N/A,#N/A,FALSE,"요약손익";#N/A,#N/A,FALSE,"요약대차";#N/A,#N/A,FALSE,"매출채권현황";#N/A,#N/A,FALSE,"매출채권명세"}</definedName>
    <definedName name="업무카렌다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업무카렌다1" hidden="1">{#N/A,#N/A,FALSE,"손익표지";#N/A,#N/A,FALSE,"손익계산";#N/A,#N/A,FALSE,"일반관리비";#N/A,#N/A,FALSE,"영업외수익";#N/A,#N/A,FALSE,"영업외비용";#N/A,#N/A,FALSE,"매출액";#N/A,#N/A,FALSE,"요약손익";#N/A,#N/A,FALSE,"요약대차";#N/A,#N/A,FALSE,"매출채권현황";#N/A,#N/A,FALSE,"매출채권명세"}</definedName>
    <definedName name="업체" localSheetId="14" hidden="1">{#N/A,#N/A,FALSE,"단축1";#N/A,#N/A,FALSE,"단축2";#N/A,#N/A,FALSE,"단축3";#N/A,#N/A,FALSE,"장축";#N/A,#N/A,FALSE,"4WD"}</definedName>
    <definedName name="업체" hidden="1">{#N/A,#N/A,FALSE,"단축1";#N/A,#N/A,FALSE,"단축2";#N/A,#N/A,FALSE,"단축3";#N/A,#N/A,FALSE,"장축";#N/A,#N/A,FALSE,"4WD"}</definedName>
    <definedName name="업체카파" localSheetId="14" hidden="1">{#N/A,#N/A,FALSE,"단축1";#N/A,#N/A,FALSE,"단축2";#N/A,#N/A,FALSE,"단축3";#N/A,#N/A,FALSE,"장축";#N/A,#N/A,FALSE,"4WD"}</definedName>
    <definedName name="업체카파" hidden="1">{#N/A,#N/A,FALSE,"단축1";#N/A,#N/A,FALSE,"단축2";#N/A,#N/A,FALSE,"단축3";#N/A,#N/A,FALSE,"장축";#N/A,#N/A,FALSE,"4WD"}</definedName>
    <definedName name="업태포지셔닝" hidden="1">{#N/A,#N/A,FALSE,"97년 투자계획 세부내역 "}</definedName>
    <definedName name="없애버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음" localSheetId="14" hidden="1">{#N/A,#N/A,FALSE,"KMC최종회의(7월) 자료"}</definedName>
    <definedName name="없음" hidden="1">{#N/A,#N/A,FALSE,"KMC최종회의(7월) 자료"}</definedName>
    <definedName name="에이" localSheetId="14" hidden="1">{#N/A,#N/A,TRUE,"Y생산";#N/A,#N/A,TRUE,"Y판매";#N/A,#N/A,TRUE,"Y총물량";#N/A,#N/A,TRUE,"Y능력";#N/A,#N/A,TRUE,"YKD"}</definedName>
    <definedName name="에이" hidden="1">{#N/A,#N/A,TRUE,"Y생산";#N/A,#N/A,TRUE,"Y판매";#N/A,#N/A,TRUE,"Y총물량";#N/A,#N/A,TRUE,"Y능력";#N/A,#N/A,TRUE,"YKD"}</definedName>
    <definedName name="엔진일정1" localSheetId="14" hidden="1">{#N/A,#N/A,FALSE,"단축1";#N/A,#N/A,FALSE,"단축2";#N/A,#N/A,FALSE,"단축3";#N/A,#N/A,FALSE,"장축";#N/A,#N/A,FALSE,"4WD"}</definedName>
    <definedName name="엔진일정1" hidden="1">{#N/A,#N/A,FALSE,"단축1";#N/A,#N/A,FALSE,"단축2";#N/A,#N/A,FALSE,"단축3";#N/A,#N/A,FALSE,"장축";#N/A,#N/A,FALSE,"4WD"}</definedName>
    <definedName name="엔진표지" localSheetId="14" hidden="1">{#N/A,#N/A,FALSE,"단축1";#N/A,#N/A,FALSE,"단축2";#N/A,#N/A,FALSE,"단축3";#N/A,#N/A,FALSE,"장축";#N/A,#N/A,FALSE,"4WD"}</definedName>
    <definedName name="엔진표지" hidden="1">{#N/A,#N/A,FALSE,"단축1";#N/A,#N/A,FALSE,"단축2";#N/A,#N/A,FALSE,"단축3";#N/A,#N/A,FALSE,"장축";#N/A,#N/A,FALSE,"4WD"}</definedName>
    <definedName name="여신" localSheetId="14" hidden="1">{"'5'!$A$1:$BB$147"}</definedName>
    <definedName name="여신" hidden="1">{"'5'!$A$1:$BB$147"}</definedName>
    <definedName name="여의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역전경주" localSheetId="14" hidden="1">{#N/A,#N/A,FALSE,"KMC최종회의(7월) 자료"}</definedName>
    <definedName name="역전경주" hidden="1">{#N/A,#N/A,FALSE,"KMC최종회의(7월) 자료"}</definedName>
    <definedName name="연간손익추" localSheetId="14" hidden="1">{#N/A,#N/A,FALSE,"정공"}</definedName>
    <definedName name="연간손익추" hidden="1">{#N/A,#N/A,FALSE,"정공"}</definedName>
    <definedName name="연봉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연봉제"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14" hidden="1">{#N/A,#N/A,FALSE,"97년 투자계획 세부내역 "}</definedName>
    <definedName name="연습"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월차" localSheetId="14" hidden="1">{#N/A,#N/A,TRUE,"Y생산";#N/A,#N/A,TRUE,"Y판매";#N/A,#N/A,TRUE,"Y총물량";#N/A,#N/A,TRUE,"Y능력";#N/A,#N/A,TRUE,"YKD"}</definedName>
    <definedName name="연월차" hidden="1">{#N/A,#N/A,TRUE,"Y생산";#N/A,#N/A,TRUE,"Y판매";#N/A,#N/A,TRUE,"Y총물량";#N/A,#N/A,TRUE,"Y능력";#N/A,#N/A,TRUE,"YKD"}</definedName>
    <definedName name="연주얀" localSheetId="14" hidden="1">{#N/A,#N/A,FALSE,"정공"}</definedName>
    <definedName name="연주얀" hidden="1">{#N/A,#N/A,FALSE,"정공"}</definedName>
    <definedName name="연체" localSheetId="14" hidden="1">{"'5'!$A$1:$BB$147"}</definedName>
    <definedName name="연체" hidden="1">{"'5'!$A$1:$BB$147"}</definedName>
    <definedName name="연체이자탕감" localSheetId="14" hidden="1">{#N/A,#N/A,FALSE,"KMC최종회의(7월) 자료"}</definedName>
    <definedName name="연체이자탕감" hidden="1">{#N/A,#N/A,FALSE,"KMC최종회의(7월) 자료"}</definedName>
    <definedName name="연체현황1" hidden="1">{"'경매 schedule'!$A$1:$Y$78"}</definedName>
    <definedName name="열병"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열병"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처리" localSheetId="14" hidden="1">{#N/A,#N/A,FALSE,"단축1";#N/A,#N/A,FALSE,"단축2";#N/A,#N/A,FALSE,"단축3";#N/A,#N/A,FALSE,"장축";#N/A,#N/A,FALSE,"4WD"}</definedName>
    <definedName name="열처리" hidden="1">{#N/A,#N/A,FALSE,"단축1";#N/A,#N/A,FALSE,"단축2";#N/A,#N/A,FALSE,"단축3";#N/A,#N/A,FALSE,"장축";#N/A,#N/A,FALSE,"4WD"}</definedName>
    <definedName name="영등호"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영선">#REF!</definedName>
    <definedName name="영업">#REF!</definedName>
    <definedName name="영업1">#REF!</definedName>
    <definedName name="영업2">#REF!</definedName>
    <definedName name="영업권" localSheetId="14"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외" hidden="1">[95]추가예산!#REF!</definedName>
    <definedName name="영업외비용" localSheetId="14" hidden="1">{#N/A,#N/A,FALSE,"BS";#N/A,#N/A,FALSE,"PL";#N/A,#N/A,FALSE,"처분";#N/A,#N/A,FALSE,"현금";#N/A,#N/A,FALSE,"매출";#N/A,#N/A,FALSE,"원가";#N/A,#N/A,FALSE,"경영"}</definedName>
    <definedName name="영업외비용" localSheetId="13"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 hidden="1">[95]추가예산!#REF!</definedName>
    <definedName name="영업인건배부" hidden="1">{#N/A,#N/A,FALSE,"97년 투자계획 세부내역 "}</definedName>
    <definedName name="영업인건비배부" hidden="1">{#N/A,#N/A,FALSE,"97년 투자계획 세부내역 "}</definedName>
    <definedName name="영업일" localSheetId="14" hidden="1">{#N/A,#N/A,FALSE,"KMC최종회의(7월) 자료"}</definedName>
    <definedName name="영업일" hidden="1">{#N/A,#N/A,FALSE,"KMC최종회의(7월) 자료"}</definedName>
    <definedName name="영업현금" hidden="1">{#N/A,#N/A,FALSE,"지침";#N/A,#N/A,FALSE,"환경분석";#N/A,#N/A,FALSE,"Sheet16"}</definedName>
    <definedName name="영역">#REF!</definedName>
    <definedName name="영희" localSheetId="14" hidden="1">{"'5'!$A$1:$BB$147"}</definedName>
    <definedName name="영희" hidden="1">{"'5'!$A$1:$BB$147"}</definedName>
    <definedName name="예">#REF!</definedName>
    <definedName name="예1" localSheetId="14" hidden="1">{#N/A,#N/A,FALSE,"정공"}</definedName>
    <definedName name="예1" hidden="1">{#N/A,#N/A,FALSE,"정공"}</definedName>
    <definedName name="예2" localSheetId="14" hidden="1">{#N/A,#N/A,FALSE,"정공"}</definedName>
    <definedName name="예2" hidden="1">{#N/A,#N/A,FALSE,"정공"}</definedName>
    <definedName name="예3" localSheetId="14" hidden="1">{#N/A,#N/A,FALSE,"정공"}</definedName>
    <definedName name="예3" hidden="1">{#N/A,#N/A,FALSE,"정공"}</definedName>
    <definedName name="예산" localSheetId="14" hidden="1">{#N/A,#N/A,FALSE,"단축1";#N/A,#N/A,FALSE,"단축2";#N/A,#N/A,FALSE,"단축3";#N/A,#N/A,FALSE,"장축";#N/A,#N/A,FALSE,"4WD"}</definedName>
    <definedName name="예산" localSheetId="13" hidden="1">{#N/A,#N/A,FALSE,"단축1";#N/A,#N/A,FALSE,"단축2";#N/A,#N/A,FALSE,"단축3";#N/A,#N/A,FALSE,"장축";#N/A,#N/A,FALSE,"4WD"}</definedName>
    <definedName name="예산">#REF!</definedName>
    <definedName name="예산4" localSheetId="14" hidden="1">{#N/A,#N/A,TRUE,"Y생산";#N/A,#N/A,TRUE,"Y판매";#N/A,#N/A,TRUE,"Y총물량";#N/A,#N/A,TRUE,"Y능력";#N/A,#N/A,TRUE,"YKD"}</definedName>
    <definedName name="예산4" hidden="1">{#N/A,#N/A,TRUE,"Y생산";#N/A,#N/A,TRUE,"Y판매";#N/A,#N/A,TRUE,"Y총물량";#N/A,#N/A,TRUE,"Y능력";#N/A,#N/A,TRUE,"YKD"}</definedName>
    <definedName name="예산수정" localSheetId="14" hidden="1">{#N/A,#N/A,TRUE,"Y생산";#N/A,#N/A,TRUE,"Y판매";#N/A,#N/A,TRUE,"Y총물량";#N/A,#N/A,TRUE,"Y능력";#N/A,#N/A,TRUE,"YKD"}</definedName>
    <definedName name="예산수정" hidden="1">{#N/A,#N/A,TRUE,"Y생산";#N/A,#N/A,TRUE,"Y판매";#N/A,#N/A,TRUE,"Y총물량";#N/A,#N/A,TRUE,"Y능력";#N/A,#N/A,TRUE,"YKD"}</definedName>
    <definedName name="예상" localSheetId="14" hidden="1">#REF!</definedName>
    <definedName name="예상" localSheetId="13" hidden="1">#REF!</definedName>
    <definedName name="예상" localSheetId="27" hidden="1">#REF!</definedName>
    <definedName name="예상" localSheetId="20" hidden="1">#REF!</definedName>
    <definedName name="예상" hidden="1">#REF!</definedName>
    <definedName name="예스" localSheetId="14" hidden="1">{#N/A,#N/A,FALSE,"KMC최종회의(7월) 자료"}</definedName>
    <definedName name="예스" hidden="1">{#N/A,#N/A,FALSE,"KMC최종회의(7월) 자료"}</definedName>
    <definedName name="예치보증" localSheetId="14" hidden="1">{"'분양원가'!$B$1:$F$113"}</definedName>
    <definedName name="예치보증" localSheetId="13" hidden="1">{"'분양원가'!$B$1:$F$113"}</definedName>
    <definedName name="예치보증" hidden="1">{"'분양원가'!$B$1:$F$113"}</definedName>
    <definedName name="예치보증금" localSheetId="14" hidden="1">{"'분양원가'!$B$1:$F$113"}</definedName>
    <definedName name="예치보증금" localSheetId="13" hidden="1">{"'분양원가'!$B$1:$F$113"}</definedName>
    <definedName name="예치보증금" hidden="1">{"'분양원가'!$B$1:$F$113"}</definedName>
    <definedName name="오서방" hidden="1">{#N/A,#N/A,FALSE,"97년 투자계획 세부내역 "}</definedName>
    <definedName name="오성협" localSheetId="14" hidden="1">{#N/A,#N/A,TRUE,"Y생산";#N/A,#N/A,TRUE,"Y판매";#N/A,#N/A,TRUE,"Y총물량";#N/A,#N/A,TRUE,"Y능력";#N/A,#N/A,TRUE,"YKD"}</definedName>
    <definedName name="오성협" hidden="1">{#N/A,#N/A,TRUE,"Y생산";#N/A,#N/A,TRUE,"Y판매";#N/A,#N/A,TRUE,"Y총물량";#N/A,#N/A,TRUE,"Y능력";#N/A,#N/A,TRUE,"YKD"}</definedName>
    <definedName name="오성히" localSheetId="14" hidden="1">{#N/A,#N/A,TRUE,"Y생산";#N/A,#N/A,TRUE,"Y판매";#N/A,#N/A,TRUE,"Y총물량";#N/A,#N/A,TRUE,"Y능력";#N/A,#N/A,TRUE,"YKD"}</definedName>
    <definedName name="오성히" hidden="1">{#N/A,#N/A,TRUE,"Y생산";#N/A,#N/A,TRUE,"Y판매";#N/A,#N/A,TRUE,"Y총물량";#N/A,#N/A,TRUE,"Y능력";#N/A,#N/A,TRUE,"YKD"}</definedName>
    <definedName name="오세범" hidden="1">{#N/A,#N/A,FALSE,"97년 투자계획 세부내역 "}</definedName>
    <definedName name="오세범1" hidden="1">{#N/A,#N/A,FALSE,"97년 투자계획 세부내역 "}</definedName>
    <definedName name="오세범2" hidden="1">{#N/A,#N/A,FALSE,"97년 투자계획 세부내역 "}</definedName>
    <definedName name="오세범3" hidden="1">{#N/A,#N/A,FALSE,"97년 투자계획 세부내역 "}</definedName>
    <definedName name="오일건" localSheetId="14" hidden="1">{#N/A,#N/A,FALSE,"단축1";#N/A,#N/A,FALSE,"단축2";#N/A,#N/A,FALSE,"단축3";#N/A,#N/A,FALSE,"장축";#N/A,#N/A,FALSE,"4WD"}</definedName>
    <definedName name="오일건" hidden="1">{#N/A,#N/A,FALSE,"단축1";#N/A,#N/A,FALSE,"단축2";#N/A,#N/A,FALSE,"단축3";#N/A,#N/A,FALSE,"장축";#N/A,#N/A,FALSE,"4WD"}</definedName>
    <definedName name="오주3" localSheetId="14" hidden="1">{#N/A,#N/A,FALSE,"KMC최종회의(7월) 자료"}</definedName>
    <definedName name="오주3" hidden="1">{#N/A,#N/A,FALSE,"KMC최종회의(7월) 자료"}</definedName>
    <definedName name="오토" localSheetId="14" hidden="1">{"'5'!$A$1:$BB$147"}</definedName>
    <definedName name="오토" hidden="1">{"'5'!$A$1:$BB$147"}</definedName>
    <definedName name="오토리스" localSheetId="14" hidden="1">{"'5'!$A$1:$BB$147"}</definedName>
    <definedName name="오토리스" hidden="1">{"'5'!$A$1:$BB$147"}</definedName>
    <definedName name="오토리스1" localSheetId="14" hidden="1">{"'5'!$A$1:$BB$147"}</definedName>
    <definedName name="오토리스1" hidden="1">{"'5'!$A$1:$BB$147"}</definedName>
    <definedName name="오토리스실적" localSheetId="14" hidden="1">{"'5'!$A$1:$BB$147"}</definedName>
    <definedName name="오토리스실적" hidden="1">{"'5'!$A$1:$BB$147"}</definedName>
    <definedName name="오토본부" localSheetId="14" hidden="1">{"'5'!$A$1:$BB$147"}</definedName>
    <definedName name="오토본부" hidden="1">{"'5'!$A$1:$BB$147"}</definedName>
    <definedName name="오토토" localSheetId="14" hidden="1">{"'5'!$A$1:$BB$147"}</definedName>
    <definedName name="오토토" hidden="1">{"'5'!$A$1:$BB$147"}</definedName>
    <definedName name="오포" localSheetId="14" hidden="1">{"'5'!$A$1:$BB$147"}</definedName>
    <definedName name="오포" hidden="1">{"'5'!$A$1:$BB$147"}</definedName>
    <definedName name="오ㅓㄱ" localSheetId="14" hidden="1">{#N/A,#N/A,FALSE,"BS";#N/A,#N/A,FALSE,"PL";#N/A,#N/A,FALSE,"처분";#N/A,#N/A,FALSE,"현금";#N/A,#N/A,FALSE,"매출";#N/A,#N/A,FALSE,"원가";#N/A,#N/A,FALSE,"경영"}</definedName>
    <definedName name="오ㅓㄱ" localSheetId="13" hidden="1">{#N/A,#N/A,FALSE,"BS";#N/A,#N/A,FALSE,"PL";#N/A,#N/A,FALSE,"처분";#N/A,#N/A,FALSE,"현금";#N/A,#N/A,FALSE,"매출";#N/A,#N/A,FALSE,"원가";#N/A,#N/A,FALSE,"경영"}</definedName>
    <definedName name="오ㅓㄱ" hidden="1">{#N/A,#N/A,FALSE,"BS";#N/A,#N/A,FALSE,"PL";#N/A,#N/A,FALSE,"처분";#N/A,#N/A,FALSE,"현금";#N/A,#N/A,FALSE,"매출";#N/A,#N/A,FALSE,"원가";#N/A,#N/A,FALSE,"경영"}</definedName>
    <definedName name="옳ㅇ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왔" localSheetId="14" hidden="1">{#N/A,#N/A,FALSE,"Sheet5"}</definedName>
    <definedName name="왔" localSheetId="13" hidden="1">{#N/A,#N/A,FALSE,"Sheet5"}</definedName>
    <definedName name="왔" hidden="1">{#N/A,#N/A,FALSE,"Sheet5"}</definedName>
    <definedName name="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왜" hidden="1">{#N/A,#N/A,FALSE,"손익표지";#N/A,#N/A,FALSE,"손익계산";#N/A,#N/A,FALSE,"일반관리비";#N/A,#N/A,FALSE,"영업외수익";#N/A,#N/A,FALSE,"영업외비용";#N/A,#N/A,FALSE,"매출액";#N/A,#N/A,FALSE,"요약손익";#N/A,#N/A,FALSE,"요약대차";#N/A,#N/A,FALSE,"매출채권현황";#N/A,#N/A,FALSE,"매출채권명세"}</definedName>
    <definedName name="왜냐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왜냐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부위협" hidden="1">{#N/A,#N/A,FALSE,"PART-1234-8-12-9(41)";#N/A,#N/A,FALSE,"PARTS-2(3)";#N/A,#N/A,FALSE,"VAN SYSTEM";#N/A,#N/A,FALSE,"PARTS-10(26)";#N/A,#N/A,FALSE,"PART-5-6-7-11(14)";#N/A,#N/A,FALSE,"PARTS-4(3)";#N/A,#N/A,FALSE,"PCLASS"}</definedName>
    <definedName name="외상" hidden="1">[96]은행!#REF!</definedName>
    <definedName name="외상매출금">[80]대차대조표!$E$13:$M$14</definedName>
    <definedName name="외생종합"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외주4" localSheetId="14" hidden="1">{#N/A,#N/A,FALSE,"KMC최종회의(7월) 자료"}</definedName>
    <definedName name="외주4" hidden="1">{#N/A,#N/A,FALSE,"KMC최종회의(7월) 자료"}</definedName>
    <definedName name="외주계획" localSheetId="14" hidden="1">{#N/A,#N/A,TRUE,"Y생산";#N/A,#N/A,TRUE,"Y판매";#N/A,#N/A,TRUE,"Y총물량";#N/A,#N/A,TRUE,"Y능력";#N/A,#N/A,TRUE,"YKD"}</definedName>
    <definedName name="외주계획" hidden="1">{#N/A,#N/A,TRUE,"Y생산";#N/A,#N/A,TRUE,"Y판매";#N/A,#N/A,TRUE,"Y총물량";#N/A,#N/A,TRUE,"Y능력";#N/A,#N/A,TRUE,"YKD"}</definedName>
    <definedName name="외주비2"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외주품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외형분석" localSheetId="14" hidden="1">{#N/A,#N/A,FALSE,"정공"}</definedName>
    <definedName name="외형분석" hidden="1">{#N/A,#N/A,FALSE,"정공"}</definedName>
    <definedName name="외형비교표" localSheetId="14" hidden="1">{#N/A,#N/A,FALSE,"정공"}</definedName>
    <definedName name="외형비교표" hidden="1">{#N/A,#N/A,FALSE,"정공"}</definedName>
    <definedName name="외형종합표" localSheetId="14" hidden="1">{#N/A,#N/A,FALSE,"정공"}</definedName>
    <definedName name="외형종합표" hidden="1">{#N/A,#N/A,FALSE,"정공"}</definedName>
    <definedName name="요약" localSheetId="14" hidden="1">{"'10_03일자별'!$A$2:$H$31"}</definedName>
    <definedName name="요약" localSheetId="13" hidden="1">{"'10_03일자별'!$A$2:$H$31"}</definedName>
    <definedName name="요약" hidden="1">{"'10_03일자별'!$A$2:$H$31"}</definedName>
    <definedName name="요약3" localSheetId="14" hidden="1">{#N/A,#N/A,FALSE,"정공"}</definedName>
    <definedName name="요약3" hidden="1">{#N/A,#N/A,FALSE,"정공"}</definedName>
    <definedName name="요약5" localSheetId="14" hidden="1">{#N/A,#N/A,FALSE,"정공"}</definedName>
    <definedName name="요약5" hidden="1">{#N/A,#N/A,FALSE,"정공"}</definedName>
    <definedName name="요약FS" localSheetId="14" hidden="1">{#N/A,#N/A,FALSE,"Sheet5"}</definedName>
    <definedName name="요약FS" localSheetId="13" hidden="1">{#N/A,#N/A,FALSE,"Sheet5"}</definedName>
    <definedName name="요약FS" hidden="1">{#N/A,#N/A,FALSE,"Sheet5"}</definedName>
    <definedName name="요약총괄" localSheetId="14" hidden="1">{#N/A,#N/A,FALSE,"정공"}</definedName>
    <definedName name="요약총괄" hidden="1">{#N/A,#N/A,FALSE,"정공"}</definedName>
    <definedName name="요약표2" localSheetId="14" hidden="1">{#N/A,#N/A,FALSE,"정공"}</definedName>
    <definedName name="요약표2" hidden="1">{#N/A,#N/A,FALSE,"정공"}</definedName>
    <definedName name="용도차" localSheetId="14" hidden="1">{#N/A,#N/A,FALSE,"단축1";#N/A,#N/A,FALSE,"단축2";#N/A,#N/A,FALSE,"단축3";#N/A,#N/A,FALSE,"장축";#N/A,#N/A,FALSE,"4WD"}</definedName>
    <definedName name="용도차" hidden="1">{#N/A,#N/A,FALSE,"단축1";#N/A,#N/A,FALSE,"단축2";#N/A,#N/A,FALSE,"단축3";#N/A,#N/A,FALSE,"장축";#N/A,#N/A,FALSE,"4WD"}</definedName>
    <definedName name="용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용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역" localSheetId="14" hidden="1">{#N/A,#N/A,TRUE,"Y생산";#N/A,#N/A,TRUE,"Y판매";#N/A,#N/A,TRUE,"Y총물량";#N/A,#N/A,TRUE,"Y능력";#N/A,#N/A,TRUE,"YKD"}</definedName>
    <definedName name="용역" hidden="1">{#N/A,#N/A,TRUE,"Y생산";#N/A,#N/A,TRUE,"Y판매";#N/A,#N/A,TRUE,"Y총물량";#N/A,#N/A,TRUE,"Y능력";#N/A,#N/A,TRUE,"YKD"}</definedName>
    <definedName name="용역비" hidden="1">{#N/A,#N/A,FALSE,"PART-1234-8-12-9(41)";#N/A,#N/A,FALSE,"PARTS-2(3)";#N/A,#N/A,FALSE,"VAN SYSTEM";#N/A,#N/A,FALSE,"PARTS-10(26)";#N/A,#N/A,FALSE,"PART-5-6-7-11(14)";#N/A,#N/A,FALSE,"PARTS-4(3)";#N/A,#N/A,FALSE,"PCLASS"}</definedName>
    <definedName name="우" localSheetId="14" hidden="1">{#N/A,#N/A,FALSE,"Sheet5"}</definedName>
    <definedName name="우" localSheetId="13" hidden="1">{#N/A,#N/A,FALSE,"Sheet5"}</definedName>
    <definedName name="우" hidden="1">{#N/A,#N/A,FALSE,"Sheet5"}</definedName>
    <definedName name="우너강ㅍㄹ" hidden="1">{#N/A,#N/A,FALSE,"지침";#N/A,#N/A,FALSE,"환경분석";#N/A,#N/A,FALSE,"Sheet16"}</definedName>
    <definedName name="우라" localSheetId="14" hidden="1">{#N/A,#N/A,FALSE,"KMC최종회의(7월) 자료"}</definedName>
    <definedName name="우라" hidden="1">{#N/A,#N/A,FALSE,"KMC최종회의(7월) 자료"}</definedName>
    <definedName name="우리" localSheetId="14" hidden="1">{#N/A,#N/A,FALSE,"97년 투자계획 세부내역 "}</definedName>
    <definedName name="우리" hidden="1">{#N/A,#N/A,FALSE,"KMC최종회의(7월) 자료"}</definedName>
    <definedName name="우리난라" localSheetId="14" hidden="1">{#N/A,#N/A,FALSE,"KMC최종회의(7월) 자료"}</definedName>
    <definedName name="우리난라" hidden="1">{#N/A,#N/A,FALSE,"KMC최종회의(7월) 자료"}</definedName>
    <definedName name="우리는" localSheetId="14" hidden="1">{#N/A,#N/A,FALSE,"Sheet5"}</definedName>
    <definedName name="우리는" localSheetId="13" hidden="1">{#N/A,#N/A,FALSE,"Sheet5"}</definedName>
    <definedName name="우리는" hidden="1">{#N/A,#N/A,FALSE,"Sheet5"}</definedName>
    <definedName name="우수인력" hidden="1">{#N/A,#N/A,FALSE,"97년 투자계획 세부내역 "}</definedName>
    <definedName name="우승철" hidden="1">{#N/A,#N/A,FALSE,"97년 투자계획 세부내역 "}</definedName>
    <definedName name="운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 localSheetId="14" hidden="1">{#N/A,#N/A,FALSE,"Sheet5"}</definedName>
    <definedName name="운영" localSheetId="13" hidden="1">{#N/A,#N/A,FALSE,"Sheet5"}</definedName>
    <definedName name="운영" hidden="1">{#N/A,#N/A,FALSE,"Sheet5"}</definedName>
    <definedName name="운영구도2" localSheetId="14" hidden="1">{#N/A,#N/A,FALSE,"단축1";#N/A,#N/A,FALSE,"단축2";#N/A,#N/A,FALSE,"단축3";#N/A,#N/A,FALSE,"장축";#N/A,#N/A,FALSE,"4WD"}</definedName>
    <definedName name="운영구도2" hidden="1">{#N/A,#N/A,FALSE,"단축1";#N/A,#N/A,FALSE,"단축2";#N/A,#N/A,FALSE,"단축3";#N/A,#N/A,FALSE,"장축";#N/A,#N/A,FALSE,"4WD"}</definedName>
    <definedName name="운영구도3" localSheetId="14" hidden="1">{#N/A,#N/A,FALSE,"단축1";#N/A,#N/A,FALSE,"단축2";#N/A,#N/A,FALSE,"단축3";#N/A,#N/A,FALSE,"장축";#N/A,#N/A,FALSE,"4WD"}</definedName>
    <definedName name="운영구도3" hidden="1">{#N/A,#N/A,FALSE,"단축1";#N/A,#N/A,FALSE,"단축2";#N/A,#N/A,FALSE,"단축3";#N/A,#N/A,FALSE,"장축";#N/A,#N/A,FALSE,"4WD"}</definedName>
    <definedName name="운영방안" localSheetId="14" hidden="1">{#N/A,#N/A,FALSE,"단축1";#N/A,#N/A,FALSE,"단축2";#N/A,#N/A,FALSE,"단축3";#N/A,#N/A,FALSE,"장축";#N/A,#N/A,FALSE,"4WD"}</definedName>
    <definedName name="운영방안" hidden="1">{#N/A,#N/A,FALSE,"단축1";#N/A,#N/A,FALSE,"단축2";#N/A,#N/A,FALSE,"단축3";#N/A,#N/A,FALSE,"장축";#N/A,#N/A,FALSE,"4WD"}</definedName>
    <definedName name="운영지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운영지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영팀2" hidden="1">{#N/A,#N/A,TRUE,"Y생산";#N/A,#N/A,TRUE,"Y판매";#N/A,#N/A,TRUE,"Y총물량";#N/A,#N/A,TRUE,"Y능력";#N/A,#N/A,TRUE,"YKD"}</definedName>
    <definedName name="울랄라" localSheetId="14" hidden="1">{"'5'!$A$1:$BB$147"}</definedName>
    <definedName name="울랄라" hidden="1">{"'5'!$A$1:$BB$147"}</definedName>
    <definedName name="울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움퍄" localSheetId="14" hidden="1">{#N/A,#N/A,FALSE,"KMC최종회의(7월) 자료"}</definedName>
    <definedName name="움퍄" hidden="1">{#N/A,#N/A,FALSE,"KMC최종회의(7월) 자료"}</definedName>
    <definedName name="원" hidden="1">{#N/A,#N/A,FALSE,"지침";#N/A,#N/A,FALSE,"환경분석";#N/A,#N/A,FALSE,"Sheet16"}</definedName>
    <definedName name="远" hidden="1">{#N/A,#N/A,TRUE,"1.????";#N/A,#N/A,TRUE,"2.????";#N/A,#N/A,TRUE,"3.????";#N/A,#N/A,TRUE,"4.????";#N/A,#N/A,TRUE,"5.????";#N/A,#N/A,TRUE,"6.????";#N/A,#N/A,TRUE,"7.????";#N/A,#N/A,TRUE,"8.????";#N/A,#N/A,TRUE,"11.????";#N/A,#N/A,TRUE,"12.????";#N/A,#N/A,TRUE,"??";#N/A,#N/A,TRUE,"??";#N/A,#N/A,TRUE,"???? "}</definedName>
    <definedName name="원가" localSheetId="14" hidden="1">{#N/A,#N/A,FALSE,"PART-1234-8-12-9(41)";#N/A,#N/A,FALSE,"PARTS-2(3)";#N/A,#N/A,FALSE,"VAN SYSTEM";#N/A,#N/A,FALSE,"PARTS-10(26)";#N/A,#N/A,FALSE,"PART-5-6-7-11(14)";#N/A,#N/A,FALSE,"PARTS-4(3)";#N/A,#N/A,FALSE,"PCLASS"}</definedName>
    <definedName name="원가" hidden="1">{#N/A,#N/A,FALSE,"인원";#N/A,#N/A,FALSE,"비용2";#N/A,#N/A,FALSE,"비용1";#N/A,#N/A,FALSE,"비용";#N/A,#N/A,FALSE,"보증2";#N/A,#N/A,FALSE,"보증1";#N/A,#N/A,FALSE,"보증";#N/A,#N/A,FALSE,"손익1";#N/A,#N/A,FALSE,"손익";#N/A,#N/A,FALSE,"부서별매출";#N/A,#N/A,FALSE,"매출"}</definedName>
    <definedName name="원가2" hidden="1">{#N/A,#N/A,FALSE,"PART-1234-8-12-9(41)";#N/A,#N/A,FALSE,"PARTS-2(3)";#N/A,#N/A,FALSE,"VAN SYSTEM";#N/A,#N/A,FALSE,"PARTS-10(26)";#N/A,#N/A,FALSE,"PART-5-6-7-11(14)";#N/A,#N/A,FALSE,"PARTS-4(3)";#N/A,#N/A,FALSE,"PCLASS"}</definedName>
    <definedName name="원가계획" hidden="1">{#N/A,#N/A,FALSE,"지침";#N/A,#N/A,FALSE,"환경분석";#N/A,#N/A,FALSE,"Sheet16"}</definedName>
    <definedName name="원가관리라" localSheetId="14" hidden="1">{#N/A,#N/A,FALSE,"정공"}</definedName>
    <definedName name="원가관리라" hidden="1">{#N/A,#N/A,FALSE,"정공"}</definedName>
    <definedName name="원가이름" localSheetId="14" hidden="1">{#N/A,#N/A,FALSE,"인원";#N/A,#N/A,FALSE,"비용2";#N/A,#N/A,FALSE,"비용1";#N/A,#N/A,FALSE,"비용";#N/A,#N/A,FALSE,"보증2";#N/A,#N/A,FALSE,"보증1";#N/A,#N/A,FALSE,"보증";#N/A,#N/A,FALSE,"손익1";#N/A,#N/A,FALSE,"손익";#N/A,#N/A,FALSE,"부서별매출";#N/A,#N/A,FALSE,"매출"}</definedName>
    <definedName name="원가이름" hidden="1">{#N/A,#N/A,FALSE,"인원";#N/A,#N/A,FALSE,"비용2";#N/A,#N/A,FALSE,"비용1";#N/A,#N/A,FALSE,"비용";#N/A,#N/A,FALSE,"보증2";#N/A,#N/A,FALSE,"보증1";#N/A,#N/A,FALSE,"보증";#N/A,#N/A,FALSE,"손익1";#N/A,#N/A,FALSE,"손익";#N/A,#N/A,FALSE,"부서별매출";#N/A,#N/A,FALSE,"매출"}</definedName>
    <definedName name="원가적용" localSheetId="14" hidden="1">{#N/A,#N/A,FALSE,"정공"}</definedName>
    <definedName name="원가적용" hidden="1">{#N/A,#N/A,FALSE,"정공"}</definedName>
    <definedName name="원가절감" localSheetId="14"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원가절감" hidden="1">#REF!</definedName>
    <definedName name="원가절감1" hidden="1">{#N/A,#N/A,FALSE,"PART-1234-8-12-9(41)";#N/A,#N/A,FALSE,"PARTS-2(3)";#N/A,#N/A,FALSE,"VAN SYSTEM";#N/A,#N/A,FALSE,"PARTS-10(26)";#N/A,#N/A,FALSE,"PART-5-6-7-11(14)";#N/A,#N/A,FALSE,"PARTS-4(3)";#N/A,#N/A,FALSE,"PCLASS"}</definedName>
    <definedName name="원가절감2" localSheetId="14" hidden="1">{#N/A,#N/A,FALSE,"정공"}</definedName>
    <definedName name="원가절감2" hidden="1">{#N/A,#N/A,FALSE,"정공"}</definedName>
    <definedName name="원가절감22" localSheetId="14" hidden="1">{#N/A,#N/A,FALSE,"정공"}</definedName>
    <definedName name="원가절감22" hidden="1">{#N/A,#N/A,FALSE,"정공"}</definedName>
    <definedName name="원가절감반영후" localSheetId="14" hidden="1">{#N/A,#N/A,FALSE,"정공"}</definedName>
    <definedName name="원가절감반영후" hidden="1">{#N/A,#N/A,FALSE,"정공"}</definedName>
    <definedName name="원가절감싯트" localSheetId="14" hidden="1">{#N/A,#N/A,FALSE,"정공"}</definedName>
    <definedName name="원가절감싯트" hidden="1">{#N/A,#N/A,FALSE,"정공"}</definedName>
    <definedName name="원가절감양식" localSheetId="14" hidden="1">{#N/A,#N/A,TRUE,"Y생산";#N/A,#N/A,TRUE,"Y판매";#N/A,#N/A,TRUE,"Y총물량";#N/A,#N/A,TRUE,"Y능력";#N/A,#N/A,TRUE,"YKD"}</definedName>
    <definedName name="원가절감양식" hidden="1">{#N/A,#N/A,TRUE,"Y생산";#N/A,#N/A,TRUE,"Y판매";#N/A,#N/A,TRUE,"Y총물량";#N/A,#N/A,TRUE,"Y능력";#N/A,#N/A,TRUE,"YKD"}</definedName>
    <definedName name="원가절감종합2" hidden="1">{#N/A,#N/A,FALSE,"PART-1234-8-12-9(41)";#N/A,#N/A,FALSE,"PARTS-2(3)";#N/A,#N/A,FALSE,"VAN SYSTEM";#N/A,#N/A,FALSE,"PARTS-10(26)";#N/A,#N/A,FALSE,"PART-5-6-7-11(14)";#N/A,#N/A,FALSE,"PARTS-4(3)";#N/A,#N/A,FALSE,"PCLASS"}</definedName>
    <definedName name="원가절갘" hidden="1">{#N/A,#N/A,FALSE,"PART-1234-8-12-9(41)";#N/A,#N/A,FALSE,"PARTS-2(3)";#N/A,#N/A,FALSE,"VAN SYSTEM";#N/A,#N/A,FALSE,"PARTS-10(26)";#N/A,#N/A,FALSE,"PART-5-6-7-11(14)";#N/A,#N/A,FALSE,"PARTS-4(3)";#N/A,#N/A,FALSE,"PCLASS"}</definedName>
    <definedName name="원가초과사유2">#REF!</definedName>
    <definedName name="원계획대비" hidden="1">{#N/A,#N/A,FALSE,"지침";#N/A,#N/A,FALSE,"환경분석";#N/A,#N/A,FALSE,"Sheet16"}</definedName>
    <definedName name="원단운영안" localSheetId="14" hidden="1">{#N/A,#N/A,FALSE,"단축1";#N/A,#N/A,FALSE,"단축2";#N/A,#N/A,FALSE,"단축3";#N/A,#N/A,FALSE,"장축";#N/A,#N/A,FALSE,"4WD"}</definedName>
    <definedName name="원단운영안" hidden="1">{#N/A,#N/A,FALSE,"단축1";#N/A,#N/A,FALSE,"단축2";#N/A,#N/A,FALSE,"단축3";#N/A,#N/A,FALSE,"장축";#N/A,#N/A,FALSE,"4WD"}</definedName>
    <definedName name="원단위테라칸" localSheetId="14" hidden="1">{#N/A,#N/A,FALSE,"정공"}</definedName>
    <definedName name="원단위테라칸" hidden="1">{#N/A,#N/A,FALSE,"정공"}</definedName>
    <definedName name="원단위표" localSheetId="14" hidden="1">{#N/A,#N/A,FALSE,"정공"}</definedName>
    <definedName name="원단위표" hidden="1">{#N/A,#N/A,FALSE,"정공"}</definedName>
    <definedName name="원재료생산현황"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천납부8" localSheetId="1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1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노무비절1" localSheetId="14" hidden="1">{#N/A,#N/A,FALSE,"KMC최종회의(7월) 자료"}</definedName>
    <definedName name="월노무비절1" hidden="1">{#N/A,#N/A,FALSE,"KMC최종회의(7월) 자료"}</definedName>
    <definedName name="월례" hidden="1">{#N/A,#N/A,FALSE,"97년 투자계획 세부내역 "}</definedName>
    <definedName name="월별" localSheetId="14" hidden="1">{"'10_03일자별'!$A$2:$H$31"}</definedName>
    <definedName name="월별" localSheetId="13" hidden="1">{"'10_03일자별'!$A$2:$H$31"}</definedName>
    <definedName name="월별" hidden="1">{"'10_03일자별'!$A$2:$H$31"}</definedName>
    <definedName name="월별매출3" hidden="1">{#N/A,#N/A,FALSE,"97년 투자계획 세부내역 "}</definedName>
    <definedName name="월별손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월별손익"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원가절감상세" localSheetId="14" hidden="1">{#N/A,#N/A,FALSE,"정공"}</definedName>
    <definedName name="월별원가절감상세" hidden="1">{#N/A,#N/A,FALSE,"정공"}</definedName>
    <definedName name="월별재경" localSheetId="14" hidden="1">{#N/A,#N/A,TRUE,"Y생산";#N/A,#N/A,TRUE,"Y판매";#N/A,#N/A,TRUE,"Y총물량";#N/A,#N/A,TRUE,"Y능력";#N/A,#N/A,TRUE,"YKD"}</definedName>
    <definedName name="월별재경" hidden="1">{#N/A,#N/A,TRUE,"Y생산";#N/A,#N/A,TRUE,"Y판매";#N/A,#N/A,TRUE,"Y총물량";#N/A,#N/A,TRUE,"Y능력";#N/A,#N/A,TRUE,"YKD"}</definedName>
    <definedName name="월별재경안" localSheetId="14" hidden="1">{#N/A,#N/A,TRUE,"Y생산";#N/A,#N/A,TRUE,"Y판매";#N/A,#N/A,TRUE,"Y총물량";#N/A,#N/A,TRUE,"Y능력";#N/A,#N/A,TRUE,"YKD"}</definedName>
    <definedName name="월별재경안" hidden="1">{#N/A,#N/A,TRUE,"Y생산";#N/A,#N/A,TRUE,"Y판매";#N/A,#N/A,TRUE,"Y총물량";#N/A,#N/A,TRUE,"Y능력";#N/A,#N/A,TRUE,"YKD"}</definedName>
    <definedName name="월별제조경비" hidden="1">#REF!</definedName>
    <definedName name="유" localSheetId="14" hidden="1">{#N/A,#N/A,FALSE,"97년 투자계획 세부내역 "}</definedName>
    <definedName name="유" hidden="1">{#N/A,#N/A,FALSE,"손익표지";#N/A,#N/A,FALSE,"손익계산";#N/A,#N/A,FALSE,"일반관리비";#N/A,#N/A,FALSE,"영업외수익";#N/A,#N/A,FALSE,"영업외비용";#N/A,#N/A,FALSE,"매출액";#N/A,#N/A,FALSE,"요약손익";#N/A,#N/A,FALSE,"요약대차";#N/A,#N/A,FALSE,"매출채권현황";#N/A,#N/A,FALSE,"매출채권명세"}</definedName>
    <definedName name="유가" localSheetId="14" hidden="1">{#N/A,#N/A,FALSE,"BS";#N/A,#N/A,FALSE,"PL";#N/A,#N/A,FALSE,"처분";#N/A,#N/A,FALSE,"현금";#N/A,#N/A,FALSE,"매출";#N/A,#N/A,FALSE,"원가";#N/A,#N/A,FALSE,"경영"}</definedName>
    <definedName name="유가" localSheetId="13" hidden="1">{#N/A,#N/A,FALSE,"BS";#N/A,#N/A,FALSE,"PL";#N/A,#N/A,FALSE,"처분";#N/A,#N/A,FALSE,"현금";#N/A,#N/A,FALSE,"매출";#N/A,#N/A,FALSE,"원가";#N/A,#N/A,FALSE,"경영"}</definedName>
    <definedName name="유가" hidden="1">{#N/A,#N/A,FALSE,"BS";#N/A,#N/A,FALSE,"PL";#N/A,#N/A,FALSE,"처분";#N/A,#N/A,FALSE,"현금";#N/A,#N/A,FALSE,"매출";#N/A,#N/A,FALSE,"원가";#N/A,#N/A,FALSE,"경영"}</definedName>
    <definedName name="유가증권평가test" hidden="1">{#N/A,#N/A,FALSE,"Aging Summary";#N/A,#N/A,FALSE,"Ratio Analysis";#N/A,#N/A,FALSE,"Test 120 Day Accts";#N/A,#N/A,FALSE,"Tickmarks"}</definedName>
    <definedName name="유사차" localSheetId="14"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상"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유상사내" hidden="1">{#N/A,#N/A,FALSE,"PART-1234-8-12-9(41)";#N/A,#N/A,FALSE,"PARTS-2(3)";#N/A,#N/A,FALSE,"VAN SYSTEM";#N/A,#N/A,FALSE,"PARTS-10(26)";#N/A,#N/A,FALSE,"PART-5-6-7-11(14)";#N/A,#N/A,FALSE,"PARTS-4(3)";#N/A,#N/A,FALSE,"PCLASS"}</definedName>
    <definedName name="유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유" localSheetId="14" hidden="1">{#N/A,#N/A,FALSE,"KMC최종회의(7월) 자료"}</definedName>
    <definedName name="유유" hidden="1">{#N/A,#N/A,FALSE,"KMC최종회의(7월) 자료"}</definedName>
    <definedName name="유지니" hidden="1">{#N/A,#N/A,FALSE,"97년 투자계획 세부내역 "}</definedName>
    <definedName name="유지니네" hidden="1">{#N/A,#N/A,FALSE,"97년 투자계획 세부내역 "}</definedName>
    <definedName name="유지니다" hidden="1">{#N/A,#N/A,FALSE,"97년 투자계획 세부내역 "}</definedName>
    <definedName name="유형" localSheetId="14" hidden="1">{#N/A,#N/A,FALSE,"Sheet5"}</definedName>
    <definedName name="유형" localSheetId="13" hidden="1">{#N/A,#N/A,FALSE,"Sheet5"}</definedName>
    <definedName name="유형" hidden="1">{#N/A,#N/A,FALSE,"Sheet5"}</definedName>
    <definedName name="유형A증감명세" hidden="1">[78]은행!#REF!</definedName>
    <definedName name="유형자산tot" hidden="1">{#N/A,#N/A,FALSE,"Aging Summary";#N/A,#N/A,FALSE,"Ratio Analysis";#N/A,#N/A,FALSE,"Test 120 Day Accts";#N/A,#N/A,FALSE,"Tickmarks"}</definedName>
    <definedName name="유형자산증감명세" hidden="1">[78]은행!#REF!</definedName>
    <definedName name="유휴자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유휴자산" hidden="1">{#N/A,#N/A,FALSE,"손익표지";#N/A,#N/A,FALSE,"손익계산";#N/A,#N/A,FALSE,"일반관리비";#N/A,#N/A,FALSE,"영업외수익";#N/A,#N/A,FALSE,"영업외비용";#N/A,#N/A,FALSE,"매출액";#N/A,#N/A,FALSE,"요약손익";#N/A,#N/A,FALSE,"요약대차";#N/A,#N/A,FALSE,"매출채권현황";#N/A,#N/A,FALSE,"매출채권명세"}</definedName>
    <definedName name="유휴자산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유휴자산1" hidden="1">{#N/A,#N/A,FALSE,"손익표지";#N/A,#N/A,FALSE,"손익계산";#N/A,#N/A,FALSE,"일반관리비";#N/A,#N/A,FALSE,"영업외수익";#N/A,#N/A,FALSE,"영업외비용";#N/A,#N/A,FALSE,"매출액";#N/A,#N/A,FALSE,"요약손익";#N/A,#N/A,FALSE,"요약대차";#N/A,#N/A,FALSE,"매출채권현황";#N/A,#N/A,FALSE,"매출채권명세"}</definedName>
    <definedName name="윤" localSheetId="14" hidden="1">{"'5'!$A$1:$BB$147"}</definedName>
    <definedName name="윤" hidden="1">{"'5'!$A$1:$BB$147"}</definedName>
    <definedName name="윤리지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윤리지표" hidden="1">{#N/A,#N/A,FALSE,"손익표지";#N/A,#N/A,FALSE,"손익계산";#N/A,#N/A,FALSE,"일반관리비";#N/A,#N/A,FALSE,"영업외수익";#N/A,#N/A,FALSE,"영업외비용";#N/A,#N/A,FALSE,"매출액";#N/A,#N/A,FALSE,"요약손익";#N/A,#N/A,FALSE,"요약대차";#N/A,#N/A,FALSE,"매출채권현황";#N/A,#N/A,FALSE,"매출채권명세"}</definedName>
    <definedName name="융ㅎㅀ류" localSheetId="14" hidden="1">{#N/A,#N/A,FALSE,"KMC최종회의(7월) 자료"}</definedName>
    <definedName name="융ㅎㅀ류" hidden="1">{#N/A,#N/A,FALSE,"KMC최종회의(7월) 자료"}</definedName>
    <definedName name="은정" hidden="1">{#N/A,#N/A,FALSE,"PART-1234-8-12-9(41)";#N/A,#N/A,FALSE,"PARTS-2(3)";#N/A,#N/A,FALSE,"VAN SYSTEM";#N/A,#N/A,FALSE,"PARTS-10(26)";#N/A,#N/A,FALSE,"PART-5-6-7-11(14)";#N/A,#N/A,FALSE,"PARTS-4(3)";#N/A,#N/A,FALSE,"PCLASS"}</definedName>
    <definedName name="은정1" hidden="1">{#N/A,#N/A,FALSE,"PART-1234-8-12-9(41)";#N/A,#N/A,FALSE,"PARTS-2(3)";#N/A,#N/A,FALSE,"VAN SYSTEM";#N/A,#N/A,FALSE,"PARTS-10(26)";#N/A,#N/A,FALSE,"PART-5-6-7-11(14)";#N/A,#N/A,FALSE,"PARTS-4(3)";#N/A,#N/A,FALSE,"PCLASS"}</definedName>
    <definedName name="은주" hidden="1">{#N/A,#N/A,FALSE,"PART-1234-8-12-9(41)";#N/A,#N/A,FALSE,"PARTS-2(3)";#N/A,#N/A,FALSE,"VAN SYSTEM";#N/A,#N/A,FALSE,"PARTS-10(26)";#N/A,#N/A,FALSE,"PART-5-6-7-11(14)";#N/A,#N/A,FALSE,"PARTS-4(3)";#N/A,#N/A,FALSE,"PCLASS"}</definedName>
    <definedName name="을" localSheetId="14" hidden="1">{#N/A,#N/A,FALSE,"단축1";#N/A,#N/A,FALSE,"단축2";#N/A,#N/A,FALSE,"단축3";#N/A,#N/A,FALSE,"장축";#N/A,#N/A,FALSE,"4WD"}</definedName>
    <definedName name="을" hidden="1">{#N/A,#N/A,FALSE,"단축1";#N/A,#N/A,FALSE,"단축2";#N/A,#N/A,FALSE,"단축3";#N/A,#N/A,FALSE,"장축";#N/A,#N/A,FALSE,"4WD"}</definedName>
    <definedName name="음냐" localSheetId="14" hidden="1">{#N/A,#N/A,FALSE,"Sheet5"}</definedName>
    <definedName name="음냐" localSheetId="13" hidden="1">{#N/A,#N/A,FALSE,"Sheet5"}</definedName>
    <definedName name="음냐" hidden="1">{#N/A,#N/A,FALSE,"Sheet5"}</definedName>
    <definedName name="응용연구센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이" localSheetId="14" hidden="1">{#N/A,#N/A,FALSE,"97년 투자계획 세부내역 "}</definedName>
    <definedName name="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이" hidden="1">{#N/A,#N/A,FALSE,"손익표지";#N/A,#N/A,FALSE,"손익계산";#N/A,#N/A,FALSE,"일반관리비";#N/A,#N/A,FALSE,"영업외수익";#N/A,#N/A,FALSE,"영업외비용";#N/A,#N/A,FALSE,"매출액";#N/A,#N/A,FALSE,"요약손익";#N/A,#N/A,FALSE,"요약대차";#N/A,#N/A,FALSE,"매출채권현황";#N/A,#N/A,FALSE,"매출채권명세"}</definedName>
    <definedName name="이근" localSheetId="14" hidden="1">{#N/A,#N/A,FALSE,"단축1";#N/A,#N/A,FALSE,"단축2";#N/A,#N/A,FALSE,"단축3";#N/A,#N/A,FALSE,"장축";#N/A,#N/A,FALSE,"4WD"}</definedName>
    <definedName name="이근" hidden="1">{#N/A,#N/A,FALSE,"단축1";#N/A,#N/A,FALSE,"단축2";#N/A,#N/A,FALSE,"단축3";#N/A,#N/A,FALSE,"장축";#N/A,#N/A,FALSE,"4WD"}</definedName>
    <definedName name="이근우" localSheetId="14" hidden="1">{#N/A,#N/A,FALSE,"BS";#N/A,#N/A,FALSE,"PL";#N/A,#N/A,FALSE,"처분";#N/A,#N/A,FALSE,"현금";#N/A,#N/A,FALSE,"매출";#N/A,#N/A,FALSE,"원가";#N/A,#N/A,FALSE,"경영"}</definedName>
    <definedName name="이근우" localSheetId="13" hidden="1">{#N/A,#N/A,FALSE,"BS";#N/A,#N/A,FALSE,"PL";#N/A,#N/A,FALSE,"처분";#N/A,#N/A,FALSE,"현금";#N/A,#N/A,FALSE,"매출";#N/A,#N/A,FALSE,"원가";#N/A,#N/A,FALSE,"경영"}</definedName>
    <definedName name="이근우" hidden="1">{#N/A,#N/A,FALSE,"BS";#N/A,#N/A,FALSE,"PL";#N/A,#N/A,FALSE,"처분";#N/A,#N/A,FALSE,"현금";#N/A,#N/A,FALSE,"매출";#N/A,#N/A,FALSE,"원가";#N/A,#N/A,FALSE,"경영"}</definedName>
    <definedName name="이근한" localSheetId="14" hidden="1">{#N/A,#N/A,FALSE,"단축1";#N/A,#N/A,FALSE,"단축2";#N/A,#N/A,FALSE,"단축3";#N/A,#N/A,FALSE,"장축";#N/A,#N/A,FALSE,"4WD"}</definedName>
    <definedName name="이근한" hidden="1">{#N/A,#N/A,FALSE,"단축1";#N/A,#N/A,FALSE,"단축2";#N/A,#N/A,FALSE,"단축3";#N/A,#N/A,FALSE,"장축";#N/A,#N/A,FALSE,"4WD"}</definedName>
    <definedName name="이기성" localSheetId="14" hidden="1">{"'5'!$A$1:$BB$147"}</definedName>
    <definedName name="이기성" hidden="1">{"'5'!$A$1:$BB$147"}</definedName>
    <definedName name="이동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이동진" hidden="1">{#N/A,#N/A,FALSE,"손익표지";#N/A,#N/A,FALSE,"손익계산";#N/A,#N/A,FALSE,"일반관리비";#N/A,#N/A,FALSE,"영업외수익";#N/A,#N/A,FALSE,"영업외비용";#N/A,#N/A,FALSE,"매출액";#N/A,#N/A,FALSE,"요약손익";#N/A,#N/A,FALSE,"요약대차";#N/A,#N/A,FALSE,"매출채권현황";#N/A,#N/A,FALSE,"매출채권명세"}</definedName>
    <definedName name="이름" localSheetId="14" hidden="1">{#N/A,#N/A,FALSE,"Sheet5"}</definedName>
    <definedName name="이름" localSheetId="13" hidden="1">{#N/A,#N/A,FALSE,"Sheet5"}</definedName>
    <definedName name="이름" hidden="1">{#N/A,#N/A,FALSE,"Sheet5"}</definedName>
    <definedName name="이름1" hidden="1">[97]병!$H$7:$I$54</definedName>
    <definedName name="이름고치기" localSheetId="14" hidden="1">{#N/A,#N/A,FALSE,"평균임금기준퇴직금"}</definedName>
    <definedName name="이름고치기" hidden="1">{#N/A,#N/A,FALSE,"평균임금기준퇴직금"}</definedName>
    <definedName name="이름충돌" localSheetId="14" hidden="1">{#N/A,#N/A,FALSE,"BS";#N/A,#N/A,FALSE,"PL";#N/A,#N/A,FALSE,"처분";#N/A,#N/A,FALSE,"현금";#N/A,#N/A,FALSE,"매출";#N/A,#N/A,FALSE,"원가";#N/A,#N/A,FALSE,"경영"}</definedName>
    <definedName name="이름충돌" localSheetId="13" hidden="1">{#N/A,#N/A,FALSE,"BS";#N/A,#N/A,FALSE,"PL";#N/A,#N/A,FALSE,"처분";#N/A,#N/A,FALSE,"현금";#N/A,#N/A,FALSE,"매출";#N/A,#N/A,FALSE,"원가";#N/A,#N/A,FALSE,"경영"}</definedName>
    <definedName name="이름충돌" hidden="1">{#N/A,#N/A,FALSE,"BS";#N/A,#N/A,FALSE,"PL";#N/A,#N/A,FALSE,"처분";#N/A,#N/A,FALSE,"현금";#N/A,#N/A,FALSE,"매출";#N/A,#N/A,FALSE,"원가";#N/A,#N/A,FALSE,"경영"}</definedName>
    <definedName name="이병석" localSheetId="14" hidden="1">{"'5'!$A$1:$BB$147"}</definedName>
    <definedName name="이병석" hidden="1">{"'5'!$A$1:$BB$147"}</definedName>
    <definedName name="이사회자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이사회자료" hidden="1">{#N/A,#N/A,FALSE,"손익표지";#N/A,#N/A,FALSE,"손익계산";#N/A,#N/A,FALSE,"일반관리비";#N/A,#N/A,FALSE,"영업외수익";#N/A,#N/A,FALSE,"영업외비용";#N/A,#N/A,FALSE,"매출액";#N/A,#N/A,FALSE,"요약손익";#N/A,#N/A,FALSE,"요약대차";#N/A,#N/A,FALSE,"매출채권현황";#N/A,#N/A,FALSE,"매출채권명세"}</definedName>
    <definedName name="이상"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이상"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이상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소영" localSheetId="14" hidden="1">#REF!</definedName>
    <definedName name="이소영" hidden="1">#REF!</definedName>
    <definedName name="이슈" hidden="1">{#N/A,#N/A,FALSE,"지침";#N/A,#N/A,FALSE,"환경분석";#N/A,#N/A,FALSE,"Sheet16"}</definedName>
    <definedName name="이시혁" localSheetId="14" hidden="1">{#N/A,#N/A,FALSE,"단축1";#N/A,#N/A,FALSE,"단축2";#N/A,#N/A,FALSE,"단축3";#N/A,#N/A,FALSE,"장축";#N/A,#N/A,FALSE,"4WD"}</definedName>
    <definedName name="이시혁" hidden="1">{#N/A,#N/A,FALSE,"단축1";#N/A,#N/A,FALSE,"단축2";#N/A,#N/A,FALSE,"단축3";#N/A,#N/A,FALSE,"장축";#N/A,#N/A,FALSE,"4WD"}</definedName>
    <definedName name="이은영" hidden="1">{#N/A,#N/A,FALSE,"PART-1234-8-12-9(41)";#N/A,#N/A,FALSE,"PARTS-2(3)";#N/A,#N/A,FALSE,"VAN SYSTEM";#N/A,#N/A,FALSE,"PARTS-10(26)";#N/A,#N/A,FALSE,"PART-5-6-7-11(14)";#N/A,#N/A,FALSE,"PARTS-4(3)";#N/A,#N/A,FALSE,"PCLASS"}</definedName>
    <definedName name="이이" hidden="1">{#N/A,#N/A,TRUE,"Y생산";#N/A,#N/A,TRUE,"Y판매";#N/A,#N/A,TRUE,"Y총물량";#N/A,#N/A,TRUE,"Y능력";#N/A,#N/A,TRUE,"YKD"}</definedName>
    <definedName name="이익" hidden="1">{#N/A,#N/A,TRUE,"Y생산";#N/A,#N/A,TRUE,"Y판매";#N/A,#N/A,TRUE,"Y총물량";#N/A,#N/A,TRUE,"Y능력";#N/A,#N/A,TRUE,"YKD"}</definedName>
    <definedName name="이자" localSheetId="14" hidden="1">{#N/A,#N/A,FALSE,"정공"}</definedName>
    <definedName name="이자" hidden="1">{#N/A,#N/A,FALSE,"정공"}</definedName>
    <definedName name="이자계산" localSheetId="14" hidden="1">{#N/A,#N/A,FALSE,"KMC최종회의(7월) 자료"}</definedName>
    <definedName name="이자계산" hidden="1">{#N/A,#N/A,FALSE,"KMC최종회의(7월) 자료"}</definedName>
    <definedName name="이자계산내역" localSheetId="14" hidden="1">{#N/A,#N/A,FALSE,"KMC최종회의(7월) 자료"}</definedName>
    <definedName name="이자계산내역" hidden="1">{#N/A,#N/A,FALSE,"KMC최종회의(7월) 자료"}</definedName>
    <definedName name="이자이" localSheetId="14" hidden="1">{#N/A,#N/A,FALSE,"정공"}</definedName>
    <definedName name="이자이" hidden="1">{#N/A,#N/A,FALSE,"정공"}</definedName>
    <definedName name="이장계산" localSheetId="14" hidden="1">{#N/A,#N/A,FALSE,"KMC최종회의(7월) 자료"}</definedName>
    <definedName name="이장계산" hidden="1">{#N/A,#N/A,FALSE,"KMC최종회의(7월) 자료"}</definedName>
    <definedName name="이재범" localSheetId="14" hidden="1">{"'분양원가'!$B$1:$F$113"}</definedName>
    <definedName name="이재범" localSheetId="13" hidden="1">{"'분양원가'!$B$1:$F$113"}</definedName>
    <definedName name="이재범" hidden="1">{"'분양원가'!$B$1:$F$113"}</definedName>
    <definedName name="이정례" localSheetId="14" hidden="1">{#N/A,#N/A,TRUE,"Y생산";#N/A,#N/A,TRUE,"Y판매";#N/A,#N/A,TRUE,"Y총물량";#N/A,#N/A,TRUE,"Y능력";#N/A,#N/A,TRUE,"YKD"}</definedName>
    <definedName name="이정례" hidden="1">{#N/A,#N/A,TRUE,"Y생산";#N/A,#N/A,TRUE,"Y판매";#N/A,#N/A,TRUE,"Y총물량";#N/A,#N/A,TRUE,"Y능력";#N/A,#N/A,TRUE,"YKD"}</definedName>
    <definedName name="이종윤"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이준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이준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而且" hidden="1">{#N/A,#N/A,TRUE,"1.????";#N/A,#N/A,TRUE,"2.????";#N/A,#N/A,TRUE,"3.????";#N/A,#N/A,TRUE,"4.????";#N/A,#N/A,TRUE,"5.????";#N/A,#N/A,TRUE,"6.????";#N/A,#N/A,TRUE,"7.????";#N/A,#N/A,TRUE,"8.????";#N/A,#N/A,TRUE,"11.????";#N/A,#N/A,TRUE,"12.????";#N/A,#N/A,TRUE,"??";#N/A,#N/A,TRUE,"??";#N/A,#N/A,TRUE,"???? "}</definedName>
    <definedName name="이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이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티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이티시" hidden="1">{#N/A,#N/A,FALSE,"손익표지";#N/A,#N/A,FALSE,"손익계산";#N/A,#N/A,FALSE,"일반관리비";#N/A,#N/A,FALSE,"영업외수익";#N/A,#N/A,FALSE,"영업외비용";#N/A,#N/A,FALSE,"매출액";#N/A,#N/A,FALSE,"요약손익";#N/A,#N/A,FALSE,"요약대차";#N/A,#N/A,FALSE,"매출채권현황";#N/A,#N/A,FALSE,"매출채권명세"}</definedName>
    <definedName name="이혁준" localSheetId="14" hidden="1">{#N/A,#N/A,FALSE,"단축1";#N/A,#N/A,FALSE,"단축2";#N/A,#N/A,FALSE,"단축3";#N/A,#N/A,FALSE,"장축";#N/A,#N/A,FALSE,"4WD"}</definedName>
    <definedName name="이혁준" hidden="1">{#N/A,#N/A,FALSE,"단축1";#N/A,#N/A,FALSE,"단축2";#N/A,#N/A,FALSE,"단축3";#N/A,#N/A,FALSE,"장축";#N/A,#N/A,FALSE,"4WD"}</definedName>
    <definedName name="이현주님니미니ㅣ미닝닝ㄹ" localSheetId="14" hidden="1">{#N/A,#N/A,TRUE,"Y생산";#N/A,#N/A,TRUE,"Y판매";#N/A,#N/A,TRUE,"Y총물량";#N/A,#N/A,TRUE,"Y능력";#N/A,#N/A,TRUE,"YKD"}</definedName>
    <definedName name="이현주님니미니ㅣ미닝닝ㄹ" hidden="1">{#N/A,#N/A,TRUE,"Y생산";#N/A,#N/A,TRUE,"Y판매";#N/A,#N/A,TRUE,"Y총물량";#N/A,#N/A,TRUE,"Y능력";#N/A,#N/A,TRUE,"YKD"}</definedName>
    <definedName name="이호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이호진" hidden="1">{#N/A,#N/A,FALSE,"손익표지";#N/A,#N/A,FALSE,"손익계산";#N/A,#N/A,FALSE,"일반관리비";#N/A,#N/A,FALSE,"영업외수익";#N/A,#N/A,FALSE,"영업외비용";#N/A,#N/A,FALSE,"매출액";#N/A,#N/A,FALSE,"요약손익";#N/A,#N/A,FALSE,"요약대차";#N/A,#N/A,FALSE,"매출채권현황";#N/A,#N/A,FALSE,"매출채권명세"}</definedName>
    <definedName name="이환욱" localSheetId="14" hidden="1">{#N/A,#N/A,TRUE,"Y생산";#N/A,#N/A,TRUE,"Y판매";#N/A,#N/A,TRUE,"Y총물량";#N/A,#N/A,TRUE,"Y능력";#N/A,#N/A,TRUE,"YKD"}</definedName>
    <definedName name="이환욱" hidden="1">{#N/A,#N/A,TRUE,"Y생산";#N/A,#N/A,TRUE,"Y판매";#N/A,#N/A,TRUE,"Y총물량";#N/A,#N/A,TRUE,"Y능력";#N/A,#N/A,TRUE,"YKD"}</definedName>
    <definedName name="인" hidden="1">{#N/A,#N/A,FALSE,"97년 투자계획 세부내역 "}</definedName>
    <definedName name="인건배부" hidden="1">{#N/A,#N/A,FALSE,"97년 투자계획 세부내역 "}</definedName>
    <definedName name="인건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건비" hidden="1">{#N/A,#N/A,FALSE,"손익표지";#N/A,#N/A,FALSE,"손익계산";#N/A,#N/A,FALSE,"일반관리비";#N/A,#N/A,FALSE,"영업외수익";#N/A,#N/A,FALSE,"영업외비용";#N/A,#N/A,FALSE,"매출액";#N/A,#N/A,FALSE,"요약손익";#N/A,#N/A,FALSE,"요약대차";#N/A,#N/A,FALSE,"매출채권현황";#N/A,#N/A,FALSE,"매출채권명세"}</definedName>
    <definedName name="인건비1" localSheetId="14" hidden="1">{#N/A,#N/A,FALSE,"정공"}</definedName>
    <definedName name="인건비1" hidden="1">{#N/A,#N/A,FALSE,"정공"}</definedName>
    <definedName name="인건비2" localSheetId="14" hidden="1">{#N/A,#N/A,FALSE,"정공"}</definedName>
    <definedName name="인건비2" hidden="1">{#N/A,#N/A,FALSE,"정공"}</definedName>
    <definedName name="인계" localSheetId="14" hidden="1">{#N/A,#N/A,TRUE,"Y생산";#N/A,#N/A,TRUE,"Y판매";#N/A,#N/A,TRUE,"Y총물량";#N/A,#N/A,TRUE,"Y능력";#N/A,#N/A,TRUE,"YKD"}</definedName>
    <definedName name="인계" hidden="1">{#N/A,#N/A,TRUE,"Y생산";#N/A,#N/A,TRUE,"Y판매";#N/A,#N/A,TRUE,"Y총물량";#N/A,#N/A,TRUE,"Y능력";#N/A,#N/A,TRUE,"YKD"}</definedName>
    <definedName name="인계획" localSheetId="14" hidden="1">{#N/A,#N/A,TRUE,"Y생산";#N/A,#N/A,TRUE,"Y판매";#N/A,#N/A,TRUE,"Y총물량";#N/A,#N/A,TRUE,"Y능력";#N/A,#N/A,TRUE,"YKD"}</definedName>
    <definedName name="인계획" hidden="1">{#N/A,#N/A,TRUE,"Y생산";#N/A,#N/A,TRUE,"Y판매";#N/A,#N/A,TRUE,"Y총물량";#N/A,#N/A,TRUE,"Y능력";#N/A,#N/A,TRUE,"YKD"}</definedName>
    <definedName name="인공수1">[62]Sheet1!#REF!</definedName>
    <definedName name="인력조정" localSheetId="14" hidden="1">{#N/A,#N/A,FALSE,"정공"}</definedName>
    <definedName name="인력조정" hidden="1">{#N/A,#N/A,FALSE,"정공"}</definedName>
    <definedName name="인상1안" localSheetId="14" hidden="1">{#N/A,#N/A,FALSE,"단축1";#N/A,#N/A,FALSE,"단축2";#N/A,#N/A,FALSE,"단축3";#N/A,#N/A,FALSE,"장축";#N/A,#N/A,FALSE,"4WD"}</definedName>
    <definedName name="인상1안" hidden="1">{#N/A,#N/A,FALSE,"단축1";#N/A,#N/A,FALSE,"단축2";#N/A,#N/A,FALSE,"단축3";#N/A,#N/A,FALSE,"장축";#N/A,#N/A,FALSE,"4WD"}</definedName>
    <definedName name="인쇄BU" hidden="1">{#N/A,#N/A,FALSE,"지침";#N/A,#N/A,FALSE,"환경분석";#N/A,#N/A,FALSE,"Sheet16"}</definedName>
    <definedName name="인쇄영역">[75]첨부1!$B$1:$F$18,[75]첨부1!#REF!,[75]첨부1!#REF!</definedName>
    <definedName name="인수" localSheetId="14" hidden="1">{"'5'!$A$1:$BB$147"}</definedName>
    <definedName name="인수" hidden="1">{"'5'!$A$1:$BB$147"}</definedName>
    <definedName name="인수보고" localSheetId="14" hidden="1">{"'5'!$A$1:$BB$147"}</definedName>
    <definedName name="인수보고" hidden="1">{"'5'!$A$1:$BB$147"}</definedName>
    <definedName name="인수보고종합" localSheetId="14" hidden="1">{"'5'!$A$1:$BB$147"}</definedName>
    <definedName name="인수보고종합" hidden="1">{"'5'!$A$1:$BB$147"}</definedName>
    <definedName name="인숭" localSheetId="14" hidden="1">{"'5'!$A$1:$BB$147"}</definedName>
    <definedName name="인숭" hidden="1">{"'5'!$A$1:$BB$147"}</definedName>
    <definedName name="인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9"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원9"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수정" localSheetId="14" hidden="1">{#N/A,#N/A,FALSE,"KMC최종회의(7월) 자료"}</definedName>
    <definedName name="인원수정" hidden="1">{#N/A,#N/A,FALSE,"KMC최종회의(7월) 자료"}</definedName>
    <definedName name="인원조정2" localSheetId="14" hidden="1">{#N/A,#N/A,FALSE,"정공"}</definedName>
    <definedName name="인원조정2" hidden="1">{#N/A,#N/A,FALSE,"정공"}</definedName>
    <definedName name="인원증감" localSheetId="14" hidden="1">{"'BSC(2001)'!$A$27:$G$32"}</definedName>
    <definedName name="인원증감" hidden="1">{"'BSC(2001)'!$A$27:$G$32"}</definedName>
    <definedName name="인원현황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재경영"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인재경영"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인재경영" hidden="1">{#N/A,#N/A,FALSE,"손익표지";#N/A,#N/A,FALSE,"손익계산";#N/A,#N/A,FALSE,"일반관리비";#N/A,#N/A,FALSE,"영업외수익";#N/A,#N/A,FALSE,"영업외비용";#N/A,#N/A,FALSE,"매출액";#N/A,#N/A,FALSE,"요약손익";#N/A,#N/A,FALSE,"요약대차";#N/A,#N/A,FALSE,"매출채권현황";#N/A,#N/A,FALSE,"매출채권명세"}</definedName>
    <definedName name="인정"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인테리어팀" hidden="1">{#N/A,#N/A,TRUE,"Y생산";#N/A,#N/A,TRUE,"Y판매";#N/A,#N/A,TRUE,"Y총물량";#N/A,#N/A,TRUE,"Y능력";#N/A,#N/A,TRUE,"YKD"}</definedName>
    <definedName name="일">#REF!</definedName>
    <definedName name="일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일반"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일반" hidden="1">{#N/A,#N/A,FALSE,"손익표지";#N/A,#N/A,FALSE,"손익계산";#N/A,#N/A,FALSE,"일반관리비";#N/A,#N/A,FALSE,"영업외수익";#N/A,#N/A,FALSE,"영업외비용";#N/A,#N/A,FALSE,"매출액";#N/A,#N/A,FALSE,"요약손익";#N/A,#N/A,FALSE,"요약대차";#N/A,#N/A,FALSE,"매출채권현황";#N/A,#N/A,FALSE,"매출채권명세"}</definedName>
    <definedName name="일반구분" hidden="1">{"'경매 schedule'!$A$1:$Y$78"}</definedName>
    <definedName name="일반구분1" hidden="1">{"'경매 schedule'!$A$1:$Y$78"}</definedName>
    <definedName name="일반분류" hidden="1">{"'경매 schedule'!$A$1:$Y$78"}</definedName>
    <definedName name="일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일" localSheetId="14" hidden="1">{#N/A,#N/A,FALSE,"KMC최종회의(7월) 자료"}</definedName>
    <definedName name="일일" hidden="1">{#N/A,#N/A,FALSE,"KMC최종회의(7월) 자료"}</definedName>
    <definedName name="일자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자별현황" localSheetId="14" hidden="1">{"'5'!$A$1:$BB$147"}</definedName>
    <definedName name="일자별현황" hidden="1">{"'5'!$A$1:$BB$147"}</definedName>
    <definedName name="일정" localSheetId="14" hidden="1">{#N/A,#N/A,FALSE,"단축1";#N/A,#N/A,FALSE,"단축2";#N/A,#N/A,FALSE,"단축3";#N/A,#N/A,FALSE,"장축";#N/A,#N/A,FALSE,"4WD"}</definedName>
    <definedName name="일정" hidden="1">{#N/A,#N/A,FALSE,"단축1";#N/A,#N/A,FALSE,"단축2";#N/A,#N/A,FALSE,"단축3";#N/A,#N/A,FALSE,"장축";#N/A,#N/A,FALSE,"4WD"}</definedName>
    <definedName name="일정계획"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표02년" localSheetId="14" hidden="1">{#N/A,#N/A,FALSE,"정공"}</definedName>
    <definedName name="일정표02년" hidden="1">{#N/A,#N/A,FALSE,"정공"}</definedName>
    <definedName name="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임"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료산정"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임대료산정" hidden="1">{#N/A,#N/A,FALSE,"손익표지";#N/A,#N/A,FALSE,"손익계산";#N/A,#N/A,FALSE,"일반관리비";#N/A,#N/A,FALSE,"영업외수익";#N/A,#N/A,FALSE,"영업외비용";#N/A,#N/A,FALSE,"매출액";#N/A,#N/A,FALSE,"요약손익";#N/A,#N/A,FALSE,"요약대차";#N/A,#N/A,FALSE,"매출채권현황";#N/A,#N/A,FALSE,"매출채권명세"}</definedName>
    <definedName name="임대미수" hidden="1">#REF!</definedName>
    <definedName name="임대보증금" localSheetId="14" hidden="1">{#N/A,#N/A,FALSE,"BS";#N/A,#N/A,FALSE,"PL";#N/A,#N/A,FALSE,"처분";#N/A,#N/A,FALSE,"현금";#N/A,#N/A,FALSE,"매출";#N/A,#N/A,FALSE,"원가";#N/A,#N/A,FALSE,"경영"}</definedName>
    <definedName name="임대보증금" localSheetId="13"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동원" localSheetId="14" hidden="1">{#N/A,#N/A,FALSE,"정공"}</definedName>
    <definedName name="임동원" hidden="1">{#N/A,#N/A,FALSE,"정공"}</definedName>
    <definedName name="임마" localSheetId="14" hidden="1">{#N/A,#N/A,FALSE,"KMC최종회의(7월) 자료"}</definedName>
    <definedName name="임마" hidden="1">{#N/A,#N/A,FALSE,"KMC최종회의(7월) 자료"}</definedName>
    <definedName name="임시" localSheetId="14" hidden="1">{#N/A,#N/A,TRUE,"Y생산";#N/A,#N/A,TRUE,"Y판매";#N/A,#N/A,TRUE,"Y총물량";#N/A,#N/A,TRUE,"Y능력";#N/A,#N/A,TRUE,"YKD"}</definedName>
    <definedName name="임시" localSheetId="13" hidden="1">{#N/A,#N/A,TRUE,"Y생산";#N/A,#N/A,TRUE,"Y판매";#N/A,#N/A,TRUE,"Y총물량";#N/A,#N/A,TRUE,"Y능력";#N/A,#N/A,TRUE,"YKD"}</definedName>
    <definedName name="임시">[98]첨부1!$B$1:$F$18,[98]첨부1!#REF!,[98]첨부1!#REF!</definedName>
    <definedName name="임시2" localSheetId="14" hidden="1">{#N/A,#N/A,FALSE,"단축1";#N/A,#N/A,FALSE,"단축2";#N/A,#N/A,FALSE,"단축3";#N/A,#N/A,FALSE,"장축";#N/A,#N/A,FALSE,"4WD"}</definedName>
    <definedName name="임시2" hidden="1">{#N/A,#N/A,FALSE,"단축1";#N/A,#N/A,FALSE,"단축2";#N/A,#N/A,FALSE,"단축3";#N/A,#N/A,FALSE,"장축";#N/A,#N/A,FALSE,"4WD"}</definedName>
    <definedName name="임차" localSheetId="14" hidden="1">{"'분양원가'!$B$1:$F$113"}</definedName>
    <definedName name="임차" localSheetId="13" hidden="1">{"'분양원가'!$B$1:$F$113"}</definedName>
    <definedName name="임차" hidden="1">{"'분양원가'!$B$1:$F$113"}</definedName>
    <definedName name="임차2" localSheetId="14" hidden="1">{"'분양원가'!$B$1:$F$113"}</definedName>
    <definedName name="임차2" localSheetId="13" hidden="1">{"'분양원가'!$B$1:$F$113"}</definedName>
    <definedName name="임차2" hidden="1">{"'분양원가'!$B$1:$F$113"}</definedName>
    <definedName name="입금예정금액"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입금예정금액" hidden="1">{#N/A,#N/A,FALSE,"손익표지";#N/A,#N/A,FALSE,"손익계산";#N/A,#N/A,FALSE,"일반관리비";#N/A,#N/A,FALSE,"영업외수익";#N/A,#N/A,FALSE,"영업외비용";#N/A,#N/A,FALSE,"매출액";#N/A,#N/A,FALSE,"요약손익";#N/A,#N/A,FALSE,"요약대차";#N/A,#N/A,FALSE,"매출채권현황";#N/A,#N/A,FALSE,"매출채권명세"}</definedName>
    <definedName name="입력">#REF!</definedName>
    <definedName name="잉"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잉" hidden="1">{#N/A,#N/A,FALSE,"손익표지";#N/A,#N/A,FALSE,"손익계산";#N/A,#N/A,FALSE,"일반관리비";#N/A,#N/A,FALSE,"영업외수익";#N/A,#N/A,FALSE,"영업외비용";#N/A,#N/A,FALSE,"매출액";#N/A,#N/A,FALSE,"요약손익";#N/A,#N/A,FALSE,"요약대차";#N/A,#N/A,FALSE,"매출채권현황";#N/A,#N/A,FALSE,"매출채권명세"}</definedName>
    <definedName name="ㅈ" localSheetId="14" hidden="1">{#N/A,#N/A,FALSE,"BS";#N/A,#N/A,FALSE,"PL";#N/A,#N/A,FALSE,"처분";#N/A,#N/A,FALSE,"현금";#N/A,#N/A,FALSE,"매출";#N/A,#N/A,FALSE,"원가";#N/A,#N/A,FALSE,"경영"}</definedName>
    <definedName name="ㅈ" localSheetId="13" hidden="1">{#N/A,#N/A,FALSE,"BS";#N/A,#N/A,FALSE,"PL";#N/A,#N/A,FALSE,"처분";#N/A,#N/A,FALSE,"현금";#N/A,#N/A,FALSE,"매출";#N/A,#N/A,FALSE,"원가";#N/A,#N/A,FALSE,"경영"}</definedName>
    <definedName name="ㅈ"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ㅈ" hidden="1">{#N/A,#N/A,FALSE,"BS";#N/A,#N/A,FALSE,"PL";#N/A,#N/A,FALSE,"처분";#N/A,#N/A,FALSE,"현금";#N/A,#N/A,FALSE,"매출";#N/A,#N/A,FALSE,"원가";#N/A,#N/A,FALSE,"경영"}</definedName>
    <definedName name="ㅈ35454345" hidden="1">{#N/A,#N/A,FALSE,"PART-1234-8-12-9(41)";#N/A,#N/A,FALSE,"PARTS-2(3)";#N/A,#N/A,FALSE,"VAN SYSTEM";#N/A,#N/A,FALSE,"PARTS-10(26)";#N/A,#N/A,FALSE,"PART-5-6-7-11(14)";#N/A,#N/A,FALSE,"PARTS-4(3)";#N/A,#N/A,FALSE,"PCLASS"}</definedName>
    <definedName name="ㅈㄱ3"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ㄴㄴ" localSheetId="14" hidden="1">{#N/A,#N/A,FALSE,"단축1";#N/A,#N/A,FALSE,"단축2";#N/A,#N/A,FALSE,"단축3";#N/A,#N/A,FALSE,"장축";#N/A,#N/A,FALSE,"4WD"}</definedName>
    <definedName name="ㅈㄴㄴ" hidden="1">{#N/A,#N/A,FALSE,"단축1";#N/A,#N/A,FALSE,"단축2";#N/A,#N/A,FALSE,"단축3";#N/A,#N/A,FALSE,"장축";#N/A,#N/A,FALSE,"4WD"}</definedName>
    <definedName name="ㅈㄷ" localSheetId="14" hidden="1">{#N/A,#N/A,FALSE,"97년 투자계획 세부내역 "}</definedName>
    <definedName name="ㅈ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ㄱ" localSheetId="14" hidden="1">{#N/A,#N/A,FALSE,"Aging Summary";#N/A,#N/A,FALSE,"Ratio Analysis";#N/A,#N/A,FALSE,"Test 120 Day Accts";#N/A,#N/A,FALSE,"Tickmarks"}</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ㄹㅈㄷㅎ" localSheetId="14" hidden="1">{#N/A,#N/A,TRUE,"Y생산";#N/A,#N/A,TRUE,"Y판매";#N/A,#N/A,TRUE,"Y총물량";#N/A,#N/A,TRUE,"Y능력";#N/A,#N/A,TRUE,"YKD"}</definedName>
    <definedName name="ㅈㄷㄹㅈㄷㅎ" hidden="1">{#N/A,#N/A,TRUE,"Y생산";#N/A,#N/A,TRUE,"Y판매";#N/A,#N/A,TRUE,"Y총물량";#N/A,#N/A,TRUE,"Y능력";#N/A,#N/A,TRUE,"YKD"}</definedName>
    <definedName name="ㅈㄷㅈㄱ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ㄷㅎㅇ륲" localSheetId="14" hidden="1">{#N/A,#N/A,TRUE,"Y생산";#N/A,#N/A,TRUE,"Y판매";#N/A,#N/A,TRUE,"Y총물량";#N/A,#N/A,TRUE,"Y능력";#N/A,#N/A,TRUE,"YKD"}</definedName>
    <definedName name="ㅈㄷㅎㅇ륲" hidden="1">{#N/A,#N/A,TRUE,"Y생산";#N/A,#N/A,TRUE,"Y판매";#N/A,#N/A,TRUE,"Y총물량";#N/A,#N/A,TRUE,"Y능력";#N/A,#N/A,TRUE,"YKD"}</definedName>
    <definedName name="ㅈㄹ" localSheetId="14" hidden="1">{#N/A,#N/A,FALSE,"KMC최종회의(7월) 자료"}</definedName>
    <definedName name="ㅈㄹ" hidden="1">{#N/A,#N/A,FALSE,"KMC최종회의(7월) 자료"}</definedName>
    <definedName name="ㅈㅂ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ㅎㄹㅈㄷㅎ" localSheetId="14" hidden="1">{"'5'!$A$1:$BB$147"}</definedName>
    <definedName name="ㅈㅂㅎㄹㅈㄷㅎ" hidden="1">{"'5'!$A$1:$BB$147"}</definedName>
    <definedName name="ㅈㅅ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localSheetId="14" hidden="1">{#N/A,#N/A,FALSE,"전제";#N/A,#N/A,FALSE,"표지";#N/A,#N/A,FALSE,"6D16";#N/A,#N/A,FALSE,"6D22";#N/A,#N/A,FALSE,"6D22-T";#N/A,#N/A,FALSE,"Q-DEG";#N/A,#N/A,FALSE,"총손";#N/A,#N/A,FALSE,"대당";#N/A,#N/A,FALSE,"가공비"}</definedName>
    <definedName name="ㅈㅈ" hidden="1">{#N/A,#N/A,FALSE,"전제";#N/A,#N/A,FALSE,"표지";#N/A,#N/A,FALSE,"6D16";#N/A,#N/A,FALSE,"6D22";#N/A,#N/A,FALSE,"6D22-T";#N/A,#N/A,FALSE,"Q-DEG";#N/A,#N/A,FALSE,"총손";#N/A,#N/A,FALSE,"대당";#N/A,#N/A,FALSE,"가공비"}</definedName>
    <definedName name="ㅈㅈㄱ" localSheetId="14" hidden="1">{#N/A,#N/A,FALSE,"정공"}</definedName>
    <definedName name="ㅈㅈㄱ" hidden="1">{#N/A,#N/A,FALSE,"정공"}</definedName>
    <definedName name="ㅈㅈㄷ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ㅈㅈㄷ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ㅂㅈㄷ" localSheetId="14" hidden="1">{#N/A,#N/A,FALSE,"단축1";#N/A,#N/A,FALSE,"단축2";#N/A,#N/A,FALSE,"단축3";#N/A,#N/A,FALSE,"장축";#N/A,#N/A,FALSE,"4WD"}</definedName>
    <definedName name="ㅈㅈㅂㅈㄷ" hidden="1">{#N/A,#N/A,FALSE,"단축1";#N/A,#N/A,FALSE,"단축2";#N/A,#N/A,FALSE,"단축3";#N/A,#N/A,FALSE,"장축";#N/A,#N/A,FALSE,"4WD"}</definedName>
    <definedName name="ㅈㅈㅈ" localSheetId="14"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ㅈㅈㅈ" localSheetId="13"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ㅈㅈㅈ"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ㅈㅈㅈㅈ" hidden="1">[99]자바라1!#REF!</definedName>
    <definedName name="ㅈㅈㅈㅈㄴ">[23]KUNGDEVI!#REF!</definedName>
    <definedName name="ㅈㅈㅈㅈ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ㅈㅈㅈㅈ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ㅈㅈㅈㅈ" hidden="1">{#N/A,#N/A,FALSE,"손익표지";#N/A,#N/A,FALSE,"손익계산";#N/A,#N/A,FALSE,"일반관리비";#N/A,#N/A,FALSE,"영업외수익";#N/A,#N/A,FALSE,"영업외비용";#N/A,#N/A,FALSE,"매출액";#N/A,#N/A,FALSE,"요약손익";#N/A,#N/A,FALSE,"요약대차";#N/A,#N/A,FALSE,"매출채권현황";#N/A,#N/A,FALSE,"매출채권명세"}</definedName>
    <definedName name="자" localSheetId="14" hidden="1">{#N/A,#N/A,FALSE,"Sheet5"}</definedName>
    <definedName name="자" localSheetId="13" hidden="1">{#N/A,#N/A,FALSE,"Sheet5"}</definedName>
    <definedName name="자" hidden="1">{#N/A,#N/A,FALSE,"Sheet5"}</definedName>
    <definedName name="자금계획" localSheetId="14" hidden="1">{#N/A,#N/A,FALSE,"정공"}</definedName>
    <definedName name="자금계획" hidden="1">{#N/A,#N/A,FALSE,"정공"}</definedName>
    <definedName name="자금수지" localSheetId="14" hidden="1">{#N/A,#N/A,FALSE,"정공"}</definedName>
    <definedName name="자금수지" hidden="1">{#N/A,#N/A,FALSE,"정공"}</definedName>
    <definedName name="자금총" localSheetId="14" hidden="1">{#N/A,#N/A,FALSE,"정공"}</definedName>
    <definedName name="자금총" hidden="1">{#N/A,#N/A,FALSE,"정공"}</definedName>
    <definedName name="자나" localSheetId="14" hidden="1">{"'5'!$A$1:$BB$147"}</definedName>
    <definedName name="자나" hidden="1">{"'5'!$A$1:$BB$147"}</definedName>
    <definedName name="자나다다라" localSheetId="14" hidden="1">{"'5'!$A$1:$BB$147"}</definedName>
    <definedName name="자나다다라" hidden="1">{"'5'!$A$1:$BB$147"}</definedName>
    <definedName name="자다라다" localSheetId="14" hidden="1">{"'5'!$A$1:$BB$147"}</definedName>
    <definedName name="자다라다" hidden="1">{"'5'!$A$1:$BB$147"}</definedName>
    <definedName name="자다라다가라" localSheetId="14" hidden="1">{"'5'!$A$1:$BB$147"}</definedName>
    <definedName name="자다라다가라" hidden="1">{"'5'!$A$1:$BB$147"}</definedName>
    <definedName name="자다라다라다라" localSheetId="14" hidden="1">{"'5'!$A$1:$BB$147"}</definedName>
    <definedName name="자다라다라다라" hidden="1">{"'5'!$A$1:$BB$147"}</definedName>
    <definedName name="자료" localSheetId="14" hidden="1">{#N/A,#N/A,FALSE,"PART-1234-8-12-9(41)";#N/A,#N/A,FALSE,"PARTS-2(3)";#N/A,#N/A,FALSE,"VAN SYSTEM";#N/A,#N/A,FALSE,"PARTS-10(26)";#N/A,#N/A,FALSE,"PART-5-6-7-11(14)";#N/A,#N/A,FALSE,"PARTS-4(3)";#N/A,#N/A,FALSE,"PCLASS"}</definedName>
    <definedName name="자료" hidden="1">{#N/A,#N/A,FALSE,"KMC최종회의(7월) 자료"}</definedName>
    <definedName name="자본" hidden="1">{#N/A,#N/A,FALSE,"Aging Summary";#N/A,#N/A,FALSE,"Ratio Analysis";#N/A,#N/A,FALSE,"Test 120 Day Accts";#N/A,#N/A,FALSE,"Tickmarks"}</definedName>
    <definedName name="자본금" localSheetId="14" hidden="1">{#N/A,#N/A,FALSE,"Aging Summary";#N/A,#N/A,FALSE,"Ratio Analysis";#N/A,#N/A,FALSE,"Test 120 Day Accts";#N/A,#N/A,FALSE,"Tickmarks"}</definedName>
    <definedName name="자본금" hidden="1">{#N/A,#N/A,FALSE,"정공"}</definedName>
    <definedName name="자본반기" hidden="1">[100]시산표!#REF!</definedName>
    <definedName name="자본방" hidden="1">{#N/A,#N/A,FALSE,"Aging Summary";#N/A,#N/A,FALSE,"Ratio Analysis";#N/A,#N/A,FALSE,"Test 120 Day Accts";#N/A,#N/A,FALSE,"Tickmarks"}</definedName>
    <definedName name="자사아다" localSheetId="14" hidden="1">{"'5'!$A$1:$BB$147"}</definedName>
    <definedName name="자사아다" hidden="1">{"'5'!$A$1:$BB$147"}</definedName>
    <definedName name="자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자산"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자산" hidden="1">{#N/A,#N/A,FALSE,"손익표지";#N/A,#N/A,FALSE,"손익계산";#N/A,#N/A,FALSE,"일반관리비";#N/A,#N/A,FALSE,"영업외수익";#N/A,#N/A,FALSE,"영업외비용";#N/A,#N/A,FALSE,"매출액";#N/A,#N/A,FALSE,"요약손익";#N/A,#N/A,FALSE,"요약대차";#N/A,#N/A,FALSE,"매출채권현황";#N/A,#N/A,FALSE,"매출채권명세"}</definedName>
    <definedName name="자산건전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자산건전성" hidden="1">{#N/A,#N/A,FALSE,"손익표지";#N/A,#N/A,FALSE,"손익계산";#N/A,#N/A,FALSE,"일반관리비";#N/A,#N/A,FALSE,"영업외수익";#N/A,#N/A,FALSE,"영업외비용";#N/A,#N/A,FALSE,"매출액";#N/A,#N/A,FALSE,"요약손익";#N/A,#N/A,FALSE,"요약대차";#N/A,#N/A,FALSE,"매출채권현황";#N/A,#N/A,FALSE,"매출채권명세"}</definedName>
    <definedName name="자아ㅏ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자아ㅏㅈ" hidden="1">{#N/A,#N/A,FALSE,"손익표지";#N/A,#N/A,FALSE,"손익계산";#N/A,#N/A,FALSE,"일반관리비";#N/A,#N/A,FALSE,"영업외수익";#N/A,#N/A,FALSE,"영업외비용";#N/A,#N/A,FALSE,"매출액";#N/A,#N/A,FALSE,"요약손익";#N/A,#N/A,FALSE,"요약대차";#N/A,#N/A,FALSE,"매출채권현황";#N/A,#N/A,FALSE,"매출채권명세"}</definedName>
    <definedName name="자자자잦" localSheetId="14" hidden="1">{#N/A,#N/A,FALSE,"정공"}</definedName>
    <definedName name="자자자잦" hidden="1">{#N/A,#N/A,FALSE,"정공"}</definedName>
    <definedName name="자작1" localSheetId="14" hidden="1">{#N/A,#N/A,FALSE,"KMC최종회의(7월) 자료"}</definedName>
    <definedName name="자작1" hidden="1">{#N/A,#N/A,FALSE,"KMC최종회의(7월) 자료"}</definedName>
    <definedName name="자잦" localSheetId="14" hidden="1">{"'5'!$A$1:$BB$147"}</definedName>
    <definedName name="자잦" hidden="1">{"'5'!$A$1:$BB$147"}</definedName>
    <definedName name="자재기준" localSheetId="14" hidden="1">{#N/A,#N/A,TRUE,"Y생산";#N/A,#N/A,TRUE,"Y판매";#N/A,#N/A,TRUE,"Y총물량";#N/A,#N/A,TRUE,"Y능력";#N/A,#N/A,TRUE,"YKD"}</definedName>
    <definedName name="자재기준" hidden="1">{#N/A,#N/A,TRUE,"Y생산";#N/A,#N/A,TRUE,"Y판매";#N/A,#N/A,TRUE,"Y총물량";#N/A,#N/A,TRUE,"Y능력";#N/A,#N/A,TRUE,"YKD"}</definedName>
    <definedName name="자지" localSheetId="14" hidden="1">{"'5'!$A$1:$BB$147"}</definedName>
    <definedName name="자지" hidden="1">{"'5'!$A$1:$BB$147"}</definedName>
    <definedName name="작성기준올리기" localSheetId="14" hidden="1">{#N/A,#N/A,FALSE,"정공"}</definedName>
    <definedName name="작성기준올리기" hidden="1">{#N/A,#N/A,FALSE,"정공"}</definedName>
    <definedName name="작성조서" localSheetId="14" hidden="1">{#N/A,#N/A,FALSE,"BS";#N/A,#N/A,FALSE,"PL";#N/A,#N/A,FALSE,"처분";#N/A,#N/A,FALSE,"현금";#N/A,#N/A,FALSE,"매출";#N/A,#N/A,FALSE,"원가";#N/A,#N/A,FALSE,"경영"}</definedName>
    <definedName name="작성조서" localSheetId="13"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업"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작업환경개선서" localSheetId="14" hidden="1">{#N/A,#N/A,FALSE,"KMC최종회의(7월) 자료"}</definedName>
    <definedName name="작업환경개선서" hidden="1">{#N/A,#N/A,FALSE,"KMC최종회의(7월) 자료"}</definedName>
    <definedName name="잔다르크" localSheetId="14" hidden="1">{#N/A,#N/A,FALSE,"정공"}</definedName>
    <definedName name="잔다르크" hidden="1">{#N/A,#N/A,FALSE,"정공"}</definedName>
    <definedName name="잔업집게5" localSheetId="14" hidden="1">{#N/A,#N/A,TRUE,"Y생산";#N/A,#N/A,TRUE,"Y판매";#N/A,#N/A,TRUE,"Y총물량";#N/A,#N/A,TRUE,"Y능력";#N/A,#N/A,TRUE,"YKD"}</definedName>
    <definedName name="잔업집게5" hidden="1">{#N/A,#N/A,TRUE,"Y생산";#N/A,#N/A,TRUE,"Y판매";#N/A,#N/A,TRUE,"Y총물량";#N/A,#N/A,TRUE,"Y능력";#N/A,#N/A,TRUE,"YKD"}</definedName>
    <definedName name="잔존가율">#REF!</definedName>
    <definedName name="잡이익분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장기" hidden="1">{#N/A,#N/A,TRUE,"Y생산";#N/A,#N/A,TRUE,"Y판매";#N/A,#N/A,TRUE,"Y총물량";#N/A,#N/A,TRUE,"Y능력";#N/A,#N/A,TRUE,"YKD"}</definedName>
    <definedName name="장기인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상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장상수"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지선" hidden="1">[101]부서코드표!#REF!</definedName>
    <definedName name="장호철" hidden="1">{#N/A,#N/A,FALSE,"PART-1234-8-12-9(41)";#N/A,#N/A,FALSE,"PARTS-2(3)";#N/A,#N/A,FALSE,"VAN SYSTEM";#N/A,#N/A,FALSE,"PARTS-10(26)";#N/A,#N/A,FALSE,"PART-5-6-7-11(14)";#N/A,#N/A,FALSE,"PARTS-4(3)";#N/A,#N/A,FALSE,"PCLASS"}</definedName>
    <definedName name="장호철1" hidden="1">{#N/A,#N/A,FALSE,"PART-1234-8-12-9(41)";#N/A,#N/A,FALSE,"PARTS-2(3)";#N/A,#N/A,FALSE,"VAN SYSTEM";#N/A,#N/A,FALSE,"PARTS-10(26)";#N/A,#N/A,FALSE,"PART-5-6-7-11(14)";#N/A,#N/A,FALSE,"PARTS-4(3)";#N/A,#N/A,FALSE,"PCLASS"}</definedName>
    <definedName name="재" localSheetId="14" hidden="1">{#N/A,#N/A,FALSE,"KMC최종회의(7월) 자료"}</definedName>
    <definedName name="재" hidden="1">{#N/A,#N/A,FALSE,"KMC최종회의(7월) 자료"}</definedName>
    <definedName name="재경팀장" localSheetId="14" hidden="1">{#N/A,#N/A,FALSE,"정공"}</definedName>
    <definedName name="재경팀장" hidden="1">{#N/A,#N/A,FALSE,"정공"}</definedName>
    <definedName name="재고" localSheetId="14"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고자산" localSheetId="14" hidden="1">{"'분양원가'!$B$1:$F$113"}</definedName>
    <definedName name="재고자산" localSheetId="13" hidden="1">{"'분양원가'!$B$1:$F$113"}</definedName>
    <definedName name="재고자산" hidden="1">{"'분양원가'!$B$1:$F$113"}</definedName>
    <definedName name="재고자산이자최종" localSheetId="14" hidden="1">{"'분양원가'!$B$1:$F$113"}</definedName>
    <definedName name="재고자산이자최종" localSheetId="13" hidden="1">{"'분양원가'!$B$1:$F$113"}</definedName>
    <definedName name="재고자산이자최종" hidden="1">{"'분양원가'!$B$1:$F$113"}</definedName>
    <definedName name="在工在工" hidden="1">{#N/A,#N/A,TRUE,"1.????";#N/A,#N/A,TRUE,"2.????";#N/A,#N/A,TRUE,"3.????";#N/A,#N/A,TRUE,"4.????";#N/A,#N/A,TRUE,"5.????";#N/A,#N/A,TRUE,"6.????";#N/A,#N/A,TRUE,"7.????";#N/A,#N/A,TRUE,"8.????";#N/A,#N/A,TRUE,"11.????";#N/A,#N/A,TRUE,"12.????";#N/A,#N/A,TRUE,"??";#N/A,#N/A,TRUE,"??";#N/A,#N/A,TRUE,"???? "}</definedName>
    <definedName name="재공포함" localSheetId="14" hidden="1">{#N/A,#N/A,FALSE,"Sheet5"}</definedName>
    <definedName name="재공포함" localSheetId="13" hidden="1">{#N/A,#N/A,FALSE,"Sheet5"}</definedName>
    <definedName name="재공포함" hidden="1">{#N/A,#N/A,FALSE,"Sheet5"}</definedName>
    <definedName name="재노경" localSheetId="14" hidden="1">{#N/A,#N/A,FALSE,"KMC최종회의(7월) 자료"}</definedName>
    <definedName name="재노경" hidden="1">{#N/A,#N/A,FALSE,"KMC최종회의(7월) 자료"}</definedName>
    <definedName name="재노경1" localSheetId="14" hidden="1">{#N/A,#N/A,FALSE,"KMC최종회의(7월) 자료"}</definedName>
    <definedName name="재노경1" hidden="1">{#N/A,#N/A,FALSE,"KMC최종회의(7월) 자료"}</definedName>
    <definedName name="재노경종합2" localSheetId="14" hidden="1">{#N/A,#N/A,FALSE,"KMC최종회의(7월) 자료"}</definedName>
    <definedName name="재노경종합2" hidden="1">{#N/A,#N/A,FALSE,"KMC최종회의(7월) 자료"}</definedName>
    <definedName name="재노경종합A" localSheetId="14" hidden="1">{#N/A,#N/A,FALSE,"KMC최종회의(7월) 자료"}</definedName>
    <definedName name="재노경종합A" hidden="1">{#N/A,#N/A,FALSE,"KMC최종회의(7월) 자료"}</definedName>
    <definedName name="재노종" localSheetId="14" hidden="1">{#N/A,#N/A,FALSE,"KMC최종회의(7월) 자료"}</definedName>
    <definedName name="재노종" hidden="1">{#N/A,#N/A,FALSE,"KMC최종회의(7월) 자료"}</definedName>
    <definedName name="재료" localSheetId="14" hidden="1">{#N/A,#N/A,FALSE,"Sheet5"}</definedName>
    <definedName name="재료" localSheetId="13" hidden="1">{#N/A,#N/A,FALSE,"Sheet5"}</definedName>
    <definedName name="재료" hidden="1">{#N/A,#N/A,FALSE,"Sheet5"}</definedName>
    <definedName name="재무" localSheetId="14" hidden="1">#REF!</definedName>
    <definedName name="재무" hidden="1">#REF!</definedName>
    <definedName name="재무구조개선" localSheetId="14" hidden="1">{#N/A,#N/A,FALSE,"단축1";#N/A,#N/A,FALSE,"단축2";#N/A,#N/A,FALSE,"단축3";#N/A,#N/A,FALSE,"장축";#N/A,#N/A,FALSE,"4WD"}</definedName>
    <definedName name="재무구조개선" hidden="1">{#N/A,#N/A,FALSE,"단축1";#N/A,#N/A,FALSE,"단축2";#N/A,#N/A,FALSE,"단축3";#N/A,#N/A,FALSE,"장축";#N/A,#N/A,FALSE,"4WD"}</definedName>
    <definedName name="재무제표4월"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민" localSheetId="14" hidden="1">{"'5'!$A$1:$BB$147"}</definedName>
    <definedName name="재민" hidden="1">{"'5'!$A$1:$BB$147"}</definedName>
    <definedName name="재으닝뻥ㅁㄹㅇㅁ" hidden="1">{#N/A,#N/A,FALSE,"PART-1234-8-12-9(41)";#N/A,#N/A,FALSE,"PARTS-2(3)";#N/A,#N/A,FALSE,"VAN SYSTEM";#N/A,#N/A,FALSE,"PARTS-10(26)";#N/A,#N/A,FALSE,"PART-5-6-7-11(14)";#N/A,#N/A,FALSE,"PARTS-4(3)";#N/A,#N/A,FALSE,"PCLASS"}</definedName>
    <definedName name="재재재" localSheetId="14" hidden="1">{"'미착금액'!$A$4:$G$14"}</definedName>
    <definedName name="재재재" localSheetId="13" hidden="1">{"'미착금액'!$A$4:$G$14"}</definedName>
    <definedName name="재재재" hidden="1">{"'미착금액'!$A$4:$G$14"}</definedName>
    <definedName name="재훈입금총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재훈입금총괄" hidden="1">{#N/A,#N/A,FALSE,"손익표지";#N/A,#N/A,FALSE,"손익계산";#N/A,#N/A,FALSE,"일반관리비";#N/A,#N/A,FALSE,"영업외수익";#N/A,#N/A,FALSE,"영업외비용";#N/A,#N/A,FALSE,"매출액";#N/A,#N/A,FALSE,"요약손익";#N/A,#N/A,FALSE,"요약대차";#N/A,#N/A,FALSE,"매출채권현황";#N/A,#N/A,FALSE,"매출채권명세"}</definedName>
    <definedName name="쟈" localSheetId="14" hidden="1">{#N/A,#N/A,FALSE,"KMC최종회의(7월) 자료"}</definedName>
    <definedName name="쟈" hidden="1">{#N/A,#N/A,FALSE,"KMC최종회의(7월) 자료"}</definedName>
    <definedName name="쟈ㅜ" localSheetId="14" hidden="1">{#N/A,#N/A,FALSE,"신규dep";#N/A,#N/A,FALSE,"신규dep-금형상각후";#N/A,#N/A,FALSE,"신규dep-연구비상각후";#N/A,#N/A,FALSE,"신규dep-기계,공구상각후"}</definedName>
    <definedName name="쟈ㅜ" hidden="1">{#N/A,#N/A,FALSE,"신규dep";#N/A,#N/A,FALSE,"신규dep-금형상각후";#N/A,#N/A,FALSE,"신규dep-연구비상각후";#N/A,#N/A,FALSE,"신규dep-기계,공구상각후"}</definedName>
    <definedName name="저" localSheetId="14" hidden="1">{#N/A,#N/A,FALSE,"PART-1234-8-12-9(41)";#N/A,#N/A,FALSE,"PARTS-2(3)";#N/A,#N/A,FALSE,"VAN SYSTEM";#N/A,#N/A,FALSE,"PARTS-10(26)";#N/A,#N/A,FALSE,"PART-5-6-7-11(14)";#N/A,#N/A,FALSE,"PARTS-4(3)";#N/A,#N/A,FALSE,"PCLASS"}</definedName>
    <definedName name="저" hidden="1">{#N/A,#N/A,FALSE,"KMC최종회의(7월) 자료"}</definedName>
    <definedName name="저1" localSheetId="14" hidden="1">{#N/A,#N/A,FALSE,"정공"}</definedName>
    <definedName name="저1" hidden="1">{#N/A,#N/A,FALSE,"정공"}</definedName>
    <definedName name="저2" localSheetId="14" hidden="1">{#N/A,#N/A,FALSE,"정공"}</definedName>
    <definedName name="저2" hidden="1">{#N/A,#N/A,FALSE,"정공"}</definedName>
    <definedName name="저라" localSheetId="14" hidden="1">{#N/A,#N/A,FALSE,"단축1";#N/A,#N/A,FALSE,"단축2";#N/A,#N/A,FALSE,"단축3";#N/A,#N/A,FALSE,"장축";#N/A,#N/A,FALSE,"4WD"}</definedName>
    <definedName name="저라" hidden="1">{#N/A,#N/A,FALSE,"단축1";#N/A,#N/A,FALSE,"단축2";#N/A,#N/A,FALSE,"단축3";#N/A,#N/A,FALSE,"장축";#N/A,#N/A,FALSE,"4WD"}</definedName>
    <definedName name="저장" localSheetId="14" hidden="1">{#N/A,#N/A,FALSE,"Sheet5"}</definedName>
    <definedName name="저장" localSheetId="13" hidden="1">{#N/A,#N/A,FALSE,"Sheet5"}</definedName>
    <definedName name="저장" hidden="1">{#N/A,#N/A,FALSE,"Sheet5"}</definedName>
    <definedName name="저장1" localSheetId="14" hidden="1">{#N/A,#N/A,FALSE,"Sheet5"}</definedName>
    <definedName name="저장1" localSheetId="13" hidden="1">{#N/A,#N/A,FALSE,"Sheet5"}</definedName>
    <definedName name="저장1" hidden="1">{#N/A,#N/A,FALSE,"Sheet5"}</definedName>
    <definedName name="저장2" localSheetId="14" hidden="1">{#N/A,#N/A,FALSE,"Sheet5"}</definedName>
    <definedName name="저장2" localSheetId="13" hidden="1">{#N/A,#N/A,FALSE,"Sheet5"}</definedName>
    <definedName name="저장2" hidden="1">{#N/A,#N/A,FALSE,"Sheet5"}</definedName>
    <definedName name="저장품" localSheetId="14" hidden="1">{"'분양원가'!$B$1:$F$113"}</definedName>
    <definedName name="저장품" localSheetId="13" hidden="1">{"'분양원가'!$B$1:$F$113"}</definedName>
    <definedName name="저장품" hidden="1">{"'분양원가'!$B$1:$F$113"}</definedName>
    <definedName name="저장품수불" localSheetId="14" hidden="1">{#N/A,#N/A,FALSE,"Sheet5"}</definedName>
    <definedName name="저장품수불" localSheetId="13" hidden="1">{#N/A,#N/A,FALSE,"Sheet5"}</definedName>
    <definedName name="저장품수불" hidden="1">{#N/A,#N/A,FALSE,"Sheet5"}</definedName>
    <definedName name="전" localSheetId="14" hidden="1">{#N/A,#N/A,FALSE,"KMC최종회의(7월) 자료"}</definedName>
    <definedName name="전" hidden="1">{#N/A,#N/A,FALSE,"KMC최종회의(7월) 자료"}</definedName>
    <definedName name="전2" localSheetId="14" hidden="1">{#N/A,#N/A,FALSE,"정공"}</definedName>
    <definedName name="전2" hidden="1">{#N/A,#N/A,FALSE,"정공"}</definedName>
    <definedName name="전략" localSheetId="14" hidden="1">{#N/A,#N/A,FALSE,"정공"}</definedName>
    <definedName name="전략" hidden="1">{#N/A,#N/A,FALSE,"정공"}</definedName>
    <definedName name="전략2" localSheetId="14" hidden="1">{#N/A,#N/A,FALSE,"정공"}</definedName>
    <definedName name="전략2" hidden="1">{#N/A,#N/A,FALSE,"정공"}</definedName>
    <definedName name="전략투" localSheetId="14" hidden="1">{#N/A,#N/A,FALSE,"정공"}</definedName>
    <definedName name="전략투" hidden="1">{#N/A,#N/A,FALSE,"정공"}</definedName>
    <definedName name="전력계" localSheetId="14" hidden="1">{#N/A,#N/A,FALSE,"정공"}</definedName>
    <definedName name="전력계" hidden="1">{#N/A,#N/A,FALSE,"정공"}</definedName>
    <definedName name="전망" localSheetId="14" hidden="1">{#N/A,#N/A,FALSE,"KMC최종회의(7월) 자료"}</definedName>
    <definedName name="전망" hidden="1">{#N/A,#N/A,FALSE,"KMC최종회의(7월) 자료"}</definedName>
    <definedName name="전망환산" localSheetId="14" hidden="1">{#N/A,#N/A,FALSE,"KMC최종회의(7월) 자료"}</definedName>
    <definedName name="전망환산" hidden="1">{#N/A,#N/A,FALSE,"KMC최종회의(7월) 자료"}</definedName>
    <definedName name="전부" localSheetId="14" hidden="1">{#N/A,#N/A,FALSE,"단축1";#N/A,#N/A,FALSE,"단축2";#N/A,#N/A,FALSE,"단축3";#N/A,#N/A,FALSE,"장축";#N/A,#N/A,FALSE,"4WD"}</definedName>
    <definedName name="전부" hidden="1">{#N/A,#N/A,FALSE,"단축1";#N/A,#N/A,FALSE,"단축2";#N/A,#N/A,FALSE,"단축3";#N/A,#N/A,FALSE,"장축";#N/A,#N/A,FALSE,"4WD"}</definedName>
    <definedName name="전용원" hidden="1">{#N/A,#N/A,FALSE,"97년 투자계획 세부내역 "}</definedName>
    <definedName name="전월"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전월" hidden="1">{#N/A,#N/A,FALSE,"손익표지";#N/A,#N/A,FALSE,"손익계산";#N/A,#N/A,FALSE,"일반관리비";#N/A,#N/A,FALSE,"영업외수익";#N/A,#N/A,FALSE,"영업외비용";#N/A,#N/A,FALSE,"매출액";#N/A,#N/A,FALSE,"요약손익";#N/A,#N/A,FALSE,"요약대차";#N/A,#N/A,FALSE,"매출채권현황";#N/A,#N/A,FALSE,"매출채권명세"}</definedName>
    <definedName name="전월실적누계">#REF!</definedName>
    <definedName name="전월예산누계">#REF!</definedName>
    <definedName name="전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CF" hidden="1">{#N/A,#N/A,FALSE,"지침";#N/A,#N/A,FALSE,"환경분석";#N/A,#N/A,FALSE,"Sheet16"}</definedName>
    <definedName name="전차종" localSheetId="14" hidden="1">{#N/A,#N/A,FALSE,"표지";#N/A,#N/A,FALSE,"전제";#N/A,#N/A,FALSE,"대당";#N/A,#N/A,FALSE,"가공비";#N/A,#N/A,FALSE,"재료비";#N/A,#N/A,FALSE,"손익"}</definedName>
    <definedName name="전차종" hidden="1">{#N/A,#N/A,FALSE,"표지";#N/A,#N/A,FALSE,"전제";#N/A,#N/A,FALSE,"대당";#N/A,#N/A,FALSE,"가공비";#N/A,#N/A,FALSE,"재료비";#N/A,#N/A,FALSE,"손익"}</definedName>
    <definedName name="전체1" localSheetId="14" hidden="1">{#N/A,#N/A,FALSE,"단축1";#N/A,#N/A,FALSE,"단축2";#N/A,#N/A,FALSE,"단축3";#N/A,#N/A,FALSE,"장축";#N/A,#N/A,FALSE,"4WD"}</definedName>
    <definedName name="전체1" hidden="1">{#N/A,#N/A,FALSE,"단축1";#N/A,#N/A,FALSE,"단축2";#N/A,#N/A,FALSE,"단축3";#N/A,#N/A,FALSE,"장축";#N/A,#N/A,FALSE,"4WD"}</definedName>
    <definedName name="전체2" localSheetId="14" hidden="1">{#N/A,#N/A,FALSE,"단축1";#N/A,#N/A,FALSE,"단축2";#N/A,#N/A,FALSE,"단축3";#N/A,#N/A,FALSE,"장축";#N/A,#N/A,FALSE,"4WD"}</definedName>
    <definedName name="전체2" hidden="1">{#N/A,#N/A,FALSE,"단축1";#N/A,#N/A,FALSE,"단축2";#N/A,#N/A,FALSE,"단축3";#N/A,#N/A,FALSE,"장축";#N/A,#N/A,FALSE,"4WD"}</definedName>
    <definedName name="전체시장" hidden="1">{#N/A,#N/A,FALSE,"지침";#N/A,#N/A,FALSE,"환경분석";#N/A,#N/A,FALSE,"Sheet16"}</definedName>
    <definedName name="전체자료2" hidden="1">{"'경매 schedule'!$A$1:$Y$78"}</definedName>
    <definedName name="전체현황" localSheetId="14" hidden="1">{#N/A,#N/A,FALSE,"단축1";#N/A,#N/A,FALSE,"단축2";#N/A,#N/A,FALSE,"단축3";#N/A,#N/A,FALSE,"장축";#N/A,#N/A,FALSE,"4WD"}</definedName>
    <definedName name="전체현황" hidden="1">{#N/A,#N/A,FALSE,"단축1";#N/A,#N/A,FALSE,"단축2";#N/A,#N/A,FALSE,"단축3";#N/A,#N/A,FALSE,"장축";#N/A,#N/A,FALSE,"4WD"}</definedName>
    <definedName name="전후비교표" localSheetId="14" hidden="1">{#N/A,#N/A,FALSE,"KMC최종회의(7월) 자료"}</definedName>
    <definedName name="전후비교표" hidden="1">{#N/A,#N/A,FALSE,"KMC최종회의(7월) 자료"}</definedName>
    <definedName name="절감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절감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내역상세" localSheetId="14" hidden="1">{#N/A,#N/A,FALSE,"정공"}</definedName>
    <definedName name="절감내역상세" hidden="1">{#N/A,#N/A,FALSE,"정공"}</definedName>
    <definedName name="절감반기계획對실적" localSheetId="14" hidden="1">{#N/A,#N/A,FALSE,"정공"}</definedName>
    <definedName name="절감반기계획對실적" hidden="1">{#N/A,#N/A,FALSE,"정공"}</definedName>
    <definedName name="절감싵트" localSheetId="14" hidden="1">{#N/A,#N/A,FALSE,"정공"}</definedName>
    <definedName name="절감싵트" hidden="1">{#N/A,#N/A,FALSE,"정공"}</definedName>
    <definedName name="접대비정산" hidden="1">#REF!</definedName>
    <definedName name="정"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 hidden="1">{#N/A,#N/A,FALSE,"손익표지";#N/A,#N/A,FALSE,"손익계산";#N/A,#N/A,FALSE,"일반관리비";#N/A,#N/A,FALSE,"영업외수익";#N/A,#N/A,FALSE,"영업외비용";#N/A,#N/A,FALSE,"매출액";#N/A,#N/A,FALSE,"요약손익";#N/A,#N/A,FALSE,"요약대차";#N/A,#N/A,FALSE,"매출채권현황";#N/A,#N/A,FALSE,"매출채권명세"}</definedName>
    <definedName name="정공" localSheetId="14" hidden="1">{#N/A,#N/A,FALSE,"정공"}</definedName>
    <definedName name="정공" hidden="1">{#N/A,#N/A,FALSE,"정공"}</definedName>
    <definedName name="정니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니보" hidden="1">{#N/A,#N/A,FALSE,"손익표지";#N/A,#N/A,FALSE,"손익계산";#N/A,#N/A,FALSE,"일반관리비";#N/A,#N/A,FALSE,"영업외수익";#N/A,#N/A,FALSE,"영업외비용";#N/A,#N/A,FALSE,"매출액";#N/A,#N/A,FALSE,"요약손익";#N/A,#N/A,FALSE,"요약대차";#N/A,#N/A,FALSE,"매출채권현황";#N/A,#N/A,FALSE,"매출채권명세"}</definedName>
    <definedName name="정동종합수정" localSheetId="14" hidden="1">{#N/A,#N/A,FALSE,"KMC최종회의(7월) 자료"}</definedName>
    <definedName name="정동종합수정" hidden="1">{#N/A,#N/A,FALSE,"KMC최종회의(7월) 자료"}</definedName>
    <definedName name="정두영" hidden="1">{#N/A,#N/A,FALSE,"PART-1234-8-12-9(41)";#N/A,#N/A,FALSE,"PARTS-2(3)";#N/A,#N/A,FALSE,"VAN SYSTEM";#N/A,#N/A,FALSE,"PARTS-10(26)";#N/A,#N/A,FALSE,"PART-5-6-7-11(14)";#N/A,#N/A,FALSE,"PARTS-4(3)";#N/A,#N/A,FALSE,"PCLASS"}</definedName>
    <definedName name="정리">#REF!</definedName>
    <definedName name="证明" hidden="1">{#N/A,#N/A,FALSE,"PART-1234-8-12-9(41)";#N/A,#N/A,FALSE,"PARTS-2(3)";#N/A,#N/A,FALSE,"VAN SYSTEM";#N/A,#N/A,FALSE,"PARTS-10(26)";#N/A,#N/A,FALSE,"PART-5-6-7-11(14)";#N/A,#N/A,FALSE,"PARTS-4(3)";#N/A,#N/A,FALSE,"PCLASS"}</definedName>
    <definedName name="정민" hidden="1">{#N/A,#N/A,FALSE,"PART-1234-8-12-9(41)";#N/A,#N/A,FALSE,"PARTS-2(3)";#N/A,#N/A,FALSE,"VAN SYSTEM";#N/A,#N/A,FALSE,"PARTS-10(26)";#N/A,#N/A,FALSE,"PART-5-6-7-11(14)";#N/A,#N/A,FALSE,"PARTS-4(3)";#N/A,#N/A,FALSE,"PCLASS"}</definedName>
    <definedName name="정봉용"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비대수" localSheetId="14"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상가격" localSheetId="1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수용" localSheetId="14" hidden="1">{#N/A,#N/A,TRUE,"Y생산";#N/A,#N/A,TRUE,"Y판매";#N/A,#N/A,TRUE,"Y총물량";#N/A,#N/A,TRUE,"Y능력";#N/A,#N/A,TRUE,"YKD"}</definedName>
    <definedName name="정수용" hidden="1">{#N/A,#N/A,TRUE,"Y생산";#N/A,#N/A,TRUE,"Y판매";#N/A,#N/A,TRUE,"Y총물량";#N/A,#N/A,TRUE,"Y능력";#N/A,#N/A,TRUE,"YKD"}</definedName>
    <definedName name="정영환자료" localSheetId="14" hidden="1">{"'5'!$A$1:$BB$147"}</definedName>
    <definedName name="정영환자료" hidden="1">{"'5'!$A$1:$BB$147"}</definedName>
    <definedName name="정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 localSheetId="14" hidden="1">{#N/A,#N/A,FALSE,"KMC최종회의(7월) 자료"}</definedName>
    <definedName name="정종" hidden="1">{#N/A,#N/A,FALSE,"KMC최종회의(7월) 자료"}</definedName>
    <definedName name="정종구"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젗라구메사" localSheetId="14" hidden="1">{#N/A,#N/A,FALSE,"단축1";#N/A,#N/A,FALSE,"단축2";#N/A,#N/A,FALSE,"단축3";#N/A,#N/A,FALSE,"장축";#N/A,#N/A,FALSE,"4WD"}</definedName>
    <definedName name="젗라구메사" hidden="1">{#N/A,#N/A,FALSE,"단축1";#N/A,#N/A,FALSE,"단축2";#N/A,#N/A,FALSE,"단축3";#N/A,#N/A,FALSE,"장축";#N/A,#N/A,FALSE,"4WD"}</definedName>
    <definedName name="제" localSheetId="14" hidden="1">{#N/A,#N/A,FALSE,"Sheet5"}</definedName>
    <definedName name="제" localSheetId="13" hidden="1">{#N/A,#N/A,FALSE,"Sheet5"}</definedName>
    <definedName name="제" hidden="1">{#N/A,#N/A,FALSE,"Sheet5"}</definedName>
    <definedName name="제1안" hidden="1">{#N/A,#N/A,TRUE,"매출진척-1";#N/A,#N/A,TRUE,"매출진척-2";#N/A,#N/A,TRUE,"제품실적";#N/A,#N/A,TRUE,"RAC";#N/A,#N/A,TRUE,"PAC ";#N/A,#N/A,TRUE,"재고현황";#N/A,#N/A,TRUE,"공지사항"}</definedName>
    <definedName name="제조" localSheetId="14" hidden="1">{#N/A,#N/A,FALSE,"Sheet5"}</definedName>
    <definedName name="제조" localSheetId="13" hidden="1">{#N/A,#N/A,FALSE,"Sheet5"}</definedName>
    <definedName name="제조" hidden="1">{#N/A,#N/A,FALSE,"Sheet5"}</definedName>
    <definedName name="제조원가" localSheetId="14" hidden="1">{#N/A,#N/A,FALSE,"Sheet5"}</definedName>
    <definedName name="제조원가" localSheetId="13" hidden="1">{#N/A,#N/A,FALSE,"Sheet5"}</definedName>
    <definedName name="제조원가" hidden="1">{#N/A,#N/A,FALSE,"Sheet5"}</definedName>
    <definedName name="제조원가절감추진실적" localSheetId="14" hidden="1">{"'BSC(2001)'!$A$27:$G$32"}</definedName>
    <definedName name="제조원가절감추진실적" hidden="1">{"'BSC(2001)'!$A$27:$G$32"}</definedName>
    <definedName name="제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구분손익" localSheetId="14" hidden="1">{#N/A,#N/A,FALSE,"정공"}</definedName>
    <definedName name="제품구분손익" hidden="1">{#N/A,#N/A,FALSE,"정공"}</definedName>
    <definedName name="제품별" localSheetId="14" hidden="1">{#N/A,#N/A,FALSE,"정공"}</definedName>
    <definedName name="제품별" hidden="1">{#N/A,#N/A,FALSE,"정공"}</definedName>
    <definedName name="제품별손익" localSheetId="14" hidden="1">{#N/A,#N/A,FALSE,"정공"}</definedName>
    <definedName name="제품별손익" hidden="1">{#N/A,#N/A,FALSE,"정공"}</definedName>
    <definedName name="제품손익표" localSheetId="14" hidden="1">{#N/A,#N/A,FALSE,"정공"}</definedName>
    <definedName name="제품손익표" hidden="1">{#N/A,#N/A,FALSE,"정공"}</definedName>
    <definedName name="조과인원" localSheetId="14" hidden="1">{#N/A,#N/A,TRUE,"Y생산";#N/A,#N/A,TRUE,"Y판매";#N/A,#N/A,TRUE,"Y총물량";#N/A,#N/A,TRUE,"Y능력";#N/A,#N/A,TRUE,"YKD"}</definedName>
    <definedName name="조과인원" hidden="1">{#N/A,#N/A,TRUE,"Y생산";#N/A,#N/A,TRUE,"Y판매";#N/A,#N/A,TRUE,"Y총물량";#N/A,#N/A,TRUE,"Y능력";#N/A,#N/A,TRUE,"YKD"}</definedName>
    <definedName name="조동" localSheetId="14" hidden="1">{#N/A,#N/A,FALSE,"단축1";#N/A,#N/A,FALSE,"단축2";#N/A,#N/A,FALSE,"단축3";#N/A,#N/A,FALSE,"장축";#N/A,#N/A,FALSE,"4WD"}</definedName>
    <definedName name="조동" hidden="1">{#N/A,#N/A,FALSE,"단축1";#N/A,#N/A,FALSE,"단축2";#N/A,#N/A,FALSE,"단축3";#N/A,#N/A,FALSE,"장축";#N/A,#N/A,FALSE,"4WD"}</definedName>
    <definedName name="조동신" localSheetId="14" hidden="1">{#N/A,#N/A,FALSE,"단축1";#N/A,#N/A,FALSE,"단축2";#N/A,#N/A,FALSE,"단축3";#N/A,#N/A,FALSE,"장축";#N/A,#N/A,FALSE,"4WD"}</definedName>
    <definedName name="조동신" hidden="1">{#N/A,#N/A,FALSE,"단축1";#N/A,#N/A,FALSE,"단축2";#N/A,#N/A,FALSE,"단축3";#N/A,#N/A,FALSE,"장축";#N/A,#N/A,FALSE,"4WD"}</definedName>
    <definedName name="조립" localSheetId="14" hidden="1">{#N/A,#N/A,FALSE,"단축1";#N/A,#N/A,FALSE,"단축2";#N/A,#N/A,FALSE,"단축3";#N/A,#N/A,FALSE,"장축";#N/A,#N/A,FALSE,"4WD"}</definedName>
    <definedName name="조립" hidden="1">{#N/A,#N/A,FALSE,"단축1";#N/A,#N/A,FALSE,"단축2";#N/A,#N/A,FALSE,"단축3";#N/A,#N/A,FALSE,"장축";#N/A,#N/A,FALSE,"4WD"}</definedName>
    <definedName name="조립과인원계획" localSheetId="14" hidden="1">{#N/A,#N/A,TRUE,"Y생산";#N/A,#N/A,TRUE,"Y판매";#N/A,#N/A,TRUE,"Y총물량";#N/A,#N/A,TRUE,"Y능력";#N/A,#N/A,TRUE,"YKD"}</definedName>
    <definedName name="조립과인원계획" hidden="1">{#N/A,#N/A,TRUE,"Y생산";#N/A,#N/A,TRUE,"Y판매";#N/A,#N/A,TRUE,"Y총물량";#N/A,#N/A,TRUE,"Y능력";#N/A,#N/A,TRUE,"YKD"}</definedName>
    <definedName name="조립과인원계획2000" localSheetId="14" hidden="1">{#N/A,#N/A,TRUE,"Y생산";#N/A,#N/A,TRUE,"Y판매";#N/A,#N/A,TRUE,"Y총물량";#N/A,#N/A,TRUE,"Y능력";#N/A,#N/A,TRUE,"YKD"}</definedName>
    <definedName name="조립과인원계획2000" hidden="1">{#N/A,#N/A,TRUE,"Y생산";#N/A,#N/A,TRUE,"Y판매";#N/A,#N/A,TRUE,"Y총물량";#N/A,#N/A,TRUE,"Y능력";#N/A,#N/A,TRUE,"YKD"}</definedName>
    <definedName name="조별유형" hidden="1">#REF!</definedName>
    <definedName name="조순호"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조순호1" hidden="1">{#N/A,#N/A,FALSE,"PART-1234-8-12-9(41)";#N/A,#N/A,FALSE,"PARTS-2(3)";#N/A,#N/A,FALSE,"VAN SYSTEM";#N/A,#N/A,FALSE,"PARTS-10(26)";#N/A,#N/A,FALSE,"PART-5-6-7-11(14)";#N/A,#N/A,FALSE,"PARTS-4(3)";#N/A,#N/A,FALSE,"PCLASS"}</definedName>
    <definedName name="조승민" localSheetId="14" hidden="1">{#N/A,#N/A,FALSE,"KMC최종회의(7월) 자료"}</definedName>
    <definedName name="조승민" hidden="1">{#N/A,#N/A,FALSE,"KMC최종회의(7월) 자료"}</definedName>
    <definedName name="조영범" hidden="1">{#N/A,#N/A,FALSE,"지침";#N/A,#N/A,FALSE,"환경분석";#N/A,#N/A,FALSE,"Sheet16"}</definedName>
    <definedName name="조영호" hidden="1">{#N/A,#N/A,FALSE,"PART-1234-8-12-9(41)";#N/A,#N/A,FALSE,"PARTS-2(3)";#N/A,#N/A,FALSE,"VAN SYSTEM";#N/A,#N/A,FALSE,"PARTS-10(26)";#N/A,#N/A,FALSE,"PART-5-6-7-11(14)";#N/A,#N/A,FALSE,"PARTS-4(3)";#N/A,#N/A,FALSE,"PCLASS"}</definedName>
    <definedName name="조정" localSheetId="14" hidden="1">#REF!</definedName>
    <definedName name="조정" localSheetId="13" hidden="1">#REF!</definedName>
    <definedName name="조정" localSheetId="27" hidden="1">#REF!</definedName>
    <definedName name="조정" localSheetId="20" hidden="1">#REF!</definedName>
    <definedName name="조정" hidden="1">#REF!</definedName>
    <definedName name="조정후손익" localSheetId="14" hidden="1">{#N/A,#N/A,FALSE,"정공"}</definedName>
    <definedName name="조정후손익" hidden="1">{#N/A,#N/A,FALSE,"정공"}</definedName>
    <definedName name="조직"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조직1" localSheetId="14" hidden="1">{#N/A,#N/A,FALSE,"정공"}</definedName>
    <definedName name="조직1" hidden="1">{#N/A,#N/A,FALSE,"정공"}</definedName>
    <definedName name="조직3" localSheetId="14" hidden="1">{#N/A,#N/A,FALSE,"정공"}</definedName>
    <definedName name="조직3" hidden="1">{#N/A,#N/A,FALSE,"정공"}</definedName>
    <definedName name="조치" localSheetId="14" hidden="1">{#N/A,#N/A,FALSE,"단축1";#N/A,#N/A,FALSE,"단축2";#N/A,#N/A,FALSE,"단축3";#N/A,#N/A,FALSE,"장축";#N/A,#N/A,FALSE,"4WD"}</definedName>
    <definedName name="조치" hidden="1">{#N/A,#N/A,FALSE,"단축1";#N/A,#N/A,FALSE,"단축2";#N/A,#N/A,FALSE,"단축3";#N/A,#N/A,FALSE,"장축";#N/A,#N/A,FALSE,"4WD"}</definedName>
    <definedName name="조합보고" localSheetId="14" hidden="1">{#N/A,#N/A,FALSE,"KMC최종회의(7월) 자료"}</definedName>
    <definedName name="조합보고" hidden="1">{#N/A,#N/A,FALSE,"KMC최종회의(7월) 자료"}</definedName>
    <definedName name="종" localSheetId="14" hidden="1">{#N/A,#N/A,FALSE,"KMC최종회의(7월) 자료"}</definedName>
    <definedName name="종" hidden="1">{#N/A,#N/A,FALSE,"KMC최종회의(7월) 자료"}</definedName>
    <definedName name="종1" localSheetId="14" hidden="1">{#N/A,#N/A,FALSE,"KMC최종회의(7월) 자료"}</definedName>
    <definedName name="종1" hidden="1">{#N/A,#N/A,FALSE,"KMC최종회의(7월) 자료"}</definedName>
    <definedName name="종규님" hidden="1">{#N/A,#N/A,FALSE,"PART-1234-8-12-9(41)";#N/A,#N/A,FALSE,"PARTS-2(3)";#N/A,#N/A,FALSE,"VAN SYSTEM";#N/A,#N/A,FALSE,"PARTS-10(26)";#N/A,#N/A,FALSE,"PART-5-6-7-11(14)";#N/A,#N/A,FALSE,"PARTS-4(3)";#N/A,#N/A,FALSE,"PCLASS"}</definedName>
    <definedName name="종규님1" hidden="1">{#N/A,#N/A,FALSE,"PART-1234-8-12-9(41)";#N/A,#N/A,FALSE,"PARTS-2(3)";#N/A,#N/A,FALSE,"VAN SYSTEM";#N/A,#N/A,FALSE,"PARTS-10(26)";#N/A,#N/A,FALSE,"PART-5-6-7-11(14)";#N/A,#N/A,FALSE,"PARTS-4(3)";#N/A,#N/A,FALSE,"PCLASS"}</definedName>
    <definedName name="종합" localSheetId="14" hidden="1">{#N/A,#N/A,FALSE,"KMC최종회의(7월) 자료"}</definedName>
    <definedName name="종합" hidden="1">{#N/A,#N/A,FALSE,"KMC최종회의(7월) 자료"}</definedName>
    <definedName name="종합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종합1" hidden="1">{#N/A,#N/A,FALSE,"손익표지";#N/A,#N/A,FALSE,"손익계산";#N/A,#N/A,FALSE,"일반관리비";#N/A,#N/A,FALSE,"영업외수익";#N/A,#N/A,FALSE,"영업외비용";#N/A,#N/A,FALSE,"매출액";#N/A,#N/A,FALSE,"요약손익";#N/A,#N/A,FALSE,"요약대차";#N/A,#N/A,FALSE,"매출채권현황";#N/A,#N/A,FALSE,"매출채권명세"}</definedName>
    <definedName name="종합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종합2" hidden="1">{#N/A,#N/A,FALSE,"손익표지";#N/A,#N/A,FALSE,"손익계산";#N/A,#N/A,FALSE,"일반관리비";#N/A,#N/A,FALSE,"영업외수익";#N/A,#N/A,FALSE,"영업외비용";#N/A,#N/A,FALSE,"매출액";#N/A,#N/A,FALSE,"요약손익";#N/A,#N/A,FALSE,"요약대차";#N/A,#N/A,FALSE,"매출채권현황";#N/A,#N/A,FALSE,"매출채권명세"}</definedName>
    <definedName name="종합미래2" localSheetId="14" hidden="1">{#N/A,#N/A,FALSE,"정공"}</definedName>
    <definedName name="종합미래2" hidden="1">{#N/A,#N/A,FALSE,"정공"}</definedName>
    <definedName name="종합어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월별" localSheetId="14" hidden="1">{#N/A,#N/A,FALSE,"KMC최종회의(7월) 자료"}</definedName>
    <definedName name="종합월별" hidden="1">{#N/A,#N/A,FALSE,"KMC최종회의(7월) 자료"}</definedName>
    <definedName name="종합월별1" localSheetId="14" hidden="1">{#N/A,#N/A,FALSE,"KMC최종회의(7월) 자료"}</definedName>
    <definedName name="종합월별1" hidden="1">{#N/A,#N/A,FALSE,"KMC최종회의(7월) 자료"}</definedName>
    <definedName name="종합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종합표" hidden="1">{#N/A,#N/A,FALSE,"손익표지";#N/A,#N/A,FALSE,"손익계산";#N/A,#N/A,FALSE,"일반관리비";#N/A,#N/A,FALSE,"영업외수익";#N/A,#N/A,FALSE,"영업외비용";#N/A,#N/A,FALSE,"매출액";#N/A,#N/A,FALSE,"요약손익";#N/A,#N/A,FALSE,"요약대차";#N/A,#N/A,FALSE,"매출채권현황";#N/A,#N/A,FALSE,"매출채권명세"}</definedName>
    <definedName name="종합표복사" localSheetId="14" hidden="1">#REF!</definedName>
    <definedName name="종합표복사" hidden="1">#REF!</definedName>
    <definedName name="종합현황" localSheetId="14" hidden="1">{#N/A,#N/A,FALSE,"KMC최종회의(7월) 자료"}</definedName>
    <definedName name="종합현황" hidden="1">{#N/A,#N/A,FALSE,"KMC최종회의(7월) 자료"}</definedName>
    <definedName name="종화" hidden="1">{#N/A,#N/A,FALSE,"지침";#N/A,#N/A,FALSE,"환경분석";#N/A,#N/A,FALSE,"Sheet16"}</definedName>
    <definedName name="주" localSheetId="14" hidden="1">{#N/A,#N/A,FALSE,"지침";#N/A,#N/A,FALSE,"환경분석";#N/A,#N/A,FALSE,"Sheet16"}</definedName>
    <definedName name="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주" hidden="1">{#N/A,#N/A,FALSE,"손익표지";#N/A,#N/A,FALSE,"손익계산";#N/A,#N/A,FALSE,"일반관리비";#N/A,#N/A,FALSE,"영업외수익";#N/A,#N/A,FALSE,"영업외비용";#N/A,#N/A,FALSE,"매출액";#N/A,#N/A,FALSE,"요약손익";#N/A,#N/A,FALSE,"요약대차";#N/A,#N/A,FALSE,"매출채권현황";#N/A,#N/A,FALSE,"매출채권명세"}</definedName>
    <definedName name="주간업무보고" localSheetId="14" hidden="1">#REF!</definedName>
    <definedName name="주간업무보고" hidden="1">#REF!</definedName>
    <definedName name="주란" hidden="1">{#N/A,#N/A,FALSE,"지침";#N/A,#N/A,FALSE,"환경분석";#N/A,#N/A,FALSE,"Sheet16"}</definedName>
    <definedName name="주마감" hidden="1">#REF!</definedName>
    <definedName name="주석3부터" localSheetId="14" hidden="1">'[102]경영비율 '!#REF!</definedName>
    <definedName name="주석3부터" hidden="1">'[102]경영비율 '!#REF!</definedName>
    <definedName name="주석최동" localSheetId="14" hidden="1">{#N/A,#N/A,FALSE,"평균임금기준퇴직금"}</definedName>
    <definedName name="주석최동" hidden="1">{#N/A,#N/A,FALSE,"평균임금기준퇴직금"}</definedName>
    <definedName name="주요매출증감" hidden="1">{#N/A,#N/A,FALSE,"지침";#N/A,#N/A,FALSE,"환경분석";#N/A,#N/A,FALSE,"Sheet16"}</definedName>
    <definedName name="주요업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2" localSheetId="14" hidden="1">{#N/A,#N/A,TRUE,"Y생산";#N/A,#N/A,TRUE,"Y판매";#N/A,#N/A,TRUE,"Y총물량";#N/A,#N/A,TRUE,"Y능력";#N/A,#N/A,TRUE,"YKD"}</definedName>
    <definedName name="주요업무2" hidden="1">{#N/A,#N/A,TRUE,"Y생산";#N/A,#N/A,TRUE,"Y판매";#N/A,#N/A,TRUE,"Y총물량";#N/A,#N/A,TRUE,"Y능력";#N/A,#N/A,TRUE,"YKD"}</definedName>
    <definedName name="주요업무3" localSheetId="14" hidden="1">{#N/A,#N/A,TRUE,"Y생산";#N/A,#N/A,TRUE,"Y판매";#N/A,#N/A,TRUE,"Y총물량";#N/A,#N/A,TRUE,"Y능력";#N/A,#N/A,TRUE,"YKD"}</definedName>
    <definedName name="주요업무3" hidden="1">{#N/A,#N/A,TRUE,"Y생산";#N/A,#N/A,TRUE,"Y판매";#N/A,#N/A,TRUE,"Y총물량";#N/A,#N/A,TRUE,"Y능력";#N/A,#N/A,TRUE,"YKD"}</definedName>
    <definedName name="주요제원" localSheetId="14" hidden="1">{#N/A,#N/A,FALSE,"단축1";#N/A,#N/A,FALSE,"단축2";#N/A,#N/A,FALSE,"단축3";#N/A,#N/A,FALSE,"장축";#N/A,#N/A,FALSE,"4WD"}</definedName>
    <definedName name="주요제원" hidden="1">{#N/A,#N/A,FALSE,"단축1";#N/A,#N/A,FALSE,"단축2";#N/A,#N/A,FALSE,"단축3";#N/A,#N/A,FALSE,"장축";#N/A,#N/A,FALSE,"4WD"}</definedName>
    <definedName name="주요지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주요지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요현안문제점" hidden="1">{#N/A,#N/A,FALSE,"PART-1234-8-12-9(41)";#N/A,#N/A,FALSE,"PARTS-2(3)";#N/A,#N/A,FALSE,"VAN SYSTEM";#N/A,#N/A,FALSE,"PARTS-10(26)";#N/A,#N/A,FALSE,"PART-5-6-7-11(14)";#N/A,#N/A,FALSE,"PARTS-4(3)";#N/A,#N/A,FALSE,"PCLASS"}</definedName>
    <definedName name="주정관" localSheetId="14" hidden="1">{#N/A,#N/A,TRUE,"일정"}</definedName>
    <definedName name="주정관" hidden="1">{#N/A,#N/A,TRUE,"일정"}</definedName>
    <definedName name="주택관리" hidden="1">{"'경매 schedule'!$A$1:$Y$78"}</definedName>
    <definedName name="주택매출">#REF!</definedName>
    <definedName name="주택원가">#REF!</definedName>
    <definedName name="주택최종">#REF!</definedName>
    <definedName name="주택할부채권" hidden="1">{"'경매 schedule'!$A$1:$Y$78"}</definedName>
    <definedName name="준" hidden="1">{#N/A,#N/A,FALSE,"Aging Summary";#N/A,#N/A,FALSE,"Ratio Analysis";#N/A,#N/A,FALSE,"Test 120 Day Accts";#N/A,#N/A,FALSE,"Tickmarks"}</definedName>
    <definedName name="准确度" hidden="1">{"srf1",#N/A,FALSE,"Sheet1";"rf2",#N/A,FALSE,"Sheet1"}</definedName>
    <definedName name="중간예납"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1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localSheetId="1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1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localSheetId="1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14" hidden="1">{#N/A,#N/A,FALSE,"BS";#N/A,#N/A,FALSE,"PL";#N/A,#N/A,FALSE,"처분";#N/A,#N/A,FALSE,"현금";#N/A,#N/A,FALSE,"매출";#N/A,#N/A,FALSE,"원가";#N/A,#N/A,FALSE,"경영"}</definedName>
    <definedName name="중간요약" localSheetId="13"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공업인원인건비" hidden="1">{#N/A,#N/A,FALSE,"지침";#N/A,#N/A,FALSE,"환경분석";#N/A,#N/A,FALSE,"Sheet16"}</definedName>
    <definedName name="중국"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중국" hidden="1">{#N/A,#N/A,FALSE,"손익표지";#N/A,#N/A,FALSE,"손익계산";#N/A,#N/A,FALSE,"일반관리비";#N/A,#N/A,FALSE,"영업외수익";#N/A,#N/A,FALSE,"영업외비용";#N/A,#N/A,FALSE,"매출액";#N/A,#N/A,FALSE,"요약손익";#N/A,#N/A,FALSE,"요약대차";#N/A,#N/A,FALSE,"매출채권현황";#N/A,#N/A,FALSE,"매출채권명세"}</definedName>
    <definedName name="중기" localSheetId="14" hidden="1">{#N/A,#N/A,FALSE,"정공"}</definedName>
    <definedName name="중기" hidden="1">{#N/A,#N/A,FALSE,"정공"}</definedName>
    <definedName name="중기1" localSheetId="14" hidden="1">{#N/A,#N/A,FALSE,"정공"}</definedName>
    <definedName name="중기1" hidden="1">{#N/A,#N/A,FALSE,"정공"}</definedName>
    <definedName name="중복시트" hidden="1">#REF!</definedName>
    <definedName name="중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심" hidden="1">{#N/A,#N/A,FALSE,"PART-1234-8-12-9(41)";#N/A,#N/A,FALSE,"PARTS-2(3)";#N/A,#N/A,FALSE,"VAN SYSTEM";#N/A,#N/A,FALSE,"PARTS-10(26)";#N/A,#N/A,FALSE,"PART-5-6-7-11(14)";#N/A,#N/A,FALSE,"PARTS-4(3)";#N/A,#N/A,FALSE,"PCLASS"}</definedName>
    <definedName name="중앙" localSheetId="14" hidden="1">{#N/A,#N/A,FALSE,"단축1";#N/A,#N/A,FALSE,"단축2";#N/A,#N/A,FALSE,"단축3";#N/A,#N/A,FALSE,"장축";#N/A,#N/A,FALSE,"4WD"}</definedName>
    <definedName name="중앙" hidden="1">{#N/A,#N/A,FALSE,"단축1";#N/A,#N/A,FALSE,"단축2";#N/A,#N/A,FALSE,"단축3";#N/A,#N/A,FALSE,"장축";#N/A,#N/A,FALSE,"4WD"}</definedName>
    <definedName name="중앙부" localSheetId="14" hidden="1">{#N/A,#N/A,FALSE,"단축1";#N/A,#N/A,FALSE,"단축2";#N/A,#N/A,FALSE,"단축3";#N/A,#N/A,FALSE,"장축";#N/A,#N/A,FALSE,"4WD"}</definedName>
    <definedName name="중앙부" hidden="1">{#N/A,#N/A,FALSE,"단축1";#N/A,#N/A,FALSE,"단축2";#N/A,#N/A,FALSE,"단축3";#N/A,#N/A,FALSE,"장축";#N/A,#N/A,FALSE,"4WD"}</definedName>
    <definedName name="중장기계획2" localSheetId="14" hidden="1">{#N/A,#N/A,FALSE,"정공"}</definedName>
    <definedName name="중장기계획2" hidden="1">{#N/A,#N/A,FALSE,"정공"}</definedName>
    <definedName name="중장기표지" localSheetId="14" hidden="1">{#N/A,#N/A,FALSE,"정공"}</definedName>
    <definedName name="중장기표지" hidden="1">{#N/A,#N/A,FALSE,"정공"}</definedName>
    <definedName name="중점" localSheetId="14" hidden="1">{"'BSC(2001)'!$A$27:$G$32"}</definedName>
    <definedName name="중점" hidden="1">{"'BSC(2001)'!$A$27:$G$32"}</definedName>
    <definedName name="중점2" hidden="1">{#N/A,#N/A,FALSE,"PART-1234-8-12-9(41)";#N/A,#N/A,FALSE,"PARTS-2(3)";#N/A,#N/A,FALSE,"VAN SYSTEM";#N/A,#N/A,FALSE,"PARTS-10(26)";#N/A,#N/A,FALSE,"PART-5-6-7-11(14)";#N/A,#N/A,FALSE,"PARTS-4(3)";#N/A,#N/A,FALSE,"PCLASS"}</definedName>
    <definedName name="중점3" hidden="1">{#N/A,#N/A,FALSE,"PART-1234-8-12-9(41)";#N/A,#N/A,FALSE,"PARTS-2(3)";#N/A,#N/A,FALSE,"VAN SYSTEM";#N/A,#N/A,FALSE,"PARTS-10(26)";#N/A,#N/A,FALSE,"PART-5-6-7-11(14)";#N/A,#N/A,FALSE,"PARTS-4(3)";#N/A,#N/A,FALSE,"PCLASS"}</definedName>
    <definedName name="중점관리1" hidden="1">{#N/A,#N/A,FALSE,"지침";#N/A,#N/A,FALSE,"환경분석";#N/A,#N/A,FALSE,"Sheet16"}</definedName>
    <definedName name="중점관리4" hidden="1">[1]공문!#REF!</definedName>
    <definedName name="중점추" localSheetId="14" hidden="1">{"'BSC(2001)'!$A$27:$G$32"}</definedName>
    <definedName name="중점추" hidden="1">{"'BSC(2001)'!$A$27:$G$32"}</definedName>
    <definedName name="중점추진5" hidden="1">{#N/A,#N/A,FALSE,"PART-1234-8-12-9(41)";#N/A,#N/A,FALSE,"PARTS-2(3)";#N/A,#N/A,FALSE,"VAN SYSTEM";#N/A,#N/A,FALSE,"PARTS-10(26)";#N/A,#N/A,FALSE,"PART-5-6-7-11(14)";#N/A,#N/A,FALSE,"PARTS-4(3)";#N/A,#N/A,FALSE,"PCLASS"}</definedName>
    <definedName name="중점추진상" localSheetId="14" hidden="1">{"'BSC(2001)'!$A$27:$G$32"}</definedName>
    <definedName name="중점추진상" hidden="1">{"'BSC(2001)'!$A$27:$G$32"}</definedName>
    <definedName name="중중표지" localSheetId="14" hidden="1">{#N/A,#N/A,FALSE,"정공"}</definedName>
    <definedName name="중중표지" hidden="1">{#N/A,#N/A,FALSE,"정공"}</definedName>
    <definedName name="重品LIST"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증감" hidden="1">{"'경매 schedule'!$A$1:$Y$78"}</definedName>
    <definedName name="증감분석96계획95실적" hidden="1">{#N/A,#N/A,FALSE,"97년 투자계획 세부내역 "}</definedName>
    <definedName name="증감분석96계획95실적1" hidden="1">{#N/A,#N/A,FALSE,"97년 투자계획 세부내역 "}</definedName>
    <definedName name="지" localSheetId="14" hidden="1">{#N/A,#N/A,TRUE,"Y생산";#N/A,#N/A,TRUE,"Y판매";#N/A,#N/A,TRUE,"Y총물량";#N/A,#N/A,TRUE,"Y능력";#N/A,#N/A,TRUE,"YKD"}</definedName>
    <definedName name="지" localSheetId="13" hidden="1">{#N/A,#N/A,TRUE,"Y생산";#N/A,#N/A,TRUE,"Y판매";#N/A,#N/A,TRUE,"Y총물량";#N/A,#N/A,TRUE,"Y능력";#N/A,#N/A,TRUE,"YKD"}</definedName>
    <definedName name="지">#REF!</definedName>
    <definedName name="지경영" localSheetId="14"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나" localSheetId="14" hidden="1">#REF!</definedName>
    <definedName name="지나" hidden="1">#REF!</definedName>
    <definedName name="지랄" hidden="1">{#N/A,#N/A,FALSE,"97년 투자계획 세부내역 "}</definedName>
    <definedName name="지배구조1" hidden="1">{#N/A,#N/A,FALSE,"지침";#N/A,#N/A,FALSE,"환경분석";#N/A,#N/A,FALSE,"Sheet16"}</definedName>
    <definedName name="지사순2" hidden="1">{#N/A,#N/A,FALSE,"PART-1234-8-12-9(41)";#N/A,#N/A,FALSE,"PARTS-2(3)";#N/A,#N/A,FALSE,"VAN SYSTEM";#N/A,#N/A,FALSE,"PARTS-10(26)";#N/A,#N/A,FALSE,"PART-5-6-7-11(14)";#N/A,#N/A,FALSE,"PARTS-4(3)";#N/A,#N/A,FALSE,"PCLASS"}</definedName>
    <definedName name="지시">#REF!</definedName>
    <definedName name="지역실" localSheetId="14" hidden="1">{"'5'!$A$1:$BB$147"}</definedName>
    <definedName name="지역실" hidden="1">{"'5'!$A$1:$BB$147"}</definedName>
    <definedName name="지유석"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지유석" hidden="1">{#N/A,#N/A,FALSE,"손익표지";#N/A,#N/A,FALSE,"손익계산";#N/A,#N/A,FALSE,"일반관리비";#N/A,#N/A,FALSE,"영업외수익";#N/A,#N/A,FALSE,"영업외비용";#N/A,#N/A,FALSE,"매출액";#N/A,#N/A,FALSE,"요약손익";#N/A,#N/A,FALSE,"요약대차";#N/A,#N/A,FALSE,"매출채권현황";#N/A,#N/A,FALSE,"매출채권명세"}</definedName>
    <definedName name="지지지" localSheetId="14" hidden="1">{"'미착금액'!$A$4:$G$14"}</definedName>
    <definedName name="지지지" localSheetId="13" hidden="1">{"'미착금액'!$A$4:$G$14"}</definedName>
    <definedName name="지지지" hidden="1">{"'미착금액'!$A$4:$G$14"}</definedName>
    <definedName name="지태면" localSheetId="14" hidden="1">{#N/A,#N/A,TRUE,"Y생산";#N/A,#N/A,TRUE,"Y판매";#N/A,#N/A,TRUE,"Y총물량";#N/A,#N/A,TRUE,"Y능력";#N/A,#N/A,TRUE,"YKD"}</definedName>
    <definedName name="지태면" hidden="1">{#N/A,#N/A,TRUE,"Y생산";#N/A,#N/A,TRUE,"Y판매";#N/A,#N/A,TRUE,"Y총물량";#N/A,#N/A,TRUE,"Y능력";#N/A,#N/A,TRUE,"YKD"}</definedName>
    <definedName name="지호" localSheetId="14" hidden="1">{#N/A,#N/A,FALSE,"단축1";#N/A,#N/A,FALSE,"단축2";#N/A,#N/A,FALSE,"단축3";#N/A,#N/A,FALSE,"장축";#N/A,#N/A,FALSE,"4WD"}</definedName>
    <definedName name="지호" hidden="1">{#N/A,#N/A,FALSE,"단축1";#N/A,#N/A,FALSE,"단축2";#N/A,#N/A,FALSE,"단축3";#N/A,#N/A,FALSE,"장축";#N/A,#N/A,FALSE,"4WD"}</definedName>
    <definedName name="직급공정" localSheetId="14" hidden="1">#REF!</definedName>
    <definedName name="직급공정" localSheetId="13" hidden="1">#REF!</definedName>
    <definedName name="직급공정" hidden="1">#REF!</definedName>
    <definedName name="직급별시행일자" localSheetId="14" hidden="1">{#N/A,#N/A,FALSE,"KMC최종회의(7월) 자료"}</definedName>
    <definedName name="직급별시행일자" hidden="1">{#N/A,#N/A,FALSE,"KMC최종회의(7월) 자료"}</definedName>
    <definedName name="직접재료" localSheetId="14" hidden="1">{#N/A,#N/A,FALSE,"Sheet5"}</definedName>
    <definedName name="직접재료" localSheetId="13" hidden="1">{#N/A,#N/A,FALSE,"Sheet5"}</definedName>
    <definedName name="직접재료" hidden="1">{#N/A,#N/A,FALSE,"Sheet5"}</definedName>
    <definedName name="진" localSheetId="14" hidden="1">{#N/A,#N/A,FALSE,"KMC최종회의(7월) 자료"}</definedName>
    <definedName name="진" hidden="1">{#N/A,#N/A,FALSE,"KMC최종회의(7월) 자료"}</definedName>
    <definedName name="진주7">[103]첨부1!$B$1:$F$18,[103]첨부1!#REF!,[103]첨부1!#REF!</definedName>
    <definedName name="진짜연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행사항2" localSheetId="14" hidden="1">{#N/A,#N/A,FALSE,"KMC최종회의(7월) 자료"}</definedName>
    <definedName name="진행사항2" hidden="1">{#N/A,#N/A,FALSE,"KMC최종회의(7월) 자료"}</definedName>
    <definedName name="진행사항보고.xls" hidden="1">{#N/A,#N/A,FALSE,"97년 투자계획 세부내역 "}</definedName>
    <definedName name="진흥손익예상"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ㅉ"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ㅉ" hidden="1">{#N/A,#N/A,FALSE,"손익표지";#N/A,#N/A,FALSE,"손익계산";#N/A,#N/A,FALSE,"일반관리비";#N/A,#N/A,FALSE,"영업외수익";#N/A,#N/A,FALSE,"영업외비용";#N/A,#N/A,FALSE,"매출액";#N/A,#N/A,FALSE,"요약손익";#N/A,#N/A,FALSE,"요약대차";#N/A,#N/A,FALSE,"매출채권현황";#N/A,#N/A,FALSE,"매출채권명세"}</definedName>
    <definedName name="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쭈" hidden="1">{#N/A,#N/A,FALSE,"손익표지";#N/A,#N/A,FALSE,"손익계산";#N/A,#N/A,FALSE,"일반관리비";#N/A,#N/A,FALSE,"영업외수익";#N/A,#N/A,FALSE,"영업외비용";#N/A,#N/A,FALSE,"매출액";#N/A,#N/A,FALSE,"요약손익";#N/A,#N/A,FALSE,"요약대차";#N/A,#N/A,FALSE,"매출채권현황";#N/A,#N/A,FALSE,"매출채권명세"}</definedName>
    <definedName name="ㅊ" localSheetId="14" hidden="1">{#N/A,#N/A,FALSE,"BS";#N/A,#N/A,FALSE,"PL";#N/A,#N/A,FALSE,"처분";#N/A,#N/A,FALSE,"현금";#N/A,#N/A,FALSE,"매출";#N/A,#N/A,FALSE,"원가";#N/A,#N/A,FALSE,"경영"}</definedName>
    <definedName name="ㅊ" localSheetId="13" hidden="1">{#N/A,#N/A,FALSE,"BS";#N/A,#N/A,FALSE,"PL";#N/A,#N/A,FALSE,"처분";#N/A,#N/A,FALSE,"현금";#N/A,#N/A,FALSE,"매출";#N/A,#N/A,FALSE,"원가";#N/A,#N/A,FALSE,"경영"}</definedName>
    <definedName name="ㅊ" hidden="1">{#N/A,#N/A,FALSE,"BS";#N/A,#N/A,FALSE,"PL";#N/A,#N/A,FALSE,"처분";#N/A,#N/A,FALSE,"현금";#N/A,#N/A,FALSE,"매출";#N/A,#N/A,FALSE,"원가";#N/A,#N/A,FALSE,"경영"}</definedName>
    <definedName name="ㅊ1055">#REF!</definedName>
    <definedName name="ㅊㅊ"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ㅊ" localSheetId="14" hidden="1">{#N/A,#N/A,FALSE,"KMC최종회의(7월) 자료"}</definedName>
    <definedName name="ㅊㅊㅊ" hidden="1">{#N/A,#N/A,FALSE,"KMC최종회의(7월) 자료"}</definedName>
    <definedName name="ㅊㅊㅊㅊㅊ"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ㅊㅊㅊㅊㅊ"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ㅊㅊㅊㅊㅊ" hidden="1">{#N/A,#N/A,FALSE,"손익표지";#N/A,#N/A,FALSE,"손익계산";#N/A,#N/A,FALSE,"일반관리비";#N/A,#N/A,FALSE,"영업외수익";#N/A,#N/A,FALSE,"영업외비용";#N/A,#N/A,FALSE,"매출액";#N/A,#N/A,FALSE,"요약손익";#N/A,#N/A,FALSE,"요약대차";#N/A,#N/A,FALSE,"매출채권현황";#N/A,#N/A,FALSE,"매출채권명세"}</definedName>
    <definedName name="차" localSheetId="14" hidden="1">{#N/A,#N/A,FALSE,"KMC최종회의(7월) 자료"}</definedName>
    <definedName name="차" hidden="1">{#N/A,#N/A,FALSE,"KMC최종회의(7월) 자료"}</definedName>
    <definedName name="차라리" localSheetId="14" hidden="1">{#N/A,#N/A,FALSE,"KMC최종회의(7월) 자료"}</definedName>
    <definedName name="차라리" hidden="1">{#N/A,#N/A,FALSE,"KMC최종회의(7월) 자료"}</definedName>
    <definedName name="차량대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차량대수" hidden="1">{#N/A,#N/A,FALSE,"손익표지";#N/A,#N/A,FALSE,"손익계산";#N/A,#N/A,FALSE,"일반관리비";#N/A,#N/A,FALSE,"영업외수익";#N/A,#N/A,FALSE,"영업외비용";#N/A,#N/A,FALSE,"매출액";#N/A,#N/A,FALSE,"요약손익";#N/A,#N/A,FALSE,"요약대차";#N/A,#N/A,FALSE,"매출채권현황";#N/A,#N/A,FALSE,"매출채권명세"}</definedName>
    <definedName name="차량별손익보고2" localSheetId="14" hidden="1">{#N/A,#N/A,FALSE,"Sheet5"}</definedName>
    <definedName name="차량별손익보고2" localSheetId="13" hidden="1">{#N/A,#N/A,FALSE,"Sheet5"}</definedName>
    <definedName name="차량별손익보고2" hidden="1">{#N/A,#N/A,FALSE,"Sheet5"}</definedName>
    <definedName name="차량용" hidden="1">{#N/A,#N/A,FALSE,"PART-1234-8-12-9(41)";#N/A,#N/A,FALSE,"PARTS-2(3)";#N/A,#N/A,FALSE,"VAN SYSTEM";#N/A,#N/A,FALSE,"PARTS-10(26)";#N/A,#N/A,FALSE,"PART-5-6-7-11(14)";#N/A,#N/A,FALSE,"PARTS-4(3)";#N/A,#N/A,FALSE,"PCLASS"}</definedName>
    <definedName name="차순창"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차월및한도약정" localSheetId="14" hidden="1">{#N/A,#N/A,FALSE,"BS";#N/A,#N/A,FALSE,"PL";#N/A,#N/A,FALSE,"처분";#N/A,#N/A,FALSE,"현금";#N/A,#N/A,FALSE,"매출";#N/A,#N/A,FALSE,"원가";#N/A,#N/A,FALSE,"경영"}</definedName>
    <definedName name="차월및한도약정" localSheetId="13" hidden="1">{#N/A,#N/A,FALSE,"BS";#N/A,#N/A,FALSE,"PL";#N/A,#N/A,FALSE,"처분";#N/A,#N/A,FALSE,"현금";#N/A,#N/A,FALSE,"매출";#N/A,#N/A,FALSE,"원가";#N/A,#N/A,FALSE,"경영"}</definedName>
    <definedName name="차월및한도약정" hidden="1">{#N/A,#N/A,FALSE,"BS";#N/A,#N/A,FALSE,"PL";#N/A,#N/A,FALSE,"처분";#N/A,#N/A,FALSE,"현금";#N/A,#N/A,FALSE,"매출";#N/A,#N/A,FALSE,"원가";#N/A,#N/A,FALSE,"경영"}</definedName>
    <definedName name="차월분석2" localSheetId="14" hidden="1">{#N/A,#N/A,FALSE,"KMC최종회의(7월) 자료"}</definedName>
    <definedName name="차월분석2" hidden="1">{#N/A,#N/A,FALSE,"KMC최종회의(7월) 자료"}</definedName>
    <definedName name="차입">#REF!</definedName>
    <definedName name="차입계획"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차입계획" hidden="1">{#N/A,#N/A,FALSE,"손익표지";#N/A,#N/A,FALSE,"손익계산";#N/A,#N/A,FALSE,"일반관리비";#N/A,#N/A,FALSE,"영업외수익";#N/A,#N/A,FALSE,"영업외비용";#N/A,#N/A,FALSE,"매출액";#N/A,#N/A,FALSE,"요약손익";#N/A,#N/A,FALSE,"요약대차";#N/A,#N/A,FALSE,"매출채권현황";#N/A,#N/A,FALSE,"매출채권명세"}</definedName>
    <definedName name="차입금계획"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차입금계획" hidden="1">{#N/A,#N/A,FALSE,"손익표지";#N/A,#N/A,FALSE,"손익계산";#N/A,#N/A,FALSE,"일반관리비";#N/A,#N/A,FALSE,"영업외수익";#N/A,#N/A,FALSE,"영업외비용";#N/A,#N/A,FALSE,"매출액";#N/A,#N/A,FALSE,"요약손익";#N/A,#N/A,FALSE,"요약대차";#N/A,#N/A,FALSE,"매출채권현황";#N/A,#N/A,FALSE,"매출채권명세"}</definedName>
    <definedName name="차입금리">#REF!</definedName>
    <definedName name="차입금월data">[104]특외대!#REF!</definedName>
    <definedName name="차입명세" localSheetId="14" hidden="1">{"'분양원가'!$B$1:$F$113"}</definedName>
    <definedName name="차입명세" localSheetId="13" hidden="1">{"'분양원가'!$B$1:$F$113"}</definedName>
    <definedName name="차입명세" hidden="1">{"'분양원가'!$B$1:$F$113"}</definedName>
    <definedName name="차입월">[104]특외대!#REF!</definedName>
    <definedName name="차입월data"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차입월data"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전놀이" localSheetId="14" hidden="1">{#N/A,#N/A,FALSE,"KMC최종회의(7월) 자료"}</definedName>
    <definedName name="차전놀이" hidden="1">{#N/A,#N/A,FALSE,"KMC최종회의(7월) 자료"}</definedName>
    <definedName name="차트" localSheetId="14" hidden="1">{#N/A,#N/A,FALSE,"정공"}</definedName>
    <definedName name="차트" hidden="1">{#N/A,#N/A,FALSE,"정공"}</definedName>
    <definedName name="참가" localSheetId="14" hidden="1">{#N/A,#N/A,FALSE,"KMC최종회의(7월) 자료"}</definedName>
    <definedName name="참가" hidden="1">{#N/A,#N/A,FALSE,"KMC최종회의(7월) 자료"}</definedName>
    <definedName name="참가신청서" localSheetId="14" hidden="1">{#N/A,#N/A,FALSE,"KMC최종회의(7월) 자료"}</definedName>
    <definedName name="참가신청서" hidden="1">{#N/A,#N/A,FALSE,"KMC최종회의(7월) 자료"}</definedName>
    <definedName name="참고2" localSheetId="14" hidden="1">[105]현장!#REF!</definedName>
    <definedName name="참고2" hidden="1">[105]현장!#REF!</definedName>
    <definedName name="참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참새" hidden="1">{#N/A,#N/A,FALSE,"손익표지";#N/A,#N/A,FALSE,"손익계산";#N/A,#N/A,FALSE,"일반관리비";#N/A,#N/A,FALSE,"영업외수익";#N/A,#N/A,FALSE,"영업외비용";#N/A,#N/A,FALSE,"매출액";#N/A,#N/A,FALSE,"요약손익";#N/A,#N/A,FALSE,"요약대차";#N/A,#N/A,FALSE,"매출채권현황";#N/A,#N/A,FALSE,"매출채권명세"}</definedName>
    <definedName name="채권" hidden="1">{"'경매 schedule'!$A$1:$Y$78"}</definedName>
    <definedName name="채권강조" localSheetId="14" hidden="1">{"'5'!$A$1:$BB$147"}</definedName>
    <definedName name="채권강조" hidden="1">{"'5'!$A$1:$BB$147"}</definedName>
    <definedName name="처분명세" hidden="1">[78]은행!#REF!</definedName>
    <definedName name="천종철" hidden="1">{#N/A,#N/A,FALSE,"PART-1234-8-12-9(41)";#N/A,#N/A,FALSE,"PARTS-2(3)";#N/A,#N/A,FALSE,"VAN SYSTEM";#N/A,#N/A,FALSE,"PARTS-10(26)";#N/A,#N/A,FALSE,"PART-5-6-7-11(14)";#N/A,#N/A,FALSE,"PARTS-4(3)";#N/A,#N/A,FALSE,"PCLASS"}</definedName>
    <definedName name="철" localSheetId="14" hidden="1">{#N/A,#N/A,FALSE,"KMC최종회의(7월) 자료"}</definedName>
    <definedName name="철" hidden="1">{#N/A,#N/A,FALSE,"KMC최종회의(7월) 자료"}</definedName>
    <definedName name="철도청"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철도청" hidden="1">{#N/A,#N/A,FALSE,"손익표지";#N/A,#N/A,FALSE,"손익계산";#N/A,#N/A,FALSE,"일반관리비";#N/A,#N/A,FALSE,"영업외수익";#N/A,#N/A,FALSE,"영업외비용";#N/A,#N/A,FALSE,"매출액";#N/A,#N/A,FALSE,"요약손익";#N/A,#N/A,FALSE,"요약대차";#N/A,#N/A,FALSE,"매출채권현황";#N/A,#N/A,FALSE,"매출채권명세"}</definedName>
    <definedName name="첨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첨부" hidden="1">{#N/A,#N/A,FALSE,"손익표지";#N/A,#N/A,FALSE,"손익계산";#N/A,#N/A,FALSE,"일반관리비";#N/A,#N/A,FALSE,"영업외수익";#N/A,#N/A,FALSE,"영업외비용";#N/A,#N/A,FALSE,"매출액";#N/A,#N/A,FALSE,"요약손익";#N/A,#N/A,FALSE,"요약대차";#N/A,#N/A,FALSE,"매출채권현황";#N/A,#N/A,FALSE,"매출채권명세"}</definedName>
    <definedName name="첨부." localSheetId="14" hidden="1">#REF!</definedName>
    <definedName name="첨부." hidden="1">#REF!</definedName>
    <definedName name="첨부123" localSheetId="14" hidden="1">{#N/A,#N/A,FALSE,"정공"}</definedName>
    <definedName name="첨부123" hidden="1">{#N/A,#N/A,FALSE,"정공"}</definedName>
    <definedName name="첨부3" hidden="1">{#N/A,#N/A,FALSE,"지침";#N/A,#N/A,FALSE,"환경분석";#N/A,#N/A,FALSE,"Sheet16"}</definedName>
    <definedName name="첨부물" localSheetId="14" hidden="1">{#N/A,#N/A,FALSE,"정공"}</definedName>
    <definedName name="첨부물" hidden="1">{#N/A,#N/A,FALSE,"정공"}</definedName>
    <definedName name="첨부시트" localSheetId="14" hidden="1">{#N/A,#N/A,FALSE,"정공"}</definedName>
    <definedName name="첨부시트" hidden="1">{#N/A,#N/A,FALSE,"정공"}</definedName>
    <definedName name="첨부양식" localSheetId="14" hidden="1">{#N/A,#N/A,FALSE,"KMC최종회의(7월) 자료"}</definedName>
    <definedName name="첨부양식" hidden="1">{#N/A,#N/A,FALSE,"KMC최종회의(7월) 자료"}</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localSheetId="14" hidden="1">{#N/A,#N/A,FALSE,"정공"}</definedName>
    <definedName name="총괄_신세대" hidden="1">{#N/A,#N/A,FALSE,"정공"}</definedName>
    <definedName name="총괄4장" localSheetId="14" hidden="1">{#N/A,#N/A,FALSE,"정공"}</definedName>
    <definedName name="총괄4장" hidden="1">{#N/A,#N/A,FALSE,"정공"}</definedName>
    <definedName name="총괄6" localSheetId="14" hidden="1">{#N/A,#N/A,FALSE,"정공"}</definedName>
    <definedName name="총괄6" hidden="1">{#N/A,#N/A,FALSE,"정공"}</definedName>
    <definedName name="총괄투자" localSheetId="14" hidden="1">{#N/A,#N/A,FALSE,"정공"}</definedName>
    <definedName name="총괄투자" hidden="1">{#N/A,#N/A,FALSE,"정공"}</definedName>
    <definedName name="총괄표" localSheetId="1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hidden="1">{#N/A,#N/A,FALSE,"손익표지";#N/A,#N/A,FALSE,"손익계산";#N/A,#N/A,FALSE,"일반관리비";#N/A,#N/A,FALSE,"영업외수익";#N/A,#N/A,FALSE,"영업외비용";#N/A,#N/A,FALSE,"매출액";#N/A,#N/A,FALSE,"요약손익";#N/A,#N/A,FALSE,"요약대차";#N/A,#N/A,FALSE,"매출채권현황";#N/A,#N/A,FALSE,"매출채권명세"}</definedName>
    <definedName name="총괄표자금" localSheetId="14" hidden="1">{#N/A,#N/A,FALSE,"정공"}</definedName>
    <definedName name="총괄표자금" hidden="1">{#N/A,#N/A,FALSE,"정공"}</definedName>
    <definedName name="총무3" localSheetId="14" hidden="1">{#N/A,#N/A,FALSE,"단축1";#N/A,#N/A,FALSE,"단축2";#N/A,#N/A,FALSE,"단축3";#N/A,#N/A,FALSE,"장축";#N/A,#N/A,FALSE,"4WD"}</definedName>
    <definedName name="총무3" hidden="1">{#N/A,#N/A,FALSE,"단축1";#N/A,#N/A,FALSE,"단축2";#N/A,#N/A,FALSE,"단축3";#N/A,#N/A,FALSE,"장축";#N/A,#N/A,FALSE,"4WD"}</definedName>
    <definedName name="총여신" localSheetId="14" hidden="1">{"'5'!$A$1:$BB$147"}</definedName>
    <definedName name="총여신" hidden="1">{"'5'!$A$1:$BB$147"}</definedName>
    <definedName name="총원가비교" hidden="1">{#N/A,#N/A,FALSE,"PART-1234-8-12-9(41)";#N/A,#N/A,FALSE,"PARTS-2(3)";#N/A,#N/A,FALSE,"VAN SYSTEM";#N/A,#N/A,FALSE,"PARTS-10(26)";#N/A,#N/A,FALSE,"PART-5-6-7-11(14)";#N/A,#N/A,FALSE,"PARTS-4(3)";#N/A,#N/A,FALSE,"PCLASS"}</definedName>
    <definedName name="최" localSheetId="14" hidden="1">{#N/A,#N/A,FALSE,"KMC최종회의(7월) 자료"}</definedName>
    <definedName name="최" hidden="1">{#N/A,#N/A,FALSE,"KMC최종회의(7월) 자료"}</definedName>
    <definedName name="최리리" localSheetId="14" hidden="1">{#N/A,#N/A,FALSE,"정공"}</definedName>
    <definedName name="최리리" hidden="1">{#N/A,#N/A,FALSE,"정공"}</definedName>
    <definedName name="최백원"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최선민" hidden="1">{#N/A,#N/A,FALSE,"지침";#N/A,#N/A,FALSE,"환경분석";#N/A,#N/A,FALSE,"Sheet16"}</definedName>
    <definedName name="최수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최수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영" localSheetId="14" hidden="1">{#N/A,#N/A,FALSE,"정공"}</definedName>
    <definedName name="최영" hidden="1">{#N/A,#N/A,FALSE,"정공"}</definedName>
    <definedName name="최윤" hidden="1">{#N/A,#N/A,FALSE,"PART-1234-8-12-9(41)";#N/A,#N/A,FALSE,"PARTS-2(3)";#N/A,#N/A,FALSE,"VAN SYSTEM";#N/A,#N/A,FALSE,"PARTS-10(26)";#N/A,#N/A,FALSE,"PART-5-6-7-11(14)";#N/A,#N/A,FALSE,"PARTS-4(3)";#N/A,#N/A,FALSE,"PCLASS"}</definedName>
    <definedName name="최재호" hidden="1">#REF!</definedName>
    <definedName name="최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31"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이익가" localSheetId="14" hidden="1">{#N/A,#N/A,FALSE,"정공"}</definedName>
    <definedName name="최종이익가" hidden="1">{#N/A,#N/A,FALSE,"정공"}</definedName>
    <definedName name="추" localSheetId="14" hidden="1">{"'5'!$A$1:$BB$147"}</definedName>
    <definedName name="추" hidden="1">{"'5'!$A$1:$BB$147"}</definedName>
    <definedName name="추가" localSheetId="14"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14"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14"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14"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4" localSheetId="14"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가참조" localSheetId="14" hidden="1">{#N/A,#N/A,FALSE,"정공"}</definedName>
    <definedName name="추가참조" hidden="1">{#N/A,#N/A,FALSE,"정공"}</definedName>
    <definedName name="추공내역서" hidden="1">#REF!</definedName>
    <definedName name="추정손익계산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정양식" hidden="1">{#N/A,#N/A,FALSE,"97년 투자계획 세부내역 "}</definedName>
    <definedName name="추진"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계획1" localSheetId="14" hidden="1">{#N/A,#N/A,FALSE,"정공"}</definedName>
    <definedName name="추진계획1" hidden="1">{#N/A,#N/A,FALSE,"정공"}</definedName>
    <definedName name="추진일정"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전략" localSheetId="14" hidden="1">{#N/A,#N/A,FALSE,"정공"}</definedName>
    <definedName name="추진전략" hidden="1">{#N/A,#N/A,FALSE,"정공"}</definedName>
    <definedName name="추진활동"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추진효과" localSheetId="14" hidden="1">{"'BSC(2001)'!$A$27:$G$32"}</definedName>
    <definedName name="추진효과" hidden="1">{"'BSC(2001)'!$A$27:$G$32"}</definedName>
    <definedName name="추징쟁정사항" localSheetId="14" hidden="1">{#N/A,#N/A,FALSE,"정공"}</definedName>
    <definedName name="추징쟁정사항" hidden="1">{#N/A,#N/A,FALSE,"정공"}</definedName>
    <definedName name="출입국"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출입국" hidden="1">{#N/A,#N/A,FALSE,"손익표지";#N/A,#N/A,FALSE,"손익계산";#N/A,#N/A,FALSE,"일반관리비";#N/A,#N/A,FALSE,"영업외수익";#N/A,#N/A,FALSE,"영업외비용";#N/A,#N/A,FALSE,"매출액";#N/A,#N/A,FALSE,"요약손익";#N/A,#N/A,FALSE,"요약대차";#N/A,#N/A,FALSE,"매출채권현황";#N/A,#N/A,FALSE,"매출채권명세"}</definedName>
    <definedName name="출판" hidden="1">{#N/A,#N/A,FALSE,"지침";#N/A,#N/A,FALSE,"환경분석";#N/A,#N/A,FALSE,"Sheet16"}</definedName>
    <definedName name="충돌현상을" localSheetId="14" hidden="1">{#N/A,#N/A,FALSE,"정공"}</definedName>
    <definedName name="충돌현상을" hidden="1">{#N/A,#N/A,FALSE,"정공"}</definedName>
    <definedName name="충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취소" hidden="1">{#N/A,#N/A,TRUE,"Y생산";#N/A,#N/A,TRUE,"Y판매";#N/A,#N/A,TRUE,"Y총물량";#N/A,#N/A,TRUE,"Y능력";#N/A,#N/A,TRUE,"YKD"}</definedName>
    <definedName name="츠츷" localSheetId="14" hidden="1">{#N/A,#N/A,FALSE,"KMC최종회의(7월) 자료"}</definedName>
    <definedName name="츠츷" hidden="1">{#N/A,#N/A,FALSE,"KMC최종회의(7월) 자료"}</definedName>
    <definedName name="치" hidden="1">{#N/A,#N/A,FALSE,"97년 투자계획 세부내역 "}</definedName>
    <definedName name="ㅋ" localSheetId="14" hidden="1">{#N/A,#N/A,FALSE,"BS";#N/A,#N/A,FALSE,"PL";#N/A,#N/A,FALSE,"처분";#N/A,#N/A,FALSE,"현금";#N/A,#N/A,FALSE,"매출";#N/A,#N/A,FALSE,"원가";#N/A,#N/A,FALSE,"경영"}</definedName>
    <definedName name="ㅋ" localSheetId="13" hidden="1">{#N/A,#N/A,FALSE,"BS";#N/A,#N/A,FALSE,"PL";#N/A,#N/A,FALSE,"처분";#N/A,#N/A,FALSE,"현금";#N/A,#N/A,FALSE,"매출";#N/A,#N/A,FALSE,"원가";#N/A,#N/A,FALSE,"경영"}</definedName>
    <definedName name="ㅋ"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ㅋ" hidden="1">{#N/A,#N/A,FALSE,"BS";#N/A,#N/A,FALSE,"PL";#N/A,#N/A,FALSE,"처분";#N/A,#N/A,FALSE,"현금";#N/A,#N/A,FALSE,"매출";#N/A,#N/A,FALSE,"원가";#N/A,#N/A,FALSE,"경영"}</definedName>
    <definedName name="ㅋㅇㄴ"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ㅋㅇㅍ" localSheetId="14" hidden="1">{#N/A,#N/A,FALSE,"단축1";#N/A,#N/A,FALSE,"단축2";#N/A,#N/A,FALSE,"단축3";#N/A,#N/A,FALSE,"장축";#N/A,#N/A,FALSE,"4WD"}</definedName>
    <definedName name="ㅋㅇㅍ" hidden="1">{#N/A,#N/A,FALSE,"단축1";#N/A,#N/A,FALSE,"단축2";#N/A,#N/A,FALSE,"단축3";#N/A,#N/A,FALSE,"장축";#N/A,#N/A,FALSE,"4WD"}</definedName>
    <definedName name="ㅋㅋ" localSheetId="14" hidden="1">{#N/A,#N/A,TRUE,"Y생산";#N/A,#N/A,TRUE,"Y판매";#N/A,#N/A,TRUE,"Y총물량";#N/A,#N/A,TRUE,"Y능력";#N/A,#N/A,TRUE,"YKD"}</definedName>
    <definedName name="ㅋㅋ" localSheetId="13" hidden="1">{#N/A,#N/A,TRUE,"Y생산";#N/A,#N/A,TRUE,"Y판매";#N/A,#N/A,TRUE,"Y총물량";#N/A,#N/A,TRUE,"Y능력";#N/A,#N/A,TRUE,"YKD"}</definedName>
    <definedName name="ㅋㅋ"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14" hidden="1">{#N/A,#N/A,TRUE,"매출진척-1";#N/A,#N/A,TRUE,"매출진척-2";#N/A,#N/A,TRUE,"제품실적";#N/A,#N/A,TRUE,"RAC";#N/A,#N/A,TRUE,"PAC ";#N/A,#N/A,TRUE,"재고현황";#N/A,#N/A,TRUE,"공지사항"}</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ㅌ"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ㅋㅌㅊ" hidden="1">{#N/A,#N/A,FALSE,"지침";#N/A,#N/A,FALSE,"환경분석";#N/A,#N/A,FALSE,"Sheet16"}</definedName>
    <definedName name="ㅋㅌ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ㅋㅌㅌ" hidden="1">{#N/A,#N/A,FALSE,"손익표지";#N/A,#N/A,FALSE,"손익계산";#N/A,#N/A,FALSE,"일반관리비";#N/A,#N/A,FALSE,"영업외수익";#N/A,#N/A,FALSE,"영업외비용";#N/A,#N/A,FALSE,"매출액";#N/A,#N/A,FALSE,"요약손익";#N/A,#N/A,FALSE,"요약대차";#N/A,#N/A,FALSE,"매출채권현황";#N/A,#N/A,FALSE,"매출채권명세"}</definedName>
    <definedName name="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카" hidden="1">{#N/A,#N/A,FALSE,"손익표지";#N/A,#N/A,FALSE,"손익계산";#N/A,#N/A,FALSE,"일반관리비";#N/A,#N/A,FALSE,"영업외수익";#N/A,#N/A,FALSE,"영업외비용";#N/A,#N/A,FALSE,"매출액";#N/A,#N/A,FALSE,"요약손익";#N/A,#N/A,FALSE,"요약대차";#N/A,#N/A,FALSE,"매출채권현황";#N/A,#N/A,FALSE,"매출채권명세"}</definedName>
    <definedName name="카렌다"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카렌다" hidden="1">{#N/A,#N/A,FALSE,"손익표지";#N/A,#N/A,FALSE,"손익계산";#N/A,#N/A,FALSE,"일반관리비";#N/A,#N/A,FALSE,"영업외수익";#N/A,#N/A,FALSE,"영업외비용";#N/A,#N/A,FALSE,"매출액";#N/A,#N/A,FALSE,"요약손익";#N/A,#N/A,FALSE,"요약대차";#N/A,#N/A,FALSE,"매출채권현황";#N/A,#N/A,FALSE,"매출채권명세"}</definedName>
    <definedName name="카메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카메라" hidden="1">{#N/A,#N/A,FALSE,"손익표지";#N/A,#N/A,FALSE,"손익계산";#N/A,#N/A,FALSE,"일반관리비";#N/A,#N/A,FALSE,"영업외수익";#N/A,#N/A,FALSE,"영업외비용";#N/A,#N/A,FALSE,"매출액";#N/A,#N/A,FALSE,"요약손익";#N/A,#N/A,FALSE,"요약대차";#N/A,#N/A,FALSE,"매출채권현황";#N/A,#N/A,FALSE,"매출채권명세"}</definedName>
    <definedName name="카스코" localSheetId="14" hidden="1">{#N/A,#N/A,FALSE,"KMC최종회의(7월) 자료"}</definedName>
    <definedName name="카스코" hidden="1">{#N/A,#N/A,FALSE,"KMC최종회의(7월) 자료"}</definedName>
    <definedName name="칷__?____?">#REF!</definedName>
    <definedName name="캐쉬" hidden="1">{#N/A,#N/A,FALSE,"지침";#N/A,#N/A,FALSE,"환경분석";#N/A,#N/A,FALSE,"Sheet16"}</definedName>
    <definedName name="캐시론" hidden="1">{"'경매 schedule'!$A$1:$Y$78"}</definedName>
    <definedName name="캐시론2" hidden="1">{"'경매 schedule'!$A$1:$Y$78"}</definedName>
    <definedName name="콘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도비용"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크랑" localSheetId="14" hidden="1">{#N/A,#N/A,FALSE,"단축1";#N/A,#N/A,FALSE,"단축2";#N/A,#N/A,FALSE,"단축3";#N/A,#N/A,FALSE,"장축";#N/A,#N/A,FALSE,"4WD"}</definedName>
    <definedName name="크랑" hidden="1">{#N/A,#N/A,FALSE,"단축1";#N/A,#N/A,FALSE,"단축2";#N/A,#N/A,FALSE,"단축3";#N/A,#N/A,FALSE,"장축";#N/A,#N/A,FALSE,"4WD"}</definedName>
    <definedName name="ㅌ" localSheetId="14" hidden="1">{#N/A,#N/A,FALSE,"BS";#N/A,#N/A,FALSE,"PL";#N/A,#N/A,FALSE,"처분";#N/A,#N/A,FALSE,"현금";#N/A,#N/A,FALSE,"매출";#N/A,#N/A,FALSE,"원가";#N/A,#N/A,FALSE,"경영"}</definedName>
    <definedName name="ㅌ" localSheetId="13" hidden="1">{#N/A,#N/A,FALSE,"BS";#N/A,#N/A,FALSE,"PL";#N/A,#N/A,FALSE,"처분";#N/A,#N/A,FALSE,"현금";#N/A,#N/A,FALSE,"매출";#N/A,#N/A,FALSE,"원가";#N/A,#N/A,FALSE,"경영"}</definedName>
    <definedName name="ㅌ"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ㅌ" hidden="1">{#N/A,#N/A,FALSE,"BS";#N/A,#N/A,FALSE,"PL";#N/A,#N/A,FALSE,"처분";#N/A,#N/A,FALSE,"현금";#N/A,#N/A,FALSE,"매출";#N/A,#N/A,FALSE,"원가";#N/A,#N/A,FALSE,"경영"}</definedName>
    <definedName name="ㅌㄴㅁ" localSheetId="14" hidden="1">{#N/A,#N/A,FALSE,"KMC최종회의(7월) 자료"}</definedName>
    <definedName name="ㅌㄴㅁ" hidden="1">{#N/A,#N/A,FALSE,"KMC최종회의(7월) 자료"}</definedName>
    <definedName name="ㅌㄴㅁㅁ" localSheetId="14" hidden="1">{#N/A,#N/A,FALSE,"KMC최종회의(7월) 자료"}</definedName>
    <definedName name="ㅌㄴㅁㅁ" hidden="1">{#N/A,#N/A,FALSE,"KMC최종회의(7월) 자료"}</definedName>
    <definedName name="ㅌㄴㅁㅈ" localSheetId="14" hidden="1">{#N/A,#N/A,FALSE,"KMC최종회의(7월) 자료"}</definedName>
    <definedName name="ㅌㄴㅁㅈ" hidden="1">{#N/A,#N/A,FALSE,"KMC최종회의(7월) 자료"}</definedName>
    <definedName name="ㅌㄴㅇ" localSheetId="14" hidden="1">{#N/A,#N/A,FALSE,"단축1";#N/A,#N/A,FALSE,"단축2";#N/A,#N/A,FALSE,"단축3";#N/A,#N/A,FALSE,"장축";#N/A,#N/A,FALSE,"4WD"}</definedName>
    <definedName name="ㅌㄴㅇ" hidden="1">{#N/A,#N/A,FALSE,"단축1";#N/A,#N/A,FALSE,"단축2";#N/A,#N/A,FALSE,"단축3";#N/A,#N/A,FALSE,"장축";#N/A,#N/A,FALSE,"4WD"}</definedName>
    <definedName name="ㅌㄵ" localSheetId="14" hidden="1">{#N/A,#N/A,FALSE,"KMC최종회의(7월) 자료"}</definedName>
    <definedName name="ㅌㄵ" hidden="1">{#N/A,#N/A,FALSE,"KMC최종회의(7월) 자료"}</definedName>
    <definedName name="ㅌㅂ"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ㅌㅂ" hidden="1">{#N/A,#N/A,FALSE,"손익표지";#N/A,#N/A,FALSE,"손익계산";#N/A,#N/A,FALSE,"일반관리비";#N/A,#N/A,FALSE,"영업외수익";#N/A,#N/A,FALSE,"영업외비용";#N/A,#N/A,FALSE,"매출액";#N/A,#N/A,FALSE,"요약손익";#N/A,#N/A,FALSE,"요약대차";#N/A,#N/A,FALSE,"매출채권현황";#N/A,#N/A,FALSE,"매출채권명세"}</definedName>
    <definedName name="ㅌ츄츄ㅌㅊ"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ㅌㅌ" localSheetId="14" hidden="1">{#N/A,#N/A,FALSE,"KMC최종회의(7월) 자료"}</definedName>
    <definedName name="ㅌㅌ" localSheetId="13" hidden="1">{#N/A,#N/A,FALSE,"KMC최종회의(7월) 자료"}</definedName>
    <definedName name="ㅌㅌ"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14" hidden="1">{#N/A,#N/A,FALSE,"PART-1234-8-12-9(41)";#N/A,#N/A,FALSE,"PARTS-2(3)";#N/A,#N/A,FALSE,"VAN SYSTEM";#N/A,#N/A,FALSE,"PARTS-10(26)";#N/A,#N/A,FALSE,"PART-5-6-7-11(14)";#N/A,#N/A,FALSE,"PARTS-4(3)";#N/A,#N/A,FALSE,"PCLASS"}</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타" hidden="1">{#N/A,#N/A,FALSE,"손익표지";#N/A,#N/A,FALSE,"손익계산";#N/A,#N/A,FALSE,"일반관리비";#N/A,#N/A,FALSE,"영업외수익";#N/A,#N/A,FALSE,"영업외비용";#N/A,#N/A,FALSE,"매출액";#N/A,#N/A,FALSE,"요약손익";#N/A,#N/A,FALSE,"요약대차";#N/A,#N/A,FALSE,"매출채권현황";#N/A,#N/A,FALSE,"매출채권명세"}</definedName>
    <definedName name="타다라다" localSheetId="14" hidden="1">{"'5'!$A$1:$BB$147"}</definedName>
    <definedName name="타다라다" hidden="1">{"'5'!$A$1:$BB$147"}</definedName>
    <definedName name="타다라라" localSheetId="14" hidden="1">{"'5'!$A$1:$BB$147"}</definedName>
    <definedName name="타다라라" hidden="1">{"'5'!$A$1:$BB$147"}</definedName>
    <definedName name="타이어" hidden="1">{#N/A,#N/A,FALSE,"손익표지";#N/A,#N/A,FALSE,"손익계산";#N/A,#N/A,FALSE,"일반관리비";#N/A,#N/A,FALSE,"영업외수익";#N/A,#N/A,FALSE,"영업외비용";#N/A,#N/A,FALSE,"매출액";#N/A,#N/A,FALSE,"요약손익";#N/A,#N/A,FALSE,"요약대차";#N/A,#N/A,FALSE,"매출채권현황";#N/A,#N/A,FALSE,"매출채권명세"}</definedName>
    <definedName name="테넌트" hidden="1">{#N/A,#N/A,TRUE,"Y생산";#N/A,#N/A,TRUE,"Y판매";#N/A,#N/A,TRUE,"Y총물량";#N/A,#N/A,TRUE,"Y능력";#N/A,#N/A,TRUE,"YKD"}</definedName>
    <definedName name="테넌트팀" hidden="1">{#N/A,#N/A,TRUE,"Y생산";#N/A,#N/A,TRUE,"Y판매";#N/A,#N/A,TRUE,"Y총물량";#N/A,#N/A,TRUE,"Y능력";#N/A,#N/A,TRUE,"YKD"}</definedName>
    <definedName name="토목"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토목"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토목" hidden="1">{#N/A,#N/A,FALSE,"손익표지";#N/A,#N/A,FALSE,"손익계산";#N/A,#N/A,FALSE,"일반관리비";#N/A,#N/A,FALSE,"영업외수익";#N/A,#N/A,FALSE,"영업외비용";#N/A,#N/A,FALSE,"매출액";#N/A,#N/A,FALSE,"요약손익";#N/A,#N/A,FALSE,"요약대차";#N/A,#N/A,FALSE,"매출채권현황";#N/A,#N/A,FALSE,"매출채권명세"}</definedName>
    <definedName name="토목법규">[106]하수급견적대비!$A$2:$M$224</definedName>
    <definedName name="토지2" hidden="1">#REF!</definedName>
    <definedName name="통합" localSheetId="14" hidden="1">{#N/A,#N/A,FALSE,"BS";#N/A,#N/A,FALSE,"PL";#N/A,#N/A,FALSE,"처분";#N/A,#N/A,FALSE,"현금";#N/A,#N/A,FALSE,"매출";#N/A,#N/A,FALSE,"원가";#N/A,#N/A,FALSE,"경영"}</definedName>
    <definedName name="통합" localSheetId="13" hidden="1">{#N/A,#N/A,FALSE,"BS";#N/A,#N/A,FALSE,"PL";#N/A,#N/A,FALSE,"처분";#N/A,#N/A,FALSE,"현금";#N/A,#N/A,FALSE,"매출";#N/A,#N/A,FALSE,"원가";#N/A,#N/A,FALSE,"경영"}</definedName>
    <definedName name="통합" hidden="1">{#N/A,#N/A,FALSE,"BS";#N/A,#N/A,FALSE,"PL";#N/A,#N/A,FALSE,"처분";#N/A,#N/A,FALSE,"현금";#N/A,#N/A,FALSE,"매출";#N/A,#N/A,FALSE,"원가";#N/A,#N/A,FALSE,"경영"}</definedName>
    <definedName name="통합1장" localSheetId="14" hidden="1">{#N/A,#N/A,FALSE,"단축1";#N/A,#N/A,FALSE,"단축2";#N/A,#N/A,FALSE,"단축3";#N/A,#N/A,FALSE,"장축";#N/A,#N/A,FALSE,"4WD"}</definedName>
    <definedName name="통합1장" hidden="1">{#N/A,#N/A,FALSE,"단축1";#N/A,#N/A,FALSE,"단축2";#N/A,#N/A,FALSE,"단축3";#N/A,#N/A,FALSE,"장축";#N/A,#N/A,FALSE,"4WD"}</definedName>
    <definedName name="통합손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통합손익"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직보험료"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퇴충" hidden="1">16</definedName>
    <definedName name="퇴충명세"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 localSheetId="14" hidden="1">#REF!</definedName>
    <definedName name="투" hidden="1">#REF!</definedName>
    <definedName name="투자" hidden="1">{#N/A,#N/A,FALSE,"97년 투자계획 세부내역 "}</definedName>
    <definedName name="투자1" hidden="1">{#N/A,#N/A,FALSE,"97년 투자계획 세부내역 "}</definedName>
    <definedName name="투자CONC.182억" localSheetId="14" hidden="1">{#N/A,#N/A,FALSE,"단축1";#N/A,#N/A,FALSE,"단축2";#N/A,#N/A,FALSE,"단축3";#N/A,#N/A,FALSE,"장축";#N/A,#N/A,FALSE,"4WD"}</definedName>
    <definedName name="투자CONC.182억" hidden="1">{#N/A,#N/A,FALSE,"단축1";#N/A,#N/A,FALSE,"단축2";#N/A,#N/A,FALSE,"단축3";#N/A,#N/A,FALSE,"장축";#N/A,#N/A,FALSE,"4WD"}</definedName>
    <definedName name="투자계획" hidden="1">{#N/A,#N/A,FALSE,"지침";#N/A,#N/A,FALSE,"환경분석";#N/A,#N/A,FALSE,"Sheet16"}</definedName>
    <definedName name="투자계획종합" localSheetId="14" hidden="1">#REF!</definedName>
    <definedName name="투자계획종합" hidden="1">#REF!</definedName>
    <definedName name="투자금액1" localSheetId="14" hidden="1">{#N/A,#N/A,FALSE,"단축1";#N/A,#N/A,FALSE,"단축2";#N/A,#N/A,FALSE,"단축3";#N/A,#N/A,FALSE,"장축";#N/A,#N/A,FALSE,"4WD"}</definedName>
    <definedName name="투자금액1" hidden="1">{#N/A,#N/A,FALSE,"단축1";#N/A,#N/A,FALSE,"단축2";#N/A,#N/A,FALSE,"단축3";#N/A,#N/A,FALSE,"장축";#N/A,#N/A,FALSE,"4WD"}</definedName>
    <definedName name="투자대상" localSheetId="14" hidden="1">{#N/A,#N/A,FALSE,"단축1";#N/A,#N/A,FALSE,"단축2";#N/A,#N/A,FALSE,"단축3";#N/A,#N/A,FALSE,"장축";#N/A,#N/A,FALSE,"4WD"}</definedName>
    <definedName name="투자대상" hidden="1">{#N/A,#N/A,FALSE,"단축1";#N/A,#N/A,FALSE,"단축2";#N/A,#N/A,FALSE,"단축3";#N/A,#N/A,FALSE,"장축";#N/A,#N/A,FALSE,"4WD"}</definedName>
    <definedName name="투자비000" localSheetId="14" hidden="1">{#N/A,#N/A,FALSE,"단축1";#N/A,#N/A,FALSE,"단축2";#N/A,#N/A,FALSE,"단축3";#N/A,#N/A,FALSE,"장축";#N/A,#N/A,FALSE,"4WD"}</definedName>
    <definedName name="투자비000" hidden="1">{#N/A,#N/A,FALSE,"단축1";#N/A,#N/A,FALSE,"단축2";#N/A,#N/A,FALSE,"단축3";#N/A,#N/A,FALSE,"장축";#N/A,#N/A,FALSE,"4WD"}</definedName>
    <definedName name="투자비3안" localSheetId="14" hidden="1">{#N/A,#N/A,FALSE,"단축1";#N/A,#N/A,FALSE,"단축2";#N/A,#N/A,FALSE,"단축3";#N/A,#N/A,FALSE,"장축";#N/A,#N/A,FALSE,"4WD"}</definedName>
    <definedName name="투자비3안" hidden="1">{#N/A,#N/A,FALSE,"단축1";#N/A,#N/A,FALSE,"단축2";#N/A,#N/A,FALSE,"단축3";#N/A,#N/A,FALSE,"장축";#N/A,#N/A,FALSE,"4WD"}</definedName>
    <definedName name="투자비검토" localSheetId="14" hidden="1">{#N/A,#N/A,FALSE,"단축1";#N/A,#N/A,FALSE,"단축2";#N/A,#N/A,FALSE,"단축3";#N/A,#N/A,FALSE,"장축";#N/A,#N/A,FALSE,"4WD"}</definedName>
    <definedName name="투자비검토" hidden="1">{#N/A,#N/A,FALSE,"단축1";#N/A,#N/A,FALSE,"단축2";#N/A,#N/A,FALSE,"단축3";#N/A,#N/A,FALSE,"장축";#N/A,#N/A,FALSE,"4WD"}</definedName>
    <definedName name="투자비내역2" localSheetId="14" hidden="1">{#N/A,#N/A,FALSE,"단축1";#N/A,#N/A,FALSE,"단축2";#N/A,#N/A,FALSE,"단축3";#N/A,#N/A,FALSE,"장축";#N/A,#N/A,FALSE,"4WD"}</definedName>
    <definedName name="투자비내역2" hidden="1">{#N/A,#N/A,FALSE,"단축1";#N/A,#N/A,FALSE,"단축2";#N/A,#N/A,FALSE,"단축3";#N/A,#N/A,FALSE,"장축";#N/A,#N/A,FALSE,"4WD"}</definedName>
    <definedName name="투자비비교" localSheetId="14" hidden="1">{#N/A,#N/A,FALSE,"단축1";#N/A,#N/A,FALSE,"단축2";#N/A,#N/A,FALSE,"단축3";#N/A,#N/A,FALSE,"장축";#N/A,#N/A,FALSE,"4WD"}</definedName>
    <definedName name="투자비비교" hidden="1">{#N/A,#N/A,FALSE,"단축1";#N/A,#N/A,FALSE,"단축2";#N/A,#N/A,FALSE,"단축3";#N/A,#N/A,FALSE,"장축";#N/A,#N/A,FALSE,"4WD"}</definedName>
    <definedName name="투자비실적" localSheetId="14" hidden="1">{#N/A,#N/A,FALSE,"단축1";#N/A,#N/A,FALSE,"단축2";#N/A,#N/A,FALSE,"단축3";#N/A,#N/A,FALSE,"장축";#N/A,#N/A,FALSE,"4WD"}</definedName>
    <definedName name="투자비실적" hidden="1">{#N/A,#N/A,FALSE,"단축1";#N/A,#N/A,FALSE,"단축2";#N/A,#N/A,FALSE,"단축3";#N/A,#N/A,FALSE,"장축";#N/A,#N/A,FALSE,"4WD"}</definedName>
    <definedName name="투자유가증권" hidden="1">{#N/A,#N/A,FALSE,"지침";#N/A,#N/A,FALSE,"환경분석";#N/A,#N/A,FALSE,"Sheet16"}</definedName>
    <definedName name="투자회사양쓰" localSheetId="14" hidden="1">{#N/A,#N/A,FALSE,"BS";#N/A,#N/A,FALSE,"PL";#N/A,#N/A,FALSE,"처분";#N/A,#N/A,FALSE,"현금";#N/A,#N/A,FALSE,"매출";#N/A,#N/A,FALSE,"원가";#N/A,#N/A,FALSE,"경영"}</definedName>
    <definedName name="투자회사양쓰" localSheetId="13" hidden="1">{#N/A,#N/A,FALSE,"BS";#N/A,#N/A,FALSE,"PL";#N/A,#N/A,FALSE,"처분";#N/A,#N/A,FALSE,"현금";#N/A,#N/A,FALSE,"매출";#N/A,#N/A,FALSE,"원가";#N/A,#N/A,FALSE,"경영"}</definedName>
    <definedName name="투자회사양쓰" hidden="1">{#N/A,#N/A,FALSE,"BS";#N/A,#N/A,FALSE,"PL";#N/A,#N/A,FALSE,"처분";#N/A,#N/A,FALSE,"현금";#N/A,#N/A,FALSE,"매출";#N/A,#N/A,FALSE,"원가";#N/A,#N/A,FALSE,"경영"}</definedName>
    <definedName name="투자회사현황" localSheetId="14" hidden="1">{#N/A,#N/A,FALSE,"BS";#N/A,#N/A,FALSE,"PL";#N/A,#N/A,FALSE,"처분";#N/A,#N/A,FALSE,"현금";#N/A,#N/A,FALSE,"매출";#N/A,#N/A,FALSE,"원가";#N/A,#N/A,FALSE,"경영"}</definedName>
    <definedName name="투자회사현황" localSheetId="13" hidden="1">{#N/A,#N/A,FALSE,"BS";#N/A,#N/A,FALSE,"PL";#N/A,#N/A,FALSE,"처분";#N/A,#N/A,FALSE,"현금";#N/A,#N/A,FALSE,"매출";#N/A,#N/A,FALSE,"원가";#N/A,#N/A,FALSE,"경영"}</definedName>
    <definedName name="투자회사현황" hidden="1">{#N/A,#N/A,FALSE,"BS";#N/A,#N/A,FALSE,"PL";#N/A,#N/A,FALSE,"처분";#N/A,#N/A,FALSE,"현금";#N/A,#N/A,FALSE,"매출";#N/A,#N/A,FALSE,"원가";#N/A,#N/A,FALSE,"경영"}</definedName>
    <definedName name="트트틑" localSheetId="14" hidden="1">{#N/A,#N/A,FALSE,"KMC최종회의(7월) 자료"}</definedName>
    <definedName name="트트틑" hidden="1">{#N/A,#N/A,FALSE,"KMC최종회의(7월) 자료"}</definedName>
    <definedName name="트ㅗㅎ호" localSheetId="14" hidden="1">{#N/A,#N/A,FALSE,"KMC최종회의(7월) 자료"}</definedName>
    <definedName name="트ㅗㅎ호" hidden="1">{#N/A,#N/A,FALSE,"KMC최종회의(7월) 자료"}</definedName>
    <definedName name="팀2계획"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ㅍ" localSheetId="14" hidden="1">{#N/A,#N/A,FALSE,"Aging Summary";#N/A,#N/A,FALSE,"Ratio Analysis";#N/A,#N/A,FALSE,"Test 120 Day Accts";#N/A,#N/A,FALSE,"Tickmarks"}</definedName>
    <definedName name="ㅍ" hidden="1">{#N/A,#N/A,FALSE,"표지";#N/A,#N/A,FALSE,"전제";#N/A,#N/A,FALSE,"대당";#N/A,#N/A,FALSE,"가공비";#N/A,#N/A,FALSE,"재료비";#N/A,#N/A,FALSE,"손익"}</definedName>
    <definedName name="ㅍㅇ륭" localSheetId="14" hidden="1">{#N/A,#N/A,FALSE,"KMC최종회의(7월) 자료"}</definedName>
    <definedName name="ㅍㅇ륭" hidden="1">{#N/A,#N/A,FALSE,"KMC최종회의(7월) 자료"}</definedName>
    <definedName name="ㅍㅊ튜ㅊ" hidden="1">{#N/A,#N/A,FALSE,"PART-1234-8-12-9(41)";#N/A,#N/A,FALSE,"PARTS-2(3)";#N/A,#N/A,FALSE,"VAN SYSTEM";#N/A,#N/A,FALSE,"PARTS-10(26)";#N/A,#N/A,FALSE,"PART-5-6-7-11(14)";#N/A,#N/A,FALSE,"PARTS-4(3)";#N/A,#N/A,FALSE,"PCLASS"}</definedName>
    <definedName name="ㅍ츄ㅌ츄ㅍㅌㅌ" hidden="1">{#N/A,#N/A,FALSE,"PART-1234-8-12-9(41)";#N/A,#N/A,FALSE,"PARTS-2(3)";#N/A,#N/A,FALSE,"VAN SYSTEM";#N/A,#N/A,FALSE,"PARTS-10(26)";#N/A,#N/A,FALSE,"PART-5-6-7-11(14)";#N/A,#N/A,FALSE,"PARTS-4(3)";#N/A,#N/A,FALSE,"PCLASS"}</definedName>
    <definedName name="ㅍㅍㄷㅅ호" localSheetId="14" hidden="1">{#N/A,#N/A,FALSE,"KMC최종회의(7월) 자료"}</definedName>
    <definedName name="ㅍㅍㄷㅅ호" hidden="1">{#N/A,#N/A,FALSE,"KMC최종회의(7월) 자료"}</definedName>
    <definedName name="파다다다다다" localSheetId="14" hidden="1">{"'5'!$A$1:$BB$147"}</definedName>
    <definedName name="파다다다다다" hidden="1">{"'5'!$A$1:$BB$147"}</definedName>
    <definedName name="파라다" localSheetId="14" hidden="1">{"'5'!$A$1:$BB$147"}</definedName>
    <definedName name="파라다" hidden="1">{"'5'!$A$1:$BB$147"}</definedName>
    <definedName name="파자다라달" localSheetId="14" hidden="1">{"'5'!$A$1:$BB$147"}</definedName>
    <definedName name="파자다라달" hidden="1">{"'5'!$A$1:$BB$147"}</definedName>
    <definedName name="판관비" hidden="1">{#N/A,#N/A,FALSE,"97년 투자계획 세부내역 "}</definedName>
    <definedName name="판관비2" localSheetId="14" hidden="1">{"'10_03일자별'!$A$2:$H$31"}</definedName>
    <definedName name="판관비2" localSheetId="13" hidden="1">{"'10_03일자별'!$A$2:$H$31"}</definedName>
    <definedName name="판관비2" hidden="1">{"'10_03일자별'!$A$2:$H$31"}</definedName>
    <definedName name="판도라상자" localSheetId="14" hidden="1">{#N/A,#N/A,FALSE,"정공"}</definedName>
    <definedName name="판도라상자" hidden="1">{#N/A,#N/A,FALSE,"정공"}</definedName>
    <definedName name="판매" localSheetId="14"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보증" localSheetId="14"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예상" hidden="1">{#N/A,#N/A,FALSE,"지침";#N/A,#N/A,FALSE,"환경분석";#N/A,#N/A,FALSE,"Sheet16"}</definedName>
    <definedName name="판촉지원적립금" hidden="1">{#N/A,#N/A,TRUE,"매출진척-1";#N/A,#N/A,TRUE,"매출진척-2";#N/A,#N/A,TRUE,"제품실적";#N/A,#N/A,TRUE,"RAC";#N/A,#N/A,TRUE,"PAC ";#N/A,#N/A,TRUE,"재고현황";#N/A,#N/A,TRUE,"공지사항"}</definedName>
    <definedName name="팔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31"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패션본부손익" localSheetId="14" hidden="1">{"'10_03일자별'!$A$2:$H$31"}</definedName>
    <definedName name="패션본부손익" localSheetId="13" hidden="1">{"'10_03일자별'!$A$2:$H$31"}</definedName>
    <definedName name="패션본부손익" hidden="1">{"'10_03일자별'!$A$2:$H$31"}</definedName>
    <definedName name="팩키지2" localSheetId="14" hidden="1">{#N/A,#N/A,FALSE,"단축1";#N/A,#N/A,FALSE,"단축2";#N/A,#N/A,FALSE,"단축3";#N/A,#N/A,FALSE,"장축";#N/A,#N/A,FALSE,"4WD"}</definedName>
    <definedName name="팩키지2" hidden="1">{#N/A,#N/A,FALSE,"단축1";#N/A,#N/A,FALSE,"단축2";#N/A,#N/A,FALSE,"단축3";#N/A,#N/A,FALSE,"장축";#N/A,#N/A,FALSE,"4WD"}</definedName>
    <definedName name="팩키지3" localSheetId="14" hidden="1">{#N/A,#N/A,FALSE,"단축1";#N/A,#N/A,FALSE,"단축2";#N/A,#N/A,FALSE,"단축3";#N/A,#N/A,FALSE,"장축";#N/A,#N/A,FALSE,"4WD"}</definedName>
    <definedName name="팩키지3" hidden="1">{#N/A,#N/A,FALSE,"단축1";#N/A,#N/A,FALSE,"단축2";#N/A,#N/A,FALSE,"단축3";#N/A,#N/A,FALSE,"장축";#N/A,#N/A,FALSE,"4WD"}</definedName>
    <definedName name="팩키지5" localSheetId="14" hidden="1">{#N/A,#N/A,FALSE,"단축1";#N/A,#N/A,FALSE,"단축2";#N/A,#N/A,FALSE,"단축3";#N/A,#N/A,FALSE,"장축";#N/A,#N/A,FALSE,"4WD"}</definedName>
    <definedName name="팩키지5" hidden="1">{#N/A,#N/A,FALSE,"단축1";#N/A,#N/A,FALSE,"단축2";#N/A,#N/A,FALSE,"단축3";#N/A,#N/A,FALSE,"장축";#N/A,#N/A,FALSE,"4WD"}</definedName>
    <definedName name="편집현황자료" localSheetId="14" hidden="1">{#N/A,#N/A,FALSE,"정공"}</definedName>
    <definedName name="편집현황자료" hidden="1">{#N/A,#N/A,FALSE,"정공"}</definedName>
    <definedName name="평가수정"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균" hidden="1">{#N/A,#N/A,FALSE,"손익표지";#N/A,#N/A,FALSE,"손익계산";#N/A,#N/A,FALSE,"일반관리비";#N/A,#N/A,FALSE,"영업외수익";#N/A,#N/A,FALSE,"영업외비용";#N/A,#N/A,FALSE,"매출액";#N/A,#N/A,FALSE,"요약손익";#N/A,#N/A,FALSE,"요약대차";#N/A,#N/A,FALSE,"매출채권현황";#N/A,#N/A,FALSE,"매출채권명세"}</definedName>
    <definedName name="폐기" hidden="1">[107]building!$F$4:$F$50</definedName>
    <definedName name="포장" hidden="1">{#N/A,#N/A,FALSE,"지침";#N/A,#N/A,FALSE,"환경분석";#N/A,#N/A,FALSE,"Sheet16"}</definedName>
    <definedName name="포장2월ocf" hidden="1">{#N/A,#N/A,FALSE,"지침";#N/A,#N/A,FALSE,"환경분석";#N/A,#N/A,FALSE,"Sheet16"}</definedName>
    <definedName name="포장BS" hidden="1">{#N/A,#N/A,FALSE,"지침";#N/A,#N/A,FALSE,"환경분석";#N/A,#N/A,FALSE,"Sheet16"}</definedName>
    <definedName name="포장ocf" hidden="1">{#N/A,#N/A,FALSE,"지침";#N/A,#N/A,FALSE,"환경분석";#N/A,#N/A,FALSE,"Sheet16"}</definedName>
    <definedName name="표">#REF!</definedName>
    <definedName name="표종류">#REF!</definedName>
    <definedName name="표준공수" localSheetId="14" hidden="1">{#N/A,#N/A,FALSE,"KMC최종회의(7월) 자료"}</definedName>
    <definedName name="표준공수" hidden="1">{#N/A,#N/A,FALSE,"KMC최종회의(7월) 자료"}</definedName>
    <definedName name="표준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표준운" hidden="1">{#N/A,#N/A,FALSE,"손익표지";#N/A,#N/A,FALSE,"손익계산";#N/A,#N/A,FALSE,"일반관리비";#N/A,#N/A,FALSE,"영업외수익";#N/A,#N/A,FALSE,"영업외비용";#N/A,#N/A,FALSE,"매출액";#N/A,#N/A,FALSE,"요약손익";#N/A,#N/A,FALSE,"요약대차";#N/A,#N/A,FALSE,"매출채권현황";#N/A,#N/A,FALSE,"매출채권명세"}</definedName>
    <definedName name="표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표지" hidden="1">{#N/A,#N/A,FALSE,"손익표지";#N/A,#N/A,FALSE,"손익계산";#N/A,#N/A,FALSE,"일반관리비";#N/A,#N/A,FALSE,"영업외수익";#N/A,#N/A,FALSE,"영업외비용";#N/A,#N/A,FALSE,"매출액";#N/A,#N/A,FALSE,"요약손익";#N/A,#N/A,FALSE,"요약대차";#N/A,#N/A,FALSE,"매출채권현황";#N/A,#N/A,FALSE,"매출채권명세"}</definedName>
    <definedName name="표지1"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표지11" localSheetId="14" hidden="1">{#N/A,#N/A,FALSE,"정공"}</definedName>
    <definedName name="표지11" hidden="1">{#N/A,#N/A,FALSE,"정공"}</definedName>
    <definedName name="표지2"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표지2" hidden="1">{#N/A,#N/A,FALSE,"손익표지";#N/A,#N/A,FALSE,"손익계산";#N/A,#N/A,FALSE,"일반관리비";#N/A,#N/A,FALSE,"영업외수익";#N/A,#N/A,FALSE,"영업외비용";#N/A,#N/A,FALSE,"매출액";#N/A,#N/A,FALSE,"요약손익";#N/A,#N/A,FALSE,"요약대차";#N/A,#N/A,FALSE,"매출채권현황";#N/A,#N/A,FALSE,"매출채권명세"}</definedName>
    <definedName name="표지22222" localSheetId="14" hidden="1">{#N/A,#N/A,FALSE,"정공"}</definedName>
    <definedName name="표지22222" hidden="1">{#N/A,#N/A,FALSE,"정공"}</definedName>
    <definedName name="표지4" hidden="1">{#N/A,#N/A,FALSE,"지침";#N/A,#N/A,FALSE,"환경분석";#N/A,#N/A,FALSE,"Sheet16"}</definedName>
    <definedName name="표지과" localSheetId="14" hidden="1">{#N/A,#N/A,TRUE,"Y생산";#N/A,#N/A,TRUE,"Y판매";#N/A,#N/A,TRUE,"Y총물량";#N/A,#N/A,TRUE,"Y능력";#N/A,#N/A,TRUE,"YKD"}</definedName>
    <definedName name="표지과" hidden="1">{#N/A,#N/A,TRUE,"Y생산";#N/A,#N/A,TRUE,"Y판매";#N/A,#N/A,TRUE,"Y총물량";#N/A,#N/A,TRUE,"Y능력";#N/A,#N/A,TRUE,"YKD"}</definedName>
    <definedName name="표지양식" localSheetId="14" hidden="1">{#N/A,#N/A,FALSE,"정공"}</definedName>
    <definedName name="표지양식" hidden="1">{#N/A,#N/A,FALSE,"정공"}</definedName>
    <definedName name="표지전송" localSheetId="14" hidden="1">{#N/A,#N/A,FALSE,"정공"}</definedName>
    <definedName name="표지전송" hidden="1">{#N/A,#N/A,FALSE,"정공"}</definedName>
    <definedName name="표지총무거" localSheetId="14" hidden="1">{#N/A,#N/A,FALSE,"KMC최종회의(7월) 자료"}</definedName>
    <definedName name="표지총무거" hidden="1">{#N/A,#N/A,FALSE,"KMC최종회의(7월) 자료"}</definedName>
    <definedName name="품" localSheetId="14" hidden="1">{#N/A,#N/A,TRUE,"Y생산";#N/A,#N/A,TRUE,"Y판매";#N/A,#N/A,TRUE,"Y총물량";#N/A,#N/A,TRUE,"Y능력";#N/A,#N/A,TRUE,"YKD"}</definedName>
    <definedName name="품" hidden="1">{#N/A,#N/A,TRUE,"Y생산";#N/A,#N/A,TRUE,"Y판매";#N/A,#N/A,TRUE,"Y총물량";#N/A,#N/A,TRUE,"Y능력";#N/A,#N/A,TRUE,"YKD"}</definedName>
    <definedName name="품보부" localSheetId="14" hidden="1">{#N/A,#N/A,FALSE,"KMC최종회의(7월) 자료"}</definedName>
    <definedName name="품보부" hidden="1">{#N/A,#N/A,FALSE,"KMC최종회의(7월) 자료"}</definedName>
    <definedName name="품질" localSheetId="14" hidden="1">{#N/A,#N/A,FALSE,"정공"}</definedName>
    <definedName name="품질" hidden="1">{#N/A,#N/A,FALSE,"정공"}</definedName>
    <definedName name="품질1" hidden="1">{#N/A,#N/A,FALSE,"PART-1234-8-12-9(41)";#N/A,#N/A,FALSE,"PARTS-2(3)";#N/A,#N/A,FALSE,"VAN SYSTEM";#N/A,#N/A,FALSE,"PARTS-10(26)";#N/A,#N/A,FALSE,"PART-5-6-7-11(14)";#N/A,#N/A,FALSE,"PARTS-4(3)";#N/A,#N/A,FALSE,"PCLASS"}</definedName>
    <definedName name="품질2" hidden="1">{#N/A,#N/A,FALSE,"PART-1234-8-12-9(41)";#N/A,#N/A,FALSE,"PARTS-2(3)";#N/A,#N/A,FALSE,"VAN SYSTEM";#N/A,#N/A,FALSE,"PARTS-10(26)";#N/A,#N/A,FALSE,"PART-5-6-7-11(14)";#N/A,#N/A,FALSE,"PARTS-4(3)";#N/A,#N/A,FALSE,"PCLASS"}</definedName>
    <definedName name="품질3"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품질4" hidden="1">{#N/A,#N/A,FALSE,"PART-1234-8-12-9(41)";#N/A,#N/A,FALSE,"PARTS-2(3)";#N/A,#N/A,FALSE,"VAN SYSTEM";#N/A,#N/A,FALSE,"PARTS-10(26)";#N/A,#N/A,FALSE,"PART-5-6-7-11(14)";#N/A,#N/A,FALSE,"PARTS-4(3)";#N/A,#N/A,FALSE,"PCLASS"}</definedName>
    <definedName name="품질5" hidden="1">{#N/A,#N/A,FALSE,"PART-1234-8-12-9(41)";#N/A,#N/A,FALSE,"PARTS-2(3)";#N/A,#N/A,FALSE,"VAN SYSTEM";#N/A,#N/A,FALSE,"PARTS-10(26)";#N/A,#N/A,FALSE,"PART-5-6-7-11(14)";#N/A,#N/A,FALSE,"PARTS-4(3)";#N/A,#N/A,FALSE,"PCLASS"}</definedName>
    <definedName name="품질6"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품질개선" localSheetId="14" hidden="1">{#N/A,#N/A,FALSE,"KMC최종회의(7월) 자료"}</definedName>
    <definedName name="품질개선" hidden="1">{#N/A,#N/A,FALSE,"KMC최종회의(7월) 자료"}</definedName>
    <definedName name="품질개선2" localSheetId="14" hidden="1">{#N/A,#N/A,TRUE,"Y생산";#N/A,#N/A,TRUE,"Y판매";#N/A,#N/A,TRUE,"Y총물량";#N/A,#N/A,TRUE,"Y능력";#N/A,#N/A,TRUE,"YKD"}</definedName>
    <definedName name="품질개선2" hidden="1">{#N/A,#N/A,TRUE,"Y생산";#N/A,#N/A,TRUE,"Y판매";#N/A,#N/A,TRUE,"Y총물량";#N/A,#N/A,TRUE,"Y능력";#N/A,#N/A,TRUE,"YKD"}</definedName>
    <definedName name="품질개선3" localSheetId="14" hidden="1">{#N/A,#N/A,TRUE,"Y생산";#N/A,#N/A,TRUE,"Y판매";#N/A,#N/A,TRUE,"Y총물량";#N/A,#N/A,TRUE,"Y능력";#N/A,#N/A,TRUE,"YKD"}</definedName>
    <definedName name="품질개선3" hidden="1">{#N/A,#N/A,TRUE,"Y생산";#N/A,#N/A,TRUE,"Y판매";#N/A,#N/A,TRUE,"Y총물량";#N/A,#N/A,TRUE,"Y능력";#N/A,#N/A,TRUE,"YKD"}</definedName>
    <definedName name="품질금" localSheetId="14" hidden="1">{#N/A,#N/A,FALSE,"KMC최종회의(7월) 자료"}</definedName>
    <definedName name="품질금" hidden="1">{#N/A,#N/A,FALSE,"KMC최종회의(7월) 자료"}</definedName>
    <definedName name="품질목표2000" localSheetId="14" hidden="1">{#N/A,#N/A,TRUE,"Y생산";#N/A,#N/A,TRUE,"Y판매";#N/A,#N/A,TRUE,"Y총물량";#N/A,#N/A,TRUE,"Y능력";#N/A,#N/A,TRUE,"YKD"}</definedName>
    <definedName name="품질목표2000" hidden="1">{#N/A,#N/A,TRUE,"Y생산";#N/A,#N/A,TRUE,"Y판매";#N/A,#N/A,TRUE,"Y총물량";#N/A,#N/A,TRUE,"Y능력";#N/A,#N/A,TRUE,"YKD"}</definedName>
    <definedName name="품질손" localSheetId="14" hidden="1">{#N/A,#N/A,FALSE,"KMC최종회의(7월) 자료"}</definedName>
    <definedName name="품질손" hidden="1">{#N/A,#N/A,FALSE,"KMC최종회의(7월) 자료"}</definedName>
    <definedName name="품질종합" hidden="1">{#N/A,#N/A,FALSE,"PART-1234-8-12-9(41)";#N/A,#N/A,FALSE,"PARTS-2(3)";#N/A,#N/A,FALSE,"VAN SYSTEM";#N/A,#N/A,FALSE,"PARTS-10(26)";#N/A,#N/A,FALSE,"PART-5-6-7-11(14)";#N/A,#N/A,FALSE,"PARTS-4(3)";#N/A,#N/A,FALSE,"PCLASS"}</definedName>
    <definedName name="품질지수" localSheetId="14" hidden="1">{#N/A,#N/A,FALSE,"KMC최종회의(7월) 자료"}</definedName>
    <definedName name="품질지수" hidden="1">{#N/A,#N/A,FALSE,"KMC최종회의(7월) 자료"}</definedName>
    <definedName name="품질지수1" localSheetId="14" hidden="1">{#N/A,#N/A,FALSE,"KMC최종회의(7월) 자료"}</definedName>
    <definedName name="품질지수1" hidden="1">{#N/A,#N/A,FALSE,"KMC최종회의(7월) 자료"}</definedName>
    <definedName name="품확" localSheetId="14" hidden="1">{#N/A,#N/A,FALSE,"단축1";#N/A,#N/A,FALSE,"단축2";#N/A,#N/A,FALSE,"단축3";#N/A,#N/A,FALSE,"장축";#N/A,#N/A,FALSE,"4WD"}</definedName>
    <definedName name="품확" hidden="1">{#N/A,#N/A,FALSE,"단축1";#N/A,#N/A,FALSE,"단축2";#N/A,#N/A,FALSE,"단축3";#N/A,#N/A,FALSE,"장축";#N/A,#N/A,FALSE,"4WD"}</definedName>
    <definedName name="프레스" localSheetId="14" hidden="1">{#N/A,#N/A,FALSE,"KMC최종회의(7월) 자료"}</definedName>
    <definedName name="프레스" hidden="1">{#N/A,#N/A,FALSE,"KMC최종회의(7월) 자료"}</definedName>
    <definedName name="프레스영업1팀" localSheetId="14" hidden="1">{#N/A,#N/A,FALSE,"KMC최종회의(7월) 자료"}</definedName>
    <definedName name="프레스영업1팀" hidden="1">{#N/A,#N/A,FALSE,"KMC최종회의(7월) 자료"}</definedName>
    <definedName name="프렌지" localSheetId="14" hidden="1">{#N/A,#N/A,FALSE,"단축1";#N/A,#N/A,FALSE,"단축2";#N/A,#N/A,FALSE,"단축3";#N/A,#N/A,FALSE,"장축";#N/A,#N/A,FALSE,"4WD"}</definedName>
    <definedName name="프렌지" hidden="1">{#N/A,#N/A,FALSE,"단축1";#N/A,#N/A,FALSE,"단축2";#N/A,#N/A,FALSE,"단축3";#N/A,#N/A,FALSE,"장축";#N/A,#N/A,FALSE,"4WD"}</definedName>
    <definedName name="프프프프" localSheetId="14" hidden="1">{#N/A,#N/A,FALSE,"KMC최종회의(7월) 자료"}</definedName>
    <definedName name="프프프프" hidden="1">{#N/A,#N/A,FALSE,"KMC최종회의(7월) 자료"}</definedName>
    <definedName name="피드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피드백" hidden="1">{#N/A,#N/A,FALSE,"손익표지";#N/A,#N/A,FALSE,"손익계산";#N/A,#N/A,FALSE,"일반관리비";#N/A,#N/A,FALSE,"영업외수익";#N/A,#N/A,FALSE,"영업외비용";#N/A,#N/A,FALSE,"매출액";#N/A,#N/A,FALSE,"요약손익";#N/A,#N/A,FALSE,"요약대차";#N/A,#N/A,FALSE,"매출채권현황";#N/A,#N/A,FALSE,"매출채권명세"}</definedName>
    <definedName name="피앤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피앤비" hidden="1">{#N/A,#N/A,FALSE,"손익표지";#N/A,#N/A,FALSE,"손익계산";#N/A,#N/A,FALSE,"일반관리비";#N/A,#N/A,FALSE,"영업외수익";#N/A,#N/A,FALSE,"영업외비용";#N/A,#N/A,FALSE,"매출액";#N/A,#N/A,FALSE,"요약손익";#N/A,#N/A,FALSE,"요약대차";#N/A,#N/A,FALSE,"매출채권현황";#N/A,#N/A,FALSE,"매출채권명세"}</definedName>
    <definedName name="ㅎ" localSheetId="14" hidden="1">{#N/A,#N/A,FALSE,"BS";#N/A,#N/A,FALSE,"PL";#N/A,#N/A,FALSE,"처분";#N/A,#N/A,FALSE,"현금";#N/A,#N/A,FALSE,"매출";#N/A,#N/A,FALSE,"원가";#N/A,#N/A,FALSE,"경영"}</definedName>
    <definedName name="ㅎ" localSheetId="13" hidden="1">{#N/A,#N/A,FALSE,"BS";#N/A,#N/A,FALSE,"PL";#N/A,#N/A,FALSE,"처분";#N/A,#N/A,FALSE,"현금";#N/A,#N/A,FALSE,"매출";#N/A,#N/A,FALSE,"원가";#N/A,#N/A,FALSE,"경영"}</definedName>
    <definedName name="ㅎ"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ㅎ" hidden="1">{#N/A,#N/A,FALSE,"BS";#N/A,#N/A,FALSE,"PL";#N/A,#N/A,FALSE,"처분";#N/A,#N/A,FALSE,"현금";#N/A,#N/A,FALSE,"매출";#N/A,#N/A,FALSE,"원가";#N/A,#N/A,FALSE,"경영"}</definedName>
    <definedName name="ㅎㄱㅎㄱ"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ㅎㄱㅎㄱ" hidden="1">{#N/A,#N/A,FALSE,"손익표지";#N/A,#N/A,FALSE,"손익계산";#N/A,#N/A,FALSE,"일반관리비";#N/A,#N/A,FALSE,"영업외수익";#N/A,#N/A,FALSE,"영업외비용";#N/A,#N/A,FALSE,"매출액";#N/A,#N/A,FALSE,"요약손익";#N/A,#N/A,FALSE,"요약대차";#N/A,#N/A,FALSE,"매출채권현황";#N/A,#N/A,FALSE,"매출채권명세"}</definedName>
    <definedName name="ㅎㄴㄶㄹㅀㄱㄷ"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ㅎㄴㅀㅇ륭호" localSheetId="14" hidden="1">{#N/A,#N/A,FALSE,"KMC최종회의(7월) 자료"}</definedName>
    <definedName name="ㅎㄴㅀㅇ륭호" hidden="1">{#N/A,#N/A,FALSE,"KMC최종회의(7월) 자료"}</definedName>
    <definedName name="ㅎㄴㅇㅇ" hidden="1">{#N/A,#N/A,FALSE,"97년 투자계획 세부내역 "}</definedName>
    <definedName name="ㅎㄶㅎㅎㅇㅎㄶ" hidden="1">{#N/A,#N/A,FALSE,"PART-1234-8-12-9(41)";#N/A,#N/A,FALSE,"PARTS-2(3)";#N/A,#N/A,FALSE,"VAN SYSTEM";#N/A,#N/A,FALSE,"PARTS-10(26)";#N/A,#N/A,FALSE,"PART-5-6-7-11(14)";#N/A,#N/A,FALSE,"PARTS-4(3)";#N/A,#N/A,FALSE,"PCLASS"}</definedName>
    <definedName name="ㅎㄹ" hidden="1">{#N/A,#N/A,FALSE,"지침";#N/A,#N/A,FALSE,"환경분석";#N/A,#N/A,FALSE,"Sheet16"}</definedName>
    <definedName name="ㅎㄹㄴ" hidden="1">{#N/A,#N/A,FALSE,"97년 투자계획 세부내역 "}</definedName>
    <definedName name="ㅎㄹ호ㅗㅓ쇼" localSheetId="14" hidden="1">{#N/A,#N/A,FALSE,"KMC최종회의(7월) 자료"}</definedName>
    <definedName name="ㅎㄹ호ㅗㅓ쇼" hidden="1">{#N/A,#N/A,FALSE,"KMC최종회의(7월) 자료"}</definedName>
    <definedName name="ㅎ라" localSheetId="14" hidden="1">{#N/A,#N/A,TRUE,"Y생산";#N/A,#N/A,TRUE,"Y판매";#N/A,#N/A,TRUE,"Y총물량";#N/A,#N/A,TRUE,"Y능력";#N/A,#N/A,TRUE,"YKD"}</definedName>
    <definedName name="ㅎ라" hidden="1">{#N/A,#N/A,TRUE,"Y생산";#N/A,#N/A,TRUE,"Y판매";#N/A,#N/A,TRUE,"Y총물량";#N/A,#N/A,TRUE,"Y능력";#N/A,#N/A,TRUE,"YKD"}</definedName>
    <definedName name="ㅎㅀㄹㅇㅎ" localSheetId="14" hidden="1">{#N/A,#N/A,FALSE,"BS";#N/A,#N/A,FALSE,"PL";#N/A,#N/A,FALSE,"처분";#N/A,#N/A,FALSE,"현금";#N/A,#N/A,FALSE,"매출";#N/A,#N/A,FALSE,"원가";#N/A,#N/A,FALSE,"경영"}</definedName>
    <definedName name="ㅎㅀㄹㅇㅎ" localSheetId="13" hidden="1">{#N/A,#N/A,FALSE,"BS";#N/A,#N/A,FALSE,"PL";#N/A,#N/A,FALSE,"처분";#N/A,#N/A,FALSE,"현금";#N/A,#N/A,FALSE,"매출";#N/A,#N/A,FALSE,"원가";#N/A,#N/A,FALSE,"경영"}</definedName>
    <definedName name="ㅎㅀㄹㅇㅎ" hidden="1">{#N/A,#N/A,FALSE,"BS";#N/A,#N/A,FALSE,"PL";#N/A,#N/A,FALSE,"처분";#N/A,#N/A,FALSE,"현금";#N/A,#N/A,FALSE,"매출";#N/A,#N/A,FALSE,"원가";#N/A,#N/A,FALSE,"경영"}</definedName>
    <definedName name="ㅎㅀㅀ" localSheetId="14" hidden="1">{#N/A,#N/A,FALSE,"단축1";#N/A,#N/A,FALSE,"단축2";#N/A,#N/A,FALSE,"단축3";#N/A,#N/A,FALSE,"장축";#N/A,#N/A,FALSE,"4WD"}</definedName>
    <definedName name="ㅎㅀㅀ" hidden="1">{#N/A,#N/A,FALSE,"단축1";#N/A,#N/A,FALSE,"단축2";#N/A,#N/A,FALSE,"단축3";#N/A,#N/A,FALSE,"장축";#N/A,#N/A,FALSE,"4WD"}</definedName>
    <definedName name="ㅎㅁㄿㅅ" hidden="1">{#N/A,#N/A,FALSE,"지침";#N/A,#N/A,FALSE,"환경분석";#N/A,#N/A,FALSE,"Sheet16"}</definedName>
    <definedName name="ㅎ쇼소ㅛ" localSheetId="14" hidden="1">{#N/A,#N/A,FALSE,"KMC최종회의(7월) 자료"}</definedName>
    <definedName name="ㅎ쇼소ㅛ" hidden="1">{#N/A,#N/A,FALSE,"KMC최종회의(7월) 자료"}</definedName>
    <definedName name="ㅎㅇㄴ" hidden="1">{#N/A,#N/A,FALSE,"97년 투자계획 세부내역 "}</definedName>
    <definedName name="ㅎㅇㄴㅁ" hidden="1">{#N/A,#N/A,FALSE,"97년 투자계획 세부내역 "}</definedName>
    <definedName name="ㅎㅇㄹㅇㄹ호" localSheetId="14" hidden="1">{#N/A,#N/A,FALSE,"KMC최종회의(7월) 자료"}</definedName>
    <definedName name="ㅎㅇㄹㅇㄹ호" hidden="1">{#N/A,#N/A,FALSE,"KMC최종회의(7월) 자료"}</definedName>
    <definedName name="ㅎㅇ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ㅇ" localSheetId="14" hidden="1">{#N/A,#N/A,FALSE,"KMC최종회의(7월) 자료"}</definedName>
    <definedName name="ㅎㅇㅇ" hidden="1">{#N/A,#N/A,FALSE,"KMC최종회의(7월) 자료"}</definedName>
    <definedName name="ㅎㅇㅇㄹ"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ㅇㅎㅁㅁㅁ" hidden="1">{#N/A,#N/A,FALSE,"97년 투자계획 세부내역 "}</definedName>
    <definedName name="ㅎ오ㅓ"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유ㅠㅗㅗ" localSheetId="14" hidden="1">{#N/A,#N/A,FALSE,"KMC최종회의(7월) 자료"}</definedName>
    <definedName name="ㅎ유ㅠㅗㅗ" hidden="1">{#N/A,#N/A,FALSE,"KMC최종회의(7월) 자료"}</definedName>
    <definedName name="ㅎㅎ" localSheetId="14" hidden="1">{#N/A,#N/A,FALSE,"BS";#N/A,#N/A,FALSE,"PL";#N/A,#N/A,FALSE,"처분";#N/A,#N/A,FALSE,"현금";#N/A,#N/A,FALSE,"매출";#N/A,#N/A,FALSE,"원가";#N/A,#N/A,FALSE,"경영"}</definedName>
    <definedName name="ㅎㅎ" localSheetId="13" hidden="1">{#N/A,#N/A,FALSE,"BS";#N/A,#N/A,FALSE,"PL";#N/A,#N/A,FALSE,"처분";#N/A,#N/A,FALSE,"현금";#N/A,#N/A,FALSE,"매출";#N/A,#N/A,FALSE,"원가";#N/A,#N/A,FALSE,"경영"}</definedName>
    <definedName name="ㅎㅎ" hidden="1">{#N/A,#N/A,FALSE,"BS";#N/A,#N/A,FALSE,"PL";#N/A,#N/A,FALSE,"처분";#N/A,#N/A,FALSE,"현금";#N/A,#N/A,FALSE,"매출";#N/A,#N/A,FALSE,"원가";#N/A,#N/A,FALSE,"경영"}</definedName>
    <definedName name="ㅎㅎㅎ" localSheetId="14" hidden="1">{#N/A,#N/A,FALSE,"BS";#N/A,#N/A,FALSE,"PL";#N/A,#N/A,FALSE,"처분";#N/A,#N/A,FALSE,"현금";#N/A,#N/A,FALSE,"매출";#N/A,#N/A,FALSE,"원가";#N/A,#N/A,FALSE,"경영"}</definedName>
    <definedName name="ㅎㅎㅎ" localSheetId="13" hidden="1">{#N/A,#N/A,FALSE,"BS";#N/A,#N/A,FALSE,"PL";#N/A,#N/A,FALSE,"처분";#N/A,#N/A,FALSE,"현금";#N/A,#N/A,FALSE,"매출";#N/A,#N/A,FALSE,"원가";#N/A,#N/A,FALSE,"경영"}</definedName>
    <definedName name="ㅎㅎㅎ" hidden="1">{#N/A,#N/A,FALSE,"BS";#N/A,#N/A,FALSE,"PL";#N/A,#N/A,FALSE,"처분";#N/A,#N/A,FALSE,"현금";#N/A,#N/A,FALSE,"매출";#N/A,#N/A,FALSE,"원가";#N/A,#N/A,FALSE,"경영"}</definedName>
    <definedName name="ㅎㅎㅎㄶㄹㄴㄴㄱ"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ㅎㅎㅎㅇㄹ" localSheetId="14" hidden="1">{#N/A,#N/A,FALSE,"KMC최종회의(7월) 자료"}</definedName>
    <definedName name="ㅎㅎㅎㅇㄹ" hidden="1">{#N/A,#N/A,FALSE,"KMC최종회의(7월) 자료"}</definedName>
    <definedName name="ㅎㅎㅎㅎ" localSheetId="14" hidden="1">{#N/A,#N/A,FALSE,"BS";#N/A,#N/A,FALSE,"PL";#N/A,#N/A,FALSE,"처분";#N/A,#N/A,FALSE,"현금";#N/A,#N/A,FALSE,"매출";#N/A,#N/A,FALSE,"원가";#N/A,#N/A,FALSE,"경영"}</definedName>
    <definedName name="ㅎㅎㅎㅎ" localSheetId="13"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ㅎ흏ㅎㅎㅎ" localSheetId="14" hidden="1">{#N/A,#N/A,FALSE,"단축1";#N/A,#N/A,FALSE,"단축2";#N/A,#N/A,FALSE,"단축3";#N/A,#N/A,FALSE,"장축";#N/A,#N/A,FALSE,"4WD"}</definedName>
    <definedName name="ㅎㅎ흏ㅎㅎㅎ" hidden="1">{#N/A,#N/A,FALSE,"단축1";#N/A,#N/A,FALSE,"단축2";#N/A,#N/A,FALSE,"단축3";#N/A,#N/A,FALSE,"장축";#N/A,#N/A,FALSE,"4WD"}</definedName>
    <definedName name="ㅎ혀ㅕㅛㅛㅑㅐㄹ" localSheetId="14" hidden="1">{#N/A,#N/A,FALSE,"BS";#N/A,#N/A,FALSE,"PL";#N/A,#N/A,FALSE,"처분";#N/A,#N/A,FALSE,"현금";#N/A,#N/A,FALSE,"매출";#N/A,#N/A,FALSE,"원가";#N/A,#N/A,FALSE,"경영"}</definedName>
    <definedName name="ㅎ혀ㅕㅛㅛㅑㅐㄹ" localSheetId="13" hidden="1">{#N/A,#N/A,FALSE,"BS";#N/A,#N/A,FALSE,"PL";#N/A,#N/A,FALSE,"처분";#N/A,#N/A,FALSE,"현금";#N/A,#N/A,FALSE,"매출";#N/A,#N/A,FALSE,"원가";#N/A,#N/A,FALSE,"경영"}</definedName>
    <definedName name="ㅎ혀ㅕㅛㅛㅑㅐㄹ" hidden="1">{#N/A,#N/A,FALSE,"BS";#N/A,#N/A,FALSE,"PL";#N/A,#N/A,FALSE,"처분";#N/A,#N/A,FALSE,"현금";#N/A,#N/A,FALSE,"매출";#N/A,#N/A,FALSE,"원가";#N/A,#N/A,FALSE,"경영"}</definedName>
    <definedName name="ㅎ호ㅓㅓㅗ" localSheetId="14" hidden="1">{#N/A,#N/A,FALSE,"단축1";#N/A,#N/A,FALSE,"단축2";#N/A,#N/A,FALSE,"단축3";#N/A,#N/A,FALSE,"장축";#N/A,#N/A,FALSE,"4WD"}</definedName>
    <definedName name="ㅎ호ㅓㅓㅗ" hidden="1">{#N/A,#N/A,FALSE,"단축1";#N/A,#N/A,FALSE,"단축2";#N/A,#N/A,FALSE,"단축3";#N/A,#N/A,FALSE,"장축";#N/A,#N/A,FALSE,"4WD"}</definedName>
    <definedName name="ㅎ호ㅡ홏" localSheetId="14" hidden="1">{#N/A,#N/A,FALSE,"KMC최종회의(7월) 자료"}</definedName>
    <definedName name="ㅎ호ㅡ홏" hidden="1">{#N/A,#N/A,FALSE,"KMC최종회의(7월) 자료"}</definedName>
    <definedName name="하" localSheetId="14" hidden="1">{#N/A,#N/A,FALSE,"KMC최종회의(7월) 자료"}</definedName>
    <definedName name="하" hidden="1">{#N/A,#N/A,FALSE,"KMC최종회의(7월) 자료"}</definedName>
    <definedName name="하늘" localSheetId="14" hidden="1">{"'5'!$A$1:$BB$147"}</definedName>
    <definedName name="하늘" hidden="1">{"'5'!$A$1:$BB$147"}</definedName>
    <definedName name="하반기만회" localSheetId="14" hidden="1">{#N/A,#N/A,FALSE,"정공"}</definedName>
    <definedName name="하반기만회" hidden="1">{#N/A,#N/A,FALSE,"정공"}</definedName>
    <definedName name="하반기차입금계획"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31"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반기추정" localSheetId="14" hidden="1">{#N/A,#N/A,FALSE,"KMC최종회의(7월) 자료"}</definedName>
    <definedName name="하반기추정" hidden="1">{#N/A,#N/A,FALSE,"KMC최종회의(7월) 자료"}</definedName>
    <definedName name="하반기투ST" localSheetId="14" hidden="1">{#N/A,#N/A,TRUE,"Y생산";#N/A,#N/A,TRUE,"Y판매";#N/A,#N/A,TRUE,"Y총물량";#N/A,#N/A,TRUE,"Y능력";#N/A,#N/A,TRUE,"YKD"}</definedName>
    <definedName name="하반기투ST" hidden="1">{#N/A,#N/A,TRUE,"Y생산";#N/A,#N/A,TRUE,"Y판매";#N/A,#N/A,TRUE,"Y총물량";#N/A,#N/A,TRUE,"Y능력";#N/A,#N/A,TRUE,"YKD"}</definedName>
    <definedName name="하성연" localSheetId="14" hidden="1">{"'5'!$A$1:$BB$147"}</definedName>
    <definedName name="하성연" hidden="1">{"'5'!$A$1:$BB$147"}</definedName>
    <definedName name="하수도" hidden="1">{#N/A,#N/A,FALSE,"PART-1234-8-12-9(41)";#N/A,#N/A,FALSE,"PARTS-2(3)";#N/A,#N/A,FALSE,"VAN SYSTEM";#N/A,#N/A,FALSE,"PARTS-10(26)";#N/A,#N/A,FALSE,"PART-5-6-7-11(14)";#N/A,#N/A,FALSE,"PARTS-4(3)";#N/A,#N/A,FALSE,"PCLASS"}</definedName>
    <definedName name="하자말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하자말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청2" localSheetId="14" hidden="1">{#N/A,#N/A,FALSE,"KMC최종회의(7월) 자료"}</definedName>
    <definedName name="하청2" hidden="1">{#N/A,#N/A,FALSE,"KMC최종회의(7월) 자료"}</definedName>
    <definedName name="하청인원" localSheetId="14" hidden="1">{#N/A,#N/A,FALSE,"KMC최종회의(7월) 자료"}</definedName>
    <definedName name="하청인원" hidden="1">{#N/A,#N/A,FALSE,"KMC최종회의(7월) 자료"}</definedName>
    <definedName name="하하" localSheetId="14" hidden="1">{#N/A,#N/A,FALSE,"BS";#N/A,#N/A,FALSE,"PL";#N/A,#N/A,FALSE,"처분";#N/A,#N/A,FALSE,"현금";#N/A,#N/A,FALSE,"매출";#N/A,#N/A,FALSE,"원가";#N/A,#N/A,FALSE,"경영"}</definedName>
    <definedName name="하하" localSheetId="13" hidden="1">{#N/A,#N/A,FALSE,"BS";#N/A,#N/A,FALSE,"PL";#N/A,#N/A,FALSE,"처분";#N/A,#N/A,FALSE,"현금";#N/A,#N/A,FALSE,"매출";#N/A,#N/A,FALSE,"원가";#N/A,#N/A,FALSE,"경영"}</definedName>
    <definedName name="하하" hidden="1">{#N/A,#N/A,FALSE,"BS";#N/A,#N/A,FALSE,"PL";#N/A,#N/A,FALSE,"처분";#N/A,#N/A,FALSE,"현금";#N/A,#N/A,FALSE,"매출";#N/A,#N/A,FALSE,"원가";#N/A,#N/A,FALSE,"경영"}</definedName>
    <definedName name="하하하" localSheetId="14" hidden="1">{#N/A,#N/A,FALSE,"BS";#N/A,#N/A,FALSE,"PL";#N/A,#N/A,FALSE,"A";#N/A,#N/A,FALSE,"B";#N/A,#N/A,FALSE,"B1";#N/A,#N/A,FALSE,"C";#N/A,#N/A,FALSE,"C1";#N/A,#N/A,FALSE,"C2";#N/A,#N/A,FALSE,"D";#N/A,#N/A,FALSE,"E";#N/A,#N/A,FALSE,"F";#N/A,#N/A,FALSE,"AA";#N/A,#N/A,FALSE,"BB";#N/A,#N/A,FALSE,"CC";#N/A,#N/A,FALSE,"DD";#N/A,#N/A,FALSE,"EE";#N/A,#N/A,FALSE,"FF";#N/A,#N/A,FALSE,"PL10";#N/A,#N/A,FALSE,"PL20";#N/A,#N/A,FALSE,"PL30"}</definedName>
    <definedName name="하하하" localSheetId="13" hidden="1">{#N/A,#N/A,FALSE,"BS";#N/A,#N/A,FALSE,"PL";#N/A,#N/A,FALSE,"A";#N/A,#N/A,FALSE,"B";#N/A,#N/A,FALSE,"B1";#N/A,#N/A,FALSE,"C";#N/A,#N/A,FALSE,"C1";#N/A,#N/A,FALSE,"C2";#N/A,#N/A,FALSE,"D";#N/A,#N/A,FALSE,"E";#N/A,#N/A,FALSE,"F";#N/A,#N/A,FALSE,"AA";#N/A,#N/A,FALSE,"BB";#N/A,#N/A,FALSE,"CC";#N/A,#N/A,FALSE,"DD";#N/A,#N/A,FALSE,"EE";#N/A,#N/A,FALSE,"FF";#N/A,#N/A,FALSE,"PL10";#N/A,#N/A,FALSE,"PL20";#N/A,#N/A,FALSE,"PL30"}</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하핳" localSheetId="14" hidden="1">{#N/A,#N/A,TRUE,"Y생산";#N/A,#N/A,TRUE,"Y판매";#N/A,#N/A,TRUE,"Y총물량";#N/A,#N/A,TRUE,"Y능력";#N/A,#N/A,TRUE,"YKD"}</definedName>
    <definedName name="하핳" hidden="1">{#N/A,#N/A,TRUE,"Y생산";#N/A,#N/A,TRUE,"Y판매";#N/A,#N/A,TRUE,"Y총물량";#N/A,#N/A,TRUE,"Y능력";#N/A,#N/A,TRUE,"YKD"}</definedName>
    <definedName name="학다" localSheetId="14" hidden="1">{"'5'!$A$1:$BB$147"}</definedName>
    <definedName name="학다" hidden="1">{"'5'!$A$1:$BB$147"}</definedName>
    <definedName name="학자" localSheetId="14" hidden="1">{"'5'!$A$1:$BB$147"}</definedName>
    <definedName name="학자" hidden="1">{"'5'!$A$1:$BB$147"}</definedName>
    <definedName name="학자금" localSheetId="14" hidden="1">{"'5'!$A$1:$BB$147"}</definedName>
    <definedName name="학자금" hidden="1">{"'5'!$A$1:$BB$147"}</definedName>
    <definedName name="한" hidden="1">{#N/A,#N/A,FALSE,"지침";#N/A,#N/A,FALSE,"환경분석";#N/A,#N/A,FALSE,"Sheet16"}</definedName>
    <definedName name="한국" localSheetId="14" hidden="1">{#N/A,#N/A,FALSE,"단축1";#N/A,#N/A,FALSE,"단축2";#N/A,#N/A,FALSE,"단축3";#N/A,#N/A,FALSE,"장축";#N/A,#N/A,FALSE,"4WD"}</definedName>
    <definedName name="한국" hidden="1">{#N/A,#N/A,FALSE,"단축1";#N/A,#N/A,FALSE,"단축2";#N/A,#N/A,FALSE,"단축3";#N/A,#N/A,FALSE,"장축";#N/A,#N/A,FALSE,"4WD"}</definedName>
    <definedName name="한글" localSheetId="14" hidden="1">{#N/A,#N/A,FALSE,"단축1";#N/A,#N/A,FALSE,"단축2";#N/A,#N/A,FALSE,"단축3";#N/A,#N/A,FALSE,"장축";#N/A,#N/A,FALSE,"4WD"}</definedName>
    <definedName name="한글" hidden="1">{#N/A,#N/A,FALSE,"단축1";#N/A,#N/A,FALSE,"단축2";#N/A,#N/A,FALSE,"단축3";#N/A,#N/A,FALSE,"장축";#N/A,#N/A,FALSE,"4WD"}</definedName>
    <definedName name="한빛수정" localSheetId="14" hidden="1">{#N/A,#N/A,FALSE,"KMC최종회의(7월) 자료"}</definedName>
    <definedName name="한빛수정" hidden="1">{#N/A,#N/A,FALSE,"KMC최종회의(7월) 자료"}</definedName>
    <definedName name="한영사전" localSheetId="14" hidden="1">{#N/A,#N/A,TRUE,"Y생산";#N/A,#N/A,TRUE,"Y판매";#N/A,#N/A,TRUE,"Y총물량";#N/A,#N/A,TRUE,"Y능력";#N/A,#N/A,TRUE,"YKD"}</definedName>
    <definedName name="한영사전" hidden="1">{#N/A,#N/A,TRUE,"Y생산";#N/A,#N/A,TRUE,"Y판매";#N/A,#N/A,TRUE,"Y총물량";#N/A,#N/A,TRUE,"Y능력";#N/A,#N/A,TRUE,"YKD"}</definedName>
    <definedName name="한진" localSheetId="14" hidden="1">{#N/A,#N/A,FALSE,"KMC최종회의(7월) 자료"}</definedName>
    <definedName name="한진" hidden="1">{#N/A,#N/A,FALSE,"KMC최종회의(7월) 자료"}</definedName>
    <definedName name="항" localSheetId="14" hidden="1">{#N/A,#N/A,FALSE,"KMC최종회의(7월) 자료"}</definedName>
    <definedName name="항" hidden="1">{#N/A,#N/A,FALSE,"KMC최종회의(7월) 자료"}</definedName>
    <definedName name="항공"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항공" hidden="1">{#N/A,#N/A,FALSE,"손익표지";#N/A,#N/A,FALSE,"손익계산";#N/A,#N/A,FALSE,"일반관리비";#N/A,#N/A,FALSE,"영업외수익";#N/A,#N/A,FALSE,"영업외비용";#N/A,#N/A,FALSE,"매출액";#N/A,#N/A,FALSE,"요약손익";#N/A,#N/A,FALSE,"요약대차";#N/A,#N/A,FALSE,"매출채권현황";#N/A,#N/A,FALSE,"매출채권명세"}</definedName>
    <definedName name="항공권지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항공권지원"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해외특수"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해원3" localSheetId="14" hidden="1">{#N/A,#N/A,FALSE,"Sheet5"}</definedName>
    <definedName name="해원3" localSheetId="13" hidden="1">{#N/A,#N/A,FALSE,"Sheet5"}</definedName>
    <definedName name="해원3" hidden="1">{#N/A,#N/A,FALSE,"Sheet5"}</definedName>
    <definedName name="향후계획1" localSheetId="14" hidden="1">{#N/A,#N/A,FALSE,"단축1";#N/A,#N/A,FALSE,"단축2";#N/A,#N/A,FALSE,"단축3";#N/A,#N/A,FALSE,"장축";#N/A,#N/A,FALSE,"4WD"}</definedName>
    <definedName name="향후계획1" hidden="1">{#N/A,#N/A,FALSE,"단축1";#N/A,#N/A,FALSE,"단축2";#N/A,#N/A,FALSE,"단축3";#N/A,#N/A,FALSE,"장축";#N/A,#N/A,FALSE,"4WD"}</definedName>
    <definedName name="허" localSheetId="14" hidden="1">{#N/A,#N/A,FALSE,"BS";#N/A,#N/A,FALSE,"PL";#N/A,#N/A,FALSE,"처분";#N/A,#N/A,FALSE,"현금";#N/A,#N/A,FALSE,"매출";#N/A,#N/A,FALSE,"원가";#N/A,#N/A,FALSE,"경영"}</definedName>
    <definedName name="허" localSheetId="13" hidden="1">{#N/A,#N/A,FALSE,"BS";#N/A,#N/A,FALSE,"PL";#N/A,#N/A,FALSE,"처분";#N/A,#N/A,FALSE,"현금";#N/A,#N/A,FALSE,"매출";#N/A,#N/A,FALSE,"원가";#N/A,#N/A,FALSE,"경영"}</definedName>
    <definedName name="허" hidden="1">{#N/A,#N/A,FALSE,"BS";#N/A,#N/A,FALSE,"PL";#N/A,#N/A,FALSE,"처분";#N/A,#N/A,FALSE,"현금";#N/A,#N/A,FALSE,"매출";#N/A,#N/A,FALSE,"원가";#N/A,#N/A,FALSE,"경영"}</definedName>
    <definedName name="허준" localSheetId="14" hidden="1">{#N/A,#N/A,TRUE,"Y생산";#N/A,#N/A,TRUE,"Y판매";#N/A,#N/A,TRUE,"Y총물량";#N/A,#N/A,TRUE,"Y능력";#N/A,#N/A,TRUE,"YKD"}</definedName>
    <definedName name="허준" hidden="1">{#N/A,#N/A,TRUE,"Y생산";#N/A,#N/A,TRUE,"Y판매";#N/A,#N/A,TRUE,"Y총물량";#N/A,#N/A,TRUE,"Y능력";#N/A,#N/A,TRUE,"YKD"}</definedName>
    <definedName name="허허" localSheetId="14" hidden="1">{#N/A,#N/A,TRUE,"Y생산";#N/A,#N/A,TRUE,"Y판매";#N/A,#N/A,TRUE,"Y총물량";#N/A,#N/A,TRUE,"Y능력";#N/A,#N/A,TRUE,"YKD"}</definedName>
    <definedName name="허허" hidden="1">{#N/A,#N/A,TRUE,"Y생산";#N/A,#N/A,TRUE,"Y판매";#N/A,#N/A,TRUE,"Y총물량";#N/A,#N/A,TRUE,"Y능력";#N/A,#N/A,TRUE,"YKD"}</definedName>
    <definedName name="허ㅓ" localSheetId="14" hidden="1">{#N/A,#N/A,FALSE,"단축1";#N/A,#N/A,FALSE,"단축2";#N/A,#N/A,FALSE,"단축3";#N/A,#N/A,FALSE,"장축";#N/A,#N/A,FALSE,"4WD"}</definedName>
    <definedName name="허ㅓ" hidden="1">{#N/A,#N/A,FALSE,"단축1";#N/A,#N/A,FALSE,"단축2";#N/A,#N/A,FALSE,"단축3";#N/A,#N/A,FALSE,"장축";#N/A,#N/A,FALSE,"4WD"}</definedName>
    <definedName name="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헤ㅔㅗ"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헤ㅔㅗ" hidden="1">{#N/A,#N/A,FALSE,"손익표지";#N/A,#N/A,FALSE,"손익계산";#N/A,#N/A,FALSE,"일반관리비";#N/A,#N/A,FALSE,"영업외수익";#N/A,#N/A,FALSE,"영업외비용";#N/A,#N/A,FALSE,"매출액";#N/A,#N/A,FALSE,"요약손익";#N/A,#N/A,FALSE,"요약대차";#N/A,#N/A,FALSE,"매출채권현황";#N/A,#N/A,FALSE,"매출채권명세"}</definedName>
    <definedName name="혀ㅑㅓ" localSheetId="14" hidden="1">{#N/A,#N/A,FALSE,"KMC최종회의(7월) 자료"}</definedName>
    <definedName name="혀ㅑㅓ" hidden="1">{#N/A,#N/A,FALSE,"KMC최종회의(7월) 자료"}</definedName>
    <definedName name="현"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현금"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현금흐름" localSheetId="14" hidden="1">'[108]경영비율 '!#REF!</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1" localSheetId="14" hidden="1">[109]수정시산표!#REF!</definedName>
    <definedName name="현금흐름1" hidden="1">[109]수정시산표!#REF!</definedName>
    <definedName name="현금흐름표" hidden="1">{#N/A,#N/A,FALSE,"지침";#N/A,#N/A,FALSE,"환경분석";#N/A,#N/A,FALSE,"Sheet16"}</definedName>
    <definedName name="현대" localSheetId="14" hidden="1">{#N/A,#N/A,FALSE,"정공"}</definedName>
    <definedName name="현대" hidden="1">{#N/A,#N/A,FALSE,"정공"}</definedName>
    <definedName name="현대우주" localSheetId="14" hidden="1">{#N/A,#N/A,FALSE,"정공"}</definedName>
    <definedName name="현대우주" hidden="1">{#N/A,#N/A,FALSE,"정공"}</definedName>
    <definedName name="현대우주항공" localSheetId="14" hidden="1">{#N/A,#N/A,FALSE,"정공"}</definedName>
    <definedName name="현대우주항공" hidden="1">{#N/A,#N/A,FALSE,"정공"}</definedName>
    <definedName name="현대자동차" localSheetId="14" hidden="1">{#N/A,#N/A,FALSE,"정공"}</definedName>
    <definedName name="현대자동차" hidden="1">{#N/A,#N/A,FALSE,"정공"}</definedName>
    <definedName name="현대정공" localSheetId="14" hidden="1">{#N/A,#N/A,FALSE,"정공"}</definedName>
    <definedName name="현대정공" hidden="1">{#N/A,#N/A,FALSE,"정공"}</definedName>
    <definedName name="현대정공구매현황1" localSheetId="14" hidden="1">{#N/A,#N/A,FALSE,"정공"}</definedName>
    <definedName name="현대정공구매현황1" hidden="1">{#N/A,#N/A,FALSE,"정공"}</definedName>
    <definedName name="현안3" hidden="1">{#N/A,#N/A,FALSE,"PART-1234-8-12-9(41)";#N/A,#N/A,FALSE,"PARTS-2(3)";#N/A,#N/A,FALSE,"VAN SYSTEM";#N/A,#N/A,FALSE,"PARTS-10(26)";#N/A,#N/A,FALSE,"PART-5-6-7-11(14)";#N/A,#N/A,FALSE,"PARTS-4(3)";#N/A,#N/A,FALSE,"PCLASS"}</definedName>
    <definedName name="현작성조서" localSheetId="14" hidden="1">{#N/A,#N/A,FALSE,"BS";#N/A,#N/A,FALSE,"PL";#N/A,#N/A,FALSE,"처분";#N/A,#N/A,FALSE,"현금";#N/A,#N/A,FALSE,"매출";#N/A,#N/A,FALSE,"원가";#N/A,#N/A,FALSE,"경영"}</definedName>
    <definedName name="현작성조서" localSheetId="13"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황" localSheetId="14" hidden="1">{#N/A,#N/A,FALSE,"BS";#N/A,#N/A,FALSE,"PL";#N/A,#N/A,FALSE,"처분";#N/A,#N/A,FALSE,"현금";#N/A,#N/A,FALSE,"매출";#N/A,#N/A,FALSE,"원가";#N/A,#N/A,FALSE,"경영"}</definedName>
    <definedName name="현황" localSheetId="13" hidden="1">{#N/A,#N/A,FALSE,"BS";#N/A,#N/A,FALSE,"PL";#N/A,#N/A,FALSE,"처분";#N/A,#N/A,FALSE,"현금";#N/A,#N/A,FALSE,"매출";#N/A,#N/A,FALSE,"원가";#N/A,#N/A,FALSE,"경영"}</definedName>
    <definedName name="현황" hidden="1">{#N/A,#N/A,FALSE,"BS";#N/A,#N/A,FALSE,"PL";#N/A,#N/A,FALSE,"처분";#N/A,#N/A,FALSE,"현금";#N/A,#N/A,FALSE,"매출";#N/A,#N/A,FALSE,"원가";#N/A,#N/A,FALSE,"경영"}</definedName>
    <definedName name="협의" localSheetId="14" hidden="1">{#N/A,#N/A,FALSE,"단축1";#N/A,#N/A,FALSE,"단축2";#N/A,#N/A,FALSE,"단축3";#N/A,#N/A,FALSE,"장축";#N/A,#N/A,FALSE,"4WD"}</definedName>
    <definedName name="협의" hidden="1">{#N/A,#N/A,FALSE,"단축1";#N/A,#N/A,FALSE,"단축2";#N/A,#N/A,FALSE,"단축3";#N/A,#N/A,FALSE,"장축";#N/A,#N/A,FALSE,"4WD"}</definedName>
    <definedName name="호" localSheetId="14" hidden="1">{#N/A,#N/A,FALSE,"KMC최종회의(7월) 자료"}</definedName>
    <definedName name="호" hidden="1">{#N/A,#N/A,FALSE,"KMC최종회의(7월) 자료"}</definedName>
    <definedName name="호길">#REF!</definedName>
    <definedName name="호떡"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호떡"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호떡" hidden="1">{#N/A,#N/A,FALSE,"손익표지";#N/A,#N/A,FALSE,"손익계산";#N/A,#N/A,FALSE,"일반관리비";#N/A,#N/A,FALSE,"영업외수익";#N/A,#N/A,FALSE,"영업외비용";#N/A,#N/A,FALSE,"매출액";#N/A,#N/A,FALSE,"요약손익";#N/A,#N/A,FALSE,"요약대차";#N/A,#N/A,FALSE,"매출채권현황";#N/A,#N/A,FALSE,"매출채권명세"}</definedName>
    <definedName name="호추ㅡ푸" localSheetId="14" hidden="1">{#N/A,#N/A,FALSE,"KMC최종회의(7월) 자료"}</definedName>
    <definedName name="호추ㅡ푸" hidden="1">{#N/A,#N/A,FALSE,"KMC최종회의(7월) 자료"}</definedName>
    <definedName name="호ㅓ" localSheetId="14" hidden="1">{#N/A,#N/A,FALSE,"KMC최종회의(7월) 자료"}</definedName>
    <definedName name="호ㅓ" hidden="1">{#N/A,#N/A,FALSE,"KMC최종회의(7월) 자료"}</definedName>
    <definedName name="호ㅓㅎ"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호ㅡㅗ" localSheetId="14" hidden="1">{#N/A,#N/A,FALSE,"KMC최종회의(7월) 자료"}</definedName>
    <definedName name="호ㅓ호ㅡㅗ" hidden="1">{#N/A,#N/A,FALSE,"KMC최종회의(7월) 자료"}</definedName>
    <definedName name="호ㅓㅏ" localSheetId="14" hidden="1">{#N/A,#N/A,FALSE,"96 3월물량표";#N/A,#N/A,FALSE,"96 4월물량표";#N/A,#N/A,FALSE,"96 5월물량표"}</definedName>
    <definedName name="호ㅓㅏ" hidden="1">{#N/A,#N/A,FALSE,"96 3월물량표";#N/A,#N/A,FALSE,"96 4월물량표";#N/A,#N/A,FALSE,"96 5월물량표"}</definedName>
    <definedName name="호ㅓㅏ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ㅡㄹ훝루" localSheetId="14" hidden="1">{#N/A,#N/A,FALSE,"KMC최종회의(7월) 자료"}</definedName>
    <definedName name="호ㅡㄹ훝루" hidden="1">{#N/A,#N/A,FALSE,"KMC최종회의(7월) 자료"}</definedName>
    <definedName name="호ㅡ호ㅡ호ㅓㅡ" localSheetId="14" hidden="1">{#N/A,#N/A,FALSE,"KMC최종회의(7월) 자료"}</definedName>
    <definedName name="호ㅡ호ㅡ호ㅓㅡ" hidden="1">{#N/A,#N/A,FALSE,"KMC최종회의(7월) 자료"}</definedName>
    <definedName name="호ㅡ흐ㅗㅡㅊ" localSheetId="14" hidden="1">{#N/A,#N/A,FALSE,"KMC최종회의(7월) 자료"}</definedName>
    <definedName name="호ㅡ흐ㅗㅡㅊ" hidden="1">{#N/A,#N/A,FALSE,"KMC최종회의(7월) 자료"}</definedName>
    <definedName name="호ㅡㅡㅊ토ㅡ" localSheetId="14" hidden="1">{#N/A,#N/A,FALSE,"KMC최종회의(7월) 자료"}</definedName>
    <definedName name="호ㅡㅡㅊ토ㅡ" hidden="1">{#N/A,#N/A,FALSE,"KMC최종회의(7월) 자료"}</definedName>
    <definedName name="호ㅡㅡㅓ" localSheetId="14" hidden="1">{#N/A,#N/A,FALSE,"KMC최종회의(7월) 자료"}</definedName>
    <definedName name="호ㅡㅡㅓ" hidden="1">{#N/A,#N/A,FALSE,"KMC최종회의(7월) 자료"}</definedName>
    <definedName name="홀" localSheetId="14"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홈" localSheetId="14" hidden="1">{#N/A,#N/A,FALSE,"단축1";#N/A,#N/A,FALSE,"단축2";#N/A,#N/A,FALSE,"단축3";#N/A,#N/A,FALSE,"장축";#N/A,#N/A,FALSE,"4WD"}</definedName>
    <definedName name="홈" hidden="1">{#N/A,#N/A,FALSE,"단축1";#N/A,#N/A,FALSE,"단축2";#N/A,#N/A,FALSE,"단축3";#N/A,#N/A,FALSE,"장축";#N/A,#N/A,FALSE,"4WD"}</definedName>
    <definedName name="홍" localSheetId="14" hidden="1">{#N/A,#N/A,FALSE,"96 3월물량표";#N/A,#N/A,FALSE,"96 4월물량표";#N/A,#N/A,FALSE,"96 5월물량표"}</definedName>
    <definedName name="홍" hidden="1">{#N/A,#N/A,FALSE,"96 3월물량표";#N/A,#N/A,FALSE,"96 4월물량표";#N/A,#N/A,FALSE,"96 5월물량표"}</definedName>
    <definedName name="홍성태"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31"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승노" localSheetId="14" hidden="1">{#N/A,#N/A,TRUE,"Y생산";#N/A,#N/A,TRUE,"Y판매";#N/A,#N/A,TRUE,"Y총물량";#N/A,#N/A,TRUE,"Y능력";#N/A,#N/A,TRUE,"YKD"}</definedName>
    <definedName name="홍승노" hidden="1">{#N/A,#N/A,TRUE,"Y생산";#N/A,#N/A,TRUE,"Y판매";#N/A,#N/A,TRUE,"Y총물량";#N/A,#N/A,TRUE,"Y능력";#N/A,#N/A,TRUE,"YKD"}</definedName>
    <definedName name="화순">#REF!</definedName>
    <definedName name="화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화일" hidden="1">{#N/A,#N/A,FALSE,"손익표지";#N/A,#N/A,FALSE,"손익계산";#N/A,#N/A,FALSE,"일반관리비";#N/A,#N/A,FALSE,"영업외수익";#N/A,#N/A,FALSE,"영업외비용";#N/A,#N/A,FALSE,"매출액";#N/A,#N/A,FALSE,"요약손익";#N/A,#N/A,FALSE,"요약대차";#N/A,#N/A,FALSE,"매출채권현황";#N/A,#N/A,FALSE,"매출채권명세"}</definedName>
    <definedName name="환경"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환경" hidden="1">{#N/A,#N/A,FALSE,"손익표지";#N/A,#N/A,FALSE,"손익계산";#N/A,#N/A,FALSE,"일반관리비";#N/A,#N/A,FALSE,"영업외수익";#N/A,#N/A,FALSE,"영업외비용";#N/A,#N/A,FALSE,"매출액";#N/A,#N/A,FALSE,"요약손익";#N/A,#N/A,FALSE,"요약대차";#N/A,#N/A,FALSE,"매출채권현황";#N/A,#N/A,FALSE,"매출채권명세"}</definedName>
    <definedName name="환경3" hidden="1">{#N/A,#N/A,FALSE,"97년 투자계획 세부내역 "}</definedName>
    <definedName name="환경분석"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환경분석3" hidden="1">{#N/A,#N/A,FALSE,"97년 투자계획 세부내역 "}</definedName>
    <definedName name="환경분석청주" hidden="1">{#N/A,#N/A,FALSE,"지침";#N/A,#N/A,FALSE,"환경분석";#N/A,#N/A,FALSE,"Sheet16"}</definedName>
    <definedName name="환경소주2" hidden="1">{#N/A,#N/A,FALSE,"지침";#N/A,#N/A,FALSE,"환경분석";#N/A,#N/A,FALSE,"Sheet16"}</definedName>
    <definedName name="환경소주3" hidden="1">{#N/A,#N/A,FALSE,"지침";#N/A,#N/A,FALSE,"환경분석";#N/A,#N/A,FALSE,"Sheet16"}</definedName>
    <definedName name="환경오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환경오염" hidden="1">{#N/A,#N/A,FALSE,"손익표지";#N/A,#N/A,FALSE,"손익계산";#N/A,#N/A,FALSE,"일반관리비";#N/A,#N/A,FALSE,"영업외수익";#N/A,#N/A,FALSE,"영업외비용";#N/A,#N/A,FALSE,"매출액";#N/A,#N/A,FALSE,"요약손익";#N/A,#N/A,FALSE,"요약대차";#N/A,#N/A,FALSE,"매출채권현황";#N/A,#N/A,FALSE,"매출채권명세"}</definedName>
    <definedName name="환산수량수정" localSheetId="14" hidden="1">{#N/A,#N/A,FALSE,"KMC최종회의(7월) 자료"}</definedName>
    <definedName name="환산수량수정" hidden="1">{#N/A,#N/A,FALSE,"KMC최종회의(7월) 자료"}</definedName>
    <definedName name="환율유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31"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活动" hidden="1">{#N/A,#N/A,TRUE,"1.????";#N/A,#N/A,TRUE,"2.????";#N/A,#N/A,TRUE,"3.????";#N/A,#N/A,TRUE,"4.????";#N/A,#N/A,TRUE,"5.????";#N/A,#N/A,TRUE,"6.????";#N/A,#N/A,TRUE,"7.????";#N/A,#N/A,TRUE,"8.????";#N/A,#N/A,TRUE,"11.????";#N/A,#N/A,TRUE,"12.????";#N/A,#N/A,TRUE,"??";#N/A,#N/A,TRUE,"??";#N/A,#N/A,TRUE,"???? "}</definedName>
    <definedName name="황" localSheetId="14" hidden="1">{"'분양원가'!$B$1:$F$113"}</definedName>
    <definedName name="황" localSheetId="13" hidden="1">{"'분양원가'!$B$1:$F$113"}</definedName>
    <definedName name="황" hidden="1">{"'분양원가'!$B$1:$F$113"}</definedName>
    <definedName name="황태규" hidden="1">{#N/A,#N/A,FALSE,"지침";#N/A,#N/A,FALSE,"환경분석";#N/A,#N/A,FALSE,"Sheet16"}</definedName>
    <definedName name="회사"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회사" hidden="1">{#N/A,#N/A,FALSE,"손익표지";#N/A,#N/A,FALSE,"손익계산";#N/A,#N/A,FALSE,"일반관리비";#N/A,#N/A,FALSE,"영업외수익";#N/A,#N/A,FALSE,"영업외비용";#N/A,#N/A,FALSE,"매출액";#N/A,#N/A,FALSE,"요약손익";#N/A,#N/A,FALSE,"요약대차";#N/A,#N/A,FALSE,"매출채권현황";#N/A,#N/A,FALSE,"매출채권명세"}</definedName>
    <definedName name="회식대">#REF!</definedName>
    <definedName name="회의운영" localSheetId="14" hidden="1">{#N/A,#N/A,FALSE,"KMC최종회의(7월) 자료"}</definedName>
    <definedName name="회의운영" hidden="1">{#N/A,#N/A,FALSE,"KMC최종회의(7월) 자료"}</definedName>
    <definedName name="회장님업무보고재재수정" localSheetId="14" hidden="1">{"'5'!$A$1:$BB$147"}</definedName>
    <definedName name="회장님업무보고재재수정" hidden="1">{"'5'!$A$1:$BB$147"}</definedName>
    <definedName name="회현"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31"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획"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후후후" localSheetId="14" hidden="1">{"'미착금액'!$A$4:$G$14"}</definedName>
    <definedName name="후후후" localSheetId="13" hidden="1">{"'미착금액'!$A$4:$G$14"}</definedName>
    <definedName name="후후후" hidden="1">{"'미착금액'!$A$4:$G$14"}</definedName>
    <definedName name="훈" hidden="1">255</definedName>
    <definedName name="훌쇼ㅛㄷㅇ고ㅛㅈㄷ" localSheetId="14" hidden="1">{#N/A,#N/A,FALSE,"KMC최종회의(7월) 자료"}</definedName>
    <definedName name="훌쇼ㅛㄷㅇ고ㅛㅈㄷ" hidden="1">{#N/A,#N/A,FALSE,"KMC최종회의(7월) 자료"}</definedName>
    <definedName name="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휴" hidden="1">{#N/A,#N/A,FALSE,"손익표지";#N/A,#N/A,FALSE,"손익계산";#N/A,#N/A,FALSE,"일반관리비";#N/A,#N/A,FALSE,"영업외수익";#N/A,#N/A,FALSE,"영업외비용";#N/A,#N/A,FALSE,"매출액";#N/A,#N/A,FALSE,"요약손익";#N/A,#N/A,FALSE,"요약대차";#N/A,#N/A,FALSE,"매출채권현황";#N/A,#N/A,FALSE,"매출채권명세"}</definedName>
    <definedName name="휴가" localSheetId="14" hidden="1">{#N/A,#N/A,TRUE,"Y생산";#N/A,#N/A,TRUE,"Y판매";#N/A,#N/A,TRUE,"Y총물량";#N/A,#N/A,TRUE,"Y능력";#N/A,#N/A,TRUE,"YKD"}</definedName>
    <definedName name="휴가" hidden="1">{#N/A,#N/A,TRUE,"Y생산";#N/A,#N/A,TRUE,"Y판매";#N/A,#N/A,TRUE,"Y총물량";#N/A,#N/A,TRUE,"Y능력";#N/A,#N/A,TRUE,"YKD"}</definedName>
    <definedName name="휴휴ㅠㅜㅛㅝㅛ" localSheetId="14" hidden="1">{#N/A,#N/A,FALSE,"KMC최종회의(7월) 자료"}</definedName>
    <definedName name="휴휴ㅠㅜㅛㅝㅛ" hidden="1">{#N/A,#N/A,FALSE,"KMC최종회의(7월) 자료"}</definedName>
    <definedName name="휴ㅗ호ㅛㅛ" localSheetId="14" hidden="1">{#N/A,#N/A,FALSE,"KMC최종회의(7월) 자료"}</definedName>
    <definedName name="휴ㅗ호ㅛㅛ" hidden="1">{#N/A,#N/A,FALSE,"KMC최종회의(7월) 자료"}</definedName>
    <definedName name="휴ㅠㅛ굣" localSheetId="14" hidden="1">{#N/A,#N/A,FALSE,"KMC최종회의(7월) 자료"}</definedName>
    <definedName name="휴ㅠㅛ굣" hidden="1">{#N/A,#N/A,FALSE,"KMC최종회의(7월) 자료"}</definedName>
    <definedName name="흐름" localSheetId="14" hidden="1">{#N/A,#N/A,FALSE,"BS";#N/A,#N/A,FALSE,"PL";#N/A,#N/A,FALSE,"처분";#N/A,#N/A,FALSE,"현금";#N/A,#N/A,FALSE,"매출";#N/A,#N/A,FALSE,"원가";#N/A,#N/A,FALSE,"경영"}</definedName>
    <definedName name="흐름" localSheetId="13" hidden="1">{#N/A,#N/A,FALSE,"BS";#N/A,#N/A,FALSE,"PL";#N/A,#N/A,FALSE,"처분";#N/A,#N/A,FALSE,"현금";#N/A,#N/A,FALSE,"매출";#N/A,#N/A,FALSE,"원가";#N/A,#N/A,FALSE,"경영"}</definedName>
    <definedName name="흐름" hidden="1">{#N/A,#N/A,FALSE,"BS";#N/A,#N/A,FALSE,"PL";#N/A,#N/A,FALSE,"처분";#N/A,#N/A,FALSE,"현금";#N/A,#N/A,FALSE,"매출";#N/A,#N/A,FALSE,"원가";#N/A,#N/A,FALSE,"경영"}</definedName>
    <definedName name="ㅏ" localSheetId="14" hidden="1">{#N/A,#N/A,FALSE,"BS";#N/A,#N/A,FALSE,"PL";#N/A,#N/A,FALSE,"처분";#N/A,#N/A,FALSE,"현금";#N/A,#N/A,FALSE,"매출";#N/A,#N/A,FALSE,"원가";#N/A,#N/A,FALSE,"경영"}</definedName>
    <definedName name="ㅏ" localSheetId="13" hidden="1">{#N/A,#N/A,FALSE,"BS";#N/A,#N/A,FALSE,"PL";#N/A,#N/A,FALSE,"처분";#N/A,#N/A,FALSE,"현금";#N/A,#N/A,FALSE,"매출";#N/A,#N/A,FALSE,"원가";#N/A,#N/A,FALSE,"경영"}</definedName>
    <definedName name="ㅏ"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ㅏ" hidden="1">{#N/A,#N/A,FALSE,"BS";#N/A,#N/A,FALSE,"PL";#N/A,#N/A,FALSE,"처분";#N/A,#N/A,FALSE,"현금";#N/A,#N/A,FALSE,"매출";#N/A,#N/A,FALSE,"원가";#N/A,#N/A,FALSE,"경영"}</definedName>
    <definedName name="ㅏ가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ㅏ가가" hidden="1">{#N/A,#N/A,FALSE,"손익표지";#N/A,#N/A,FALSE,"손익계산";#N/A,#N/A,FALSE,"일반관리비";#N/A,#N/A,FALSE,"영업외수익";#N/A,#N/A,FALSE,"영업외비용";#N/A,#N/A,FALSE,"매출액";#N/A,#N/A,FALSE,"요약손익";#N/A,#N/A,FALSE,"요약대차";#N/A,#N/A,FALSE,"매출채권현황";#N/A,#N/A,FALSE,"매출채권명세"}</definedName>
    <definedName name="ㅏ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ㅏㅇ" hidden="1">{#N/A,#N/A,FALSE,"손익표지";#N/A,#N/A,FALSE,"손익계산";#N/A,#N/A,FALSE,"일반관리비";#N/A,#N/A,FALSE,"영업외수익";#N/A,#N/A,FALSE,"영업외비용";#N/A,#N/A,FALSE,"매출액";#N/A,#N/A,FALSE,"요약손익";#N/A,#N/A,FALSE,"요약대차";#N/A,#N/A,FALSE,"매출채권현황";#N/A,#N/A,FALSE,"매출채권명세"}</definedName>
    <definedName name="ㅏㅇㄴㅣ"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ㅏㅇㄴㅣ" hidden="1">{#N/A,#N/A,FALSE,"손익표지";#N/A,#N/A,FALSE,"손익계산";#N/A,#N/A,FALSE,"일반관리비";#N/A,#N/A,FALSE,"영업외수익";#N/A,#N/A,FALSE,"영업외비용";#N/A,#N/A,FALSE,"매출액";#N/A,#N/A,FALSE,"요약손익";#N/A,#N/A,FALSE,"요약대차";#N/A,#N/A,FALSE,"매출채권현황";#N/A,#N/A,FALSE,"매출채권명세"}</definedName>
    <definedName name="ㅏㅇㅈ이ㅏ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ㅏㅇㅈ이ㅏㅇ" hidden="1">{#N/A,#N/A,FALSE,"손익표지";#N/A,#N/A,FALSE,"손익계산";#N/A,#N/A,FALSE,"일반관리비";#N/A,#N/A,FALSE,"영업외수익";#N/A,#N/A,FALSE,"영업외비용";#N/A,#N/A,FALSE,"매출액";#N/A,#N/A,FALSE,"요약손익";#N/A,#N/A,FALSE,"요약대차";#N/A,#N/A,FALSE,"매출채권현황";#N/A,#N/A,FALSE,"매출채권명세"}</definedName>
    <definedName name="ㅏㅇㅣ"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ㅏㅇㅣ" hidden="1">{#N/A,#N/A,FALSE,"손익표지";#N/A,#N/A,FALSE,"손익계산";#N/A,#N/A,FALSE,"일반관리비";#N/A,#N/A,FALSE,"영업외수익";#N/A,#N/A,FALSE,"영업외비용";#N/A,#N/A,FALSE,"매출액";#N/A,#N/A,FALSE,"요약손익";#N/A,#N/A,FALSE,"요약대차";#N/A,#N/A,FALSE,"매출채권현황";#N/A,#N/A,FALSE,"매출채권명세"}</definedName>
    <definedName name="ㅏㅇㅣ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ㅏㅇㅣㄴ" hidden="1">{#N/A,#N/A,FALSE,"손익표지";#N/A,#N/A,FALSE,"손익계산";#N/A,#N/A,FALSE,"일반관리비";#N/A,#N/A,FALSE,"영업외수익";#N/A,#N/A,FALSE,"영업외비용";#N/A,#N/A,FALSE,"매출액";#N/A,#N/A,FALSE,"요약손익";#N/A,#N/A,FALSE,"요약대차";#N/A,#N/A,FALSE,"매출채권현황";#N/A,#N/A,FALSE,"매출채권명세"}</definedName>
    <definedName name="ㅏㅇㅣㄴㅏㅇㅣㅏ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ㅏㅇㅣㄴㅏㅇㅣㅏㅇ" hidden="1">{#N/A,#N/A,FALSE,"손익표지";#N/A,#N/A,FALSE,"손익계산";#N/A,#N/A,FALSE,"일반관리비";#N/A,#N/A,FALSE,"영업외수익";#N/A,#N/A,FALSE,"영업외비용";#N/A,#N/A,FALSE,"매출액";#N/A,#N/A,FALSE,"요약손익";#N/A,#N/A,FALSE,"요약대차";#N/A,#N/A,FALSE,"매출채권현황";#N/A,#N/A,FALSE,"매출채권명세"}</definedName>
    <definedName name="ㅏㅈ아ㅌ바ㅇㅈ바ㅈ바ㅇㅈ바ㅇㄱ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ㅏㅈ아ㅌ바ㅇㅈ바ㅈ바ㅇㅈ바ㅇㄱ자" hidden="1">{#N/A,#N/A,FALSE,"손익표지";#N/A,#N/A,FALSE,"손익계산";#N/A,#N/A,FALSE,"일반관리비";#N/A,#N/A,FALSE,"영업외수익";#N/A,#N/A,FALSE,"영업외비용";#N/A,#N/A,FALSE,"매출액";#N/A,#N/A,FALSE,"요약손익";#N/A,#N/A,FALSE,"요약대차";#N/A,#N/A,FALSE,"매출채권현황";#N/A,#N/A,FALSE,"매출채권명세"}</definedName>
    <definedName name="ㅏ자ㅇㄱ자ㅇ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ㅏ자ㅇㄱ자ㅇ자" hidden="1">{#N/A,#N/A,FALSE,"손익표지";#N/A,#N/A,FALSE,"손익계산";#N/A,#N/A,FALSE,"일반관리비";#N/A,#N/A,FALSE,"영업외수익";#N/A,#N/A,FALSE,"영업외비용";#N/A,#N/A,FALSE,"매출액";#N/A,#N/A,FALSE,"요약손익";#N/A,#N/A,FALSE,"요약대차";#N/A,#N/A,FALSE,"매출채권현황";#N/A,#N/A,FALSE,"매출채권명세"}</definedName>
    <definedName name="ㅏㅏ" localSheetId="14" hidden="1">{#N/A,#N/A,FALSE,"Aging Summary";#N/A,#N/A,FALSE,"Ratio Analysis";#N/A,#N/A,FALSE,"Test 120 Day Accts";#N/A,#N/A,FALSE,"Tickmarks"}</definedName>
    <definedName name="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localSheetId="14" hidden="1">{"'10_03일자별'!$A$2:$H$31"}</definedName>
    <definedName name="ㅏㅏㅏ" localSheetId="13" hidden="1">{"'10_03일자별'!$A$2:$H$31"}</definedName>
    <definedName name="ㅏㅏㅏ" hidden="1">{"'10_03일자별'!$A$2:$H$31"}</definedName>
    <definedName name="ㅏㅏㅏㅏ"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ㅏㅏㅏㅏ" hidden="1">{#N/A,#N/A,FALSE,"손익표지";#N/A,#N/A,FALSE,"손익계산";#N/A,#N/A,FALSE,"일반관리비";#N/A,#N/A,FALSE,"영업외수익";#N/A,#N/A,FALSE,"영업외비용";#N/A,#N/A,FALSE,"매출액";#N/A,#N/A,FALSE,"요약손익";#N/A,#N/A,FALSE,"요약대차";#N/A,#N/A,FALSE,"매출채권현황";#N/A,#N/A,FALSE,"매출채권명세"}</definedName>
    <definedName name="ㅏㅏㅏㅏㅏ"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ㅏㅏㅏㅏㅏ" hidden="1">{#N/A,#N/A,FALSE,"손익표지";#N/A,#N/A,FALSE,"손익계산";#N/A,#N/A,FALSE,"일반관리비";#N/A,#N/A,FALSE,"영업외수익";#N/A,#N/A,FALSE,"영업외비용";#N/A,#N/A,FALSE,"매출액";#N/A,#N/A,FALSE,"요약손익";#N/A,#N/A,FALSE,"요약대차";#N/A,#N/A,FALSE,"매출채권현황";#N/A,#N/A,FALSE,"매출채권명세"}</definedName>
    <definedName name="ㅏㅏㅏㅡㅡㄹㅡ"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ㅏㅏㅏㅡㅡㄹㅡ" hidden="1">{#N/A,#N/A,FALSE,"손익표지";#N/A,#N/A,FALSE,"손익계산";#N/A,#N/A,FALSE,"일반관리비";#N/A,#N/A,FALSE,"영업외수익";#N/A,#N/A,FALSE,"영업외비용";#N/A,#N/A,FALSE,"매출액";#N/A,#N/A,FALSE,"요약손익";#N/A,#N/A,FALSE,"요약대차";#N/A,#N/A,FALSE,"매출채권현황";#N/A,#N/A,FALSE,"매출채권명세"}</definedName>
    <definedName name="ㅏㅏㅡ"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ㅏㅏㅡ" hidden="1">{#N/A,#N/A,FALSE,"손익표지";#N/A,#N/A,FALSE,"손익계산";#N/A,#N/A,FALSE,"일반관리비";#N/A,#N/A,FALSE,"영업외수익";#N/A,#N/A,FALSE,"영업외비용";#N/A,#N/A,FALSE,"매출액";#N/A,#N/A,FALSE,"요약손익";#N/A,#N/A,FALSE,"요약대차";#N/A,#N/A,FALSE,"매출채권현황";#N/A,#N/A,FALSE,"매출채권명세"}</definedName>
    <definedName name="ㅏㅑㅑㅐ" localSheetId="14" hidden="1">{#N/A,#N/A,FALSE,"KMC최종회의(7월) 자료"}</definedName>
    <definedName name="ㅏㅑㅑㅐ" hidden="1">{#N/A,#N/A,FALSE,"KMC최종회의(7월) 자료"}</definedName>
    <definedName name="ㅏㅓ" localSheetId="14" hidden="1">{#N/A,#N/A,FALSE,"단축1";#N/A,#N/A,FALSE,"단축2";#N/A,#N/A,FALSE,"단축3";#N/A,#N/A,FALSE,"장축";#N/A,#N/A,FALSE,"4WD"}</definedName>
    <definedName name="ㅏㅓ" hidden="1">{#N/A,#N/A,FALSE,"단축1";#N/A,#N/A,FALSE,"단축2";#N/A,#N/A,FALSE,"단축3";#N/A,#N/A,FALSE,"장축";#N/A,#N/A,FALSE,"4WD"}</definedName>
    <definedName name="ㅏㅓㅏㄹㅇㅎ" localSheetId="14" hidden="1">{#N/A,#N/A,TRUE,"Y생산";#N/A,#N/A,TRUE,"Y판매";#N/A,#N/A,TRUE,"Y총물량";#N/A,#N/A,TRUE,"Y능력";#N/A,#N/A,TRUE,"YKD"}</definedName>
    <definedName name="ㅏㅓㅏㄹㅇㅎ" hidden="1">{#N/A,#N/A,TRUE,"Y생산";#N/A,#N/A,TRUE,"Y판매";#N/A,#N/A,TRUE,"Y총물량";#N/A,#N/A,TRUE,"Y능력";#N/A,#N/A,TRUE,"YKD"}</definedName>
    <definedName name="ㅏㅕㅕㅏ호" localSheetId="14" hidden="1">{#N/A,#N/A,FALSE,"KMC최종회의(7월) 자료"}</definedName>
    <definedName name="ㅏㅕㅕㅏ호" hidden="1">{#N/A,#N/A,FALSE,"KMC최종회의(7월) 자료"}</definedName>
    <definedName name="ㅏㅣ" localSheetId="14" hidden="1">{"'분양원가'!$B$1:$F$113"}</definedName>
    <definedName name="ㅏㅣ" localSheetId="13" hidden="1">{"'분양원가'!$B$1:$F$113"}</definedName>
    <definedName name="ㅏㅣ" hidden="1">{"'분양원가'!$B$1:$F$113"}</definedName>
    <definedName name="ㅏㅣㅇㄹ" localSheetId="14" hidden="1">{"'5'!$A$1:$BB$147"}</definedName>
    <definedName name="ㅏㅣㅇㄹ" hidden="1">{"'5'!$A$1:$BB$147"}</definedName>
    <definedName name="ㅏㅣㅣㅣ" localSheetId="14" hidden="1">{#N/A,#N/A,FALSE,"단축1";#N/A,#N/A,FALSE,"단축2";#N/A,#N/A,FALSE,"단축3";#N/A,#N/A,FALSE,"장축";#N/A,#N/A,FALSE,"4WD"}</definedName>
    <definedName name="ㅏㅣㅣㅣ" hidden="1">{#N/A,#N/A,FALSE,"단축1";#N/A,#N/A,FALSE,"단축2";#N/A,#N/A,FALSE,"단축3";#N/A,#N/A,FALSE,"장축";#N/A,#N/A,FALSE,"4WD"}</definedName>
    <definedName name="ㅐ" localSheetId="14"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ㅐ" hidden="1">{#N/A,#N/A,FALSE,"손익표지";#N/A,#N/A,FALSE,"손익계산";#N/A,#N/A,FALSE,"일반관리비";#N/A,#N/A,FALSE,"영업외수익";#N/A,#N/A,FALSE,"영업외비용";#N/A,#N/A,FALSE,"매출액";#N/A,#N/A,FALSE,"요약손익";#N/A,#N/A,FALSE,"요약대차";#N/A,#N/A,FALSE,"매출채권현황";#N/A,#N/A,FALSE,"매출채권명세"}</definedName>
    <definedName name="ㅐㅐ"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14" hidden="1">{#N/A,#N/A,FALSE,"지침";#N/A,#N/A,FALSE,"환경분석";#N/A,#N/A,FALSE,"Sheet16"}</definedName>
    <definedName name="ㅐ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ㅔㅔ" localSheetId="14" hidden="1">{#N/A,#N/A,FALSE,"BS";#N/A,#N/A,FALSE,"PL";#N/A,#N/A,FALSE,"처분";#N/A,#N/A,FALSE,"현금";#N/A,#N/A,FALSE,"매출";#N/A,#N/A,FALSE,"원가";#N/A,#N/A,FALSE,"경영"}</definedName>
    <definedName name="ㅐㅔㅔ" localSheetId="13" hidden="1">{#N/A,#N/A,FALSE,"BS";#N/A,#N/A,FALSE,"PL";#N/A,#N/A,FALSE,"처분";#N/A,#N/A,FALSE,"현금";#N/A,#N/A,FALSE,"매출";#N/A,#N/A,FALSE,"원가";#N/A,#N/A,FALSE,"경영"}</definedName>
    <definedName name="ㅐㅔㅔ" hidden="1">{#N/A,#N/A,FALSE,"BS";#N/A,#N/A,FALSE,"PL";#N/A,#N/A,FALSE,"처분";#N/A,#N/A,FALSE,"현금";#N/A,#N/A,FALSE,"매출";#N/A,#N/A,FALSE,"원가";#N/A,#N/A,FALSE,"경영"}</definedName>
    <definedName name="ㅐㅕ"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ㅐㅕ"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ㅑ"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ㅑㅑ" localSheetId="14" hidden="1">{#N/A,#N/A,FALSE,"KMC최종회의(7월) 자료"}</definedName>
    <definedName name="ㅑㅑ" hidden="1">{#N/A,#N/A,FALSE,"KMC최종회의(7월) 자료"}</definedName>
    <definedName name="ㅑㅕㅑㅑㅕㅑ" localSheetId="14" hidden="1">{#N/A,#N/A,FALSE,"KMC최종회의(7월) 자료"}</definedName>
    <definedName name="ㅑㅕㅑㅑㅕㅑ" hidden="1">{#N/A,#N/A,FALSE,"KMC최종회의(7월) 자료"}</definedName>
    <definedName name="ㅑㅖ"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ㅑㅖ" hidden="1">{#N/A,#N/A,FALSE,"손익표지";#N/A,#N/A,FALSE,"손익계산";#N/A,#N/A,FALSE,"일반관리비";#N/A,#N/A,FALSE,"영업외수익";#N/A,#N/A,FALSE,"영업외비용";#N/A,#N/A,FALSE,"매출액";#N/A,#N/A,FALSE,"요약손익";#N/A,#N/A,FALSE,"요약대차";#N/A,#N/A,FALSE,"매출채권현황";#N/A,#N/A,FALSE,"매출채권명세"}</definedName>
    <definedName name="ㅓ" localSheetId="14" hidden="1">{#N/A,#N/A,FALSE,"BS";#N/A,#N/A,FALSE,"PL";#N/A,#N/A,FALSE,"처분";#N/A,#N/A,FALSE,"현금";#N/A,#N/A,FALSE,"매출";#N/A,#N/A,FALSE,"원가";#N/A,#N/A,FALSE,"경영"}</definedName>
    <definedName name="ㅓ" localSheetId="13" hidden="1">{#N/A,#N/A,FALSE,"BS";#N/A,#N/A,FALSE,"PL";#N/A,#N/A,FALSE,"처분";#N/A,#N/A,FALSE,"현금";#N/A,#N/A,FALSE,"매출";#N/A,#N/A,FALSE,"원가";#N/A,#N/A,FALSE,"경영"}</definedName>
    <definedName name="ㅓ"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ㅓ" hidden="1">{#N/A,#N/A,FALSE,"BS";#N/A,#N/A,FALSE,"PL";#N/A,#N/A,FALSE,"처분";#N/A,#N/A,FALSE,"현금";#N/A,#N/A,FALSE,"매출";#N/A,#N/A,FALSE,"원가";#N/A,#N/A,FALSE,"경영"}</definedName>
    <definedName name="ㅓ24">'[110]신공항A-9(원가수정)'!$AB$7</definedName>
    <definedName name="ㅓ니닌"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로럴" localSheetId="14" hidden="1">{#N/A,#N/A,FALSE,"단축1";#N/A,#N/A,FALSE,"단축2";#N/A,#N/A,FALSE,"단축3";#N/A,#N/A,FALSE,"장축";#N/A,#N/A,FALSE,"4WD"}</definedName>
    <definedName name="ㅓ로럴" hidden="1">{#N/A,#N/A,FALSE,"단축1";#N/A,#N/A,FALSE,"단축2";#N/A,#N/A,FALSE,"단축3";#N/A,#N/A,FALSE,"장축";#N/A,#N/A,FALSE,"4WD"}</definedName>
    <definedName name="ㅓㅁㅎ퍅ㅇ노ㅓ" hidden="1">{#N/A,#N/A,FALSE,"PART-1234-8-12-9(41)";#N/A,#N/A,FALSE,"PARTS-2(3)";#N/A,#N/A,FALSE,"VAN SYSTEM";#N/A,#N/A,FALSE,"PARTS-10(26)";#N/A,#N/A,FALSE,"PART-5-6-7-11(14)";#N/A,#N/A,FALSE,"PARTS-4(3)";#N/A,#N/A,FALSE,"PCLASS"}</definedName>
    <definedName name="ㅓㅎ" localSheetId="14" hidden="1">{#N/A,#N/A,FALSE,"정공"}</definedName>
    <definedName name="ㅓㅎ" hidden="1">{#N/A,#N/A,FALSE,"정공"}</definedName>
    <definedName name="ㅓ호ㅓㅓㅡㅓㅡ" localSheetId="14" hidden="1">{#N/A,#N/A,FALSE,"KMC최종회의(7월) 자료"}</definedName>
    <definedName name="ㅓ호ㅓㅓㅡㅓㅡ" hidden="1">{#N/A,#N/A,FALSE,"KMC최종회의(7월) 자료"}</definedName>
    <definedName name="ㅓㅏ호ㅓ로ㅑㅗㅑㅐ햐" localSheetId="14" hidden="1">{#N/A,#N/A,FALSE,"96 3월물량표";#N/A,#N/A,FALSE,"96 4월물량표";#N/A,#N/A,FALSE,"96 5월물량표"}</definedName>
    <definedName name="ㅓㅏ호ㅓ로ㅑㅗㅑㅐ햐" hidden="1">{#N/A,#N/A,FALSE,"96 3월물량표";#N/A,#N/A,FALSE,"96 4월물량표";#N/A,#N/A,FALSE,"96 5월물량표"}</definedName>
    <definedName name="ㅓㅏㅣㅐㅐ" localSheetId="14" hidden="1">{#N/A,#N/A,FALSE,"BS";#N/A,#N/A,FALSE,"PL";#N/A,#N/A,FALSE,"처분";#N/A,#N/A,FALSE,"현금";#N/A,#N/A,FALSE,"매출";#N/A,#N/A,FALSE,"원가";#N/A,#N/A,FALSE,"경영"}</definedName>
    <definedName name="ㅓㅏㅣㅐㅐ" localSheetId="13" hidden="1">{#N/A,#N/A,FALSE,"BS";#N/A,#N/A,FALSE,"PL";#N/A,#N/A,FALSE,"처분";#N/A,#N/A,FALSE,"현금";#N/A,#N/A,FALSE,"매출";#N/A,#N/A,FALSE,"원가";#N/A,#N/A,FALSE,"경영"}</definedName>
    <definedName name="ㅓㅏㅣㅐㅐ" hidden="1">{#N/A,#N/A,FALSE,"BS";#N/A,#N/A,FALSE,"PL";#N/A,#N/A,FALSE,"처분";#N/A,#N/A,FALSE,"현금";#N/A,#N/A,FALSE,"매출";#N/A,#N/A,FALSE,"원가";#N/A,#N/A,FALSE,"경영"}</definedName>
    <definedName name="ㅓㅓ"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ㅓㅓ" hidden="1">{#N/A,#N/A,FALSE,"손익표지";#N/A,#N/A,FALSE,"손익계산";#N/A,#N/A,FALSE,"일반관리비";#N/A,#N/A,FALSE,"영업외수익";#N/A,#N/A,FALSE,"영업외비용";#N/A,#N/A,FALSE,"매출액";#N/A,#N/A,FALSE,"요약손익";#N/A,#N/A,FALSE,"요약대차";#N/A,#N/A,FALSE,"매출채권현황";#N/A,#N/A,FALSE,"매출채권명세"}</definedName>
    <definedName name="ㅓㅓㅓ" hidden="1">{#N/A,#N/A,FALSE,"97년 투자계획 세부내역 "}</definedName>
    <definedName name="ㅓㅓㅓㅣㅣㅣㅣ" localSheetId="14" hidden="1">{#N/A,#N/A,FALSE,"BS";#N/A,#N/A,FALSE,"PL";#N/A,#N/A,FALSE,"처분";#N/A,#N/A,FALSE,"현금";#N/A,#N/A,FALSE,"매출";#N/A,#N/A,FALSE,"원가";#N/A,#N/A,FALSE,"경영"}</definedName>
    <definedName name="ㅓㅓㅓㅣㅣㅣㅣ" localSheetId="13" hidden="1">{#N/A,#N/A,FALSE,"BS";#N/A,#N/A,FALSE,"PL";#N/A,#N/A,FALSE,"처분";#N/A,#N/A,FALSE,"현금";#N/A,#N/A,FALSE,"매출";#N/A,#N/A,FALSE,"원가";#N/A,#N/A,FALSE,"경영"}</definedName>
    <definedName name="ㅓㅓㅓㅣㅣㅣㅣ" hidden="1">{#N/A,#N/A,FALSE,"BS";#N/A,#N/A,FALSE,"PL";#N/A,#N/A,FALSE,"처분";#N/A,#N/A,FALSE,"현금";#N/A,#N/A,FALSE,"매출";#N/A,#N/A,FALSE,"원가";#N/A,#N/A,FALSE,"경영"}</definedName>
    <definedName name="ㅓㅕ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ㅓㅕㅐ" hidden="1">{#N/A,#N/A,FALSE,"손익표지";#N/A,#N/A,FALSE,"손익계산";#N/A,#N/A,FALSE,"일반관리비";#N/A,#N/A,FALSE,"영업외수익";#N/A,#N/A,FALSE,"영업외비용";#N/A,#N/A,FALSE,"매출액";#N/A,#N/A,FALSE,"요약손익";#N/A,#N/A,FALSE,"요약대차";#N/A,#N/A,FALSE,"매출채권현황";#N/A,#N/A,FALSE,"매출채권명세"}</definedName>
    <definedName name="ㅓㅕㅛ6ㅕㅓㅛㅕㅓㅛ" localSheetId="14" hidden="1">{#N/A,#N/A,FALSE,"KMC최종회의(7월) 자료"}</definedName>
    <definedName name="ㅓㅕㅛ6ㅕㅓㅛㅕㅓㅛ" hidden="1">{#N/A,#N/A,FALSE,"KMC최종회의(7월) 자료"}</definedName>
    <definedName name="ㅓㅕㅛㅓㅛㅕㅓㅕㅛ" localSheetId="14" hidden="1">{#N/A,#N/A,FALSE,"KMC최종회의(7월) 자료"}</definedName>
    <definedName name="ㅓㅕㅛㅓㅛㅕㅓㅕㅛ" hidden="1">{#N/A,#N/A,FALSE,"KMC최종회의(7월) 자료"}</definedName>
    <definedName name="ㅓㅗㅇ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localSheetId="14" hidden="1">[111]현금흐름표!$F$45</definedName>
    <definedName name="ㅓㅗㅓㅗㅓㅗ" hidden="1">[112]A1!$F$45</definedName>
    <definedName name="ㅓㅘㅓ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6ㅓㅕㅓ6ㅕ7ㅓ" localSheetId="14" hidden="1">{#N/A,#N/A,FALSE,"KMC최종회의(7월) 자료"}</definedName>
    <definedName name="ㅓㅛ6ㅓㅕㅓ6ㅕ7ㅓ" hidden="1">{#N/A,#N/A,FALSE,"KMC최종회의(7월) 자료"}</definedName>
    <definedName name="ㅓㅛㅕ6ㅓㅓ" localSheetId="14" hidden="1">{#N/A,#N/A,FALSE,"KMC최종회의(7월) 자료"}</definedName>
    <definedName name="ㅓㅛㅕ6ㅓㅓ" hidden="1">{#N/A,#N/A,FALSE,"KMC최종회의(7월) 자료"}</definedName>
    <definedName name="ㅓㅛㅡㅛㅓㅡㅛㅡㅓㅛㅓㅡ" localSheetId="14" hidden="1">{#N/A,#N/A,FALSE,"KMC최종회의(7월) 자료"}</definedName>
    <definedName name="ㅓㅛㅡㅛㅓㅡㅛㅡㅓㅛㅓㅡ" hidden="1">{#N/A,#N/A,FALSE,"KMC최종회의(7월) 자료"}</definedName>
    <definedName name="ㅓㅡㅓㅗ" localSheetId="14" hidden="1">{#N/A,#N/A,FALSE,"KMC최종회의(7월) 자료"}</definedName>
    <definedName name="ㅓㅡㅓㅗ" hidden="1">{#N/A,#N/A,FALSE,"KMC최종회의(7월) 자료"}</definedName>
    <definedName name="ㅔ" localSheetId="14" hidden="1">{#N/A,#N/A,FALSE,"PART-1234-8-12-9(41)";#N/A,#N/A,FALSE,"PARTS-2(3)";#N/A,#N/A,FALSE,"VAN SYSTEM";#N/A,#N/A,FALSE,"PARTS-10(26)";#N/A,#N/A,FALSE,"PART-5-6-7-11(14)";#N/A,#N/A,FALSE,"PARTS-4(3)";#N/A,#N/A,FALSE,"PCLASS"}</definedName>
    <definedName name="ㅔ" hidden="1">{#N/A,#N/A,FALSE,"손익표지";#N/A,#N/A,FALSE,"손익계산";#N/A,#N/A,FALSE,"일반관리비";#N/A,#N/A,FALSE,"영업외수익";#N/A,#N/A,FALSE,"영업외비용";#N/A,#N/A,FALSE,"매출액";#N/A,#N/A,FALSE,"요약손익";#N/A,#N/A,FALSE,"요약대차";#N/A,#N/A,FALSE,"매출채권현황";#N/A,#N/A,FALSE,"매출채권명세"}</definedName>
    <definedName name="ㅔㅔ" localSheetId="14" hidden="1">{#N/A,#N/A,FALSE,"Status";#N/A,#N/A,FALSE,"Deckblatt 1";#N/A,#N/A,FALSE,"Deckblatt2"}</definedName>
    <definedName name="ㅔㅔ" hidden="1">{#N/A,#N/A,FALSE,"Status";#N/A,#N/A,FALSE,"Deckblatt 1";#N/A,#N/A,FALSE,"Deckblatt2"}</definedName>
    <definedName name="ㅔㅔㅔ" hidden="1">{#N/A,#N/A,FALSE,"지침";#N/A,#N/A,FALSE,"환경분석";#N/A,#N/A,FALSE,"Sheet16"}</definedName>
    <definedName name="ㅕ" localSheetId="14" hidden="1">{#N/A,#N/A,FALSE,"BS";#N/A,#N/A,FALSE,"PL";#N/A,#N/A,FALSE,"처분";#N/A,#N/A,FALSE,"현금";#N/A,#N/A,FALSE,"매출";#N/A,#N/A,FALSE,"원가";#N/A,#N/A,FALSE,"경영"}</definedName>
    <definedName name="ㅕ" localSheetId="13" hidden="1">{#N/A,#N/A,FALSE,"BS";#N/A,#N/A,FALSE,"PL";#N/A,#N/A,FALSE,"처분";#N/A,#N/A,FALSE,"현금";#N/A,#N/A,FALSE,"매출";#N/A,#N/A,FALSE,"원가";#N/A,#N/A,FALSE,"경영"}</definedName>
    <definedName name="ㅕ"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ㅕ" hidden="1">{#N/A,#N/A,FALSE,"BS";#N/A,#N/A,FALSE,"PL";#N/A,#N/A,FALSE,"처분";#N/A,#N/A,FALSE,"현금";#N/A,#N/A,FALSE,"매출";#N/A,#N/A,FALSE,"원가";#N/A,#N/A,FALSE,"경영"}</definedName>
    <definedName name="ㅕ6ㅓㅛㅓㅕㅛ" localSheetId="14" hidden="1">{#N/A,#N/A,FALSE,"KMC최종회의(7월) 자료"}</definedName>
    <definedName name="ㅕ6ㅓㅛㅓㅕㅛ" hidden="1">{#N/A,#N/A,FALSE,"KMC최종회의(7월) 자료"}</definedName>
    <definedName name="ㅕ해" hidden="1">{#N/A,#N/A,FALSE,"지침";#N/A,#N/A,FALSE,"환경분석";#N/A,#N/A,FALSE,"Sheet16"}</definedName>
    <definedName name="ㅕㅏㅓㅕㅛㅏ7ㅓ" localSheetId="14" hidden="1">{#N/A,#N/A,FALSE,"KMC최종회의(7월) 자료"}</definedName>
    <definedName name="ㅕㅏㅓㅕㅛㅏ7ㅓ" hidden="1">{#N/A,#N/A,FALSE,"KMC최종회의(7월) 자료"}</definedName>
    <definedName name="ㅕ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ㅕㅐ" hidden="1">{#N/A,#N/A,FALSE,"손익표지";#N/A,#N/A,FALSE,"손익계산";#N/A,#N/A,FALSE,"일반관리비";#N/A,#N/A,FALSE,"영업외수익";#N/A,#N/A,FALSE,"영업외비용";#N/A,#N/A,FALSE,"매출액";#N/A,#N/A,FALSE,"요약손익";#N/A,#N/A,FALSE,"요약대차";#N/A,#N/A,FALSE,"매출채권현황";#N/A,#N/A,FALSE,"매출채권명세"}</definedName>
    <definedName name="ㅕㅐㅡㅣ"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ㅕㅐㅡㅣ" hidden="1">{#N/A,#N/A,FALSE,"손익표지";#N/A,#N/A,FALSE,"손익계산";#N/A,#N/A,FALSE,"일반관리비";#N/A,#N/A,FALSE,"영업외수익";#N/A,#N/A,FALSE,"영업외비용";#N/A,#N/A,FALSE,"매출액";#N/A,#N/A,FALSE,"요약손익";#N/A,#N/A,FALSE,"요약대차";#N/A,#N/A,FALSE,"매출채권현황";#N/A,#N/A,FALSE,"매출채권명세"}</definedName>
    <definedName name="ㅕㅓㅛㅕㅛㅓㅕㅛㅓㅏㅕ" localSheetId="14" hidden="1">{#N/A,#N/A,FALSE,"KMC최종회의(7월) 자료"}</definedName>
    <definedName name="ㅕㅓㅛㅕㅛㅓㅕㅛㅓㅏㅕ" hidden="1">{#N/A,#N/A,FALSE,"KMC최종회의(7월) 자료"}</definedName>
    <definedName name="ㅕㅕㅑㅑ" localSheetId="14" hidden="1">{#N/A,#N/A,FALSE,"KMC최종회의(7월) 자료"}</definedName>
    <definedName name="ㅕㅕㅑㅑ" hidden="1">{#N/A,#N/A,FALSE,"KMC최종회의(7월) 자료"}</definedName>
    <definedName name="ㅕㅕㅕ" localSheetId="14" hidden="1">{"'5'!$A$1:$BB$147"}</definedName>
    <definedName name="ㅕㅕㅕ" hidden="1">{"'5'!$A$1:$BB$147"}</definedName>
    <definedName name="ㅕㅕㅕㅕㅕ"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ㅕㅕㅕㅕㅕ" hidden="1">{#N/A,#N/A,FALSE,"손익표지";#N/A,#N/A,FALSE,"손익계산";#N/A,#N/A,FALSE,"일반관리비";#N/A,#N/A,FALSE,"영업외수익";#N/A,#N/A,FALSE,"영업외비용";#N/A,#N/A,FALSE,"매출액";#N/A,#N/A,FALSE,"요약손익";#N/A,#N/A,FALSE,"요약대차";#N/A,#N/A,FALSE,"매출채권현황";#N/A,#N/A,FALSE,"매출채권명세"}</definedName>
    <definedName name="ㅕㅛ" hidden="1">{#N/A,#N/A,FALSE,"지침";#N/A,#N/A,FALSE,"환경분석";#N/A,#N/A,FALSE,"Sheet16"}</definedName>
    <definedName name="ㅕㅛㅓㅕㅛㅓ" localSheetId="14" hidden="1">{#N/A,#N/A,FALSE,"KMC최종회의(7월) 자료"}</definedName>
    <definedName name="ㅕㅛㅓㅕㅛㅓ" hidden="1">{#N/A,#N/A,FALSE,"KMC최종회의(7월) 자료"}</definedName>
    <definedName name="ㅖ0" hidden="1">{#N/A,#N/A,FALSE,"PART-1234-8-12-9(41)";#N/A,#N/A,FALSE,"PARTS-2(3)";#N/A,#N/A,FALSE,"VAN SYSTEM";#N/A,#N/A,FALSE,"PARTS-10(26)";#N/A,#N/A,FALSE,"PART-5-6-7-11(14)";#N/A,#N/A,FALSE,"PARTS-4(3)";#N/A,#N/A,FALSE,"PCLASS"}</definedName>
    <definedName name="ㅖㅖ"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ㅗ" localSheetId="14" hidden="1">{#N/A,#N/A,FALSE,"BS";#N/A,#N/A,FALSE,"PL";#N/A,#N/A,FALSE,"처분";#N/A,#N/A,FALSE,"현금";#N/A,#N/A,FALSE,"매출";#N/A,#N/A,FALSE,"원가";#N/A,#N/A,FALSE,"경영"}</definedName>
    <definedName name="ㅗ" localSheetId="13" hidden="1">{#N/A,#N/A,FALSE,"BS";#N/A,#N/A,FALSE,"PL";#N/A,#N/A,FALSE,"처분";#N/A,#N/A,FALSE,"현금";#N/A,#N/A,FALSE,"매출";#N/A,#N/A,FALSE,"원가";#N/A,#N/A,FALSE,"경영"}</definedName>
    <definedName name="ㅗ"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ㅗ" hidden="1">{#N/A,#N/A,FALSE,"BS";#N/A,#N/A,FALSE,"PL";#N/A,#N/A,FALSE,"처분";#N/A,#N/A,FALSE,"현금";#N/A,#N/A,FALSE,"매출";#N/A,#N/A,FALSE,"원가";#N/A,#N/A,FALSE,"경영"}</definedName>
    <definedName name="ㅗ5ㅛ5ㅗ" localSheetId="14" hidden="1">{#N/A,#N/A,FALSE,"KMC최종회의(7월) 자료"}</definedName>
    <definedName name="ㅗ5ㅛ5ㅗ" hidden="1">{#N/A,#N/A,FALSE,"KMC최종회의(7월) 자료"}</definedName>
    <definedName name="ㅗ6ㅛ6ㅗㅛㅗㅗ" localSheetId="14" hidden="1">{#N/A,#N/A,FALSE,"KMC최종회의(7월) 자료"}</definedName>
    <definedName name="ㅗ6ㅛ6ㅗㅛㅗㅗ" hidden="1">{#N/A,#N/A,FALSE,"KMC최종회의(7월) 자료"}</definedName>
    <definedName name="ㅗsjyjtr"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ㅗㄹ독독돋ㄱㅎㅂ슈구" hidden="1">{#N/A,#N/A,FALSE,"PART-1234-8-12-9(41)";#N/A,#N/A,FALSE,"PARTS-2(3)";#N/A,#N/A,FALSE,"VAN SYSTEM";#N/A,#N/A,FALSE,"PARTS-10(26)";#N/A,#N/A,FALSE,"PART-5-6-7-11(14)";#N/A,#N/A,FALSE,"PARTS-4(3)";#N/A,#N/A,FALSE,"PCLASS"}</definedName>
    <definedName name="ㅗ라옹" localSheetId="14" hidden="1">{"'5'!$A$1:$BB$147"}</definedName>
    <definedName name="ㅗ라옹" hidden="1">{"'5'!$A$1:$BB$147"}</definedName>
    <definedName name="ㅗㅅ곡"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ㅅ교ㅗ교ㅜㅜ" localSheetId="14" hidden="1">{#N/A,#N/A,FALSE,"KMC최종회의(7월) 자료"}</definedName>
    <definedName name="ㅗㅅ교ㅗ교ㅜㅜ" hidden="1">{#N/A,#N/A,FALSE,"KMC최종회의(7월) 자료"}</definedName>
    <definedName name="ㅗ소5ㅛㅗㅛ5" localSheetId="14" hidden="1">{#N/A,#N/A,FALSE,"KMC최종회의(7월) 자료"}</definedName>
    <definedName name="ㅗ소5ㅛㅗㅛ5" hidden="1">{#N/A,#N/A,FALSE,"KMC최종회의(7월) 자료"}</definedName>
    <definedName name="ㅗㅎ" localSheetId="14" hidden="1">{#N/A,#N/A,TRUE,"Y생산";#N/A,#N/A,TRUE,"Y판매";#N/A,#N/A,TRUE,"Y총물량";#N/A,#N/A,TRUE,"Y능력";#N/A,#N/A,TRUE,"YKD"}</definedName>
    <definedName name="ㅗㅎ" hidden="1">{#N/A,#N/A,TRUE,"Y생산";#N/A,#N/A,TRUE,"Y판매";#N/A,#N/A,TRUE,"Y총물량";#N/A,#N/A,TRUE,"Y능력";#N/A,#N/A,TRUE,"YKD"}</definedName>
    <definedName name="ㅗ허호ㅓ"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흐ㅡㅊ" localSheetId="14" hidden="1">{#N/A,#N/A,FALSE,"KMC최종회의(7월) 자료"}</definedName>
    <definedName name="ㅗ흐ㅡㅊ" hidden="1">{#N/A,#N/A,FALSE,"KMC최종회의(7월) 자료"}</definedName>
    <definedName name="ㅗㅓ퐆처" localSheetId="14" hidden="1">{#N/A,#N/A,FALSE,"KMC최종회의(7월) 자료"}</definedName>
    <definedName name="ㅗㅓ퐆처" hidden="1">{#N/A,#N/A,FALSE,"KMC최종회의(7월) 자료"}</definedName>
    <definedName name="ㅗㅓㅗㅓ" localSheetId="14" hidden="1">{#N/A,#N/A,TRUE,"Y생산";#N/A,#N/A,TRUE,"Y판매";#N/A,#N/A,TRUE,"Y총물량";#N/A,#N/A,TRUE,"Y능력";#N/A,#N/A,TRUE,"YKD"}</definedName>
    <definedName name="ㅗㅓㅗㅓ" hidden="1">{#N/A,#N/A,TRUE,"Y생산";#N/A,#N/A,TRUE,"Y판매";#N/A,#N/A,TRUE,"Y총물량";#N/A,#N/A,TRUE,"Y능력";#N/A,#N/A,TRUE,"YKD"}</definedName>
    <definedName name="ㅗㅓㅠㅗ" localSheetId="14" hidden="1">{#N/A,#N/A,FALSE,"KMC최종회의(7월) 자료"}</definedName>
    <definedName name="ㅗㅓㅠㅗ" hidden="1">{#N/A,#N/A,FALSE,"KMC최종회의(7월) 자료"}</definedName>
    <definedName name="ㅗㅗ"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ㅗㅗ5ㅗㅛㅅㄱ" localSheetId="14" hidden="1">{#N/A,#N/A,FALSE,"KMC최종회의(7월) 자료"}</definedName>
    <definedName name="ㅗㅗ5ㅗㅛㅅㄱ" hidden="1">{#N/A,#N/A,FALSE,"KMC최종회의(7월) 자료"}</definedName>
    <definedName name="ㅗㅗㅇㅀㅇㅁㄴㅇ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ㅗㅗㅗㅗ" localSheetId="14" hidden="1">#REF!</definedName>
    <definedName name="ㅗㅗㅗㅗㅗㅗㅗ" hidden="1">#REF!</definedName>
    <definedName name="ㅗㅛㅕㅓㅕㅓㅏㅕㅓ" localSheetId="14" hidden="1">{#N/A,#N/A,FALSE,"KMC최종회의(7월) 자료"}</definedName>
    <definedName name="ㅗㅛㅕㅓㅕㅓㅏㅕㅓ" hidden="1">{#N/A,#N/A,FALSE,"KMC최종회의(7월) 자료"}</definedName>
    <definedName name="ㅗㅛㅛㅗ" localSheetId="14" hidden="1">{#N/A,#N/A,FALSE,"KMC최종회의(7월) 자료"}</definedName>
    <definedName name="ㅗㅛㅛㅗ" hidden="1">{#N/A,#N/A,FALSE,"KMC최종회의(7월) 자료"}</definedName>
    <definedName name="ㅗㅛㅛㅛ숏" localSheetId="14" hidden="1">{#N/A,#N/A,FALSE,"KMC최종회의(7월) 자료"}</definedName>
    <definedName name="ㅗㅛㅛㅛ숏" hidden="1">{#N/A,#N/A,FALSE,"KMC최종회의(7월) 자료"}</definedName>
    <definedName name="ㅗㅜ" localSheetId="14" hidden="1">{#N/A,#N/A,FALSE,"KMC최종회의(7월) 자료"}</definedName>
    <definedName name="ㅗㅜ" hidden="1">{#N/A,#N/A,FALSE,"KMC최종회의(7월) 자료"}</definedName>
    <definedName name="ㅗㅜㅜㅎㅎㅇ" localSheetId="14" hidden="1">{#N/A,#N/A,FALSE,"KMC최종회의(7월) 자료"}</definedName>
    <definedName name="ㅗㅜㅜㅎㅎㅇ" hidden="1">{#N/A,#N/A,FALSE,"KMC최종회의(7월) 자료"}</definedName>
    <definedName name="ㅗㅠㄴㄿ" localSheetId="14" hidden="1">{#N/A,#N/A,FALSE,"KMC최종회의(7월) 자료"}</definedName>
    <definedName name="ㅗㅠㄴㄿ" hidden="1">{#N/A,#N/A,FALSE,"KMC최종회의(7월) 자료"}</definedName>
    <definedName name="ㅗㅡ흐ㅠㅜㅠㅡㅜ" localSheetId="14" hidden="1">{#N/A,#N/A,FALSE,"KMC최종회의(7월) 자료"}</definedName>
    <definedName name="ㅗㅡ흐ㅠㅜㅠㅡㅜ" hidden="1">{#N/A,#N/A,FALSE,"KMC최종회의(7월) 자료"}</definedName>
    <definedName name="ㅚㅏㅗ"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14" hidden="1">{#N/A,#N/A,FALSE,"BS";#N/A,#N/A,FALSE,"PL";#N/A,#N/A,FALSE,"처분";#N/A,#N/A,FALSE,"현금";#N/A,#N/A,FALSE,"매출";#N/A,#N/A,FALSE,"원가";#N/A,#N/A,FALSE,"경영"}</definedName>
    <definedName name="ㅛ" localSheetId="13" hidden="1">{#N/A,#N/A,FALSE,"BS";#N/A,#N/A,FALSE,"PL";#N/A,#N/A,FALSE,"처분";#N/A,#N/A,FALSE,"현금";#N/A,#N/A,FALSE,"매출";#N/A,#N/A,FALSE,"원가";#N/A,#N/A,FALSE,"경영"}</definedName>
    <definedName name="ㅛ" localSheetId="31" hidden="1">{#N/A,#N/A,FALSE,"손익표지";#N/A,#N/A,FALSE,"손익계산";#N/A,#N/A,FALSE,"일반관리비";#N/A,#N/A,FALSE,"영업외수익";#N/A,#N/A,FALSE,"영업외비용";#N/A,#N/A,FALSE,"매출액";#N/A,#N/A,FALSE,"요약손익";#N/A,#N/A,FALSE,"요약대차";#N/A,#N/A,FALSE,"매출채권현황";#N/A,#N/A,FALSE,"매출채권명세"}</definedName>
    <definedName name="ㅛ" hidden="1">{#N/A,#N/A,FALSE,"BS";#N/A,#N/A,FALSE,"PL";#N/A,#N/A,FALSE,"처분";#N/A,#N/A,FALSE,"현금";#N/A,#N/A,FALSE,"매출";#N/A,#N/A,FALSE,"원가";#N/A,#N/A,FALSE,"경영"}</definedName>
    <definedName name="ㅛ섣"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호ㅓ" localSheetId="14" hidden="1">{#N/A,#N/A,FALSE,"KMC최종회의(7월) 자료"}</definedName>
    <definedName name="ㅛ호ㅓ" hidden="1">{#N/A,#N/A,FALSE,"KMC최종회의(7월) 자료"}</definedName>
    <definedName name="ㅛㅕㅏ" localSheetId="14" hidden="1">{#N/A,#N/A,TRUE,"Y생산";#N/A,#N/A,TRUE,"Y판매";#N/A,#N/A,TRUE,"Y총물량";#N/A,#N/A,TRUE,"Y능력";#N/A,#N/A,TRUE,"YKD"}</definedName>
    <definedName name="ㅛㅕㅏ" hidden="1">{#N/A,#N/A,TRUE,"Y생산";#N/A,#N/A,TRUE,"Y판매";#N/A,#N/A,TRUE,"Y총물량";#N/A,#N/A,TRUE,"Y능력";#N/A,#N/A,TRUE,"YKD"}</definedName>
    <definedName name="ㅛㅕㅓㅏㅛ" localSheetId="14" hidden="1">{#N/A,#N/A,FALSE,"KMC최종회의(7월) 자료"}</definedName>
    <definedName name="ㅛㅕㅓㅏㅛ" hidden="1">{#N/A,#N/A,FALSE,"KMC최종회의(7월) 자료"}</definedName>
    <definedName name="ㅛㅕㅓㅡㅛㅕㅏㅓㅛㅕㅏㅡㅡ" localSheetId="14" hidden="1">{#N/A,#N/A,FALSE,"KMC최종회의(7월) 자료"}</definedName>
    <definedName name="ㅛㅕㅓㅡㅛㅕㅏㅓㅛㅕㅏㅡㅡ" hidden="1">{#N/A,#N/A,FALSE,"KMC최종회의(7월) 자료"}</definedName>
    <definedName name="ㅛㅗ" localSheetId="14" hidden="1">{#N/A,#N/A,FALSE,"KMC최종회의(7월) 자료"}</definedName>
    <definedName name="ㅛㅗ" hidden="1">{#N/A,#N/A,FALSE,"KMC최종회의(7월) 자료"}</definedName>
    <definedName name="ㅛㅗ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ㅛㅗ호" hidden="1">{#N/A,#N/A,FALSE,"손익표지";#N/A,#N/A,FALSE,"손익계산";#N/A,#N/A,FALSE,"일반관리비";#N/A,#N/A,FALSE,"영업외수익";#N/A,#N/A,FALSE,"영업외비용";#N/A,#N/A,FALSE,"매출액";#N/A,#N/A,FALSE,"요약손익";#N/A,#N/A,FALSE,"요약대차";#N/A,#N/A,FALSE,"매출채권현황";#N/A,#N/A,FALSE,"매출채권명세"}</definedName>
    <definedName name="ㅛㅗㅓ" localSheetId="14" hidden="1">{#N/A,#N/A,FALSE,"KMC최종회의(7월) 자료"}</definedName>
    <definedName name="ㅛㅗㅓ" hidden="1">{#N/A,#N/A,FALSE,"KMC최종회의(7월) 자료"}</definedName>
    <definedName name="ㅛㅛ" localSheetId="14" hidden="1">{#N/A,#N/A,FALSE,"단축1";#N/A,#N/A,FALSE,"단축2";#N/A,#N/A,FALSE,"단축3";#N/A,#N/A,FALSE,"장축";#N/A,#N/A,FALSE,"4WD"}</definedName>
    <definedName name="ㅛㅛ" hidden="1">{#N/A,#N/A,FALSE,"단축1";#N/A,#N/A,FALSE,"단축2";#N/A,#N/A,FALSE,"단축3";#N/A,#N/A,FALSE,"장축";#N/A,#N/A,FALSE,"4WD"}</definedName>
    <definedName name="ㅛㅛㅜㅜ" localSheetId="14" hidden="1">{#N/A,#N/A,FALSE,"KMC최종회의(7월) 자료"}</definedName>
    <definedName name="ㅛㅛㅜㅜ" hidden="1">{#N/A,#N/A,FALSE,"KMC최종회의(7월) 자료"}</definedName>
    <definedName name="ㅛㅜㅛㅠㅜㅠㅜㅠ" localSheetId="14" hidden="1">{#N/A,#N/A,FALSE,"KMC최종회의(7월) 자료"}</definedName>
    <definedName name="ㅛㅜㅛㅠㅜㅠㅜㅠ" hidden="1">{#N/A,#N/A,FALSE,"KMC최종회의(7월) 자료"}</definedName>
    <definedName name="ㅜ" localSheetId="14" hidden="1">{#N/A,#N/A,FALSE,"PART-1234-8-12-9(41)";#N/A,#N/A,FALSE,"PARTS-2(3)";#N/A,#N/A,FALSE,"VAN SYSTEM";#N/A,#N/A,FALSE,"PARTS-10(26)";#N/A,#N/A,FALSE,"PART-5-6-7-11(14)";#N/A,#N/A,FALSE,"PARTS-4(3)";#N/A,#N/A,FALSE,"PCLASS"}</definedName>
    <definedName name="ㅜ" hidden="1">{#N/A,#N/A,FALSE,"단축1";#N/A,#N/A,FALSE,"단축2";#N/A,#N/A,FALSE,"단축3";#N/A,#N/A,FALSE,"장축";#N/A,#N/A,FALSE,"4WD"}</definedName>
    <definedName name="ㅜㄷㅅ2" hidden="1">[113]득점현황!#REF!</definedName>
    <definedName name="ㅜㅗ추ㅡㅡ" localSheetId="14" hidden="1">{#N/A,#N/A,FALSE,"KMC최종회의(7월) 자료"}</definedName>
    <definedName name="ㅜㅗ추ㅡㅡ" hidden="1">{#N/A,#N/A,FALSE,"KMC최종회의(7월) 자료"}</definedName>
    <definedName name="ㅜㅛㅛㅜㅛㅛ" localSheetId="14" hidden="1">{#N/A,#N/A,FALSE,"KMC최종회의(7월) 자료"}</definedName>
    <definedName name="ㅜㅛㅛㅜㅛㅛ" hidden="1">{#N/A,#N/A,FALSE,"KMC최종회의(7월) 자료"}</definedName>
    <definedName name="ㅜㅜ수수ㅜ" localSheetId="14" hidden="1">{#N/A,#N/A,FALSE,"KMC최종회의(7월) 자료"}</definedName>
    <definedName name="ㅜㅜ수수ㅜ" hidden="1">{#N/A,#N/A,FALSE,"KMC최종회의(7월) 자료"}</definedName>
    <definedName name="ㅜㅜㅜ" localSheetId="14" hidden="1">{"'5'!$A$1:$BB$147"}</definedName>
    <definedName name="ㅜㅜㅜ" hidden="1">{"'5'!$A$1:$BB$147"}</definedName>
    <definedName name="ㅜㅜㅜㅠ소ㅜ" localSheetId="14" hidden="1">{#N/A,#N/A,FALSE,"KMC최종회의(7월) 자료"}</definedName>
    <definedName name="ㅜㅜㅜㅠ소ㅜ" hidden="1">{#N/A,#N/A,FALSE,"KMC최종회의(7월) 자료"}</definedName>
    <definedName name="ㅜㅡㅡㅓ허" localSheetId="14" hidden="1">{#N/A,#N/A,FALSE,"KMC최종회의(7월) 자료"}</definedName>
    <definedName name="ㅜㅡㅡㅓ허" hidden="1">{#N/A,#N/A,FALSE,"KMC최종회의(7월) 자료"}</definedName>
    <definedName name="ㅝㅣ" localSheetId="14" hidden="1">{#N/A,#N/A,FALSE,"KMC최종회의(7월) 자료"}</definedName>
    <definedName name="ㅝㅣ" hidden="1">{#N/A,#N/A,FALSE,"KMC최종회의(7월) 자료"}</definedName>
    <definedName name="ㅠ" localSheetId="14" hidden="1">{#N/A,#N/A,FALSE,"Aging Summary";#N/A,#N/A,FALSE,"Ratio Analysis";#N/A,#N/A,FALSE,"Test 120 Day Accts";#N/A,#N/A,FALSE,"Tickmarks"}</definedName>
    <definedName name="ㅠ" hidden="1">{#N/A,#N/A,FALSE,"단축1";#N/A,#N/A,FALSE,"단축2";#N/A,#N/A,FALSE,"단축3";#N/A,#N/A,FALSE,"장축";#N/A,#N/A,FALSE,"4WD"}</definedName>
    <definedName name="ㅠㄹㅇㅇ류윤ㄹ" localSheetId="14" hidden="1">{#N/A,#N/A,FALSE,"KMC최종회의(7월) 자료"}</definedName>
    <definedName name="ㅠㄹㅇㅇ류윤ㄹ" hidden="1">{#N/A,#N/A,FALSE,"KMC최종회의(7월) 자료"}</definedName>
    <definedName name="ㅠ류유류" localSheetId="14" hidden="1">{#N/A,#N/A,FALSE,"KMC최종회의(7월) 자료"}</definedName>
    <definedName name="ㅠ류유류" hidden="1">{#N/A,#N/A,FALSE,"KMC최종회의(7월) 자료"}</definedName>
    <definedName name="ㅠㅇㄹㅇ류" localSheetId="14" hidden="1">{#N/A,#N/A,FALSE,"KMC최종회의(7월) 자료"}</definedName>
    <definedName name="ㅠㅇㄹㅇ류" hidden="1">{#N/A,#N/A,FALSE,"KMC최종회의(7월) 자료"}</definedName>
    <definedName name="ㅠㅇ루ㅗㅀ" localSheetId="14" hidden="1">{#N/A,#N/A,FALSE,"KMC최종회의(7월) 자료"}</definedName>
    <definedName name="ㅠㅇ루ㅗㅀ" hidden="1">{#N/A,#N/A,FALSE,"KMC최종회의(7월) 자료"}</definedName>
    <definedName name="ㅠ윻루" localSheetId="14" hidden="1">{#N/A,#N/A,FALSE,"KMC최종회의(7월) 자료"}</definedName>
    <definedName name="ㅠ윻루" hidden="1">{#N/A,#N/A,FALSE,"KMC최종회의(7월) 자료"}</definedName>
    <definedName name="ㅠㅋ" localSheetId="14" hidden="1">{#VALUE!,#N/A,FALSE,0}</definedName>
    <definedName name="ㅠㅋ" hidden="1">{#VALUE!,#N/A,FALSE,0}</definedName>
    <definedName name="ㅠㅍㅇㄴ"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ㅠㅍㅇㄴ" hidden="1">{#N/A,#N/A,FALSE,"손익표지";#N/A,#N/A,FALSE,"손익계산";#N/A,#N/A,FALSE,"일반관리비";#N/A,#N/A,FALSE,"영업외수익";#N/A,#N/A,FALSE,"영업외비용";#N/A,#N/A,FALSE,"매출액";#N/A,#N/A,FALSE,"요약손익";#N/A,#N/A,FALSE,"요약대차";#N/A,#N/A,FALSE,"매출채권현황";#N/A,#N/A,FALSE,"매출채권명세"}</definedName>
    <definedName name="ㅠㅍㅇㅌㄹ" localSheetId="14" hidden="1">{#N/A,#N/A,FALSE,"단축1";#N/A,#N/A,FALSE,"단축2";#N/A,#N/A,FALSE,"단축3";#N/A,#N/A,FALSE,"장축";#N/A,#N/A,FALSE,"4WD"}</definedName>
    <definedName name="ㅠㅍㅇㅌㄹ" hidden="1">{#N/A,#N/A,FALSE,"단축1";#N/A,#N/A,FALSE,"단축2";#N/A,#N/A,FALSE,"단축3";#N/A,#N/A,FALSE,"장축";#N/A,#N/A,FALSE,"4WD"}</definedName>
    <definedName name="ㅠㅍ튜ㅍㅊㅌㅍ" hidden="1">{#N/A,#N/A,FALSE,"PART-1234-8-12-9(41)";#N/A,#N/A,FALSE,"PARTS-2(3)";#N/A,#N/A,FALSE,"VAN SYSTEM";#N/A,#N/A,FALSE,"PARTS-10(26)";#N/A,#N/A,FALSE,"PART-5-6-7-11(14)";#N/A,#N/A,FALSE,"PARTS-4(3)";#N/A,#N/A,FALSE,"PCLASS"}</definedName>
    <definedName name="ㅠㅗ규ㅠ" localSheetId="14" hidden="1">{#N/A,#N/A,FALSE,"KMC최종회의(7월) 자료"}</definedName>
    <definedName name="ㅠㅗ규ㅠ" hidden="1">{#N/A,#N/A,FALSE,"KMC최종회의(7월) 자료"}</definedName>
    <definedName name="ㅠㅗㅜ" localSheetId="14" hidden="1">{#N/A,#N/A,FALSE,"KMC최종회의(7월) 자료"}</definedName>
    <definedName name="ㅠㅗㅜ" hidden="1">{#N/A,#N/A,FALSE,"KMC최종회의(7월) 자료"}</definedName>
    <definedName name="ㅠㅗㅠㅍㅇ류" localSheetId="14" hidden="1">{#N/A,#N/A,FALSE,"KMC최종회의(7월) 자료"}</definedName>
    <definedName name="ㅠㅗㅠㅍㅇ류" hidden="1">{#N/A,#N/A,FALSE,"KMC최종회의(7월) 자료"}</definedName>
    <definedName name="ㅠㅠ유ㅜ" localSheetId="14" hidden="1">{#N/A,#N/A,FALSE,"KMC최종회의(7월) 자료"}</definedName>
    <definedName name="ㅠㅠ유ㅜ" hidden="1">{#N/A,#N/A,FALSE,"KMC최종회의(7월) 자료"}</definedName>
    <definedName name="ㅠㅠㅠ" localSheetId="14" hidden="1">{#N/A,#N/A,FALSE,"지침";#N/A,#N/A,FALSE,"환경분석";#N/A,#N/A,FALSE,"Sheet16"}</definedName>
    <definedName name="ㅠㅠㅠ" hidden="1">{#N/A,#N/A,FALSE,"단축1";#N/A,#N/A,FALSE,"단축2";#N/A,#N/A,FALSE,"단축3";#N/A,#N/A,FALSE,"장축";#N/A,#N/A,FALSE,"4WD"}</definedName>
    <definedName name="ㅡ" localSheetId="14" hidden="1">{#N/A,#N/A,FALSE,"Aging Summary";#N/A,#N/A,FALSE,"Ratio Analysis";#N/A,#N/A,FALSE,"Test 120 Day Accts";#N/A,#N/A,FALSE,"Tickmarks"}</definedName>
    <definedName name="ㅡ"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ㅇㄴㅣㅡ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ㅡㅇㄴㅣㅡㅇ" hidden="1">{#N/A,#N/A,FALSE,"손익표지";#N/A,#N/A,FALSE,"손익계산";#N/A,#N/A,FALSE,"일반관리비";#N/A,#N/A,FALSE,"영업외수익";#N/A,#N/A,FALSE,"영업외비용";#N/A,#N/A,FALSE,"매출액";#N/A,#N/A,FALSE,"요약손익";#N/A,#N/A,FALSE,"요약대차";#N/A,#N/A,FALSE,"매출채권현황";#N/A,#N/A,FALSE,"매출채권명세"}</definedName>
    <definedName name="ㅡ호흐ㅗㅊ트ㅗ호" localSheetId="14" hidden="1">{#N/A,#N/A,FALSE,"KMC최종회의(7월) 자료"}</definedName>
    <definedName name="ㅡ호흐ㅗㅊ트ㅗ호" hidden="1">{#N/A,#N/A,FALSE,"KMC최종회의(7월) 자료"}</definedName>
    <definedName name="ㅡㅗ호흐ㅡ호ㅗ" localSheetId="14" hidden="1">{#N/A,#N/A,FALSE,"KMC최종회의(7월) 자료"}</definedName>
    <definedName name="ㅡㅗ호흐ㅡ호ㅗ" hidden="1">{#N/A,#N/A,FALSE,"KMC최종회의(7월) 자료"}</definedName>
    <definedName name="ㅡㅡㅡ" localSheetId="14" hidden="1">{#N/A,#N/A,FALSE,"지침";#N/A,#N/A,FALSE,"환경분석";#N/A,#N/A,FALSE,"Sheet16"}</definedName>
    <definedName name="ㅡㅡㅡ" hidden="1">{#N/A,#N/A,FALSE,"손익표지";#N/A,#N/A,FALSE,"손익계산";#N/A,#N/A,FALSE,"일반관리비";#N/A,#N/A,FALSE,"영업외수익";#N/A,#N/A,FALSE,"영업외비용";#N/A,#N/A,FALSE,"매출액";#N/A,#N/A,FALSE,"요약손익";#N/A,#N/A,FALSE,"요약대차";#N/A,#N/A,FALSE,"매출채권현황";#N/A,#N/A,FALSE,"매출채권명세"}</definedName>
    <definedName name="ㅡㅡㅡㅡㅜㅡ츄ㅡㅡ" localSheetId="14" hidden="1">{#N/A,#N/A,FALSE,"KMC최종회의(7월) 자료"}</definedName>
    <definedName name="ㅡㅡㅡㅡㅜㅡ츄ㅡㅡ" hidden="1">{#N/A,#N/A,FALSE,"KMC최종회의(7월) 자료"}</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ㅢ"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ㅢ" hidden="1">{#N/A,#N/A,FALSE,"손익표지";#N/A,#N/A,FALSE,"손익계산";#N/A,#N/A,FALSE,"일반관리비";#N/A,#N/A,FALSE,"영업외수익";#N/A,#N/A,FALSE,"영업외비용";#N/A,#N/A,FALSE,"매출액";#N/A,#N/A,FALSE,"요약손익";#N/A,#N/A,FALSE,"요약대차";#N/A,#N/A,FALSE,"매출채권현황";#N/A,#N/A,FALSE,"매출채권명세"}</definedName>
    <definedName name="ㅣ" localSheetId="14" hidden="1">{#N/A,#N/A,FALSE,"Aging Summary";#N/A,#N/A,FALSE,"Ratio Analysis";#N/A,#N/A,FALSE,"Test 120 Day Accts";#N/A,#N/A,FALSE,"Tickmarks"}</definedName>
    <definedName name="ㅣ" localSheetId="13" hidden="1">{#N/A,#N/A,FALSE,"정공"}</definedName>
    <definedName name="ㅣ" hidden="1">{#N/A,#N/A,FALSE,"손익표지";#N/A,#N/A,FALSE,"손익계산";#N/A,#N/A,FALSE,"일반관리비";#N/A,#N/A,FALSE,"영업외수익";#N/A,#N/A,FALSE,"영업외비용";#N/A,#N/A,FALSE,"매출액";#N/A,#N/A,FALSE,"요약손익";#N/A,#N/A,FALSE,"요약대차";#N/A,#N/A,FALSE,"매출채권현황";#N/A,#N/A,FALSE,"매출채권명세"}</definedName>
    <definedName name="ㅣ니니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ㅣ니니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ㅏ" localSheetId="14" hidden="1">{#N/A,#N/A,FALSE,"단축1";#N/A,#N/A,FALSE,"단축2";#N/A,#N/A,FALSE,"단축3";#N/A,#N/A,FALSE,"장축";#N/A,#N/A,FALSE,"4WD"}</definedName>
    <definedName name="ㅣㅏ" hidden="1">{#N/A,#N/A,FALSE,"단축1";#N/A,#N/A,FALSE,"단축2";#N/A,#N/A,FALSE,"단축3";#N/A,#N/A,FALSE,"장축";#N/A,#N/A,FALSE,"4WD"}</definedName>
    <definedName name="ㅣㅏ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ㅣㅏㅇ" hidden="1">{#N/A,#N/A,FALSE,"손익표지";#N/A,#N/A,FALSE,"손익계산";#N/A,#N/A,FALSE,"일반관리비";#N/A,#N/A,FALSE,"영업외수익";#N/A,#N/A,FALSE,"영업외비용";#N/A,#N/A,FALSE,"매출액";#N/A,#N/A,FALSE,"요약손익";#N/A,#N/A,FALSE,"요약대차";#N/A,#N/A,FALSE,"매출채권현황";#N/A,#N/A,FALSE,"매출채권명세"}</definedName>
    <definedName name="ㅣㅏㅇㄴㅏ"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ㅣㅏㅇㄴㅏ" hidden="1">{#N/A,#N/A,FALSE,"손익표지";#N/A,#N/A,FALSE,"손익계산";#N/A,#N/A,FALSE,"일반관리비";#N/A,#N/A,FALSE,"영업외수익";#N/A,#N/A,FALSE,"영업외비용";#N/A,#N/A,FALSE,"매출액";#N/A,#N/A,FALSE,"요약손익";#N/A,#N/A,FALSE,"요약대차";#N/A,#N/A,FALSE,"매출채권현황";#N/A,#N/A,FALSE,"매출채권명세"}</definedName>
    <definedName name="ㅣㅏㅏ" hidden="1">{#N/A,#N/A,FALSE,"97년 투자계획 세부내역 "}</definedName>
    <definedName name="ㅣㅏㅓ" hidden="1">{#N/A,#N/A,FALSE,"97년 투자계획 세부내역 "}</definedName>
    <definedName name="ㅣㅏㅓ일ㄴ어" localSheetId="14" hidden="1">{#N/A,#N/A,FALSE,"Status";#N/A,#N/A,FALSE,"Deckblatt 1";#N/A,#N/A,FALSE,"Deckblatt2"}</definedName>
    <definedName name="ㅣㅏㅓ일ㄴ어" hidden="1">{#N/A,#N/A,FALSE,"Status";#N/A,#N/A,FALSE,"Deckblatt 1";#N/A,#N/A,FALSE,"Deckblatt2"}</definedName>
    <definedName name="ㅣㅏㅣㅓㅊ홓ㄾ" localSheetId="14" hidden="1">{#N/A,#N/A,TRUE,"Y생산";#N/A,#N/A,TRUE,"Y판매";#N/A,#N/A,TRUE,"Y총물량";#N/A,#N/A,TRUE,"Y능력";#N/A,#N/A,TRUE,"YKD"}</definedName>
    <definedName name="ㅣㅏㅣㅓㅊ홓ㄾ" hidden="1">{#N/A,#N/A,TRUE,"Y생산";#N/A,#N/A,TRUE,"Y판매";#N/A,#N/A,TRUE,"Y총물량";#N/A,#N/A,TRUE,"Y능력";#N/A,#N/A,TRUE,"YKD"}</definedName>
    <definedName name="ㅣㅐ88ㅐㅕ" localSheetId="14" hidden="1">{#N/A,#N/A,FALSE,"KMC최종회의(7월) 자료"}</definedName>
    <definedName name="ㅣㅐ88ㅐㅕ" hidden="1">{#N/A,#N/A,FALSE,"KMC최종회의(7월) 자료"}</definedName>
    <definedName name="ㅣㅗㅓㄴ" localSheetId="14" hidden="1">{#N/A,#N/A,TRUE,"Y생산";#N/A,#N/A,TRUE,"Y판매";#N/A,#N/A,TRUE,"Y총물량";#N/A,#N/A,TRUE,"Y능력";#N/A,#N/A,TRUE,"YKD"}</definedName>
    <definedName name="ㅣㅗㅓㄴ" hidden="1">{#N/A,#N/A,TRUE,"Y생산";#N/A,#N/A,TRUE,"Y판매";#N/A,#N/A,TRUE,"Y총물량";#N/A,#N/A,TRUE,"Y능력";#N/A,#N/A,TRUE,"YKD"}</definedName>
    <definedName name="ㅣㅣ" localSheetId="14" hidden="1">#REF!</definedName>
    <definedName name="ㅣㅣ" hidden="1">#REF!</definedName>
    <definedName name="ㅣㅣㅣ" hidden="1">{#N/A,#N/A,FALSE,"97년 투자계획 세부내역 "}</definedName>
    <definedName name="ㅣㅣㅣㅣ" localSheetId="14" hidden="1">{#N/A,#N/A,FALSE,"BS";#N/A,#N/A,FALSE,"PL";#N/A,#N/A,FALSE,"처분";#N/A,#N/A,FALSE,"현금";#N/A,#N/A,FALSE,"매출";#N/A,#N/A,FALSE,"원가";#N/A,#N/A,FALSE,"경영"}</definedName>
    <definedName name="ㅣㅣㅣㅣ" localSheetId="13" hidden="1">{#N/A,#N/A,FALSE,"BS";#N/A,#N/A,FALSE,"PL";#N/A,#N/A,FALSE,"처분";#N/A,#N/A,FALSE,"현금";#N/A,#N/A,FALSE,"매출";#N/A,#N/A,FALSE,"원가";#N/A,#N/A,FALSE,"경영"}</definedName>
    <definedName name="ㅣㅣㅣㅣ" hidden="1">{#N/A,#N/A,FALSE,"BS";#N/A,#N/A,FALSE,"PL";#N/A,#N/A,FALSE,"처분";#N/A,#N/A,FALSE,"현금";#N/A,#N/A,FALSE,"매출";#N/A,#N/A,FALSE,"원가";#N/A,#N/A,FALSE,"경영"}</definedName>
    <definedName name="ㅣㅣㅣㅣㅣ" localSheetId="14" hidden="1">{#N/A,#N/A,FALSE,"인원";#N/A,#N/A,FALSE,"비용2";#N/A,#N/A,FALSE,"비용1";#N/A,#N/A,FALSE,"비용";#N/A,#N/A,FALSE,"보증2";#N/A,#N/A,FALSE,"보증1";#N/A,#N/A,FALSE,"보증";#N/A,#N/A,FALSE,"손익1";#N/A,#N/A,FALSE,"손익";#N/A,#N/A,FALSE,"부서별매출";#N/A,#N/A,FALSE,"매출"}</definedName>
    <definedName name="ㅣㅣㅣㅣㅣ" hidden="1">{#N/A,#N/A,FALSE,"인원";#N/A,#N/A,FALSE,"비용2";#N/A,#N/A,FALSE,"비용1";#N/A,#N/A,FALSE,"비용";#N/A,#N/A,FALSE,"보증2";#N/A,#N/A,FALSE,"보증1";#N/A,#N/A,FALSE,"보증";#N/A,#N/A,FALSE,"손익1";#N/A,#N/A,FALSE,"손익";#N/A,#N/A,FALSE,"부서별매출";#N/A,#N/A,FALSE,"매출"}</definedName>
    <definedName name="ㅣㅣㅣㅣㅣㅣㅣㅣㅣㅣㅣㅣㅣㅣㅣㅣㅣㅣㅣ"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s>
  <calcPr calcId="152511" calcMode="autoNoTable" iterate="1"/>
</workbook>
</file>

<file path=xl/calcChain.xml><?xml version="1.0" encoding="utf-8"?>
<calcChain xmlns="http://schemas.openxmlformats.org/spreadsheetml/2006/main">
  <c r="I44" i="414" l="1"/>
  <c r="I40" i="414"/>
  <c r="I29" i="414"/>
  <c r="G69" i="414"/>
  <c r="F69" i="414"/>
  <c r="E69" i="414"/>
  <c r="D69" i="414"/>
  <c r="C69" i="414"/>
  <c r="C24" i="235" l="1"/>
  <c r="C25" i="235"/>
  <c r="M31" i="421"/>
  <c r="M23" i="421"/>
  <c r="K202" i="13" l="1"/>
  <c r="K88" i="13"/>
  <c r="G52" i="414" l="1"/>
  <c r="I17" i="414"/>
  <c r="I12" i="414"/>
  <c r="I14" i="414"/>
  <c r="S50" i="412" l="1"/>
  <c r="R50" i="412"/>
  <c r="Q50" i="412"/>
  <c r="P50" i="412"/>
  <c r="O50" i="412"/>
  <c r="N50" i="412"/>
  <c r="S49" i="412"/>
  <c r="R49" i="412"/>
  <c r="Q49" i="412"/>
  <c r="P49" i="412"/>
  <c r="O49" i="412"/>
  <c r="N49" i="412"/>
  <c r="S48" i="412"/>
  <c r="R48" i="412"/>
  <c r="Q48" i="412"/>
  <c r="P48" i="412"/>
  <c r="O48" i="412"/>
  <c r="N48" i="412"/>
  <c r="S47" i="412"/>
  <c r="R47" i="412"/>
  <c r="Q47" i="412"/>
  <c r="P47" i="412"/>
  <c r="O47" i="412"/>
  <c r="N47" i="412"/>
  <c r="S44" i="412"/>
  <c r="R44" i="412"/>
  <c r="Q44" i="412"/>
  <c r="P44" i="412"/>
  <c r="O44" i="412"/>
  <c r="N44" i="412"/>
  <c r="S43" i="412"/>
  <c r="R43" i="412"/>
  <c r="Q43" i="412"/>
  <c r="P43" i="412"/>
  <c r="O43" i="412"/>
  <c r="N43" i="412"/>
  <c r="S42" i="412"/>
  <c r="R42" i="412"/>
  <c r="Q42" i="412"/>
  <c r="P42" i="412"/>
  <c r="O42" i="412"/>
  <c r="N42" i="412"/>
  <c r="S41" i="412"/>
  <c r="R41" i="412"/>
  <c r="Q41" i="412"/>
  <c r="P41" i="412"/>
  <c r="O41" i="412"/>
  <c r="N41" i="412"/>
  <c r="H146" i="415"/>
  <c r="C204" i="13" l="1"/>
  <c r="C203" i="13"/>
  <c r="C202" i="13"/>
  <c r="O184" i="415" l="1"/>
  <c r="N184" i="415"/>
  <c r="M184" i="415"/>
  <c r="L184" i="415"/>
  <c r="K184" i="415"/>
  <c r="J71" i="415"/>
  <c r="J67" i="415"/>
  <c r="J64" i="415"/>
  <c r="J19" i="16" l="1"/>
  <c r="I17" i="235"/>
  <c r="H167" i="415" l="1"/>
  <c r="G167" i="415"/>
  <c r="F167" i="415"/>
  <c r="E167" i="415"/>
  <c r="D167" i="415"/>
  <c r="H159" i="415"/>
  <c r="G159" i="415"/>
  <c r="F159" i="415"/>
  <c r="E159" i="415"/>
  <c r="D159" i="415"/>
  <c r="H91" i="415"/>
  <c r="G91" i="415"/>
  <c r="F91" i="415"/>
  <c r="E91" i="415"/>
  <c r="D91" i="415"/>
  <c r="H83" i="415"/>
  <c r="G83" i="415"/>
  <c r="F83" i="415"/>
  <c r="E83" i="415"/>
  <c r="D83" i="415"/>
  <c r="H128" i="415"/>
  <c r="G128" i="415"/>
  <c r="F128" i="415"/>
  <c r="E128" i="415"/>
  <c r="D128" i="415"/>
  <c r="H120" i="415"/>
  <c r="G120" i="415"/>
  <c r="F120" i="415"/>
  <c r="E120" i="415"/>
  <c r="D120" i="415"/>
  <c r="E12" i="17" l="1"/>
  <c r="S38" i="422"/>
  <c r="T30" i="422"/>
  <c r="S30" i="422"/>
  <c r="R30" i="422"/>
  <c r="Q30" i="422"/>
  <c r="P30" i="422"/>
  <c r="K49" i="14" l="1"/>
  <c r="H34" i="13"/>
  <c r="H42" i="13"/>
  <c r="H50" i="13"/>
  <c r="H46" i="13"/>
  <c r="O45" i="13"/>
  <c r="N45" i="13"/>
  <c r="M45" i="13"/>
  <c r="L45" i="13"/>
  <c r="K45" i="13"/>
  <c r="J45" i="13"/>
  <c r="H45" i="13"/>
  <c r="G45" i="13"/>
  <c r="F45" i="13"/>
  <c r="E45" i="13"/>
  <c r="D45" i="13"/>
  <c r="C45" i="13"/>
  <c r="O41" i="13"/>
  <c r="N41" i="13"/>
  <c r="M41" i="13"/>
  <c r="L41" i="13"/>
  <c r="K41" i="13"/>
  <c r="J41" i="13"/>
  <c r="H41" i="13"/>
  <c r="G41" i="13"/>
  <c r="F41" i="13"/>
  <c r="E41" i="13"/>
  <c r="D41" i="13"/>
  <c r="C41" i="13"/>
  <c r="H216" i="13"/>
  <c r="G216" i="13"/>
  <c r="F216" i="13"/>
  <c r="E216" i="13"/>
  <c r="D216" i="13"/>
  <c r="C216" i="13"/>
  <c r="H298" i="13"/>
  <c r="G298" i="13"/>
  <c r="F298" i="13"/>
  <c r="E298" i="13"/>
  <c r="D298" i="13"/>
  <c r="C298" i="13"/>
  <c r="C303" i="13"/>
  <c r="D303" i="13"/>
  <c r="D304" i="13" s="1"/>
  <c r="E303" i="13"/>
  <c r="E304" i="13" s="1"/>
  <c r="F303" i="13"/>
  <c r="G303" i="13"/>
  <c r="G304" i="13" s="1"/>
  <c r="H303" i="13"/>
  <c r="F304" i="13"/>
  <c r="O297" i="13"/>
  <c r="N297" i="13"/>
  <c r="M297" i="13"/>
  <c r="L297" i="13"/>
  <c r="K297" i="13"/>
  <c r="J297" i="13"/>
  <c r="I297" i="13"/>
  <c r="H297" i="13"/>
  <c r="G297" i="13"/>
  <c r="F297" i="13"/>
  <c r="E297" i="13"/>
  <c r="D297" i="13"/>
  <c r="C297" i="13"/>
  <c r="B297" i="13"/>
  <c r="H115" i="13" l="1"/>
  <c r="H110" i="13" s="1"/>
  <c r="H97" i="13" s="1"/>
  <c r="G115" i="13"/>
  <c r="G110" i="13" s="1"/>
  <c r="G97" i="13" s="1"/>
  <c r="F115" i="13"/>
  <c r="E115" i="13"/>
  <c r="D115" i="13"/>
  <c r="D110" i="13" s="1"/>
  <c r="D97" i="13" s="1"/>
  <c r="C115" i="13"/>
  <c r="C110" i="13" s="1"/>
  <c r="C97" i="13" s="1"/>
  <c r="L116" i="13"/>
  <c r="M116" i="13" s="1"/>
  <c r="N116" i="13" s="1"/>
  <c r="O116" i="13" s="1"/>
  <c r="O109" i="13"/>
  <c r="N109" i="13"/>
  <c r="M109" i="13"/>
  <c r="L109" i="13"/>
  <c r="K109" i="13"/>
  <c r="J109" i="13"/>
  <c r="I109" i="13"/>
  <c r="H109" i="13"/>
  <c r="G109" i="13"/>
  <c r="F109" i="13"/>
  <c r="E109" i="13"/>
  <c r="D109" i="13"/>
  <c r="C109" i="13"/>
  <c r="B109" i="13"/>
  <c r="D98" i="13" l="1"/>
  <c r="J115" i="13"/>
  <c r="J110" i="13" s="1"/>
  <c r="J97" i="13" s="1"/>
  <c r="J98" i="13" s="1"/>
  <c r="H111" i="13"/>
  <c r="E110" i="13"/>
  <c r="E97" i="13" s="1"/>
  <c r="E98" i="13" s="1"/>
  <c r="F110" i="13"/>
  <c r="F97" i="13" s="1"/>
  <c r="G98" i="13" s="1"/>
  <c r="F98" i="13" l="1"/>
  <c r="F111" i="13"/>
  <c r="E111" i="13"/>
  <c r="G111" i="13"/>
  <c r="D111" i="13"/>
  <c r="J111" i="13"/>
  <c r="I21" i="15"/>
  <c r="I19" i="15" s="1"/>
  <c r="I24" i="15"/>
  <c r="I26" i="15"/>
  <c r="I28" i="15"/>
  <c r="I30" i="15"/>
  <c r="I32" i="15"/>
  <c r="I34" i="15"/>
  <c r="I36" i="15"/>
  <c r="I38" i="15"/>
  <c r="I39" i="15"/>
  <c r="K16" i="16"/>
  <c r="K11" i="16"/>
  <c r="J16" i="16"/>
  <c r="J11" i="16"/>
  <c r="J15" i="16"/>
  <c r="J10" i="16"/>
  <c r="J7" i="16"/>
  <c r="J151" i="15"/>
  <c r="J131" i="15"/>
  <c r="J50" i="15"/>
  <c r="J109" i="14"/>
  <c r="J54" i="14"/>
  <c r="J151" i="415"/>
  <c r="J112" i="415"/>
  <c r="J75" i="415"/>
  <c r="J169" i="12"/>
  <c r="J108" i="12"/>
  <c r="J70" i="12"/>
  <c r="J5" i="12"/>
  <c r="G195" i="12"/>
  <c r="G191" i="12"/>
  <c r="G188" i="12"/>
  <c r="G185" i="12"/>
  <c r="G182" i="12"/>
  <c r="G179" i="12"/>
  <c r="G175" i="12"/>
  <c r="G171" i="12"/>
  <c r="G155" i="12"/>
  <c r="G152" i="12"/>
  <c r="G149" i="12"/>
  <c r="G146" i="12"/>
  <c r="G143" i="12"/>
  <c r="G140" i="12"/>
  <c r="G137" i="12"/>
  <c r="G134" i="12"/>
  <c r="G130" i="12"/>
  <c r="G127" i="12"/>
  <c r="G124" i="12"/>
  <c r="G121" i="12"/>
  <c r="G118" i="12"/>
  <c r="G114" i="12"/>
  <c r="G110" i="12"/>
  <c r="G97" i="12"/>
  <c r="G93" i="12"/>
  <c r="G90" i="12"/>
  <c r="G87" i="12"/>
  <c r="G84" i="12"/>
  <c r="G81" i="12"/>
  <c r="G76" i="12"/>
  <c r="G72" i="12"/>
  <c r="G60" i="12"/>
  <c r="G57" i="12"/>
  <c r="G54" i="12"/>
  <c r="G51" i="12"/>
  <c r="G48" i="12"/>
  <c r="G45" i="12"/>
  <c r="G42" i="12"/>
  <c r="G39" i="12"/>
  <c r="H307" i="13"/>
  <c r="H289" i="13"/>
  <c r="H285" i="13"/>
  <c r="H281" i="13"/>
  <c r="H277" i="13"/>
  <c r="H273" i="13"/>
  <c r="H269" i="13"/>
  <c r="H265" i="13"/>
  <c r="H261" i="13"/>
  <c r="H257" i="13"/>
  <c r="H253" i="13"/>
  <c r="H249" i="13"/>
  <c r="H245" i="13"/>
  <c r="H241" i="13"/>
  <c r="H237" i="13"/>
  <c r="H233" i="13"/>
  <c r="H229" i="13"/>
  <c r="H200" i="13"/>
  <c r="H167" i="13"/>
  <c r="H163" i="13"/>
  <c r="H159" i="13"/>
  <c r="H155" i="13"/>
  <c r="H151" i="13"/>
  <c r="H147" i="13"/>
  <c r="H143" i="13"/>
  <c r="H139" i="13"/>
  <c r="H135" i="13"/>
  <c r="H131" i="13"/>
  <c r="H171" i="13"/>
  <c r="H175" i="13"/>
  <c r="H179" i="13"/>
  <c r="H183" i="13"/>
  <c r="H187" i="13"/>
  <c r="H127" i="13"/>
  <c r="H145" i="415"/>
  <c r="H141" i="415"/>
  <c r="H137" i="415"/>
  <c r="H133" i="415"/>
  <c r="H125" i="415"/>
  <c r="H117" i="415"/>
  <c r="H106" i="415"/>
  <c r="H102" i="415"/>
  <c r="H98" i="415"/>
  <c r="H94" i="415"/>
  <c r="H88" i="415"/>
  <c r="H80" i="415"/>
  <c r="H86" i="13"/>
  <c r="Z18" i="412"/>
  <c r="Z17" i="412"/>
  <c r="Z16" i="412"/>
  <c r="Z15" i="412"/>
  <c r="Z14" i="412"/>
  <c r="Z13" i="412"/>
  <c r="Z12" i="412"/>
  <c r="Z11" i="412"/>
  <c r="Z10" i="412"/>
  <c r="Z9" i="412"/>
  <c r="Z8" i="412"/>
  <c r="Z7" i="412"/>
  <c r="Z6" i="412"/>
  <c r="Z5" i="412"/>
  <c r="S36" i="412"/>
  <c r="S35" i="412"/>
  <c r="S34" i="412"/>
  <c r="S33" i="412"/>
  <c r="S30" i="412"/>
  <c r="S29" i="412"/>
  <c r="S28" i="412"/>
  <c r="S27" i="412"/>
  <c r="S17" i="412"/>
  <c r="S16" i="412"/>
  <c r="S15" i="412"/>
  <c r="S14" i="412"/>
  <c r="S12" i="412"/>
  <c r="S10" i="412"/>
  <c r="S9" i="412"/>
  <c r="S8" i="412"/>
  <c r="S7" i="412"/>
  <c r="S5" i="412"/>
  <c r="S21" i="412" s="1"/>
  <c r="S20" i="412"/>
  <c r="S19" i="412"/>
  <c r="G36" i="412"/>
  <c r="G35" i="412"/>
  <c r="G37" i="412" s="1"/>
  <c r="F36" i="412"/>
  <c r="F35" i="412"/>
  <c r="E36" i="412"/>
  <c r="E35" i="412"/>
  <c r="E37" i="412" s="1"/>
  <c r="D36" i="412"/>
  <c r="D35" i="412"/>
  <c r="C36" i="412"/>
  <c r="C35" i="412"/>
  <c r="H17" i="411"/>
  <c r="H14" i="411"/>
  <c r="P14" i="411"/>
  <c r="H67" i="405"/>
  <c r="H12" i="404"/>
  <c r="H147" i="415" l="1"/>
  <c r="H143" i="415"/>
  <c r="H139" i="415"/>
  <c r="H108" i="415"/>
  <c r="H104" i="415"/>
  <c r="H100" i="415"/>
  <c r="H92" i="415"/>
  <c r="H86" i="415"/>
  <c r="H135" i="415"/>
  <c r="H224" i="13"/>
  <c r="H122" i="13"/>
  <c r="S13" i="412"/>
  <c r="S18" i="412" s="1"/>
  <c r="S6" i="412"/>
  <c r="S11" i="412" s="1"/>
  <c r="F37" i="412"/>
  <c r="I36" i="412"/>
  <c r="J36" i="412" s="1"/>
  <c r="I35" i="412"/>
  <c r="J35" i="412" s="1"/>
  <c r="H36" i="412"/>
  <c r="H37" i="412" s="1"/>
  <c r="H35" i="412"/>
  <c r="C37" i="412"/>
  <c r="D37" i="412"/>
  <c r="H40" i="411"/>
  <c r="S22" i="412" l="1"/>
  <c r="O274" i="13"/>
  <c r="N274" i="13"/>
  <c r="M274" i="13"/>
  <c r="L274" i="13"/>
  <c r="O242" i="13"/>
  <c r="N242" i="13"/>
  <c r="M242" i="13"/>
  <c r="L242" i="13"/>
  <c r="O238" i="13"/>
  <c r="N238" i="13"/>
  <c r="M238" i="13"/>
  <c r="L238" i="13"/>
  <c r="O188" i="13"/>
  <c r="N188" i="13"/>
  <c r="M188" i="13"/>
  <c r="L188" i="13"/>
  <c r="O184" i="13"/>
  <c r="N184" i="13"/>
  <c r="M184" i="13"/>
  <c r="L184" i="13"/>
  <c r="O136" i="13"/>
  <c r="N136" i="13"/>
  <c r="M136" i="13"/>
  <c r="L136" i="13"/>
  <c r="H211" i="13" l="1"/>
  <c r="B25" i="13"/>
  <c r="AH9" i="422" l="1"/>
  <c r="AG9" i="422"/>
  <c r="AF9" i="422"/>
  <c r="AI9" i="422"/>
  <c r="Z9" i="422"/>
  <c r="Y9" i="422"/>
  <c r="X9" i="422"/>
  <c r="W9" i="422"/>
  <c r="AI7" i="422"/>
  <c r="AH7" i="422"/>
  <c r="AF7" i="422"/>
  <c r="Z7" i="422"/>
  <c r="Y7" i="422"/>
  <c r="W7" i="422"/>
  <c r="AI6" i="422"/>
  <c r="AH6" i="422"/>
  <c r="AG6" i="422"/>
  <c r="AF6" i="422"/>
  <c r="AL40" i="422"/>
  <c r="Z6" i="422"/>
  <c r="Y6" i="422"/>
  <c r="X6" i="422"/>
  <c r="W6" i="422"/>
  <c r="AC40" i="422"/>
  <c r="B1" i="422"/>
  <c r="O11" i="422"/>
  <c r="O10" i="422"/>
  <c r="O9" i="422"/>
  <c r="O8" i="422"/>
  <c r="O7" i="422"/>
  <c r="O6" i="422"/>
  <c r="M11" i="422"/>
  <c r="M10" i="422"/>
  <c r="M9" i="422"/>
  <c r="M8" i="422"/>
  <c r="M7" i="422"/>
  <c r="M6" i="422"/>
  <c r="N6" i="422" s="1"/>
  <c r="L11" i="422"/>
  <c r="L10" i="422"/>
  <c r="L9" i="422"/>
  <c r="N10" i="422"/>
  <c r="L8" i="422"/>
  <c r="L7" i="422"/>
  <c r="L6" i="422"/>
  <c r="K11" i="422"/>
  <c r="K10" i="422"/>
  <c r="K9" i="422"/>
  <c r="K8" i="422"/>
  <c r="K7" i="422"/>
  <c r="K6" i="422"/>
  <c r="J11" i="422"/>
  <c r="J10" i="422"/>
  <c r="J9" i="422"/>
  <c r="J8" i="422"/>
  <c r="J7" i="422"/>
  <c r="J6" i="422"/>
  <c r="H11" i="422"/>
  <c r="G11" i="422"/>
  <c r="H10" i="422"/>
  <c r="G10" i="422"/>
  <c r="H9" i="422"/>
  <c r="G9" i="422"/>
  <c r="H8" i="422"/>
  <c r="G8" i="422"/>
  <c r="H7" i="422"/>
  <c r="G7" i="422"/>
  <c r="H6" i="422"/>
  <c r="G6" i="422"/>
  <c r="B11" i="422"/>
  <c r="B10" i="422"/>
  <c r="B9" i="422"/>
  <c r="B8" i="422"/>
  <c r="B7" i="422"/>
  <c r="B6" i="422"/>
  <c r="N7" i="422"/>
  <c r="A7" i="422"/>
  <c r="A8" i="422" s="1"/>
  <c r="A9" i="422" s="1"/>
  <c r="A10" i="422" s="1"/>
  <c r="A11" i="422" s="1"/>
  <c r="A12" i="422" s="1"/>
  <c r="A13" i="422" s="1"/>
  <c r="A14" i="422" s="1"/>
  <c r="A15" i="422" s="1"/>
  <c r="A16" i="422" s="1"/>
  <c r="A17" i="422" s="1"/>
  <c r="A18" i="422" s="1"/>
  <c r="A19" i="422" s="1"/>
  <c r="A20" i="422" s="1"/>
  <c r="A21" i="422" s="1"/>
  <c r="A22" i="422" s="1"/>
  <c r="N9" i="422" l="1"/>
  <c r="N8" i="422"/>
  <c r="N11" i="422"/>
  <c r="B1" i="421" l="1"/>
  <c r="L52" i="421"/>
  <c r="G52" i="421"/>
  <c r="L51" i="421"/>
  <c r="G51" i="421"/>
  <c r="J48" i="421"/>
  <c r="O48" i="421" s="1"/>
  <c r="R31" i="421"/>
  <c r="G27" i="421"/>
  <c r="G36" i="421" s="1"/>
  <c r="G26" i="421"/>
  <c r="G35" i="421" s="1"/>
  <c r="L10" i="421"/>
  <c r="M10" i="421"/>
  <c r="L9" i="421"/>
  <c r="M9" i="421"/>
  <c r="M8" i="421"/>
  <c r="L8" i="421"/>
  <c r="L7" i="421"/>
  <c r="M7" i="421"/>
  <c r="L6" i="421"/>
  <c r="M6" i="421"/>
  <c r="O43" i="421" l="1"/>
  <c r="O51" i="421" s="1"/>
  <c r="J43" i="421"/>
  <c r="J51" i="421" s="1"/>
  <c r="O44" i="421"/>
  <c r="O52" i="421" s="1"/>
  <c r="J44" i="421"/>
  <c r="J52" i="421" s="1"/>
  <c r="M14" i="421"/>
  <c r="R26" i="421" s="1"/>
  <c r="R35" i="421" s="1"/>
  <c r="C5" i="391" s="1"/>
  <c r="M20" i="421"/>
  <c r="M27" i="421" s="1"/>
  <c r="M36" i="421" s="1"/>
  <c r="M19" i="421"/>
  <c r="M26" i="421" s="1"/>
  <c r="M35" i="421" s="1"/>
  <c r="M15" i="421"/>
  <c r="R27" i="421" s="1"/>
  <c r="R36" i="421" s="1"/>
  <c r="E5" i="391" s="1"/>
  <c r="G156" i="415" l="1"/>
  <c r="F156" i="415"/>
  <c r="E156" i="415"/>
  <c r="D156" i="415"/>
  <c r="C156" i="415"/>
  <c r="F157" i="415" l="1"/>
  <c r="G157" i="415"/>
  <c r="D157" i="415"/>
  <c r="E157" i="415"/>
  <c r="C74" i="13"/>
  <c r="C29" i="13" s="1"/>
  <c r="G74" i="13"/>
  <c r="F74" i="13"/>
  <c r="F29" i="13" s="1"/>
  <c r="E74" i="13"/>
  <c r="E29" i="13" s="1"/>
  <c r="D74" i="13"/>
  <c r="D29" i="13" s="1"/>
  <c r="G55" i="14"/>
  <c r="F55" i="14"/>
  <c r="E55" i="14"/>
  <c r="D55" i="14"/>
  <c r="C55" i="14"/>
  <c r="G29" i="13" l="1"/>
  <c r="G30" i="13" s="1"/>
  <c r="G75" i="13"/>
  <c r="F30" i="13"/>
  <c r="D30" i="13"/>
  <c r="E30" i="13"/>
  <c r="O39" i="415"/>
  <c r="N39" i="415"/>
  <c r="M39" i="415"/>
  <c r="L39" i="415"/>
  <c r="K39" i="415"/>
  <c r="J39" i="415"/>
  <c r="G39" i="415"/>
  <c r="F39" i="415"/>
  <c r="E39" i="415"/>
  <c r="D39" i="415"/>
  <c r="C39" i="415"/>
  <c r="L169" i="415" l="1"/>
  <c r="M169" i="415"/>
  <c r="N169" i="415"/>
  <c r="K169" i="415"/>
  <c r="O169" i="415"/>
  <c r="N130" i="415"/>
  <c r="K130" i="415"/>
  <c r="O130" i="415"/>
  <c r="L130" i="415"/>
  <c r="M130" i="415"/>
  <c r="O122" i="415"/>
  <c r="O161" i="415"/>
  <c r="N85" i="415"/>
  <c r="N161" i="415"/>
  <c r="K122" i="415"/>
  <c r="K161" i="415"/>
  <c r="L85" i="415"/>
  <c r="L161" i="415"/>
  <c r="N122" i="415"/>
  <c r="M122" i="415"/>
  <c r="M161" i="415"/>
  <c r="M85" i="415"/>
  <c r="L122" i="415"/>
  <c r="K85" i="415"/>
  <c r="O85" i="415"/>
  <c r="G11" i="16"/>
  <c r="F11" i="16"/>
  <c r="E11" i="16"/>
  <c r="D11" i="16"/>
  <c r="G27" i="16"/>
  <c r="F27" i="16"/>
  <c r="E27" i="16"/>
  <c r="D27" i="16"/>
  <c r="C27" i="16"/>
  <c r="G184" i="415" l="1"/>
  <c r="G186" i="415" s="1"/>
  <c r="F184" i="415"/>
  <c r="F186" i="415" s="1"/>
  <c r="E184" i="415"/>
  <c r="E186" i="415" s="1"/>
  <c r="D184" i="415"/>
  <c r="D186" i="415" s="1"/>
  <c r="C184" i="415"/>
  <c r="C186" i="415" s="1"/>
  <c r="G145" i="415"/>
  <c r="F145" i="415"/>
  <c r="E145" i="415"/>
  <c r="D145" i="415"/>
  <c r="C145" i="415"/>
  <c r="G106" i="415"/>
  <c r="F106" i="415"/>
  <c r="E106" i="415"/>
  <c r="D106" i="415"/>
  <c r="C106" i="415"/>
  <c r="G185" i="415" l="1"/>
  <c r="D185" i="415"/>
  <c r="E185" i="415"/>
  <c r="F185" i="415"/>
  <c r="F107" i="415"/>
  <c r="G107" i="415"/>
  <c r="H107" i="415"/>
  <c r="D107" i="415"/>
  <c r="E107" i="415"/>
  <c r="E30" i="415"/>
  <c r="F30" i="415"/>
  <c r="F146" i="415"/>
  <c r="C30" i="415"/>
  <c r="G30" i="415"/>
  <c r="D30" i="415"/>
  <c r="E146" i="415"/>
  <c r="G146" i="415"/>
  <c r="D146" i="415"/>
  <c r="J307" i="13"/>
  <c r="G307" i="13"/>
  <c r="F307" i="13"/>
  <c r="E307" i="13"/>
  <c r="D307" i="13"/>
  <c r="C307" i="13"/>
  <c r="F31" i="415" l="1"/>
  <c r="G308" i="13"/>
  <c r="F308" i="13"/>
  <c r="J308" i="13"/>
  <c r="D308" i="13"/>
  <c r="E308" i="13"/>
  <c r="E49" i="13"/>
  <c r="D49" i="13"/>
  <c r="H49" i="13"/>
  <c r="F49" i="13"/>
  <c r="C49" i="13"/>
  <c r="G49" i="13"/>
  <c r="D31" i="415"/>
  <c r="J106" i="415"/>
  <c r="G31" i="415"/>
  <c r="E31" i="415"/>
  <c r="G9" i="13"/>
  <c r="F9" i="13"/>
  <c r="E9" i="13"/>
  <c r="D9" i="13"/>
  <c r="C9" i="13"/>
  <c r="J107" i="415" l="1"/>
  <c r="G299" i="13"/>
  <c r="D299" i="13"/>
  <c r="F299" i="13"/>
  <c r="E299" i="13"/>
  <c r="F50" i="13"/>
  <c r="E50" i="13"/>
  <c r="G50" i="13"/>
  <c r="D50" i="13"/>
  <c r="J145" i="415"/>
  <c r="J146" i="415" l="1"/>
  <c r="O191" i="12"/>
  <c r="N191" i="12"/>
  <c r="M191" i="12"/>
  <c r="L191" i="12"/>
  <c r="K191" i="12"/>
  <c r="O188" i="12"/>
  <c r="N188" i="12"/>
  <c r="M188" i="12"/>
  <c r="L188" i="12"/>
  <c r="K188" i="12"/>
  <c r="O185" i="12"/>
  <c r="N185" i="12"/>
  <c r="M185" i="12"/>
  <c r="L185" i="12"/>
  <c r="K185" i="12"/>
  <c r="O182" i="12"/>
  <c r="N182" i="12"/>
  <c r="M182" i="12"/>
  <c r="L182" i="12"/>
  <c r="K182" i="12"/>
  <c r="O179" i="12"/>
  <c r="N179" i="12"/>
  <c r="M179" i="12"/>
  <c r="L179" i="12"/>
  <c r="K179" i="12"/>
  <c r="M6" i="416"/>
  <c r="S7" i="420"/>
  <c r="O155" i="12"/>
  <c r="N155" i="12"/>
  <c r="M155" i="12"/>
  <c r="L155" i="12"/>
  <c r="R7" i="420"/>
  <c r="Q7" i="420"/>
  <c r="P7" i="420"/>
  <c r="O7" i="420"/>
  <c r="B1" i="420"/>
  <c r="H157" i="12"/>
  <c r="G157" i="12"/>
  <c r="O158" i="12"/>
  <c r="N158" i="12"/>
  <c r="M158" i="12"/>
  <c r="L158" i="12"/>
  <c r="V16" i="417"/>
  <c r="K154" i="12" s="1"/>
  <c r="P16" i="418"/>
  <c r="O16" i="418"/>
  <c r="P15" i="418"/>
  <c r="O15" i="418"/>
  <c r="P14" i="418"/>
  <c r="O14" i="418"/>
  <c r="P13" i="418"/>
  <c r="O13" i="418"/>
  <c r="P9" i="418"/>
  <c r="P8" i="418"/>
  <c r="P7" i="418"/>
  <c r="P6" i="418"/>
  <c r="O9" i="418"/>
  <c r="O8" i="418"/>
  <c r="O7" i="418"/>
  <c r="O6" i="418"/>
  <c r="M10" i="416"/>
  <c r="L10" i="416"/>
  <c r="I16" i="418"/>
  <c r="J12" i="419"/>
  <c r="AK17" i="419"/>
  <c r="AJ17" i="419"/>
  <c r="AI17" i="419"/>
  <c r="AG17" i="419"/>
  <c r="AK16" i="419"/>
  <c r="AJ16" i="419"/>
  <c r="AI16" i="419"/>
  <c r="AG16" i="419"/>
  <c r="AK15" i="419"/>
  <c r="AJ15" i="419"/>
  <c r="AI15" i="419"/>
  <c r="AG15" i="419"/>
  <c r="AK14" i="419"/>
  <c r="AJ14" i="419"/>
  <c r="AI14" i="419"/>
  <c r="L12" i="419" s="1"/>
  <c r="AG14" i="419"/>
  <c r="AK9" i="419"/>
  <c r="AJ9" i="419"/>
  <c r="AI9" i="419"/>
  <c r="AG9" i="419"/>
  <c r="J8" i="419"/>
  <c r="W17" i="419"/>
  <c r="W16" i="419"/>
  <c r="W15" i="419"/>
  <c r="W14" i="419"/>
  <c r="M8" i="416"/>
  <c r="K8" i="416"/>
  <c r="AA17" i="419"/>
  <c r="Z17" i="419"/>
  <c r="AA16" i="419"/>
  <c r="Z16" i="419"/>
  <c r="AA15" i="419"/>
  <c r="Z15" i="419"/>
  <c r="X15" i="419"/>
  <c r="AA14" i="419"/>
  <c r="Z14" i="419"/>
  <c r="X14" i="419"/>
  <c r="K8" i="419" s="1"/>
  <c r="AA9" i="419"/>
  <c r="Z9" i="419"/>
  <c r="X9" i="419"/>
  <c r="W9" i="419"/>
  <c r="D11" i="419"/>
  <c r="E11" i="419"/>
  <c r="F11" i="419"/>
  <c r="G11" i="419"/>
  <c r="H11" i="419"/>
  <c r="I11" i="419"/>
  <c r="J11" i="419"/>
  <c r="K11" i="419"/>
  <c r="L11" i="419"/>
  <c r="D13" i="419"/>
  <c r="E13" i="419"/>
  <c r="F13" i="419"/>
  <c r="G13" i="419"/>
  <c r="H13" i="419"/>
  <c r="I13" i="419"/>
  <c r="J13" i="419"/>
  <c r="D15" i="419"/>
  <c r="E15" i="419"/>
  <c r="F15" i="419"/>
  <c r="G15" i="419"/>
  <c r="H15" i="419"/>
  <c r="I15" i="419"/>
  <c r="J15" i="419"/>
  <c r="K15" i="419"/>
  <c r="L15" i="419"/>
  <c r="I9" i="419"/>
  <c r="H9" i="419"/>
  <c r="G9" i="419"/>
  <c r="F9" i="419"/>
  <c r="E9" i="419"/>
  <c r="D9" i="419"/>
  <c r="J9" i="419"/>
  <c r="I7" i="419"/>
  <c r="H7" i="419"/>
  <c r="G7" i="419"/>
  <c r="F7" i="419"/>
  <c r="E7" i="419"/>
  <c r="D7" i="419"/>
  <c r="J7" i="419"/>
  <c r="B1" i="419"/>
  <c r="L121" i="12"/>
  <c r="G30" i="418"/>
  <c r="G29" i="418"/>
  <c r="G28" i="418"/>
  <c r="G27" i="418"/>
  <c r="P27" i="418" s="1"/>
  <c r="I7" i="418"/>
  <c r="H21" i="418"/>
  <c r="H7" i="418"/>
  <c r="H20" i="418"/>
  <c r="J16" i="418"/>
  <c r="H16" i="418"/>
  <c r="J15" i="418"/>
  <c r="I15" i="418"/>
  <c r="H15" i="418"/>
  <c r="H8" i="418" s="1"/>
  <c r="J14" i="418"/>
  <c r="J7" i="418" s="1"/>
  <c r="I14" i="418"/>
  <c r="H14" i="418"/>
  <c r="G14" i="418"/>
  <c r="G21" i="418" s="1"/>
  <c r="G16" i="418"/>
  <c r="G23" i="418"/>
  <c r="G22" i="418"/>
  <c r="G20" i="418"/>
  <c r="D20" i="418"/>
  <c r="C20" i="418"/>
  <c r="D19" i="418"/>
  <c r="E19" i="418" s="1"/>
  <c r="F19" i="418" s="1"/>
  <c r="F16" i="418"/>
  <c r="F23" i="418" s="1"/>
  <c r="E16" i="418"/>
  <c r="D16" i="418"/>
  <c r="D23" i="418" s="1"/>
  <c r="C16" i="418"/>
  <c r="C23" i="418" s="1"/>
  <c r="F15" i="418"/>
  <c r="F22" i="418" s="1"/>
  <c r="E15" i="418"/>
  <c r="E22" i="418" s="1"/>
  <c r="D15" i="418"/>
  <c r="D22" i="418" s="1"/>
  <c r="C15" i="418"/>
  <c r="C22" i="418" s="1"/>
  <c r="H22" i="418" s="1"/>
  <c r="I8" i="418" s="1"/>
  <c r="F14" i="418"/>
  <c r="F21" i="418" s="1"/>
  <c r="E14" i="418"/>
  <c r="E21" i="418" s="1"/>
  <c r="D14" i="418"/>
  <c r="D21" i="418" s="1"/>
  <c r="C14" i="418"/>
  <c r="C21" i="418" s="1"/>
  <c r="D12" i="418"/>
  <c r="E12" i="418" s="1"/>
  <c r="F12" i="418" s="1"/>
  <c r="D33" i="418"/>
  <c r="E33" i="418" s="1"/>
  <c r="F33" i="418" s="1"/>
  <c r="F30" i="418"/>
  <c r="F37" i="418" s="1"/>
  <c r="E30" i="418"/>
  <c r="F29" i="418"/>
  <c r="F36" i="418" s="1"/>
  <c r="E29" i="418"/>
  <c r="E36" i="418" s="1"/>
  <c r="F28" i="418"/>
  <c r="F35" i="418" s="1"/>
  <c r="E28" i="418"/>
  <c r="E35" i="418" s="1"/>
  <c r="F27" i="418"/>
  <c r="E27" i="418"/>
  <c r="D26" i="418"/>
  <c r="E26" i="418" s="1"/>
  <c r="F26" i="418" s="1"/>
  <c r="E9" i="418"/>
  <c r="E6" i="418"/>
  <c r="E20" i="418" s="1"/>
  <c r="F6" i="418"/>
  <c r="F20" i="418" s="1"/>
  <c r="D5" i="418"/>
  <c r="E5" i="418" s="1"/>
  <c r="F5" i="418" s="1"/>
  <c r="P28" i="418" l="1"/>
  <c r="O27" i="418"/>
  <c r="P29" i="418"/>
  <c r="P30" i="418"/>
  <c r="O29" i="418"/>
  <c r="O30" i="418"/>
  <c r="O28" i="418"/>
  <c r="AH15" i="419"/>
  <c r="AH16" i="419"/>
  <c r="AH14" i="419"/>
  <c r="K12" i="419" s="1"/>
  <c r="L13" i="419" s="1"/>
  <c r="AH17" i="419"/>
  <c r="AH9" i="419"/>
  <c r="Y17" i="419"/>
  <c r="Y16" i="419"/>
  <c r="Y9" i="419"/>
  <c r="Y14" i="419"/>
  <c r="L8" i="419" s="1"/>
  <c r="L9" i="419" s="1"/>
  <c r="Y15" i="419"/>
  <c r="X17" i="419"/>
  <c r="X16" i="419"/>
  <c r="J9" i="418"/>
  <c r="J8" i="418"/>
  <c r="K7" i="419"/>
  <c r="L7" i="419"/>
  <c r="K9" i="419"/>
  <c r="E34" i="418"/>
  <c r="E23" i="418"/>
  <c r="H23" i="418" s="1"/>
  <c r="H9" i="418" s="1"/>
  <c r="F34" i="418"/>
  <c r="E37" i="418"/>
  <c r="K13" i="419" l="1"/>
  <c r="I9" i="418"/>
  <c r="B1" i="418"/>
  <c r="O195" i="12" l="1"/>
  <c r="N195" i="12"/>
  <c r="M195" i="12"/>
  <c r="L195" i="12"/>
  <c r="K195" i="12"/>
  <c r="O28" i="12"/>
  <c r="N28" i="12"/>
  <c r="M28" i="12"/>
  <c r="L28" i="12"/>
  <c r="K28" i="12"/>
  <c r="J28" i="12"/>
  <c r="G28" i="12"/>
  <c r="F28" i="12"/>
  <c r="E28" i="12"/>
  <c r="D28" i="12"/>
  <c r="C28" i="12"/>
  <c r="F99" i="12" l="1"/>
  <c r="E99" i="12"/>
  <c r="D99" i="12"/>
  <c r="G78" i="12"/>
  <c r="F78" i="12"/>
  <c r="E78" i="12"/>
  <c r="D78" i="12"/>
  <c r="M65" i="416" l="1"/>
  <c r="L65" i="416"/>
  <c r="K65" i="416"/>
  <c r="K66" i="416" s="1"/>
  <c r="L57" i="416"/>
  <c r="K57" i="416"/>
  <c r="M55" i="416"/>
  <c r="M56" i="416" s="1"/>
  <c r="L55" i="416"/>
  <c r="K55" i="416"/>
  <c r="K56" i="416" s="1"/>
  <c r="M53" i="416"/>
  <c r="M54" i="416" s="1"/>
  <c r="L53" i="416"/>
  <c r="L54" i="416" s="1"/>
  <c r="K53" i="416"/>
  <c r="M51" i="416"/>
  <c r="L51" i="416"/>
  <c r="K51" i="416"/>
  <c r="M43" i="416"/>
  <c r="M44" i="416" s="1"/>
  <c r="L43" i="416"/>
  <c r="L44" i="416" s="1"/>
  <c r="K43" i="416"/>
  <c r="L35" i="416"/>
  <c r="K35" i="416"/>
  <c r="M33" i="416"/>
  <c r="L33" i="416"/>
  <c r="L34" i="416" s="1"/>
  <c r="K33" i="416"/>
  <c r="M31" i="416"/>
  <c r="L31" i="416"/>
  <c r="L32" i="416" s="1"/>
  <c r="K31" i="416"/>
  <c r="M29" i="416"/>
  <c r="M30" i="416" s="1"/>
  <c r="L29" i="416"/>
  <c r="K29" i="416"/>
  <c r="J67" i="416"/>
  <c r="I67" i="416"/>
  <c r="H67" i="416"/>
  <c r="G67" i="416"/>
  <c r="F67" i="416"/>
  <c r="E67" i="416"/>
  <c r="D67" i="416"/>
  <c r="M66" i="416"/>
  <c r="J66" i="416"/>
  <c r="I66" i="416"/>
  <c r="H66" i="416"/>
  <c r="G66" i="416"/>
  <c r="F66" i="416"/>
  <c r="E66" i="416"/>
  <c r="L66" i="416"/>
  <c r="L64" i="416"/>
  <c r="K64" i="416"/>
  <c r="J64" i="416"/>
  <c r="I64" i="416"/>
  <c r="H64" i="416"/>
  <c r="G64" i="416"/>
  <c r="F64" i="416"/>
  <c r="E64" i="416"/>
  <c r="L62" i="416"/>
  <c r="K62" i="416"/>
  <c r="J62" i="416"/>
  <c r="I62" i="416"/>
  <c r="H62" i="416"/>
  <c r="G62" i="416"/>
  <c r="F62" i="416"/>
  <c r="E62" i="416"/>
  <c r="L60" i="416"/>
  <c r="K60" i="416"/>
  <c r="J60" i="416"/>
  <c r="I60" i="416"/>
  <c r="H60" i="416"/>
  <c r="G60" i="416"/>
  <c r="F60" i="416"/>
  <c r="E60" i="416"/>
  <c r="J58" i="416"/>
  <c r="I58" i="416"/>
  <c r="H58" i="416"/>
  <c r="G58" i="416"/>
  <c r="F58" i="416"/>
  <c r="E58" i="416"/>
  <c r="K58" i="416"/>
  <c r="J56" i="416"/>
  <c r="I56" i="416"/>
  <c r="H56" i="416"/>
  <c r="G56" i="416"/>
  <c r="F56" i="416"/>
  <c r="E56" i="416"/>
  <c r="K54" i="416"/>
  <c r="J54" i="416"/>
  <c r="I54" i="416"/>
  <c r="H54" i="416"/>
  <c r="G54" i="416"/>
  <c r="F54" i="416"/>
  <c r="E54" i="416"/>
  <c r="K52" i="416"/>
  <c r="J52" i="416"/>
  <c r="I52" i="416"/>
  <c r="H52" i="416"/>
  <c r="G52" i="416"/>
  <c r="F52" i="416"/>
  <c r="E52" i="416"/>
  <c r="M52" i="416"/>
  <c r="BI84" i="416"/>
  <c r="BI79" i="416"/>
  <c r="BI48" i="416"/>
  <c r="BI53" i="416"/>
  <c r="BH87" i="416"/>
  <c r="BH55" i="416"/>
  <c r="BH56" i="416"/>
  <c r="BG87" i="416"/>
  <c r="BG53" i="416"/>
  <c r="BK87" i="416"/>
  <c r="BJ87" i="416"/>
  <c r="BI87" i="416"/>
  <c r="BK86" i="416"/>
  <c r="BJ86" i="416"/>
  <c r="BI86" i="416"/>
  <c r="BK85" i="416"/>
  <c r="BJ85" i="416"/>
  <c r="BK84" i="416"/>
  <c r="BJ84" i="416"/>
  <c r="BK56" i="416"/>
  <c r="BJ56" i="416"/>
  <c r="BI56" i="416"/>
  <c r="BG56" i="416"/>
  <c r="BK55" i="416"/>
  <c r="BJ55" i="416"/>
  <c r="BI55" i="416"/>
  <c r="BK54" i="416"/>
  <c r="BJ54" i="416"/>
  <c r="BK53" i="416"/>
  <c r="BJ53" i="416"/>
  <c r="BK17" i="416"/>
  <c r="BJ17" i="416"/>
  <c r="BI17" i="416"/>
  <c r="BH17" i="416"/>
  <c r="BK16" i="416"/>
  <c r="BJ16" i="416"/>
  <c r="BI16" i="416"/>
  <c r="BH16" i="416"/>
  <c r="BK15" i="416"/>
  <c r="BJ15" i="416"/>
  <c r="BI15" i="416"/>
  <c r="BH15" i="416"/>
  <c r="BK14" i="416"/>
  <c r="BJ14" i="416"/>
  <c r="BI14" i="416"/>
  <c r="BH14" i="416"/>
  <c r="BG17" i="416"/>
  <c r="BG16" i="416"/>
  <c r="BG15" i="416"/>
  <c r="BG14" i="416"/>
  <c r="AX85" i="416"/>
  <c r="AX55" i="416"/>
  <c r="AX56" i="416"/>
  <c r="BB87" i="416"/>
  <c r="BA87" i="416"/>
  <c r="AZ87" i="416"/>
  <c r="AY87" i="416"/>
  <c r="AX87" i="416"/>
  <c r="BB86" i="416"/>
  <c r="BA86" i="416"/>
  <c r="AZ86" i="416"/>
  <c r="AY86" i="416"/>
  <c r="AX86" i="416"/>
  <c r="BB85" i="416"/>
  <c r="BA85" i="416"/>
  <c r="AZ85" i="416"/>
  <c r="AY85" i="416"/>
  <c r="BB84" i="416"/>
  <c r="BA84" i="416"/>
  <c r="AZ84" i="416"/>
  <c r="AY84" i="416"/>
  <c r="BB56" i="416"/>
  <c r="BA56" i="416"/>
  <c r="AZ56" i="416"/>
  <c r="AY56" i="416"/>
  <c r="BB55" i="416"/>
  <c r="BA55" i="416"/>
  <c r="AZ55" i="416"/>
  <c r="AY55" i="416"/>
  <c r="BB54" i="416"/>
  <c r="BA54" i="416"/>
  <c r="AZ54" i="416"/>
  <c r="AY54" i="416"/>
  <c r="AX54" i="416"/>
  <c r="BB53" i="416"/>
  <c r="BA53" i="416"/>
  <c r="AZ53" i="416"/>
  <c r="AY53" i="416"/>
  <c r="AX53" i="416"/>
  <c r="BB17" i="416"/>
  <c r="BA17" i="416"/>
  <c r="AZ17" i="416"/>
  <c r="AY17" i="416"/>
  <c r="AX17" i="416"/>
  <c r="BB16" i="416"/>
  <c r="BA16" i="416"/>
  <c r="AZ16" i="416"/>
  <c r="AY16" i="416"/>
  <c r="AX16" i="416"/>
  <c r="BB15" i="416"/>
  <c r="BA15" i="416"/>
  <c r="AZ15" i="416"/>
  <c r="AY15" i="416"/>
  <c r="AX15" i="416"/>
  <c r="BB14" i="416"/>
  <c r="BA14" i="416"/>
  <c r="AZ14" i="416"/>
  <c r="AY14" i="416"/>
  <c r="AX14" i="416"/>
  <c r="AQ84" i="416"/>
  <c r="AQ48" i="416"/>
  <c r="AQ53" i="416"/>
  <c r="AS87" i="416"/>
  <c r="AR87" i="416"/>
  <c r="AP87" i="416"/>
  <c r="AO87" i="416"/>
  <c r="AS86" i="416"/>
  <c r="AR86" i="416"/>
  <c r="AP86" i="416"/>
  <c r="AO86" i="416"/>
  <c r="AS85" i="416"/>
  <c r="AR85" i="416"/>
  <c r="AP85" i="416"/>
  <c r="AO85" i="416"/>
  <c r="AS84" i="416"/>
  <c r="AR84" i="416"/>
  <c r="AP84" i="416"/>
  <c r="AO84" i="416"/>
  <c r="AS56" i="416"/>
  <c r="AR56" i="416"/>
  <c r="AP56" i="416"/>
  <c r="AO56" i="416"/>
  <c r="AS55" i="416"/>
  <c r="AR55" i="416"/>
  <c r="AQ55" i="416"/>
  <c r="AP55" i="416"/>
  <c r="AO55" i="416"/>
  <c r="AS54" i="416"/>
  <c r="AR54" i="416"/>
  <c r="AQ54" i="416"/>
  <c r="AP54" i="416"/>
  <c r="AO54" i="416"/>
  <c r="AS53" i="416"/>
  <c r="AR53" i="416"/>
  <c r="AP53" i="416"/>
  <c r="AO53" i="416"/>
  <c r="AS17" i="416"/>
  <c r="AR17" i="416"/>
  <c r="AQ17" i="416"/>
  <c r="AP17" i="416"/>
  <c r="AO17" i="416"/>
  <c r="AS16" i="416"/>
  <c r="AR16" i="416"/>
  <c r="AQ16" i="416"/>
  <c r="AP16" i="416"/>
  <c r="AO16" i="416"/>
  <c r="AS14" i="416"/>
  <c r="AR14" i="416"/>
  <c r="AQ14" i="416"/>
  <c r="AP14" i="416"/>
  <c r="AS15" i="416"/>
  <c r="AR15" i="416"/>
  <c r="AQ15" i="416"/>
  <c r="AP15" i="416"/>
  <c r="AO15" i="416"/>
  <c r="AO14" i="416"/>
  <c r="AP79" i="416"/>
  <c r="AH56" i="416"/>
  <c r="AG86" i="416"/>
  <c r="AG56" i="416"/>
  <c r="AJ87" i="416"/>
  <c r="AI87" i="416"/>
  <c r="AF87" i="416"/>
  <c r="AJ86" i="416"/>
  <c r="AI86" i="416"/>
  <c r="AF86" i="416"/>
  <c r="AJ85" i="416"/>
  <c r="AI85" i="416"/>
  <c r="AF85" i="416"/>
  <c r="AJ84" i="416"/>
  <c r="AI84" i="416"/>
  <c r="AF84" i="416"/>
  <c r="AJ56" i="416"/>
  <c r="AI56" i="416"/>
  <c r="AF56" i="416"/>
  <c r="AJ55" i="416"/>
  <c r="AI55" i="416"/>
  <c r="AF55" i="416"/>
  <c r="AJ54" i="416"/>
  <c r="AI54" i="416"/>
  <c r="AF54" i="416"/>
  <c r="AJ53" i="416"/>
  <c r="AI53" i="416"/>
  <c r="AF53" i="416"/>
  <c r="AJ14" i="416"/>
  <c r="AI14" i="416"/>
  <c r="AH14" i="416"/>
  <c r="AG14" i="416"/>
  <c r="AF14" i="416"/>
  <c r="AJ17" i="416"/>
  <c r="AI17" i="416"/>
  <c r="AH17" i="416"/>
  <c r="AG17" i="416"/>
  <c r="AF17" i="416"/>
  <c r="AJ16" i="416"/>
  <c r="AI16" i="416"/>
  <c r="AH16" i="416"/>
  <c r="AG16" i="416"/>
  <c r="AF16" i="416"/>
  <c r="AJ15" i="416"/>
  <c r="AI15" i="416"/>
  <c r="AH15" i="416"/>
  <c r="AG15" i="416"/>
  <c r="AF15" i="416"/>
  <c r="AA17" i="416"/>
  <c r="Z17" i="416"/>
  <c r="Y17" i="416"/>
  <c r="AA16" i="416"/>
  <c r="Z16" i="416"/>
  <c r="Y16" i="416"/>
  <c r="AA15" i="416"/>
  <c r="Z15" i="416"/>
  <c r="Y15" i="416"/>
  <c r="AA87" i="416"/>
  <c r="Z87" i="416"/>
  <c r="Y87" i="416"/>
  <c r="AA86" i="416"/>
  <c r="Z86" i="416"/>
  <c r="Y86" i="416"/>
  <c r="AA85" i="416"/>
  <c r="Z85" i="416"/>
  <c r="Y85" i="416"/>
  <c r="AA54" i="416"/>
  <c r="Z54" i="416"/>
  <c r="Y54" i="416"/>
  <c r="AA56" i="416"/>
  <c r="Z56" i="416"/>
  <c r="Y56" i="416"/>
  <c r="AA55" i="416"/>
  <c r="Z55" i="416"/>
  <c r="Y55" i="416"/>
  <c r="X86" i="416"/>
  <c r="BK79" i="416"/>
  <c r="BJ79" i="416"/>
  <c r="BK48" i="416"/>
  <c r="BJ48" i="416"/>
  <c r="BK9" i="416"/>
  <c r="BJ9" i="416"/>
  <c r="BI9" i="416"/>
  <c r="BH9" i="416"/>
  <c r="BG9" i="416"/>
  <c r="BB79" i="416"/>
  <c r="BA79" i="416"/>
  <c r="AZ79" i="416"/>
  <c r="AY79" i="416"/>
  <c r="BB48" i="416"/>
  <c r="BA48" i="416"/>
  <c r="AZ48" i="416"/>
  <c r="AY48" i="416"/>
  <c r="AX48" i="416"/>
  <c r="BB9" i="416"/>
  <c r="BA9" i="416"/>
  <c r="AZ9" i="416"/>
  <c r="AY9" i="416"/>
  <c r="AX9" i="416"/>
  <c r="AS79" i="416"/>
  <c r="AR79" i="416"/>
  <c r="AS48" i="416"/>
  <c r="AR48" i="416"/>
  <c r="AS9" i="416"/>
  <c r="AR9" i="416"/>
  <c r="AQ9" i="416"/>
  <c r="AP9" i="416"/>
  <c r="AO9" i="416"/>
  <c r="AJ79" i="416"/>
  <c r="AI79" i="416"/>
  <c r="AJ48" i="416"/>
  <c r="AI48" i="416"/>
  <c r="AG48" i="416"/>
  <c r="AJ9" i="416"/>
  <c r="AI9" i="416"/>
  <c r="AH9" i="416"/>
  <c r="AG9" i="416"/>
  <c r="AF9" i="416"/>
  <c r="AA79" i="416"/>
  <c r="Z79" i="416"/>
  <c r="W79" i="416"/>
  <c r="AA48" i="416"/>
  <c r="Z48" i="416"/>
  <c r="X48" i="416"/>
  <c r="W48" i="416"/>
  <c r="AA9" i="416"/>
  <c r="Z9" i="416"/>
  <c r="W9" i="416"/>
  <c r="W87" i="416"/>
  <c r="W86" i="416"/>
  <c r="W85" i="416"/>
  <c r="AA84" i="416"/>
  <c r="Z84" i="416"/>
  <c r="W84" i="416"/>
  <c r="W56" i="416"/>
  <c r="X55" i="416"/>
  <c r="W55" i="416"/>
  <c r="W54" i="416"/>
  <c r="AA53" i="416"/>
  <c r="Z53" i="416"/>
  <c r="W53" i="416"/>
  <c r="J45" i="416"/>
  <c r="I45" i="416"/>
  <c r="H45" i="416"/>
  <c r="G45" i="416"/>
  <c r="F45" i="416"/>
  <c r="E45" i="416"/>
  <c r="D45" i="416"/>
  <c r="K44" i="416"/>
  <c r="J44" i="416"/>
  <c r="I44" i="416"/>
  <c r="H44" i="416"/>
  <c r="G44" i="416"/>
  <c r="F44" i="416"/>
  <c r="E44" i="416"/>
  <c r="L42" i="416"/>
  <c r="K42" i="416"/>
  <c r="J42" i="416"/>
  <c r="I42" i="416"/>
  <c r="H42" i="416"/>
  <c r="G42" i="416"/>
  <c r="F42" i="416"/>
  <c r="E42" i="416"/>
  <c r="L40" i="416"/>
  <c r="K40" i="416"/>
  <c r="J40" i="416"/>
  <c r="I40" i="416"/>
  <c r="H40" i="416"/>
  <c r="G40" i="416"/>
  <c r="F40" i="416"/>
  <c r="E40" i="416"/>
  <c r="L38" i="416"/>
  <c r="K38" i="416"/>
  <c r="J38" i="416"/>
  <c r="I38" i="416"/>
  <c r="H38" i="416"/>
  <c r="G38" i="416"/>
  <c r="F38" i="416"/>
  <c r="E38" i="416"/>
  <c r="J36" i="416"/>
  <c r="I36" i="416"/>
  <c r="H36" i="416"/>
  <c r="G36" i="416"/>
  <c r="F36" i="416"/>
  <c r="E36" i="416"/>
  <c r="L36" i="416"/>
  <c r="K36" i="416"/>
  <c r="M34" i="416"/>
  <c r="J34" i="416"/>
  <c r="I34" i="416"/>
  <c r="H34" i="416"/>
  <c r="G34" i="416"/>
  <c r="F34" i="416"/>
  <c r="E34" i="416"/>
  <c r="J32" i="416"/>
  <c r="I32" i="416"/>
  <c r="H32" i="416"/>
  <c r="G32" i="416"/>
  <c r="F32" i="416"/>
  <c r="E32" i="416"/>
  <c r="J30" i="416"/>
  <c r="I30" i="416"/>
  <c r="H30" i="416"/>
  <c r="G30" i="416"/>
  <c r="F30" i="416"/>
  <c r="E30" i="416"/>
  <c r="E68" i="416" l="1"/>
  <c r="I68" i="416"/>
  <c r="F68" i="416"/>
  <c r="J68" i="416"/>
  <c r="G68" i="416"/>
  <c r="H68" i="416"/>
  <c r="L58" i="416"/>
  <c r="L56" i="416"/>
  <c r="L67" i="416"/>
  <c r="K67" i="416"/>
  <c r="K68" i="416" s="1"/>
  <c r="M32" i="416"/>
  <c r="L45" i="416"/>
  <c r="L30" i="416"/>
  <c r="L52" i="416"/>
  <c r="BI85" i="416"/>
  <c r="BI54" i="416"/>
  <c r="BH79" i="416"/>
  <c r="BH84" i="416"/>
  <c r="BH85" i="416"/>
  <c r="BH86" i="416"/>
  <c r="BH48" i="416"/>
  <c r="BH53" i="416"/>
  <c r="BH54" i="416"/>
  <c r="BG84" i="416"/>
  <c r="BG85" i="416"/>
  <c r="BG79" i="416"/>
  <c r="BG86" i="416"/>
  <c r="BG55" i="416"/>
  <c r="BG54" i="416"/>
  <c r="BG48" i="416"/>
  <c r="AX84" i="416"/>
  <c r="AX79" i="416"/>
  <c r="AQ85" i="416"/>
  <c r="AQ86" i="416"/>
  <c r="AQ79" i="416"/>
  <c r="AQ87" i="416"/>
  <c r="AQ56" i="416"/>
  <c r="AP48" i="416"/>
  <c r="AO79" i="416"/>
  <c r="AO48" i="416"/>
  <c r="AH84" i="416"/>
  <c r="AH79" i="416"/>
  <c r="AH85" i="416"/>
  <c r="AH86" i="416"/>
  <c r="AH87" i="416"/>
  <c r="AH48" i="416"/>
  <c r="AH53" i="416"/>
  <c r="AH54" i="416"/>
  <c r="AH55" i="416"/>
  <c r="AG85" i="416"/>
  <c r="AG84" i="416"/>
  <c r="AG79" i="416"/>
  <c r="AG87" i="416"/>
  <c r="AG55" i="416"/>
  <c r="AG54" i="416"/>
  <c r="AG53" i="416"/>
  <c r="AF79" i="416"/>
  <c r="AF48" i="416"/>
  <c r="Y84" i="416"/>
  <c r="Y79" i="416"/>
  <c r="Y53" i="416"/>
  <c r="Y48" i="416"/>
  <c r="Y9" i="416"/>
  <c r="X79" i="416"/>
  <c r="X84" i="416"/>
  <c r="X85" i="416"/>
  <c r="X87" i="416"/>
  <c r="X56" i="416"/>
  <c r="X53" i="416"/>
  <c r="X54" i="416"/>
  <c r="X9" i="416"/>
  <c r="F46" i="416"/>
  <c r="J46" i="416"/>
  <c r="G46" i="416"/>
  <c r="H46" i="416"/>
  <c r="E46" i="416"/>
  <c r="I46" i="416"/>
  <c r="K30" i="416"/>
  <c r="K32" i="416"/>
  <c r="K34" i="416"/>
  <c r="K45" i="416"/>
  <c r="K46" i="416" s="1"/>
  <c r="L68" i="416" l="1"/>
  <c r="L46" i="416"/>
  <c r="G135" i="15" l="1"/>
  <c r="F135" i="15"/>
  <c r="E135" i="15"/>
  <c r="H135" i="15"/>
  <c r="H138" i="15"/>
  <c r="H59" i="12" l="1"/>
  <c r="G59" i="12"/>
  <c r="F59" i="12"/>
  <c r="F56" i="12"/>
  <c r="H53" i="12"/>
  <c r="G53" i="12"/>
  <c r="F53" i="12"/>
  <c r="E61" i="12"/>
  <c r="D61" i="12"/>
  <c r="E58" i="12"/>
  <c r="D58" i="12"/>
  <c r="E55" i="12"/>
  <c r="D55" i="12"/>
  <c r="F50" i="12"/>
  <c r="G47" i="12"/>
  <c r="F47" i="12"/>
  <c r="F48" i="12" s="1"/>
  <c r="G44" i="12"/>
  <c r="F44" i="12"/>
  <c r="E46" i="12"/>
  <c r="D46" i="12"/>
  <c r="E43" i="12"/>
  <c r="D43" i="12"/>
  <c r="G41" i="12"/>
  <c r="F41" i="12"/>
  <c r="F60" i="12"/>
  <c r="E60" i="12"/>
  <c r="D60" i="12"/>
  <c r="F57" i="12"/>
  <c r="E57" i="12"/>
  <c r="D57" i="12"/>
  <c r="F54" i="12"/>
  <c r="E54" i="12"/>
  <c r="D54" i="12"/>
  <c r="E51" i="12"/>
  <c r="D51" i="12"/>
  <c r="E48" i="12"/>
  <c r="D48" i="12"/>
  <c r="F45" i="12"/>
  <c r="E45" i="12"/>
  <c r="D45" i="12"/>
  <c r="F42" i="12"/>
  <c r="E42" i="12"/>
  <c r="D42" i="12"/>
  <c r="E39" i="12"/>
  <c r="D39" i="12"/>
  <c r="B37" i="12"/>
  <c r="F33" i="12"/>
  <c r="G32" i="12"/>
  <c r="F32" i="12"/>
  <c r="G38" i="12" l="1"/>
  <c r="F58" i="12"/>
  <c r="F51" i="12"/>
  <c r="F55" i="12"/>
  <c r="F61" i="12"/>
  <c r="G43" i="12"/>
  <c r="G46" i="12"/>
  <c r="F38" i="12"/>
  <c r="F43" i="12" l="1"/>
  <c r="F39" i="12"/>
  <c r="F46" i="12"/>
  <c r="O137" i="12" l="1"/>
  <c r="N137" i="12"/>
  <c r="M137" i="12"/>
  <c r="L137" i="12"/>
  <c r="O130" i="12"/>
  <c r="N130" i="12"/>
  <c r="M130" i="12"/>
  <c r="L130" i="12"/>
  <c r="O118" i="12"/>
  <c r="N118" i="12"/>
  <c r="M118" i="12"/>
  <c r="L118" i="12"/>
  <c r="J194" i="12" l="1"/>
  <c r="J59" i="12" s="1"/>
  <c r="J60" i="12" s="1"/>
  <c r="J190" i="12"/>
  <c r="J187" i="12"/>
  <c r="J184" i="12"/>
  <c r="J181" i="12"/>
  <c r="J178" i="12"/>
  <c r="Q15" i="417"/>
  <c r="Q34" i="417"/>
  <c r="N15" i="417"/>
  <c r="Q16" i="417"/>
  <c r="Q10" i="417"/>
  <c r="Q24" i="417"/>
  <c r="Q35" i="417"/>
  <c r="Q33" i="417"/>
  <c r="Q32" i="417"/>
  <c r="Q31" i="417"/>
  <c r="Q30" i="417"/>
  <c r="Q36" i="417"/>
  <c r="N36" i="417"/>
  <c r="N35" i="417"/>
  <c r="N34" i="417"/>
  <c r="K92" i="12" s="1"/>
  <c r="N33" i="417"/>
  <c r="N32" i="417"/>
  <c r="N31" i="417"/>
  <c r="K83" i="12" s="1"/>
  <c r="N30" i="417"/>
  <c r="Q12" i="417"/>
  <c r="Q26" i="417"/>
  <c r="Q25" i="417"/>
  <c r="Q23" i="417"/>
  <c r="Q22" i="417"/>
  <c r="Q21" i="417"/>
  <c r="Q20" i="417"/>
  <c r="Q11" i="417"/>
  <c r="Q9" i="417"/>
  <c r="Q8" i="417"/>
  <c r="Q7" i="417"/>
  <c r="Q6" i="417"/>
  <c r="N26" i="417"/>
  <c r="N25" i="417"/>
  <c r="N24" i="417"/>
  <c r="S24" i="417" s="1"/>
  <c r="N23" i="417"/>
  <c r="S23" i="417" s="1"/>
  <c r="N22" i="417"/>
  <c r="S22" i="417" s="1"/>
  <c r="N21" i="417"/>
  <c r="N20" i="417"/>
  <c r="N16" i="417"/>
  <c r="N12" i="417"/>
  <c r="S12" i="417" s="1"/>
  <c r="K136" i="12" s="1"/>
  <c r="N11" i="417"/>
  <c r="N10" i="417"/>
  <c r="N9" i="417"/>
  <c r="N8" i="417"/>
  <c r="N7" i="417"/>
  <c r="N6" i="417"/>
  <c r="S10" i="417" l="1"/>
  <c r="S32" i="417"/>
  <c r="K86" i="12"/>
  <c r="S33" i="417"/>
  <c r="K89" i="12"/>
  <c r="S11" i="417"/>
  <c r="S30" i="417"/>
  <c r="K80" i="12"/>
  <c r="S31" i="417"/>
  <c r="S20" i="417"/>
  <c r="S21" i="417"/>
  <c r="S8" i="417"/>
  <c r="K123" i="12" s="1"/>
  <c r="S26" i="417"/>
  <c r="S36" i="417"/>
  <c r="S16" i="417"/>
  <c r="K139" i="12" s="1"/>
  <c r="K157" i="12" s="1"/>
  <c r="L157" i="12" s="1"/>
  <c r="M157" i="12" s="1"/>
  <c r="N157" i="12" s="1"/>
  <c r="O157" i="12" s="1"/>
  <c r="S15" i="417"/>
  <c r="S7" i="417"/>
  <c r="K120" i="12" s="1"/>
  <c r="L120" i="12" s="1"/>
  <c r="S25" i="417"/>
  <c r="K133" i="12"/>
  <c r="L136" i="12"/>
  <c r="S9" i="417"/>
  <c r="K126" i="12" s="1"/>
  <c r="S6" i="417"/>
  <c r="K117" i="12" s="1"/>
  <c r="L117" i="12" s="1"/>
  <c r="M117" i="12" s="1"/>
  <c r="N117" i="12" s="1"/>
  <c r="O117" i="12" s="1"/>
  <c r="S35" i="417"/>
  <c r="S34" i="417"/>
  <c r="Q14" i="417"/>
  <c r="N14" i="417"/>
  <c r="Q29" i="417"/>
  <c r="Q28" i="417" s="1"/>
  <c r="N29" i="417"/>
  <c r="N28" i="417" s="1"/>
  <c r="Q19" i="417"/>
  <c r="Q18" i="417" s="1"/>
  <c r="N19" i="417"/>
  <c r="N18" i="417" s="1"/>
  <c r="Q5" i="417"/>
  <c r="Q4" i="417" s="1"/>
  <c r="N5" i="417"/>
  <c r="N4" i="417" s="1"/>
  <c r="K56" i="12" l="1"/>
  <c r="S14" i="417"/>
  <c r="K129" i="12"/>
  <c r="L129" i="12" s="1"/>
  <c r="M129" i="12" s="1"/>
  <c r="N129" i="12" s="1"/>
  <c r="O129" i="12" s="1"/>
  <c r="S19" i="417"/>
  <c r="S18" i="417" s="1"/>
  <c r="M136" i="12"/>
  <c r="S29" i="417"/>
  <c r="S28" i="417" s="1"/>
  <c r="S5" i="417"/>
  <c r="S4" i="417" s="1"/>
  <c r="N3" i="417"/>
  <c r="Q3" i="417"/>
  <c r="N136" i="12" l="1"/>
  <c r="J129" i="12"/>
  <c r="J126" i="12"/>
  <c r="J123" i="12"/>
  <c r="J120" i="12"/>
  <c r="J117" i="12"/>
  <c r="O136" i="12" l="1"/>
  <c r="J136" i="12"/>
  <c r="J154" i="12"/>
  <c r="K155" i="12" s="1"/>
  <c r="J151" i="12"/>
  <c r="K152" i="12" s="1"/>
  <c r="J148" i="12"/>
  <c r="J142" i="12"/>
  <c r="F133" i="12"/>
  <c r="J195" i="12"/>
  <c r="F195" i="12"/>
  <c r="E195" i="12"/>
  <c r="D195" i="12"/>
  <c r="J191" i="12"/>
  <c r="F191" i="12"/>
  <c r="E191" i="12"/>
  <c r="D191" i="12"/>
  <c r="J188" i="12"/>
  <c r="F188" i="12"/>
  <c r="E188" i="12"/>
  <c r="D188" i="12"/>
  <c r="J185" i="12"/>
  <c r="F185" i="12"/>
  <c r="E185" i="12"/>
  <c r="D185" i="12"/>
  <c r="J182" i="12"/>
  <c r="F182" i="12"/>
  <c r="E182" i="12"/>
  <c r="D182" i="12"/>
  <c r="J179" i="12"/>
  <c r="F179" i="12"/>
  <c r="E179" i="12"/>
  <c r="D179" i="12"/>
  <c r="H139" i="12"/>
  <c r="H133" i="12" s="1"/>
  <c r="G139" i="12"/>
  <c r="F118" i="12"/>
  <c r="E118" i="12"/>
  <c r="D118" i="12"/>
  <c r="O152" i="12"/>
  <c r="N152" i="12"/>
  <c r="M152" i="12"/>
  <c r="L152" i="12"/>
  <c r="F152" i="12"/>
  <c r="E152" i="12"/>
  <c r="D152" i="12"/>
  <c r="O146" i="12"/>
  <c r="N146" i="12"/>
  <c r="M146" i="12"/>
  <c r="L146" i="12"/>
  <c r="F146" i="12"/>
  <c r="E146" i="12"/>
  <c r="D146" i="12"/>
  <c r="F155" i="12"/>
  <c r="E155" i="12"/>
  <c r="D155" i="12"/>
  <c r="O149" i="12"/>
  <c r="N149" i="12"/>
  <c r="M149" i="12"/>
  <c r="L149" i="12"/>
  <c r="F149" i="12"/>
  <c r="E149" i="12"/>
  <c r="D149" i="12"/>
  <c r="O143" i="12"/>
  <c r="N143" i="12"/>
  <c r="M143" i="12"/>
  <c r="L143" i="12"/>
  <c r="F143" i="12"/>
  <c r="E143" i="12"/>
  <c r="D143" i="12"/>
  <c r="F140" i="12"/>
  <c r="E140" i="12"/>
  <c r="D140" i="12"/>
  <c r="F137" i="12"/>
  <c r="E137" i="12"/>
  <c r="D137" i="12"/>
  <c r="K143" i="12" l="1"/>
  <c r="H33" i="12"/>
  <c r="H99" i="12"/>
  <c r="H56" i="12"/>
  <c r="J155" i="12"/>
  <c r="J137" i="12"/>
  <c r="K137" i="12"/>
  <c r="G133" i="12"/>
  <c r="K149" i="12"/>
  <c r="J149" i="12"/>
  <c r="J152" i="12"/>
  <c r="J145" i="12"/>
  <c r="J157" i="12" s="1"/>
  <c r="J143" i="12"/>
  <c r="G99" i="12" l="1"/>
  <c r="G56" i="12"/>
  <c r="H50" i="12"/>
  <c r="H58" i="12" s="1"/>
  <c r="G33" i="12"/>
  <c r="K146" i="12"/>
  <c r="J146" i="12"/>
  <c r="J139" i="12"/>
  <c r="J96" i="12"/>
  <c r="J53" i="12" s="1"/>
  <c r="J54" i="12" s="1"/>
  <c r="H55" i="12" l="1"/>
  <c r="H61" i="12"/>
  <c r="G50" i="12"/>
  <c r="G58" i="12" s="1"/>
  <c r="J89" i="12"/>
  <c r="J86" i="12"/>
  <c r="J80" i="12"/>
  <c r="J92" i="12"/>
  <c r="J83" i="12"/>
  <c r="J97" i="12"/>
  <c r="K140" i="12"/>
  <c r="J133" i="12"/>
  <c r="J140" i="12"/>
  <c r="G109" i="12"/>
  <c r="F109" i="12"/>
  <c r="E109" i="12"/>
  <c r="D109" i="12"/>
  <c r="C109" i="12"/>
  <c r="C13" i="12" s="1"/>
  <c r="O25" i="12"/>
  <c r="N25" i="12"/>
  <c r="M25" i="12"/>
  <c r="L25" i="12"/>
  <c r="K25" i="12"/>
  <c r="J25" i="12"/>
  <c r="G25" i="12"/>
  <c r="F25" i="12"/>
  <c r="E25" i="12"/>
  <c r="D25" i="12"/>
  <c r="C25" i="12"/>
  <c r="F13" i="12" l="1"/>
  <c r="F115" i="12"/>
  <c r="G13" i="12"/>
  <c r="G115" i="12"/>
  <c r="D13" i="12"/>
  <c r="D115" i="12"/>
  <c r="E13" i="12"/>
  <c r="E115" i="12"/>
  <c r="J99" i="12"/>
  <c r="K99" i="12" s="1"/>
  <c r="L99" i="12" s="1"/>
  <c r="M99" i="12" s="1"/>
  <c r="N99" i="12" s="1"/>
  <c r="O99" i="12" s="1"/>
  <c r="J56" i="12"/>
  <c r="G61" i="12"/>
  <c r="G55" i="12"/>
  <c r="J93" i="12"/>
  <c r="J87" i="12"/>
  <c r="J84" i="12"/>
  <c r="J81" i="12"/>
  <c r="J90" i="12"/>
  <c r="K134" i="12"/>
  <c r="J134" i="12"/>
  <c r="M20" i="416"/>
  <c r="M21" i="416" s="1"/>
  <c r="L20" i="416"/>
  <c r="K20" i="416"/>
  <c r="L12" i="416"/>
  <c r="K12" i="416"/>
  <c r="M11" i="416"/>
  <c r="M127" i="12" s="1"/>
  <c r="N127" i="12" s="1"/>
  <c r="O127" i="12" s="1"/>
  <c r="K10" i="416"/>
  <c r="M9" i="416"/>
  <c r="M124" i="12" s="1"/>
  <c r="N124" i="12" s="1"/>
  <c r="O124" i="12" s="1"/>
  <c r="L8" i="416"/>
  <c r="AA14" i="416"/>
  <c r="Z14" i="416"/>
  <c r="Y14" i="416"/>
  <c r="X14" i="416"/>
  <c r="L6" i="416" s="1"/>
  <c r="W14" i="416"/>
  <c r="K6" i="416" s="1"/>
  <c r="X17" i="416"/>
  <c r="X16" i="416"/>
  <c r="X15" i="416"/>
  <c r="J57" i="12" l="1"/>
  <c r="J50" i="12"/>
  <c r="J58" i="12" s="1"/>
  <c r="K57" i="12"/>
  <c r="M7" i="416"/>
  <c r="M121" i="12" s="1"/>
  <c r="W17" i="416"/>
  <c r="W16" i="416"/>
  <c r="W15" i="416"/>
  <c r="L22" i="416"/>
  <c r="K22" i="416"/>
  <c r="J22" i="416"/>
  <c r="I22" i="416"/>
  <c r="H22" i="416"/>
  <c r="G22" i="416"/>
  <c r="F22" i="416"/>
  <c r="E22" i="416"/>
  <c r="D22" i="416"/>
  <c r="L19" i="416"/>
  <c r="K19" i="416"/>
  <c r="J19" i="416"/>
  <c r="I19" i="416"/>
  <c r="H19" i="416"/>
  <c r="G19" i="416"/>
  <c r="F19" i="416"/>
  <c r="E19" i="416"/>
  <c r="L15" i="416"/>
  <c r="K15" i="416"/>
  <c r="J15" i="416"/>
  <c r="I15" i="416"/>
  <c r="H15" i="416"/>
  <c r="G15" i="416"/>
  <c r="F15" i="416"/>
  <c r="E15" i="416"/>
  <c r="L13" i="416"/>
  <c r="K13" i="416"/>
  <c r="J13" i="416"/>
  <c r="I13" i="416"/>
  <c r="H13" i="416"/>
  <c r="G13" i="416"/>
  <c r="F13" i="416"/>
  <c r="E13" i="416"/>
  <c r="L21" i="416"/>
  <c r="K21" i="416"/>
  <c r="J21" i="416"/>
  <c r="I21" i="416"/>
  <c r="H21" i="416"/>
  <c r="G21" i="416"/>
  <c r="F21" i="416"/>
  <c r="E21" i="416"/>
  <c r="L17" i="416"/>
  <c r="K17" i="416"/>
  <c r="J17" i="416"/>
  <c r="I17" i="416"/>
  <c r="H17" i="416"/>
  <c r="G17" i="416"/>
  <c r="F17" i="416"/>
  <c r="E17" i="416"/>
  <c r="L11" i="416"/>
  <c r="L127" i="12" s="1"/>
  <c r="L126" i="12" s="1"/>
  <c r="M126" i="12" s="1"/>
  <c r="N126" i="12" s="1"/>
  <c r="O126" i="12" s="1"/>
  <c r="K11" i="416"/>
  <c r="J11" i="416"/>
  <c r="I11" i="416"/>
  <c r="H11" i="416"/>
  <c r="G11" i="416"/>
  <c r="F11" i="416"/>
  <c r="E11" i="416"/>
  <c r="L9" i="416"/>
  <c r="L124" i="12" s="1"/>
  <c r="L123" i="12" s="1"/>
  <c r="M123" i="12" s="1"/>
  <c r="N123" i="12" s="1"/>
  <c r="O123" i="12" s="1"/>
  <c r="K9" i="416"/>
  <c r="J9" i="416"/>
  <c r="I9" i="416"/>
  <c r="H9" i="416"/>
  <c r="G9" i="416"/>
  <c r="F9" i="416"/>
  <c r="E9" i="416"/>
  <c r="L7" i="416"/>
  <c r="K7" i="416"/>
  <c r="J7" i="416"/>
  <c r="I7" i="416"/>
  <c r="H7" i="416"/>
  <c r="G7" i="416"/>
  <c r="F7" i="416"/>
  <c r="E7" i="416"/>
  <c r="B1" i="416"/>
  <c r="N121" i="12" l="1"/>
  <c r="O121" i="12" s="1"/>
  <c r="M120" i="12"/>
  <c r="J61" i="12"/>
  <c r="J51" i="12"/>
  <c r="J55" i="12"/>
  <c r="J23" i="416"/>
  <c r="F23" i="416"/>
  <c r="E23" i="416"/>
  <c r="H23" i="416"/>
  <c r="L23" i="416"/>
  <c r="G23" i="416"/>
  <c r="K23" i="416"/>
  <c r="I23" i="416"/>
  <c r="N120" i="12" l="1"/>
  <c r="O120" i="12" s="1"/>
  <c r="G75" i="404"/>
  <c r="G154" i="15" l="1"/>
  <c r="F154" i="15"/>
  <c r="E154" i="15"/>
  <c r="D154" i="15"/>
  <c r="G155" i="15"/>
  <c r="F155" i="15"/>
  <c r="E155" i="15"/>
  <c r="D155" i="15"/>
  <c r="C155" i="15"/>
  <c r="C154" i="15"/>
  <c r="B151" i="15"/>
  <c r="I139" i="15"/>
  <c r="H139" i="15"/>
  <c r="G139" i="15"/>
  <c r="F139" i="15"/>
  <c r="E139" i="15"/>
  <c r="D139" i="15"/>
  <c r="C139" i="15"/>
  <c r="L18" i="413"/>
  <c r="K18" i="413"/>
  <c r="J18" i="413"/>
  <c r="K17" i="413"/>
  <c r="L17" i="413"/>
  <c r="J17" i="413"/>
  <c r="L16" i="413"/>
  <c r="K16" i="413"/>
  <c r="J16" i="413"/>
  <c r="G143" i="15"/>
  <c r="F143" i="15"/>
  <c r="E143" i="15"/>
  <c r="D143" i="15"/>
  <c r="C143" i="15"/>
  <c r="D135" i="15"/>
  <c r="C135" i="15"/>
  <c r="J104" i="15"/>
  <c r="I104" i="15"/>
  <c r="H104" i="15"/>
  <c r="G104" i="15"/>
  <c r="F104" i="15"/>
  <c r="E104" i="15"/>
  <c r="D104" i="15"/>
  <c r="C104" i="15"/>
  <c r="J62" i="15"/>
  <c r="I62" i="15"/>
  <c r="H62" i="15"/>
  <c r="G62" i="15"/>
  <c r="F62" i="15"/>
  <c r="E62" i="15"/>
  <c r="D62" i="15"/>
  <c r="C62" i="15"/>
  <c r="O116" i="15"/>
  <c r="O115" i="15"/>
  <c r="N115" i="15"/>
  <c r="O114" i="15"/>
  <c r="N114" i="15"/>
  <c r="M114" i="15"/>
  <c r="O113" i="15"/>
  <c r="N113" i="15"/>
  <c r="M113" i="15"/>
  <c r="L113" i="15"/>
  <c r="O112" i="15"/>
  <c r="N112" i="15"/>
  <c r="M112" i="15"/>
  <c r="L112" i="15"/>
  <c r="L111" i="15" s="1"/>
  <c r="K112" i="15"/>
  <c r="K111" i="15" s="1"/>
  <c r="O110" i="15"/>
  <c r="O109" i="15"/>
  <c r="N109" i="15"/>
  <c r="O108" i="15"/>
  <c r="N108" i="15"/>
  <c r="M108" i="15"/>
  <c r="O107" i="15"/>
  <c r="N107" i="15"/>
  <c r="M107" i="15"/>
  <c r="L107" i="15"/>
  <c r="O106" i="15"/>
  <c r="N106" i="15"/>
  <c r="M106" i="15"/>
  <c r="L106" i="15"/>
  <c r="L105" i="15" s="1"/>
  <c r="K106" i="15"/>
  <c r="K105" i="15" s="1"/>
  <c r="B117" i="15"/>
  <c r="B111" i="15"/>
  <c r="B105" i="15"/>
  <c r="O98" i="15"/>
  <c r="O97" i="15"/>
  <c r="N97" i="15"/>
  <c r="O96" i="15"/>
  <c r="N96" i="15"/>
  <c r="M96" i="15"/>
  <c r="O95" i="15"/>
  <c r="N95" i="15"/>
  <c r="M95" i="15"/>
  <c r="L95" i="15"/>
  <c r="O94" i="15"/>
  <c r="N94" i="15"/>
  <c r="M94" i="15"/>
  <c r="L94" i="15"/>
  <c r="K94" i="15"/>
  <c r="B93" i="15"/>
  <c r="B87" i="15"/>
  <c r="B81" i="15"/>
  <c r="B75" i="15"/>
  <c r="B69" i="15"/>
  <c r="G289" i="13"/>
  <c r="F289" i="13"/>
  <c r="E289" i="13"/>
  <c r="D289" i="13"/>
  <c r="C289" i="13"/>
  <c r="G285" i="13"/>
  <c r="F285" i="13"/>
  <c r="E285" i="13"/>
  <c r="D285" i="13"/>
  <c r="C285" i="13"/>
  <c r="G281" i="13"/>
  <c r="F281" i="13"/>
  <c r="E281" i="13"/>
  <c r="D281" i="13"/>
  <c r="C281" i="13"/>
  <c r="G277" i="13"/>
  <c r="F277" i="13"/>
  <c r="E277" i="13"/>
  <c r="D277" i="13"/>
  <c r="C277" i="13"/>
  <c r="G273" i="13"/>
  <c r="F273" i="13"/>
  <c r="E273" i="13"/>
  <c r="D273" i="13"/>
  <c r="C273" i="13"/>
  <c r="G269" i="13"/>
  <c r="F269" i="13"/>
  <c r="E269" i="13"/>
  <c r="D269" i="13"/>
  <c r="C269" i="13"/>
  <c r="G265" i="13"/>
  <c r="F265" i="13"/>
  <c r="E265" i="13"/>
  <c r="D265" i="13"/>
  <c r="C265" i="13"/>
  <c r="G261" i="13"/>
  <c r="F261" i="13"/>
  <c r="E261" i="13"/>
  <c r="D261" i="13"/>
  <c r="C261" i="13"/>
  <c r="G257" i="13"/>
  <c r="F257" i="13"/>
  <c r="E257" i="13"/>
  <c r="D257" i="13"/>
  <c r="C257" i="13"/>
  <c r="G253" i="13"/>
  <c r="F253" i="13"/>
  <c r="E253" i="13"/>
  <c r="D253" i="13"/>
  <c r="C253" i="13"/>
  <c r="G249" i="13"/>
  <c r="F249" i="13"/>
  <c r="E249" i="13"/>
  <c r="D249" i="13"/>
  <c r="C249" i="13"/>
  <c r="G245" i="13"/>
  <c r="F245" i="13"/>
  <c r="E245" i="13"/>
  <c r="D245" i="13"/>
  <c r="C245" i="13"/>
  <c r="G241" i="13"/>
  <c r="F241" i="13"/>
  <c r="E241" i="13"/>
  <c r="D241" i="13"/>
  <c r="C241" i="13"/>
  <c r="G237" i="13"/>
  <c r="F237" i="13"/>
  <c r="E237" i="13"/>
  <c r="D237" i="13"/>
  <c r="C237" i="13"/>
  <c r="G233" i="13"/>
  <c r="F233" i="13"/>
  <c r="E233" i="13"/>
  <c r="D233" i="13"/>
  <c r="C233" i="13"/>
  <c r="G229" i="13"/>
  <c r="F229" i="13"/>
  <c r="E229" i="13"/>
  <c r="D229" i="13"/>
  <c r="C229" i="13"/>
  <c r="B223" i="13"/>
  <c r="B194" i="13"/>
  <c r="G187" i="13"/>
  <c r="G183" i="13"/>
  <c r="G179" i="13"/>
  <c r="G175" i="13"/>
  <c r="G171" i="13"/>
  <c r="G167" i="13"/>
  <c r="G163" i="13"/>
  <c r="G159" i="13"/>
  <c r="G155" i="13"/>
  <c r="G151" i="13"/>
  <c r="G147" i="13"/>
  <c r="G143" i="13"/>
  <c r="G139" i="13"/>
  <c r="G135" i="13"/>
  <c r="G131" i="13"/>
  <c r="G127" i="13"/>
  <c r="F187" i="13"/>
  <c r="E187" i="13"/>
  <c r="D187" i="13"/>
  <c r="C187" i="13"/>
  <c r="F183" i="13"/>
  <c r="E183" i="13"/>
  <c r="D183" i="13"/>
  <c r="C183" i="13"/>
  <c r="F179" i="13"/>
  <c r="E179" i="13"/>
  <c r="D179" i="13"/>
  <c r="C179" i="13"/>
  <c r="F175" i="13"/>
  <c r="E175" i="13"/>
  <c r="D175" i="13"/>
  <c r="C175" i="13"/>
  <c r="F171" i="13"/>
  <c r="E171" i="13"/>
  <c r="D171" i="13"/>
  <c r="C171" i="13"/>
  <c r="F167" i="13"/>
  <c r="E167" i="13"/>
  <c r="D167" i="13"/>
  <c r="C167" i="13"/>
  <c r="F163" i="13"/>
  <c r="E163" i="13"/>
  <c r="D163" i="13"/>
  <c r="C163" i="13"/>
  <c r="F159" i="13"/>
  <c r="E159" i="13"/>
  <c r="D159" i="13"/>
  <c r="C159" i="13"/>
  <c r="F155" i="13"/>
  <c r="E155" i="13"/>
  <c r="D155" i="13"/>
  <c r="C155" i="13"/>
  <c r="F151" i="13"/>
  <c r="E151" i="13"/>
  <c r="D151" i="13"/>
  <c r="C151" i="13"/>
  <c r="F147" i="13"/>
  <c r="E147" i="13"/>
  <c r="D147" i="13"/>
  <c r="C147" i="13"/>
  <c r="F143" i="13"/>
  <c r="E143" i="13"/>
  <c r="D143" i="13"/>
  <c r="C143" i="13"/>
  <c r="F139" i="13"/>
  <c r="E139" i="13"/>
  <c r="D139" i="13"/>
  <c r="C139" i="13"/>
  <c r="F135" i="13"/>
  <c r="E135" i="13"/>
  <c r="D135" i="13"/>
  <c r="C135" i="13"/>
  <c r="F131" i="13"/>
  <c r="E131" i="13"/>
  <c r="D131" i="13"/>
  <c r="C131" i="13"/>
  <c r="F127" i="13"/>
  <c r="F122" i="13" s="1"/>
  <c r="E127" i="13"/>
  <c r="E122" i="13" s="1"/>
  <c r="D127" i="13"/>
  <c r="D122" i="13" s="1"/>
  <c r="C127" i="13"/>
  <c r="C122" i="13" s="1"/>
  <c r="B121" i="13"/>
  <c r="B80" i="13"/>
  <c r="D224" i="13" l="1"/>
  <c r="F224" i="13"/>
  <c r="C224" i="13"/>
  <c r="C211" i="13" s="1"/>
  <c r="G224" i="13"/>
  <c r="E224" i="13"/>
  <c r="G122" i="13"/>
  <c r="G144" i="13"/>
  <c r="G176" i="13"/>
  <c r="G164" i="13"/>
  <c r="G180" i="13"/>
  <c r="G160" i="13"/>
  <c r="G188" i="13"/>
  <c r="G152" i="13"/>
  <c r="G168" i="13"/>
  <c r="H128" i="13"/>
  <c r="G128" i="13"/>
  <c r="G230" i="13"/>
  <c r="G278" i="13"/>
  <c r="H132" i="13"/>
  <c r="G132" i="13"/>
  <c r="G234" i="13"/>
  <c r="G266" i="13"/>
  <c r="G140" i="13"/>
  <c r="G156" i="13"/>
  <c r="G172" i="13"/>
  <c r="G184" i="13"/>
  <c r="G242" i="13"/>
  <c r="G258" i="13"/>
  <c r="G274" i="13"/>
  <c r="G290" i="13"/>
  <c r="G246" i="13"/>
  <c r="G262" i="13"/>
  <c r="G148" i="13"/>
  <c r="G250" i="13"/>
  <c r="G282" i="13"/>
  <c r="G136" i="13"/>
  <c r="G238" i="13"/>
  <c r="G254" i="13"/>
  <c r="G270" i="13"/>
  <c r="G286" i="13"/>
  <c r="E290" i="13"/>
  <c r="F290" i="13"/>
  <c r="D290" i="13"/>
  <c r="F286" i="13"/>
  <c r="D286" i="13"/>
  <c r="E286" i="13"/>
  <c r="D282" i="13"/>
  <c r="E282" i="13"/>
  <c r="F282" i="13"/>
  <c r="F278" i="13"/>
  <c r="D278" i="13"/>
  <c r="E278" i="13"/>
  <c r="F274" i="13"/>
  <c r="E274" i="13"/>
  <c r="D274" i="13"/>
  <c r="D270" i="13"/>
  <c r="F270" i="13"/>
  <c r="E270" i="13"/>
  <c r="D266" i="13"/>
  <c r="E266" i="13"/>
  <c r="F266" i="13"/>
  <c r="D262" i="13"/>
  <c r="E262" i="13"/>
  <c r="F262" i="13"/>
  <c r="E258" i="13"/>
  <c r="F258" i="13"/>
  <c r="D258" i="13"/>
  <c r="F254" i="13"/>
  <c r="D254" i="13"/>
  <c r="E254" i="13"/>
  <c r="D250" i="13"/>
  <c r="E250" i="13"/>
  <c r="F250" i="13"/>
  <c r="E246" i="13"/>
  <c r="D246" i="13"/>
  <c r="F246" i="13"/>
  <c r="F242" i="13"/>
  <c r="E242" i="13"/>
  <c r="D242" i="13"/>
  <c r="F238" i="13"/>
  <c r="D238" i="13"/>
  <c r="E238" i="13"/>
  <c r="D234" i="13"/>
  <c r="E234" i="13"/>
  <c r="F234" i="13"/>
  <c r="E230" i="13"/>
  <c r="F230" i="13"/>
  <c r="D230" i="13"/>
  <c r="E188" i="13"/>
  <c r="D188" i="13"/>
  <c r="F188" i="13"/>
  <c r="E184" i="13"/>
  <c r="F184" i="13"/>
  <c r="D184" i="13"/>
  <c r="F180" i="13"/>
  <c r="D180" i="13"/>
  <c r="E180" i="13"/>
  <c r="D176" i="13"/>
  <c r="E176" i="13"/>
  <c r="F176" i="13"/>
  <c r="E172" i="13"/>
  <c r="F172" i="13"/>
  <c r="D172" i="13"/>
  <c r="E168" i="13"/>
  <c r="D168" i="13"/>
  <c r="F168" i="13"/>
  <c r="F164" i="13"/>
  <c r="D164" i="13"/>
  <c r="E164" i="13"/>
  <c r="E160" i="13"/>
  <c r="F160" i="13"/>
  <c r="D160" i="13"/>
  <c r="D156" i="13"/>
  <c r="F156" i="13"/>
  <c r="E156" i="13"/>
  <c r="F152" i="13"/>
  <c r="D152" i="13"/>
  <c r="E152" i="13"/>
  <c r="F148" i="13"/>
  <c r="D148" i="13"/>
  <c r="E148" i="13"/>
  <c r="F144" i="13"/>
  <c r="D144" i="13"/>
  <c r="E144" i="13"/>
  <c r="E140" i="13"/>
  <c r="F140" i="13"/>
  <c r="D140" i="13"/>
  <c r="E136" i="13"/>
  <c r="F136" i="13"/>
  <c r="D136" i="13"/>
  <c r="D132" i="13"/>
  <c r="E132" i="13"/>
  <c r="F132" i="13"/>
  <c r="F128" i="13"/>
  <c r="D128" i="13"/>
  <c r="E128" i="13"/>
  <c r="F152" i="15"/>
  <c r="G152" i="15"/>
  <c r="D152" i="15"/>
  <c r="C152" i="15"/>
  <c r="E152" i="15"/>
  <c r="M111" i="15"/>
  <c r="J139" i="15"/>
  <c r="D132" i="15"/>
  <c r="E132" i="15"/>
  <c r="F132" i="15"/>
  <c r="C132" i="15"/>
  <c r="G132" i="15"/>
  <c r="O111" i="15"/>
  <c r="M105" i="15"/>
  <c r="N111" i="15"/>
  <c r="N105" i="15"/>
  <c r="O105" i="15"/>
  <c r="D211" i="13" l="1"/>
  <c r="D212" i="13" s="1"/>
  <c r="G211" i="13"/>
  <c r="E211" i="13"/>
  <c r="F211" i="13"/>
  <c r="G123" i="13"/>
  <c r="G225" i="13"/>
  <c r="J289" i="13"/>
  <c r="J285" i="13"/>
  <c r="J281" i="13"/>
  <c r="J277" i="13"/>
  <c r="J269" i="13"/>
  <c r="J265" i="13"/>
  <c r="J261" i="13"/>
  <c r="J257" i="13"/>
  <c r="J253" i="13"/>
  <c r="J241" i="13"/>
  <c r="J233" i="13"/>
  <c r="J229" i="13"/>
  <c r="F42" i="13"/>
  <c r="J187" i="13"/>
  <c r="E42" i="13"/>
  <c r="G42" i="13"/>
  <c r="D42" i="13"/>
  <c r="J171" i="13"/>
  <c r="J167" i="13"/>
  <c r="J147" i="13"/>
  <c r="J139" i="13"/>
  <c r="J135" i="13"/>
  <c r="H123" i="13"/>
  <c r="J131" i="13"/>
  <c r="F212" i="13" l="1"/>
  <c r="G212" i="13"/>
  <c r="E212" i="13"/>
  <c r="J290" i="13"/>
  <c r="J286" i="13"/>
  <c r="J282" i="13"/>
  <c r="J278" i="13"/>
  <c r="J273" i="13"/>
  <c r="J270" i="13"/>
  <c r="J266" i="13"/>
  <c r="J262" i="13"/>
  <c r="J258" i="13"/>
  <c r="J254" i="13"/>
  <c r="J249" i="13"/>
  <c r="J245" i="13"/>
  <c r="K242" i="13"/>
  <c r="J242" i="13"/>
  <c r="J237" i="13"/>
  <c r="J234" i="13"/>
  <c r="J230" i="13"/>
  <c r="K188" i="13"/>
  <c r="J188" i="13"/>
  <c r="J183" i="13"/>
  <c r="J179" i="13"/>
  <c r="J175" i="13"/>
  <c r="J172" i="13"/>
  <c r="J168" i="13"/>
  <c r="J163" i="13"/>
  <c r="J159" i="13"/>
  <c r="J155" i="13"/>
  <c r="J151" i="13"/>
  <c r="J148" i="13"/>
  <c r="J143" i="13"/>
  <c r="J140" i="13"/>
  <c r="K136" i="13"/>
  <c r="J136" i="13"/>
  <c r="J132" i="13"/>
  <c r="J127" i="13"/>
  <c r="B73" i="13"/>
  <c r="J224" i="13" l="1"/>
  <c r="J122" i="13"/>
  <c r="K274" i="13"/>
  <c r="J274" i="13"/>
  <c r="J250" i="13"/>
  <c r="J246" i="13"/>
  <c r="K238" i="13"/>
  <c r="J238" i="13"/>
  <c r="K184" i="13"/>
  <c r="J184" i="13"/>
  <c r="J42" i="13"/>
  <c r="J180" i="13"/>
  <c r="J176" i="13"/>
  <c r="J164" i="13"/>
  <c r="J160" i="13"/>
  <c r="J156" i="13"/>
  <c r="J152" i="13"/>
  <c r="J144" i="13"/>
  <c r="J128" i="13"/>
  <c r="F75" i="13"/>
  <c r="D75" i="13"/>
  <c r="E75" i="13"/>
  <c r="F10" i="13"/>
  <c r="G10" i="13"/>
  <c r="D10" i="13"/>
  <c r="E10" i="13"/>
  <c r="F134" i="12"/>
  <c r="E134" i="12"/>
  <c r="K130" i="12"/>
  <c r="J130" i="12"/>
  <c r="F130" i="12"/>
  <c r="E130" i="12"/>
  <c r="D130" i="12"/>
  <c r="K127" i="12"/>
  <c r="J127" i="12"/>
  <c r="F127" i="12"/>
  <c r="E127" i="12"/>
  <c r="D127" i="12"/>
  <c r="K124" i="12"/>
  <c r="J124" i="12"/>
  <c r="F124" i="12"/>
  <c r="E124" i="12"/>
  <c r="D124" i="12"/>
  <c r="K121" i="12"/>
  <c r="J121" i="12"/>
  <c r="F121" i="12"/>
  <c r="E121" i="12"/>
  <c r="D121" i="12"/>
  <c r="K118" i="12"/>
  <c r="J118" i="12"/>
  <c r="O113" i="12"/>
  <c r="N113" i="12"/>
  <c r="M113" i="12"/>
  <c r="L113" i="12"/>
  <c r="K113" i="12"/>
  <c r="J113" i="12"/>
  <c r="H113" i="12"/>
  <c r="G113" i="12"/>
  <c r="F113" i="12"/>
  <c r="E113" i="12"/>
  <c r="D113" i="12"/>
  <c r="D114" i="12" s="1"/>
  <c r="B108" i="12"/>
  <c r="H109" i="12" l="1"/>
  <c r="H13" i="12" s="1"/>
  <c r="H44" i="12"/>
  <c r="J44" i="12"/>
  <c r="J45" i="12" s="1"/>
  <c r="M44" i="12"/>
  <c r="L44" i="12"/>
  <c r="N44" i="12"/>
  <c r="O44" i="12"/>
  <c r="K109" i="12"/>
  <c r="K13" i="12" s="1"/>
  <c r="K63" i="13" s="1"/>
  <c r="K44" i="12"/>
  <c r="L45" i="12" s="1"/>
  <c r="E114" i="12"/>
  <c r="F114" i="12"/>
  <c r="J109" i="12"/>
  <c r="J115" i="12" s="1"/>
  <c r="J114" i="12"/>
  <c r="L114" i="12"/>
  <c r="M114" i="12"/>
  <c r="D110" i="12"/>
  <c r="F110" i="12"/>
  <c r="N114" i="12"/>
  <c r="K114" i="12"/>
  <c r="O114" i="12"/>
  <c r="H115" i="12" l="1"/>
  <c r="K115" i="13"/>
  <c r="K189" i="13"/>
  <c r="K185" i="13"/>
  <c r="K137" i="13"/>
  <c r="K115" i="12"/>
  <c r="M45" i="12"/>
  <c r="N45" i="12"/>
  <c r="O45" i="12"/>
  <c r="K45" i="12"/>
  <c r="J110" i="12"/>
  <c r="J13" i="12"/>
  <c r="E110" i="12"/>
  <c r="K110" i="12"/>
  <c r="K75" i="12"/>
  <c r="J75" i="12"/>
  <c r="H75" i="12"/>
  <c r="H41" i="12" s="1"/>
  <c r="G75" i="12"/>
  <c r="F75" i="12"/>
  <c r="E75" i="12"/>
  <c r="D75" i="12"/>
  <c r="K93" i="12"/>
  <c r="F93" i="12"/>
  <c r="E93" i="12"/>
  <c r="D93" i="12"/>
  <c r="K90" i="12"/>
  <c r="F90" i="12"/>
  <c r="E90" i="12"/>
  <c r="D90" i="12"/>
  <c r="K87" i="12"/>
  <c r="F87" i="12"/>
  <c r="E87" i="12"/>
  <c r="D87" i="12"/>
  <c r="K84" i="12"/>
  <c r="F84" i="12"/>
  <c r="E84" i="12"/>
  <c r="D84" i="12"/>
  <c r="K81" i="12"/>
  <c r="F81" i="12"/>
  <c r="E81" i="12"/>
  <c r="D81" i="12"/>
  <c r="J174" i="12"/>
  <c r="H174" i="12"/>
  <c r="G174" i="12"/>
  <c r="E174" i="12"/>
  <c r="D174" i="12"/>
  <c r="C174" i="12"/>
  <c r="F174" i="12"/>
  <c r="H170" i="12" l="1"/>
  <c r="H47" i="12"/>
  <c r="H38" i="12" s="1"/>
  <c r="H32" i="12"/>
  <c r="H78" i="12"/>
  <c r="J170" i="12"/>
  <c r="J17" i="12" s="1"/>
  <c r="J47" i="12"/>
  <c r="J48" i="12" s="1"/>
  <c r="J78" i="12"/>
  <c r="J41" i="12"/>
  <c r="K42" i="13"/>
  <c r="K41" i="12"/>
  <c r="F94" i="12"/>
  <c r="F91" i="12"/>
  <c r="F88" i="12"/>
  <c r="F85" i="12"/>
  <c r="F82" i="12"/>
  <c r="J94" i="12"/>
  <c r="J85" i="12"/>
  <c r="J91" i="12"/>
  <c r="J88" i="12"/>
  <c r="J82" i="12"/>
  <c r="G85" i="12"/>
  <c r="G82" i="12"/>
  <c r="G94" i="12"/>
  <c r="G88" i="12"/>
  <c r="G91" i="12"/>
  <c r="K85" i="12"/>
  <c r="K82" i="12"/>
  <c r="K94" i="12"/>
  <c r="K88" i="12"/>
  <c r="K91" i="12"/>
  <c r="D94" i="12"/>
  <c r="D91" i="12"/>
  <c r="D88" i="12"/>
  <c r="D85" i="12"/>
  <c r="D82" i="12"/>
  <c r="H71" i="12"/>
  <c r="H77" i="12" s="1"/>
  <c r="H94" i="12"/>
  <c r="H91" i="12"/>
  <c r="H88" i="12"/>
  <c r="H82" i="12"/>
  <c r="H85" i="12"/>
  <c r="E94" i="12"/>
  <c r="E91" i="12"/>
  <c r="E88" i="12"/>
  <c r="E85" i="12"/>
  <c r="E82" i="12"/>
  <c r="D175" i="12"/>
  <c r="E175" i="12"/>
  <c r="F175" i="12"/>
  <c r="J175" i="12"/>
  <c r="J76" i="12"/>
  <c r="E76" i="12"/>
  <c r="J71" i="12"/>
  <c r="J77" i="12" s="1"/>
  <c r="K76" i="12"/>
  <c r="F76" i="12"/>
  <c r="K42" i="12" l="1"/>
  <c r="H43" i="12"/>
  <c r="H46" i="12"/>
  <c r="J38" i="12"/>
  <c r="J42" i="12"/>
  <c r="H98" i="12"/>
  <c r="H31" i="12"/>
  <c r="J9" i="12"/>
  <c r="J98" i="12"/>
  <c r="J31" i="12"/>
  <c r="J43" i="12" l="1"/>
  <c r="J39" i="12"/>
  <c r="J46" i="12"/>
  <c r="G89" i="14"/>
  <c r="F89" i="14"/>
  <c r="E89" i="14"/>
  <c r="D89" i="14"/>
  <c r="C89" i="14"/>
  <c r="D92" i="14" l="1"/>
  <c r="G92" i="14"/>
  <c r="F92" i="14"/>
  <c r="E92" i="14"/>
  <c r="C92" i="14"/>
  <c r="E11" i="17" l="1"/>
  <c r="E10" i="17"/>
  <c r="H19" i="404" l="1"/>
  <c r="G19" i="404"/>
  <c r="F19" i="404"/>
  <c r="E19" i="404"/>
  <c r="D19" i="404"/>
  <c r="C19" i="404"/>
  <c r="L47" i="14" l="1"/>
  <c r="M47" i="14" s="1"/>
  <c r="N47" i="14" s="1"/>
  <c r="O47" i="14" s="1"/>
  <c r="G28" i="16" l="1"/>
  <c r="F28" i="16"/>
  <c r="E28" i="16"/>
  <c r="D28" i="16"/>
  <c r="C28" i="16"/>
  <c r="O58" i="13" l="1"/>
  <c r="N58" i="13"/>
  <c r="M58" i="13"/>
  <c r="L58" i="13"/>
  <c r="K58" i="13"/>
  <c r="J58" i="13"/>
  <c r="G58" i="13"/>
  <c r="F58" i="13"/>
  <c r="E58" i="13"/>
  <c r="D58" i="13"/>
  <c r="C58" i="13"/>
  <c r="O57" i="13"/>
  <c r="N57" i="13"/>
  <c r="M57" i="13"/>
  <c r="L57" i="13"/>
  <c r="K57" i="13"/>
  <c r="K229" i="13" s="1"/>
  <c r="J57" i="13"/>
  <c r="G57" i="13"/>
  <c r="F57" i="13"/>
  <c r="E57" i="13"/>
  <c r="D57" i="13"/>
  <c r="C57" i="13"/>
  <c r="O56" i="13"/>
  <c r="N56" i="13"/>
  <c r="M56" i="13"/>
  <c r="L56" i="13"/>
  <c r="K56" i="13"/>
  <c r="J56" i="13"/>
  <c r="G56" i="13"/>
  <c r="F56" i="13"/>
  <c r="E56" i="13"/>
  <c r="D56" i="13"/>
  <c r="C56" i="13"/>
  <c r="O27" i="12"/>
  <c r="N27" i="12"/>
  <c r="M27" i="12"/>
  <c r="L27" i="12"/>
  <c r="K27" i="12"/>
  <c r="J27" i="12"/>
  <c r="G27" i="12"/>
  <c r="F27" i="12"/>
  <c r="E27" i="12"/>
  <c r="D27" i="12"/>
  <c r="C27" i="12"/>
  <c r="O26" i="12"/>
  <c r="N26" i="12"/>
  <c r="M26" i="12"/>
  <c r="L26" i="12"/>
  <c r="K26" i="12"/>
  <c r="J26" i="12"/>
  <c r="G26" i="12"/>
  <c r="F26" i="12"/>
  <c r="E26" i="12"/>
  <c r="D26" i="12"/>
  <c r="C26" i="12"/>
  <c r="O24" i="12"/>
  <c r="N24" i="12"/>
  <c r="M24" i="12"/>
  <c r="L24" i="12"/>
  <c r="K24" i="12"/>
  <c r="J24" i="12"/>
  <c r="G24" i="12"/>
  <c r="F24" i="12"/>
  <c r="E24" i="12"/>
  <c r="D24" i="12"/>
  <c r="C24" i="12"/>
  <c r="K230" i="13" l="1"/>
  <c r="L229" i="13"/>
  <c r="K281" i="13"/>
  <c r="K289" i="13"/>
  <c r="K233" i="13"/>
  <c r="K285" i="13"/>
  <c r="K261" i="13"/>
  <c r="K245" i="13"/>
  <c r="K277" i="13"/>
  <c r="K265" i="13"/>
  <c r="K249" i="13"/>
  <c r="K269" i="13"/>
  <c r="K257" i="13"/>
  <c r="K253" i="13"/>
  <c r="K159" i="13"/>
  <c r="K139" i="13"/>
  <c r="K131" i="13"/>
  <c r="K171" i="13"/>
  <c r="K167" i="13"/>
  <c r="K147" i="13"/>
  <c r="K155" i="13"/>
  <c r="K143" i="13"/>
  <c r="K179" i="13"/>
  <c r="K151" i="13"/>
  <c r="K163" i="13"/>
  <c r="K175" i="13"/>
  <c r="K127" i="13"/>
  <c r="K194" i="12"/>
  <c r="K181" i="12"/>
  <c r="L181" i="12" s="1"/>
  <c r="M181" i="12" s="1"/>
  <c r="N181" i="12" s="1"/>
  <c r="O181" i="12" s="1"/>
  <c r="K190" i="12"/>
  <c r="L190" i="12" s="1"/>
  <c r="M190" i="12" s="1"/>
  <c r="N190" i="12" s="1"/>
  <c r="O190" i="12" s="1"/>
  <c r="K187" i="12"/>
  <c r="K178" i="12"/>
  <c r="K184" i="12"/>
  <c r="L184" i="12" s="1"/>
  <c r="K224" i="13" l="1"/>
  <c r="K122" i="13"/>
  <c r="L289" i="13"/>
  <c r="K290" i="13"/>
  <c r="L285" i="13"/>
  <c r="K286" i="13"/>
  <c r="L281" i="13"/>
  <c r="K282" i="13"/>
  <c r="L277" i="13"/>
  <c r="K278" i="13"/>
  <c r="L269" i="13"/>
  <c r="K270" i="13"/>
  <c r="L265" i="13"/>
  <c r="K266" i="13"/>
  <c r="L261" i="13"/>
  <c r="K262" i="13"/>
  <c r="L257" i="13"/>
  <c r="K258" i="13"/>
  <c r="L253" i="13"/>
  <c r="K254" i="13"/>
  <c r="L249" i="13"/>
  <c r="K250" i="13"/>
  <c r="L245" i="13"/>
  <c r="K246" i="13"/>
  <c r="L233" i="13"/>
  <c r="K234" i="13"/>
  <c r="M229" i="13"/>
  <c r="L230" i="13"/>
  <c r="L179" i="13"/>
  <c r="K181" i="13"/>
  <c r="K180" i="13"/>
  <c r="L175" i="13"/>
  <c r="K177" i="13"/>
  <c r="K176" i="13"/>
  <c r="L171" i="13"/>
  <c r="K173" i="13"/>
  <c r="K172" i="13"/>
  <c r="L167" i="13"/>
  <c r="K169" i="13"/>
  <c r="K168" i="13"/>
  <c r="L163" i="13"/>
  <c r="K165" i="13"/>
  <c r="K164" i="13"/>
  <c r="L159" i="13"/>
  <c r="K161" i="13"/>
  <c r="K160" i="13"/>
  <c r="L155" i="13"/>
  <c r="K157" i="13"/>
  <c r="K156" i="13"/>
  <c r="L151" i="13"/>
  <c r="K153" i="13"/>
  <c r="K152" i="13"/>
  <c r="L147" i="13"/>
  <c r="K149" i="13"/>
  <c r="K148" i="13"/>
  <c r="L143" i="13"/>
  <c r="K145" i="13"/>
  <c r="K144" i="13"/>
  <c r="L139" i="13"/>
  <c r="K141" i="13"/>
  <c r="K140" i="13"/>
  <c r="L131" i="13"/>
  <c r="K133" i="13"/>
  <c r="K132" i="13"/>
  <c r="K129" i="13"/>
  <c r="K128" i="13"/>
  <c r="L127" i="13"/>
  <c r="L187" i="12"/>
  <c r="M187" i="12" s="1"/>
  <c r="N187" i="12" s="1"/>
  <c r="O187" i="12" s="1"/>
  <c r="L194" i="12"/>
  <c r="K96" i="12"/>
  <c r="K59" i="12"/>
  <c r="M184" i="12"/>
  <c r="N184" i="12" s="1"/>
  <c r="O184" i="12" s="1"/>
  <c r="L178" i="12"/>
  <c r="K174" i="12"/>
  <c r="K78" i="12" s="1"/>
  <c r="G180" i="415"/>
  <c r="G182" i="415" s="1"/>
  <c r="F180" i="415"/>
  <c r="F182" i="415" s="1"/>
  <c r="E180" i="415"/>
  <c r="E182" i="415" s="1"/>
  <c r="D180" i="415"/>
  <c r="D182" i="415" s="1"/>
  <c r="C180" i="415"/>
  <c r="C182" i="415" s="1"/>
  <c r="L78" i="12" l="1"/>
  <c r="M78" i="12" s="1"/>
  <c r="N78" i="12" s="1"/>
  <c r="O78" i="12" s="1"/>
  <c r="E181" i="415"/>
  <c r="F181" i="415"/>
  <c r="G181" i="415"/>
  <c r="D181" i="415"/>
  <c r="L224" i="13"/>
  <c r="L122" i="13"/>
  <c r="M289" i="13"/>
  <c r="L290" i="13"/>
  <c r="M285" i="13"/>
  <c r="L286" i="13"/>
  <c r="M281" i="13"/>
  <c r="L282" i="13"/>
  <c r="M277" i="13"/>
  <c r="L278" i="13"/>
  <c r="M269" i="13"/>
  <c r="L270" i="13"/>
  <c r="M265" i="13"/>
  <c r="L266" i="13"/>
  <c r="M261" i="13"/>
  <c r="L262" i="13"/>
  <c r="M257" i="13"/>
  <c r="L258" i="13"/>
  <c r="M253" i="13"/>
  <c r="L254" i="13"/>
  <c r="M249" i="13"/>
  <c r="L250" i="13"/>
  <c r="M245" i="13"/>
  <c r="L246" i="13"/>
  <c r="M233" i="13"/>
  <c r="L234" i="13"/>
  <c r="N229" i="13"/>
  <c r="M230" i="13"/>
  <c r="M179" i="13"/>
  <c r="L180" i="13"/>
  <c r="M175" i="13"/>
  <c r="L176" i="13"/>
  <c r="M171" i="13"/>
  <c r="L172" i="13"/>
  <c r="M167" i="13"/>
  <c r="L168" i="13"/>
  <c r="M163" i="13"/>
  <c r="L164" i="13"/>
  <c r="M159" i="13"/>
  <c r="L160" i="13"/>
  <c r="M155" i="13"/>
  <c r="L156" i="13"/>
  <c r="M151" i="13"/>
  <c r="L152" i="13"/>
  <c r="M147" i="13"/>
  <c r="L148" i="13"/>
  <c r="M143" i="13"/>
  <c r="L144" i="13"/>
  <c r="M139" i="13"/>
  <c r="L140" i="13"/>
  <c r="M131" i="13"/>
  <c r="L132" i="13"/>
  <c r="L128" i="13"/>
  <c r="M127" i="13"/>
  <c r="K60" i="12"/>
  <c r="K53" i="12"/>
  <c r="K97" i="12"/>
  <c r="K71" i="12"/>
  <c r="K98" i="12" s="1"/>
  <c r="M194" i="12"/>
  <c r="L59" i="12"/>
  <c r="L60" i="12" s="1"/>
  <c r="K47" i="12"/>
  <c r="K175" i="12"/>
  <c r="K170" i="12"/>
  <c r="M178" i="12"/>
  <c r="L174" i="12"/>
  <c r="L75" i="12" l="1"/>
  <c r="M224" i="13"/>
  <c r="M122" i="13"/>
  <c r="N289" i="13"/>
  <c r="M290" i="13"/>
  <c r="N285" i="13"/>
  <c r="M286" i="13"/>
  <c r="N281" i="13"/>
  <c r="M282" i="13"/>
  <c r="N277" i="13"/>
  <c r="M278" i="13"/>
  <c r="N269" i="13"/>
  <c r="M270" i="13"/>
  <c r="N265" i="13"/>
  <c r="M266" i="13"/>
  <c r="N261" i="13"/>
  <c r="M262" i="13"/>
  <c r="N257" i="13"/>
  <c r="M258" i="13"/>
  <c r="N253" i="13"/>
  <c r="M254" i="13"/>
  <c r="N249" i="13"/>
  <c r="M250" i="13"/>
  <c r="N245" i="13"/>
  <c r="M246" i="13"/>
  <c r="N233" i="13"/>
  <c r="M234" i="13"/>
  <c r="O229" i="13"/>
  <c r="N230" i="13"/>
  <c r="N179" i="13"/>
  <c r="M180" i="13"/>
  <c r="N175" i="13"/>
  <c r="M176" i="13"/>
  <c r="N171" i="13"/>
  <c r="M172" i="13"/>
  <c r="N167" i="13"/>
  <c r="M168" i="13"/>
  <c r="N163" i="13"/>
  <c r="M164" i="13"/>
  <c r="N159" i="13"/>
  <c r="M160" i="13"/>
  <c r="N155" i="13"/>
  <c r="M156" i="13"/>
  <c r="N151" i="13"/>
  <c r="M152" i="13"/>
  <c r="N147" i="13"/>
  <c r="M148" i="13"/>
  <c r="N143" i="13"/>
  <c r="M144" i="13"/>
  <c r="N139" i="13"/>
  <c r="M140" i="13"/>
  <c r="N131" i="13"/>
  <c r="M132" i="13"/>
  <c r="M128" i="13"/>
  <c r="N127" i="13"/>
  <c r="N194" i="12"/>
  <c r="M59" i="12"/>
  <c r="M60" i="12" s="1"/>
  <c r="K50" i="12"/>
  <c r="K55" i="12" s="1"/>
  <c r="K54" i="12"/>
  <c r="K77" i="12"/>
  <c r="L77" i="12" s="1"/>
  <c r="M77" i="12" s="1"/>
  <c r="N77" i="12" s="1"/>
  <c r="O77" i="12" s="1"/>
  <c r="K9" i="12"/>
  <c r="K62" i="13" s="1"/>
  <c r="K38" i="12"/>
  <c r="K48" i="12"/>
  <c r="K17" i="12"/>
  <c r="K171" i="12"/>
  <c r="K31" i="12"/>
  <c r="L31" i="12" s="1"/>
  <c r="M31" i="12" s="1"/>
  <c r="N31" i="12" s="1"/>
  <c r="O31" i="12" s="1"/>
  <c r="N178" i="12"/>
  <c r="M174" i="12"/>
  <c r="M75" i="12" s="1"/>
  <c r="L170" i="12"/>
  <c r="L47" i="12"/>
  <c r="L48" i="12" s="1"/>
  <c r="L175" i="12"/>
  <c r="G141" i="415"/>
  <c r="H142" i="415" s="1"/>
  <c r="F141" i="415"/>
  <c r="E141" i="415"/>
  <c r="D141" i="415"/>
  <c r="C141" i="415"/>
  <c r="G137" i="415"/>
  <c r="H138" i="415" s="1"/>
  <c r="F137" i="415"/>
  <c r="E137" i="415"/>
  <c r="D137" i="415"/>
  <c r="C137" i="415"/>
  <c r="G133" i="415"/>
  <c r="H134" i="415" s="1"/>
  <c r="F133" i="415"/>
  <c r="E133" i="415"/>
  <c r="D133" i="415"/>
  <c r="C133" i="415"/>
  <c r="G125" i="415"/>
  <c r="H126" i="415" s="1"/>
  <c r="F125" i="415"/>
  <c r="E125" i="415"/>
  <c r="D125" i="415"/>
  <c r="C125" i="415"/>
  <c r="G117" i="415"/>
  <c r="F117" i="415"/>
  <c r="F147" i="415" s="1"/>
  <c r="E117" i="415"/>
  <c r="E147" i="415" s="1"/>
  <c r="D117" i="415"/>
  <c r="D147" i="415" s="1"/>
  <c r="C117" i="415"/>
  <c r="C147" i="415" s="1"/>
  <c r="G102" i="415"/>
  <c r="F102" i="415"/>
  <c r="E102" i="415"/>
  <c r="D102" i="415"/>
  <c r="C102" i="415"/>
  <c r="G98" i="415"/>
  <c r="H99" i="415" s="1"/>
  <c r="F98" i="415"/>
  <c r="E98" i="415"/>
  <c r="D98" i="415"/>
  <c r="C98" i="415"/>
  <c r="G94" i="415"/>
  <c r="H95" i="415" s="1"/>
  <c r="F94" i="415"/>
  <c r="E94" i="415"/>
  <c r="D94" i="415"/>
  <c r="C94" i="415"/>
  <c r="G88" i="415"/>
  <c r="H89" i="415" s="1"/>
  <c r="F88" i="415"/>
  <c r="E88" i="415"/>
  <c r="D88" i="415"/>
  <c r="C88" i="415"/>
  <c r="G80" i="415"/>
  <c r="F80" i="415"/>
  <c r="F108" i="415" s="1"/>
  <c r="E80" i="415"/>
  <c r="E108" i="415" s="1"/>
  <c r="D80" i="415"/>
  <c r="D108" i="415" s="1"/>
  <c r="C80" i="415"/>
  <c r="C108" i="415" s="1"/>
  <c r="B112" i="415"/>
  <c r="H61" i="415"/>
  <c r="G61" i="415"/>
  <c r="F61" i="415"/>
  <c r="E61" i="415"/>
  <c r="D61" i="415"/>
  <c r="C61" i="415"/>
  <c r="G68" i="415"/>
  <c r="F68" i="415"/>
  <c r="E68" i="415"/>
  <c r="D68" i="415"/>
  <c r="G65" i="415"/>
  <c r="F65" i="415"/>
  <c r="E65" i="415"/>
  <c r="D65" i="415"/>
  <c r="D139" i="415" l="1"/>
  <c r="H118" i="415"/>
  <c r="G147" i="415"/>
  <c r="K147" i="415" s="1"/>
  <c r="L147" i="415" s="1"/>
  <c r="M147" i="415" s="1"/>
  <c r="N147" i="415" s="1"/>
  <c r="O147" i="415" s="1"/>
  <c r="F143" i="415"/>
  <c r="C143" i="415"/>
  <c r="G143" i="415"/>
  <c r="D143" i="415"/>
  <c r="E143" i="415"/>
  <c r="C139" i="415"/>
  <c r="G139" i="415"/>
  <c r="E103" i="415"/>
  <c r="E139" i="415"/>
  <c r="F103" i="415"/>
  <c r="F139" i="415"/>
  <c r="K139" i="415" s="1"/>
  <c r="L139" i="415" s="1"/>
  <c r="M139" i="415" s="1"/>
  <c r="N139" i="415" s="1"/>
  <c r="O139" i="415" s="1"/>
  <c r="D103" i="415"/>
  <c r="H81" i="415"/>
  <c r="G108" i="415"/>
  <c r="K108" i="415" s="1"/>
  <c r="L108" i="415" s="1"/>
  <c r="M108" i="415" s="1"/>
  <c r="N108" i="415" s="1"/>
  <c r="O108" i="415" s="1"/>
  <c r="G103" i="415"/>
  <c r="H103" i="415"/>
  <c r="C104" i="415"/>
  <c r="E100" i="415"/>
  <c r="D104" i="415"/>
  <c r="G104" i="415"/>
  <c r="E104" i="415"/>
  <c r="F104" i="415"/>
  <c r="D100" i="415"/>
  <c r="F100" i="415"/>
  <c r="C100" i="415"/>
  <c r="G100" i="415"/>
  <c r="J159" i="415"/>
  <c r="K159" i="415" s="1"/>
  <c r="L159" i="415" s="1"/>
  <c r="M159" i="415" s="1"/>
  <c r="N159" i="415" s="1"/>
  <c r="O159" i="415" s="1"/>
  <c r="J167" i="415"/>
  <c r="K167" i="415" s="1"/>
  <c r="L167" i="415" s="1"/>
  <c r="M167" i="415" s="1"/>
  <c r="N167" i="415" s="1"/>
  <c r="O167" i="415" s="1"/>
  <c r="E92" i="415"/>
  <c r="G92" i="415"/>
  <c r="K92" i="415" s="1"/>
  <c r="D92" i="415"/>
  <c r="F92" i="415"/>
  <c r="D86" i="415"/>
  <c r="E86" i="415"/>
  <c r="F86" i="415"/>
  <c r="G86" i="415"/>
  <c r="E135" i="415"/>
  <c r="F135" i="415"/>
  <c r="C135" i="415"/>
  <c r="G135" i="415"/>
  <c r="D135" i="415"/>
  <c r="N224" i="13"/>
  <c r="N122" i="13"/>
  <c r="E113" i="415"/>
  <c r="E206" i="13" s="1"/>
  <c r="E195" i="13" s="1"/>
  <c r="O289" i="13"/>
  <c r="N290" i="13"/>
  <c r="O285" i="13"/>
  <c r="N286" i="13"/>
  <c r="O281" i="13"/>
  <c r="N282" i="13"/>
  <c r="O277" i="13"/>
  <c r="N278" i="13"/>
  <c r="O269" i="13"/>
  <c r="N270" i="13"/>
  <c r="O265" i="13"/>
  <c r="N266" i="13"/>
  <c r="O261" i="13"/>
  <c r="N262" i="13"/>
  <c r="O257" i="13"/>
  <c r="N258" i="13"/>
  <c r="O253" i="13"/>
  <c r="N254" i="13"/>
  <c r="O249" i="13"/>
  <c r="N250" i="13"/>
  <c r="O245" i="13"/>
  <c r="N246" i="13"/>
  <c r="O233" i="13"/>
  <c r="N234" i="13"/>
  <c r="O230" i="13"/>
  <c r="O179" i="13"/>
  <c r="N180" i="13"/>
  <c r="O175" i="13"/>
  <c r="N176" i="13"/>
  <c r="O171" i="13"/>
  <c r="N172" i="13"/>
  <c r="O167" i="13"/>
  <c r="N168" i="13"/>
  <c r="O163" i="13"/>
  <c r="N164" i="13"/>
  <c r="O159" i="13"/>
  <c r="N160" i="13"/>
  <c r="O155" i="13"/>
  <c r="N156" i="13"/>
  <c r="O151" i="13"/>
  <c r="N152" i="13"/>
  <c r="O147" i="13"/>
  <c r="N148" i="13"/>
  <c r="O143" i="13"/>
  <c r="N144" i="13"/>
  <c r="O139" i="13"/>
  <c r="N140" i="13"/>
  <c r="O131" i="13"/>
  <c r="N132" i="13"/>
  <c r="N128" i="13"/>
  <c r="F76" i="415"/>
  <c r="F92" i="13" s="1"/>
  <c r="F81" i="13" s="1"/>
  <c r="G76" i="415"/>
  <c r="G92" i="13" s="1"/>
  <c r="G81" i="13" s="1"/>
  <c r="F113" i="415"/>
  <c r="F206" i="13" s="1"/>
  <c r="F195" i="13" s="1"/>
  <c r="E76" i="415"/>
  <c r="E92" i="13" s="1"/>
  <c r="E81" i="13" s="1"/>
  <c r="D113" i="415"/>
  <c r="D206" i="13" s="1"/>
  <c r="D195" i="13" s="1"/>
  <c r="C76" i="415"/>
  <c r="C92" i="13" s="1"/>
  <c r="C81" i="13" s="1"/>
  <c r="D76" i="415"/>
  <c r="D92" i="13" s="1"/>
  <c r="D81" i="13" s="1"/>
  <c r="C113" i="415"/>
  <c r="C206" i="13" s="1"/>
  <c r="C195" i="13" s="1"/>
  <c r="G113" i="415"/>
  <c r="G206" i="13" s="1"/>
  <c r="G195" i="13" s="1"/>
  <c r="J94" i="415"/>
  <c r="J125" i="415"/>
  <c r="J88" i="415"/>
  <c r="J141" i="415"/>
  <c r="C102" i="13"/>
  <c r="J133" i="415"/>
  <c r="D123" i="415"/>
  <c r="E123" i="415"/>
  <c r="F123" i="415"/>
  <c r="F26" i="415"/>
  <c r="O127" i="13"/>
  <c r="K51" i="12"/>
  <c r="K58" i="12"/>
  <c r="K61" i="12"/>
  <c r="O194" i="12"/>
  <c r="O59" i="12" s="1"/>
  <c r="N59" i="12"/>
  <c r="N60" i="12" s="1"/>
  <c r="L41" i="12"/>
  <c r="L42" i="12" s="1"/>
  <c r="L17" i="12"/>
  <c r="L171" i="12"/>
  <c r="M47" i="12"/>
  <c r="M48" i="12" s="1"/>
  <c r="M175" i="12"/>
  <c r="M170" i="12"/>
  <c r="K46" i="12"/>
  <c r="K39" i="12"/>
  <c r="K43" i="12"/>
  <c r="O178" i="12"/>
  <c r="O174" i="12" s="1"/>
  <c r="O75" i="12" s="1"/>
  <c r="N174" i="12"/>
  <c r="N75" i="12" s="1"/>
  <c r="K18" i="12"/>
  <c r="K64" i="13"/>
  <c r="K6" i="12"/>
  <c r="K40" i="12" s="1"/>
  <c r="L89" i="12"/>
  <c r="L86" i="12"/>
  <c r="L88" i="12" s="1"/>
  <c r="L80" i="12"/>
  <c r="L82" i="12" s="1"/>
  <c r="L92" i="12"/>
  <c r="L83" i="12"/>
  <c r="G123" i="415"/>
  <c r="C26" i="415"/>
  <c r="G26" i="415"/>
  <c r="D26" i="415"/>
  <c r="E26" i="415"/>
  <c r="J72" i="415"/>
  <c r="F134" i="415"/>
  <c r="D126" i="415"/>
  <c r="E118" i="415"/>
  <c r="F142" i="415"/>
  <c r="D138" i="415"/>
  <c r="F118" i="415"/>
  <c r="E126" i="415"/>
  <c r="G134" i="415"/>
  <c r="E138" i="415"/>
  <c r="G142" i="415"/>
  <c r="G118" i="415"/>
  <c r="F126" i="415"/>
  <c r="D134" i="415"/>
  <c r="F138" i="415"/>
  <c r="D142" i="415"/>
  <c r="D118" i="415"/>
  <c r="G126" i="415"/>
  <c r="E134" i="415"/>
  <c r="G138" i="415"/>
  <c r="E142" i="415"/>
  <c r="K100" i="415" l="1"/>
  <c r="L100" i="415" s="1"/>
  <c r="M100" i="415" s="1"/>
  <c r="N100" i="415" s="1"/>
  <c r="O100" i="415" s="1"/>
  <c r="K143" i="415"/>
  <c r="L143" i="415" s="1"/>
  <c r="M143" i="415" s="1"/>
  <c r="N143" i="415" s="1"/>
  <c r="O143" i="415" s="1"/>
  <c r="K104" i="415"/>
  <c r="L104" i="415" s="1"/>
  <c r="M104" i="415" s="1"/>
  <c r="N104" i="415" s="1"/>
  <c r="O104" i="415" s="1"/>
  <c r="J68" i="415"/>
  <c r="J65" i="415"/>
  <c r="J142" i="415"/>
  <c r="J61" i="415"/>
  <c r="J62" i="415" s="1"/>
  <c r="J83" i="415"/>
  <c r="K83" i="415" s="1"/>
  <c r="L83" i="415" s="1"/>
  <c r="M83" i="415" s="1"/>
  <c r="N83" i="415" s="1"/>
  <c r="O83" i="415" s="1"/>
  <c r="J91" i="415"/>
  <c r="K91" i="415" s="1"/>
  <c r="L91" i="415" s="1"/>
  <c r="M91" i="415" s="1"/>
  <c r="N91" i="415" s="1"/>
  <c r="O91" i="415" s="1"/>
  <c r="J120" i="415"/>
  <c r="K120" i="415" s="1"/>
  <c r="L120" i="415" s="1"/>
  <c r="M120" i="415" s="1"/>
  <c r="N120" i="415" s="1"/>
  <c r="O120" i="415" s="1"/>
  <c r="J128" i="415"/>
  <c r="J131" i="415" s="1"/>
  <c r="K135" i="415"/>
  <c r="L135" i="415" s="1"/>
  <c r="M135" i="415" s="1"/>
  <c r="N135" i="415" s="1"/>
  <c r="O135" i="415" s="1"/>
  <c r="J134" i="415"/>
  <c r="O224" i="13"/>
  <c r="O122" i="13"/>
  <c r="G93" i="13"/>
  <c r="G207" i="13"/>
  <c r="O60" i="12"/>
  <c r="K291" i="13"/>
  <c r="K287" i="13"/>
  <c r="K283" i="13"/>
  <c r="K279" i="13"/>
  <c r="K275" i="13"/>
  <c r="K271" i="13"/>
  <c r="K267" i="13"/>
  <c r="K263" i="13"/>
  <c r="K259" i="13"/>
  <c r="K255" i="13"/>
  <c r="K251" i="13"/>
  <c r="K247" i="13"/>
  <c r="K243" i="13"/>
  <c r="K239" i="13"/>
  <c r="K235" i="13"/>
  <c r="K231" i="13"/>
  <c r="O290" i="13"/>
  <c r="O286" i="13"/>
  <c r="O282" i="13"/>
  <c r="O278" i="13"/>
  <c r="O270" i="13"/>
  <c r="O266" i="13"/>
  <c r="O262" i="13"/>
  <c r="O258" i="13"/>
  <c r="O254" i="13"/>
  <c r="O250" i="13"/>
  <c r="O246" i="13"/>
  <c r="O234" i="13"/>
  <c r="O180" i="13"/>
  <c r="O176" i="13"/>
  <c r="O172" i="13"/>
  <c r="O168" i="13"/>
  <c r="O164" i="13"/>
  <c r="O160" i="13"/>
  <c r="O156" i="13"/>
  <c r="O152" i="13"/>
  <c r="O148" i="13"/>
  <c r="O144" i="13"/>
  <c r="O140" i="13"/>
  <c r="O132" i="13"/>
  <c r="O128" i="13"/>
  <c r="F37" i="13"/>
  <c r="G37" i="13"/>
  <c r="D37" i="13"/>
  <c r="H113" i="415"/>
  <c r="H76" i="415"/>
  <c r="E207" i="13"/>
  <c r="E37" i="13"/>
  <c r="D207" i="13"/>
  <c r="C37" i="13"/>
  <c r="F207" i="13"/>
  <c r="H123" i="415"/>
  <c r="J102" i="415"/>
  <c r="J103" i="415" s="1"/>
  <c r="D93" i="13"/>
  <c r="E93" i="13"/>
  <c r="J137" i="415"/>
  <c r="F93" i="13"/>
  <c r="D27" i="415"/>
  <c r="G27" i="415"/>
  <c r="E27" i="415"/>
  <c r="L38" i="12"/>
  <c r="L43" i="12" s="1"/>
  <c r="K19" i="12"/>
  <c r="N170" i="12"/>
  <c r="N175" i="12"/>
  <c r="N47" i="12"/>
  <c r="N48" i="12" s="1"/>
  <c r="L47" i="415"/>
  <c r="L64" i="13"/>
  <c r="L18" i="12"/>
  <c r="K52" i="12"/>
  <c r="K11" i="12"/>
  <c r="K150" i="12"/>
  <c r="K144" i="12"/>
  <c r="K119" i="12"/>
  <c r="K111" i="12"/>
  <c r="K156" i="12"/>
  <c r="K153" i="12"/>
  <c r="K196" i="12"/>
  <c r="K15" i="12"/>
  <c r="K186" i="12"/>
  <c r="K183" i="12"/>
  <c r="K135" i="12"/>
  <c r="K122" i="12"/>
  <c r="K125" i="12"/>
  <c r="K141" i="12"/>
  <c r="K180" i="12"/>
  <c r="K147" i="12"/>
  <c r="K138" i="12"/>
  <c r="K128" i="12"/>
  <c r="K131" i="12"/>
  <c r="K189" i="12"/>
  <c r="K192" i="12"/>
  <c r="K176" i="12"/>
  <c r="K172" i="12"/>
  <c r="K49" i="12"/>
  <c r="O170" i="12"/>
  <c r="O47" i="12"/>
  <c r="O175" i="12"/>
  <c r="M17" i="12"/>
  <c r="M171" i="12"/>
  <c r="L85" i="12"/>
  <c r="L84" i="12"/>
  <c r="L91" i="12"/>
  <c r="L90" i="12"/>
  <c r="L94" i="12"/>
  <c r="L93" i="12"/>
  <c r="N41" i="12"/>
  <c r="F27" i="415"/>
  <c r="D52" i="415"/>
  <c r="E52" i="415"/>
  <c r="F52" i="415"/>
  <c r="C52" i="415"/>
  <c r="G52" i="415"/>
  <c r="D114" i="415"/>
  <c r="F114" i="415"/>
  <c r="G114" i="415"/>
  <c r="E114" i="415"/>
  <c r="O145" i="15"/>
  <c r="O144" i="15" s="1"/>
  <c r="N145" i="15"/>
  <c r="N144" i="15" s="1"/>
  <c r="M145" i="15"/>
  <c r="M144" i="15" s="1"/>
  <c r="L145" i="15"/>
  <c r="L144" i="15" s="1"/>
  <c r="K145" i="15"/>
  <c r="K144" i="15" s="1"/>
  <c r="I145" i="15"/>
  <c r="I144" i="15" s="1"/>
  <c r="I143" i="15" s="1"/>
  <c r="H145" i="15"/>
  <c r="H144" i="15" s="1"/>
  <c r="H143" i="15" s="1"/>
  <c r="O137" i="15"/>
  <c r="N137" i="15"/>
  <c r="M137" i="15"/>
  <c r="L137" i="15"/>
  <c r="K137" i="15"/>
  <c r="I137" i="15"/>
  <c r="H137" i="15"/>
  <c r="O136" i="15"/>
  <c r="N136" i="15"/>
  <c r="M136" i="15"/>
  <c r="L136" i="15"/>
  <c r="K136" i="15"/>
  <c r="H136" i="15"/>
  <c r="I136" i="15"/>
  <c r="B131" i="15"/>
  <c r="AF13" i="413"/>
  <c r="AE13" i="413"/>
  <c r="AD13" i="413"/>
  <c r="AC13" i="413"/>
  <c r="AB13" i="413"/>
  <c r="AA13" i="413"/>
  <c r="Z13" i="413"/>
  <c r="Y13" i="413"/>
  <c r="X13" i="413"/>
  <c r="W13" i="413"/>
  <c r="V13" i="413"/>
  <c r="U13" i="413"/>
  <c r="AF12" i="413"/>
  <c r="AE12" i="413"/>
  <c r="AD12" i="413"/>
  <c r="AC12" i="413"/>
  <c r="AB12" i="413"/>
  <c r="AA12" i="413"/>
  <c r="Z12" i="413"/>
  <c r="Y12" i="413"/>
  <c r="X12" i="413"/>
  <c r="W12" i="413"/>
  <c r="V12" i="413"/>
  <c r="U12" i="413"/>
  <c r="AF11" i="413"/>
  <c r="AE11" i="413"/>
  <c r="AD11" i="413"/>
  <c r="AC11" i="413"/>
  <c r="AB11" i="413"/>
  <c r="AA11" i="413"/>
  <c r="Z11" i="413"/>
  <c r="Y11" i="413"/>
  <c r="X11" i="413"/>
  <c r="W11" i="413"/>
  <c r="V11" i="413"/>
  <c r="U11" i="413"/>
  <c r="O8" i="413"/>
  <c r="O7" i="413"/>
  <c r="O6" i="413"/>
  <c r="O5" i="413"/>
  <c r="O4" i="413"/>
  <c r="O3" i="413"/>
  <c r="O2" i="413"/>
  <c r="P7" i="413"/>
  <c r="P5" i="413"/>
  <c r="P4" i="413"/>
  <c r="P3" i="413"/>
  <c r="P2" i="413"/>
  <c r="H103" i="15"/>
  <c r="H102" i="15"/>
  <c r="H206" i="13" l="1"/>
  <c r="H195" i="13" s="1"/>
  <c r="H114" i="415"/>
  <c r="H92" i="13"/>
  <c r="H81" i="13" s="1"/>
  <c r="H77" i="415"/>
  <c r="J92" i="415"/>
  <c r="K128" i="415"/>
  <c r="L128" i="415" s="1"/>
  <c r="M128" i="415" s="1"/>
  <c r="N128" i="415" s="1"/>
  <c r="K88" i="415"/>
  <c r="L291" i="13"/>
  <c r="L287" i="13"/>
  <c r="L283" i="13"/>
  <c r="L279" i="13"/>
  <c r="L275" i="13"/>
  <c r="L271" i="13"/>
  <c r="L267" i="13"/>
  <c r="L263" i="13"/>
  <c r="L259" i="13"/>
  <c r="L255" i="13"/>
  <c r="L251" i="13"/>
  <c r="L247" i="13"/>
  <c r="L243" i="13"/>
  <c r="L239" i="13"/>
  <c r="L235" i="13"/>
  <c r="L231" i="13"/>
  <c r="G38" i="13"/>
  <c r="D38" i="13"/>
  <c r="E38" i="13"/>
  <c r="F38" i="13"/>
  <c r="J117" i="415"/>
  <c r="J147" i="415" s="1"/>
  <c r="H52" i="415"/>
  <c r="J138" i="415"/>
  <c r="J98" i="415"/>
  <c r="J80" i="415"/>
  <c r="O48" i="12"/>
  <c r="L46" i="12"/>
  <c r="L39" i="12"/>
  <c r="M47" i="415"/>
  <c r="M18" i="12"/>
  <c r="M64" i="13"/>
  <c r="O171" i="12"/>
  <c r="O17" i="12"/>
  <c r="N17" i="12"/>
  <c r="N171" i="12"/>
  <c r="N38" i="12"/>
  <c r="N80" i="12"/>
  <c r="N82" i="12" s="1"/>
  <c r="N92" i="12"/>
  <c r="N83" i="12"/>
  <c r="N89" i="12"/>
  <c r="N86" i="12"/>
  <c r="N88" i="12" s="1"/>
  <c r="O41" i="12"/>
  <c r="J136" i="15"/>
  <c r="J145" i="15"/>
  <c r="J144" i="15" s="1"/>
  <c r="J143" i="15" s="1"/>
  <c r="J137" i="15"/>
  <c r="H134" i="15"/>
  <c r="J135" i="415" l="1"/>
  <c r="J143" i="415"/>
  <c r="J139" i="415"/>
  <c r="J104" i="415"/>
  <c r="J108" i="415"/>
  <c r="J100" i="415"/>
  <c r="H37" i="13"/>
  <c r="H38" i="13" s="1"/>
  <c r="J86" i="415"/>
  <c r="K86" i="415" s="1"/>
  <c r="O128" i="415"/>
  <c r="M291" i="13"/>
  <c r="M287" i="13"/>
  <c r="M283" i="13"/>
  <c r="M279" i="13"/>
  <c r="M275" i="13"/>
  <c r="M271" i="13"/>
  <c r="M267" i="13"/>
  <c r="M263" i="13"/>
  <c r="M259" i="13"/>
  <c r="M255" i="13"/>
  <c r="M251" i="13"/>
  <c r="M247" i="13"/>
  <c r="M243" i="13"/>
  <c r="M239" i="13"/>
  <c r="M235" i="13"/>
  <c r="M231" i="13"/>
  <c r="J76" i="415"/>
  <c r="J92" i="13" s="1"/>
  <c r="J113" i="415"/>
  <c r="J206" i="13" s="1"/>
  <c r="J123" i="415"/>
  <c r="K123" i="415" s="1"/>
  <c r="J118" i="415"/>
  <c r="J81" i="415"/>
  <c r="N37" i="14"/>
  <c r="N64" i="13"/>
  <c r="N47" i="415"/>
  <c r="N18" i="12"/>
  <c r="O64" i="13"/>
  <c r="O18" i="12"/>
  <c r="O37" i="14"/>
  <c r="O47" i="415"/>
  <c r="M41" i="12"/>
  <c r="M86" i="12"/>
  <c r="M88" i="12" s="1"/>
  <c r="M92" i="12"/>
  <c r="N93" i="12" s="1"/>
  <c r="M83" i="12"/>
  <c r="N84" i="12" s="1"/>
  <c r="M89" i="12"/>
  <c r="N90" i="12" s="1"/>
  <c r="M80" i="12"/>
  <c r="M82" i="12" s="1"/>
  <c r="O42" i="12"/>
  <c r="O38" i="12"/>
  <c r="N43" i="12"/>
  <c r="N46" i="12"/>
  <c r="N85" i="12"/>
  <c r="N94" i="12"/>
  <c r="N91" i="12"/>
  <c r="O86" i="12"/>
  <c r="O88" i="12" s="1"/>
  <c r="O80" i="12"/>
  <c r="O82" i="12" s="1"/>
  <c r="O92" i="12"/>
  <c r="O83" i="12"/>
  <c r="O89" i="12"/>
  <c r="H132" i="15"/>
  <c r="J37" i="13" l="1"/>
  <c r="J38" i="13" s="1"/>
  <c r="J93" i="13"/>
  <c r="J81" i="13"/>
  <c r="O291" i="13"/>
  <c r="O287" i="13"/>
  <c r="O283" i="13"/>
  <c r="O279" i="13"/>
  <c r="O275" i="13"/>
  <c r="O271" i="13"/>
  <c r="O267" i="13"/>
  <c r="O263" i="13"/>
  <c r="O259" i="13"/>
  <c r="O255" i="13"/>
  <c r="O251" i="13"/>
  <c r="O247" i="13"/>
  <c r="O243" i="13"/>
  <c r="O239" i="13"/>
  <c r="O235" i="13"/>
  <c r="O231" i="13"/>
  <c r="N291" i="13"/>
  <c r="N287" i="13"/>
  <c r="N283" i="13"/>
  <c r="N279" i="13"/>
  <c r="N275" i="13"/>
  <c r="N271" i="13"/>
  <c r="N267" i="13"/>
  <c r="N263" i="13"/>
  <c r="N259" i="13"/>
  <c r="N255" i="13"/>
  <c r="N251" i="13"/>
  <c r="N247" i="13"/>
  <c r="N243" i="13"/>
  <c r="N239" i="13"/>
  <c r="N235" i="13"/>
  <c r="N231" i="13"/>
  <c r="J207" i="13"/>
  <c r="M94" i="12"/>
  <c r="M93" i="12"/>
  <c r="M91" i="12"/>
  <c r="M90" i="12"/>
  <c r="M38" i="12"/>
  <c r="M42" i="12"/>
  <c r="N42" i="12"/>
  <c r="M84" i="12"/>
  <c r="M85" i="12"/>
  <c r="O39" i="12"/>
  <c r="O46" i="12"/>
  <c r="O43" i="12"/>
  <c r="O85" i="12"/>
  <c r="O84" i="12"/>
  <c r="O94" i="12"/>
  <c r="O93" i="12"/>
  <c r="O91" i="12"/>
  <c r="O90" i="12"/>
  <c r="D13" i="17"/>
  <c r="E20" i="17"/>
  <c r="D20" i="17"/>
  <c r="C20" i="17"/>
  <c r="C11" i="17"/>
  <c r="M43" i="12" l="1"/>
  <c r="M46" i="12"/>
  <c r="M39" i="12"/>
  <c r="N39" i="12"/>
  <c r="E19" i="17"/>
  <c r="E18" i="17"/>
  <c r="C10" i="17"/>
  <c r="H45" i="15"/>
  <c r="G176" i="415"/>
  <c r="G178" i="415" s="1"/>
  <c r="F176" i="415"/>
  <c r="F178" i="415" s="1"/>
  <c r="E176" i="415"/>
  <c r="E178" i="415" s="1"/>
  <c r="D176" i="415"/>
  <c r="D178" i="415" s="1"/>
  <c r="C176" i="415"/>
  <c r="C178" i="415" s="1"/>
  <c r="G172" i="415"/>
  <c r="F172" i="415"/>
  <c r="E172" i="415"/>
  <c r="D172" i="415"/>
  <c r="C172" i="415"/>
  <c r="G164" i="415"/>
  <c r="F164" i="415"/>
  <c r="E164" i="415"/>
  <c r="D164" i="415"/>
  <c r="C164" i="415"/>
  <c r="B151" i="415"/>
  <c r="H96" i="415"/>
  <c r="B75" i="415"/>
  <c r="G62" i="415"/>
  <c r="F62" i="415"/>
  <c r="E62" i="415"/>
  <c r="D62" i="415"/>
  <c r="G72" i="415"/>
  <c r="F72" i="415"/>
  <c r="E72" i="415"/>
  <c r="D72" i="415"/>
  <c r="J57" i="415"/>
  <c r="H57" i="415"/>
  <c r="G57" i="415"/>
  <c r="F57" i="415"/>
  <c r="E57" i="415"/>
  <c r="D57" i="415"/>
  <c r="C57" i="415"/>
  <c r="B50" i="415"/>
  <c r="O22" i="404"/>
  <c r="N22" i="404"/>
  <c r="M22" i="404"/>
  <c r="L22" i="404"/>
  <c r="K22" i="404"/>
  <c r="J22" i="404"/>
  <c r="O21" i="404"/>
  <c r="H164" i="415" s="1"/>
  <c r="N21" i="404"/>
  <c r="M21" i="404"/>
  <c r="L21" i="404"/>
  <c r="K21" i="404"/>
  <c r="J21" i="404"/>
  <c r="O20" i="404"/>
  <c r="H156" i="415" s="1"/>
  <c r="H157" i="415" s="1"/>
  <c r="N20" i="404"/>
  <c r="M20" i="404"/>
  <c r="L20" i="404"/>
  <c r="K20" i="404"/>
  <c r="J20" i="404"/>
  <c r="K47" i="415"/>
  <c r="K46" i="415"/>
  <c r="K90" i="415" s="1"/>
  <c r="K45" i="415"/>
  <c r="K44" i="415"/>
  <c r="O38" i="415"/>
  <c r="N38" i="415"/>
  <c r="M38" i="415"/>
  <c r="L38" i="415"/>
  <c r="L92" i="415" s="1"/>
  <c r="K38" i="415"/>
  <c r="J38" i="415"/>
  <c r="G38" i="415"/>
  <c r="F38" i="415"/>
  <c r="E38" i="415"/>
  <c r="D38" i="415"/>
  <c r="C38" i="415"/>
  <c r="O37" i="415"/>
  <c r="N37" i="415"/>
  <c r="M37" i="415"/>
  <c r="L37" i="415"/>
  <c r="K37" i="415"/>
  <c r="J37" i="415"/>
  <c r="G37" i="415"/>
  <c r="F37" i="415"/>
  <c r="E37" i="415"/>
  <c r="D37" i="415"/>
  <c r="C37" i="415"/>
  <c r="B5" i="415"/>
  <c r="O1" i="415"/>
  <c r="B1" i="415"/>
  <c r="J37" i="15"/>
  <c r="J35" i="15"/>
  <c r="J23" i="15"/>
  <c r="H33" i="15"/>
  <c r="J33" i="15" s="1"/>
  <c r="H31" i="15"/>
  <c r="J31" i="15" s="1"/>
  <c r="H29" i="15"/>
  <c r="J29" i="15" s="1"/>
  <c r="H27" i="15"/>
  <c r="J27" i="15" s="1"/>
  <c r="H25" i="15"/>
  <c r="J25" i="15" s="1"/>
  <c r="F165" i="415" l="1"/>
  <c r="E173" i="415"/>
  <c r="G165" i="415"/>
  <c r="F173" i="415"/>
  <c r="D165" i="415"/>
  <c r="G173" i="415"/>
  <c r="H165" i="415"/>
  <c r="E165" i="415"/>
  <c r="D173" i="415"/>
  <c r="M92" i="415"/>
  <c r="N92" i="415" s="1"/>
  <c r="O92" i="415" s="1"/>
  <c r="E22" i="415"/>
  <c r="F22" i="415"/>
  <c r="D22" i="415"/>
  <c r="C22" i="415"/>
  <c r="G22" i="415"/>
  <c r="H170" i="415"/>
  <c r="F170" i="415"/>
  <c r="G170" i="415"/>
  <c r="K170" i="415" s="1"/>
  <c r="K164" i="415" s="1"/>
  <c r="D170" i="415"/>
  <c r="E170" i="415"/>
  <c r="F152" i="415"/>
  <c r="L123" i="415"/>
  <c r="M123" i="415" s="1"/>
  <c r="N123" i="415" s="1"/>
  <c r="O123" i="415" s="1"/>
  <c r="C152" i="415"/>
  <c r="G152" i="415"/>
  <c r="D152" i="415"/>
  <c r="E152" i="415"/>
  <c r="J164" i="415"/>
  <c r="H39" i="15"/>
  <c r="J45" i="15"/>
  <c r="C10" i="415"/>
  <c r="G10" i="415"/>
  <c r="G162" i="415"/>
  <c r="D14" i="415"/>
  <c r="H14" i="415"/>
  <c r="F18" i="415"/>
  <c r="F174" i="415"/>
  <c r="J58" i="415"/>
  <c r="D10" i="415"/>
  <c r="D162" i="415"/>
  <c r="H10" i="415"/>
  <c r="H162" i="415"/>
  <c r="E14" i="415"/>
  <c r="C18" i="415"/>
  <c r="C174" i="415"/>
  <c r="G18" i="415"/>
  <c r="G174" i="415"/>
  <c r="E10" i="415"/>
  <c r="E162" i="415"/>
  <c r="F14" i="415"/>
  <c r="D18" i="415"/>
  <c r="D174" i="415"/>
  <c r="F10" i="415"/>
  <c r="F162" i="415"/>
  <c r="C14" i="415"/>
  <c r="G14" i="415"/>
  <c r="E18" i="415"/>
  <c r="E174" i="415"/>
  <c r="G89" i="415"/>
  <c r="E99" i="415"/>
  <c r="G58" i="415"/>
  <c r="F58" i="415"/>
  <c r="E95" i="415"/>
  <c r="F177" i="415"/>
  <c r="C96" i="415"/>
  <c r="D96" i="415"/>
  <c r="G177" i="415"/>
  <c r="D99" i="415"/>
  <c r="D177" i="415"/>
  <c r="D89" i="415"/>
  <c r="G96" i="415"/>
  <c r="G95" i="415"/>
  <c r="E96" i="415"/>
  <c r="D58" i="415"/>
  <c r="D95" i="415"/>
  <c r="E89" i="415"/>
  <c r="F89" i="415"/>
  <c r="F96" i="415"/>
  <c r="E58" i="415"/>
  <c r="F99" i="415"/>
  <c r="E177" i="415"/>
  <c r="F95" i="415"/>
  <c r="G99" i="415"/>
  <c r="E81" i="415"/>
  <c r="F81" i="415"/>
  <c r="G81" i="415"/>
  <c r="D81" i="415"/>
  <c r="D153" i="415" l="1"/>
  <c r="E53" i="415"/>
  <c r="E14" i="14" s="1"/>
  <c r="E153" i="415"/>
  <c r="F153" i="415"/>
  <c r="G153" i="415"/>
  <c r="H11" i="415"/>
  <c r="H15" i="415"/>
  <c r="J170" i="415"/>
  <c r="L170" i="415" s="1"/>
  <c r="K96" i="415"/>
  <c r="L96" i="415" s="1"/>
  <c r="M96" i="415" s="1"/>
  <c r="N96" i="415" s="1"/>
  <c r="O96" i="415" s="1"/>
  <c r="L88" i="415"/>
  <c r="J156" i="415"/>
  <c r="J39" i="15"/>
  <c r="J165" i="415"/>
  <c r="G77" i="415"/>
  <c r="C53" i="415"/>
  <c r="C14" i="14" s="1"/>
  <c r="G53" i="415"/>
  <c r="G14" i="14" s="1"/>
  <c r="F53" i="415"/>
  <c r="F14" i="14" s="1"/>
  <c r="F77" i="415"/>
  <c r="D53" i="415"/>
  <c r="D14" i="14" s="1"/>
  <c r="D77" i="415"/>
  <c r="E77" i="415"/>
  <c r="E51" i="415" l="1"/>
  <c r="M170" i="415"/>
  <c r="L164" i="415"/>
  <c r="M88" i="415"/>
  <c r="J10" i="415"/>
  <c r="J162" i="415"/>
  <c r="J157" i="415"/>
  <c r="F51" i="415"/>
  <c r="N170" i="415" l="1"/>
  <c r="M164" i="415"/>
  <c r="O88" i="415"/>
  <c r="N88" i="415"/>
  <c r="K162" i="415"/>
  <c r="L162" i="415" s="1"/>
  <c r="M162" i="415" s="1"/>
  <c r="N162" i="415" s="1"/>
  <c r="O162" i="415" s="1"/>
  <c r="J61" i="15"/>
  <c r="J60" i="15"/>
  <c r="H59" i="15"/>
  <c r="H58" i="15"/>
  <c r="H57" i="15"/>
  <c r="H56" i="15"/>
  <c r="H55" i="15"/>
  <c r="O170" i="415" l="1"/>
  <c r="O164" i="415" s="1"/>
  <c r="N164" i="415"/>
  <c r="AR8" i="413"/>
  <c r="AQ8" i="413"/>
  <c r="AP8" i="413"/>
  <c r="AO8" i="413"/>
  <c r="AN8" i="413"/>
  <c r="AM8" i="413"/>
  <c r="AL8" i="413"/>
  <c r="AK8" i="413"/>
  <c r="AJ8" i="413"/>
  <c r="AI8" i="413"/>
  <c r="AH8" i="413"/>
  <c r="AR7" i="413"/>
  <c r="AQ7" i="413"/>
  <c r="AP7" i="413"/>
  <c r="AO7" i="413"/>
  <c r="AN7" i="413"/>
  <c r="AM7" i="413"/>
  <c r="AL7" i="413"/>
  <c r="AK7" i="413"/>
  <c r="AJ7" i="413"/>
  <c r="AI7" i="413"/>
  <c r="AH7" i="413"/>
  <c r="AR6" i="413"/>
  <c r="AQ6" i="413"/>
  <c r="AP6" i="413"/>
  <c r="AO6" i="413"/>
  <c r="AN6" i="413"/>
  <c r="AM6" i="413"/>
  <c r="AL6" i="413"/>
  <c r="AK6" i="413"/>
  <c r="AJ6" i="413"/>
  <c r="AI6" i="413"/>
  <c r="AH6" i="413"/>
  <c r="AR5" i="413"/>
  <c r="AQ5" i="413"/>
  <c r="AP5" i="413"/>
  <c r="AO5" i="413"/>
  <c r="AN5" i="413"/>
  <c r="AM5" i="413"/>
  <c r="AL5" i="413"/>
  <c r="AK5" i="413"/>
  <c r="AJ5" i="413"/>
  <c r="AI5" i="413"/>
  <c r="AH5" i="413"/>
  <c r="AR4" i="413"/>
  <c r="AQ4" i="413"/>
  <c r="AP4" i="413"/>
  <c r="AO4" i="413"/>
  <c r="AN4" i="413"/>
  <c r="AM4" i="413"/>
  <c r="AL4" i="413"/>
  <c r="AK4" i="413"/>
  <c r="AJ4" i="413"/>
  <c r="AI4" i="413"/>
  <c r="AH4" i="413"/>
  <c r="AR3" i="413"/>
  <c r="AQ3" i="413"/>
  <c r="AP3" i="413"/>
  <c r="AO3" i="413"/>
  <c r="AN3" i="413"/>
  <c r="AM3" i="413"/>
  <c r="AL3" i="413"/>
  <c r="AK3" i="413"/>
  <c r="AJ3" i="413"/>
  <c r="AI3" i="413"/>
  <c r="AH3" i="413"/>
  <c r="AR2" i="413"/>
  <c r="AQ2" i="413"/>
  <c r="AP2" i="413"/>
  <c r="AO2" i="413"/>
  <c r="AN2" i="413"/>
  <c r="AM2" i="413"/>
  <c r="AL2" i="413"/>
  <c r="AK2" i="413"/>
  <c r="AJ2" i="413"/>
  <c r="AI2" i="413"/>
  <c r="AH2" i="413"/>
  <c r="V8" i="413"/>
  <c r="U8" i="413"/>
  <c r="I138" i="15" s="1"/>
  <c r="I135" i="15" s="1"/>
  <c r="V7" i="413"/>
  <c r="U7" i="413"/>
  <c r="I103" i="15" s="1"/>
  <c r="V6" i="413"/>
  <c r="U6" i="413"/>
  <c r="V5" i="413"/>
  <c r="K58" i="15" s="1"/>
  <c r="U5" i="413"/>
  <c r="I58" i="15" s="1"/>
  <c r="J58" i="15" s="1"/>
  <c r="V4" i="413"/>
  <c r="K57" i="15" s="1"/>
  <c r="U4" i="413"/>
  <c r="I57" i="15" s="1"/>
  <c r="V3" i="413"/>
  <c r="K56" i="15" s="1"/>
  <c r="U3" i="413"/>
  <c r="I56" i="15" s="1"/>
  <c r="J56" i="15" s="1"/>
  <c r="V2" i="413"/>
  <c r="K55" i="15" s="1"/>
  <c r="U2" i="413"/>
  <c r="I55" i="15" s="1"/>
  <c r="Q8" i="413"/>
  <c r="Q7" i="413"/>
  <c r="Q6" i="413"/>
  <c r="Q5" i="413"/>
  <c r="Q4" i="413"/>
  <c r="Q3" i="413"/>
  <c r="Q2" i="413"/>
  <c r="I134" i="15" l="1"/>
  <c r="I132" i="15" s="1"/>
  <c r="K59" i="15"/>
  <c r="I59" i="15"/>
  <c r="J138" i="15"/>
  <c r="J135" i="15" s="1"/>
  <c r="J303" i="13" s="1"/>
  <c r="J298" i="13" s="1"/>
  <c r="J216" i="13" s="1"/>
  <c r="J195" i="13" s="1"/>
  <c r="J103" i="15"/>
  <c r="J55" i="15"/>
  <c r="J57" i="15"/>
  <c r="W8" i="413"/>
  <c r="K138" i="15" s="1"/>
  <c r="K135" i="15" s="1"/>
  <c r="W7" i="413"/>
  <c r="K103" i="15" s="1"/>
  <c r="W6" i="413"/>
  <c r="W5" i="413"/>
  <c r="L58" i="15" s="1"/>
  <c r="W4" i="413"/>
  <c r="L57" i="15" s="1"/>
  <c r="W3" i="413"/>
  <c r="L56" i="15" s="1"/>
  <c r="W2" i="413"/>
  <c r="L55" i="15" s="1"/>
  <c r="J304" i="13" l="1"/>
  <c r="J59" i="15"/>
  <c r="H74" i="13" s="1"/>
  <c r="H75" i="13" s="1"/>
  <c r="J134" i="15"/>
  <c r="J132" i="15" s="1"/>
  <c r="L59" i="15"/>
  <c r="Z8" i="413"/>
  <c r="N138" i="15" s="1"/>
  <c r="N135" i="15" s="1"/>
  <c r="Z7" i="413"/>
  <c r="N103" i="15" s="1"/>
  <c r="Z6" i="413"/>
  <c r="Z5" i="413"/>
  <c r="O58" i="15" s="1"/>
  <c r="Z4" i="413"/>
  <c r="O57" i="15" s="1"/>
  <c r="Z3" i="413"/>
  <c r="O56" i="15" s="1"/>
  <c r="Z2" i="413"/>
  <c r="O55" i="15" s="1"/>
  <c r="Y8" i="413"/>
  <c r="M138" i="15" s="1"/>
  <c r="M135" i="15" s="1"/>
  <c r="Y7" i="413"/>
  <c r="M103" i="15" s="1"/>
  <c r="Y6" i="413"/>
  <c r="Y5" i="413"/>
  <c r="N58" i="15" s="1"/>
  <c r="Y4" i="413"/>
  <c r="N57" i="15" s="1"/>
  <c r="Y3" i="413"/>
  <c r="N56" i="15" s="1"/>
  <c r="Y2" i="413"/>
  <c r="N55" i="15" s="1"/>
  <c r="X8" i="413"/>
  <c r="L138" i="15" s="1"/>
  <c r="L135" i="15" s="1"/>
  <c r="X7" i="413"/>
  <c r="L103" i="15" s="1"/>
  <c r="X6" i="413"/>
  <c r="X5" i="413"/>
  <c r="M58" i="15" s="1"/>
  <c r="X4" i="413"/>
  <c r="M57" i="15" s="1"/>
  <c r="X3" i="413"/>
  <c r="M56" i="15" s="1"/>
  <c r="X2" i="413"/>
  <c r="M55" i="15" s="1"/>
  <c r="J299" i="13" l="1"/>
  <c r="J49" i="13"/>
  <c r="N59" i="15"/>
  <c r="M59" i="15"/>
  <c r="O59" i="15"/>
  <c r="AA8" i="413"/>
  <c r="O138" i="15" s="1"/>
  <c r="O135" i="15" s="1"/>
  <c r="AA7" i="413"/>
  <c r="O103" i="15" s="1"/>
  <c r="AA6" i="413"/>
  <c r="AA5" i="413"/>
  <c r="AA4" i="413"/>
  <c r="AA3" i="413"/>
  <c r="AA2" i="413"/>
  <c r="J211" i="13" l="1"/>
  <c r="J212" i="13" s="1"/>
  <c r="J50" i="13"/>
  <c r="AB8" i="413"/>
  <c r="AB7" i="413"/>
  <c r="AB6" i="413"/>
  <c r="AB5" i="413"/>
  <c r="AB4" i="413"/>
  <c r="AB3" i="413"/>
  <c r="AB2" i="413"/>
  <c r="AC8" i="413" l="1"/>
  <c r="AC7" i="413"/>
  <c r="AC6" i="413"/>
  <c r="AC5" i="413"/>
  <c r="AC4" i="413"/>
  <c r="AC3" i="413"/>
  <c r="AC2" i="413"/>
  <c r="AD8" i="413" l="1"/>
  <c r="AD7" i="413"/>
  <c r="AD6" i="413"/>
  <c r="AD5" i="413"/>
  <c r="AD4" i="413"/>
  <c r="AD3" i="413"/>
  <c r="AD2" i="413"/>
  <c r="AE8" i="413" l="1"/>
  <c r="AE7" i="413"/>
  <c r="AE6" i="413"/>
  <c r="AE5" i="413"/>
  <c r="AE4" i="413"/>
  <c r="AE3" i="413"/>
  <c r="AE2" i="413"/>
  <c r="AF8" i="413" l="1"/>
  <c r="AF7" i="413"/>
  <c r="AF6" i="413"/>
  <c r="AF5" i="413"/>
  <c r="AF4" i="413"/>
  <c r="AF3" i="413"/>
  <c r="AF2" i="413"/>
  <c r="AR526" i="413" l="1"/>
  <c r="AQ526" i="413"/>
  <c r="AP526" i="413"/>
  <c r="AO526" i="413"/>
  <c r="AN526" i="413"/>
  <c r="AM526" i="413"/>
  <c r="AL526" i="413"/>
  <c r="AK526" i="413"/>
  <c r="AJ526" i="413"/>
  <c r="AI526" i="413"/>
  <c r="AH526" i="413"/>
  <c r="AF526" i="413"/>
  <c r="AE526" i="413"/>
  <c r="AD526" i="413"/>
  <c r="AC526" i="413"/>
  <c r="AB526" i="413"/>
  <c r="AA526" i="413"/>
  <c r="Z526" i="413"/>
  <c r="Y526" i="413"/>
  <c r="X526" i="413"/>
  <c r="W526" i="413"/>
  <c r="V526" i="413"/>
  <c r="U526" i="413"/>
  <c r="Q526" i="413"/>
  <c r="U525" i="413"/>
  <c r="V525" i="413" s="1"/>
  <c r="AH525" i="413" l="1"/>
  <c r="W525" i="413" l="1"/>
  <c r="AI525" i="413" s="1"/>
  <c r="X525" i="413" l="1"/>
  <c r="AJ525" i="413" s="1"/>
  <c r="Y525" i="413" l="1"/>
  <c r="AK525" i="413" s="1"/>
  <c r="Z525" i="413" s="1"/>
  <c r="AL525" i="413" s="1"/>
  <c r="AA525" i="413" s="1"/>
  <c r="AM525" i="413" l="1"/>
  <c r="AB525" i="413" s="1"/>
  <c r="AN525" i="413" l="1"/>
  <c r="AC525" i="413" s="1"/>
  <c r="AO525" i="413" l="1"/>
  <c r="AD525" i="413" s="1"/>
  <c r="AP525" i="413" s="1"/>
  <c r="AE525" i="413" l="1"/>
  <c r="AQ525" i="413" s="1"/>
  <c r="AF525" i="413" l="1"/>
  <c r="AR525" i="413" s="1"/>
  <c r="F63" i="414" l="1"/>
  <c r="E63" i="414"/>
  <c r="D63" i="414"/>
  <c r="C63" i="414"/>
  <c r="F62" i="414"/>
  <c r="E62" i="414"/>
  <c r="D62" i="414"/>
  <c r="C62" i="414"/>
  <c r="F61" i="414"/>
  <c r="E61" i="414"/>
  <c r="D61" i="414"/>
  <c r="C61" i="414"/>
  <c r="F60" i="414"/>
  <c r="E60" i="414"/>
  <c r="D60" i="414"/>
  <c r="C60" i="414"/>
  <c r="F59" i="414"/>
  <c r="E59" i="414"/>
  <c r="D59" i="414"/>
  <c r="C59" i="414"/>
  <c r="F52" i="414" l="1"/>
  <c r="E52" i="414" l="1"/>
  <c r="D52" i="414"/>
  <c r="C52" i="414"/>
  <c r="F55" i="414" l="1"/>
  <c r="E55" i="414"/>
  <c r="D55" i="414"/>
  <c r="C55" i="414"/>
  <c r="F53" i="414"/>
  <c r="E53" i="414"/>
  <c r="D53" i="414"/>
  <c r="C53" i="414"/>
  <c r="O25" i="405"/>
  <c r="O60" i="405"/>
  <c r="H11" i="404" l="1"/>
  <c r="G18" i="414" l="1"/>
  <c r="F18" i="414"/>
  <c r="E18" i="414"/>
  <c r="D18" i="414"/>
  <c r="C18" i="414"/>
  <c r="F17" i="414"/>
  <c r="E17" i="414"/>
  <c r="D17" i="414"/>
  <c r="C17" i="414"/>
  <c r="F14" i="414"/>
  <c r="E14" i="414"/>
  <c r="D14" i="414"/>
  <c r="C14" i="414"/>
  <c r="F13" i="414"/>
  <c r="F15" i="414" s="1"/>
  <c r="E13" i="414"/>
  <c r="E15" i="414" s="1"/>
  <c r="D13" i="414"/>
  <c r="D15" i="414" s="1"/>
  <c r="C13" i="414"/>
  <c r="F16" i="414"/>
  <c r="E16" i="414"/>
  <c r="D16" i="414"/>
  <c r="C16" i="414"/>
  <c r="F9" i="414"/>
  <c r="E9" i="414"/>
  <c r="D9" i="414"/>
  <c r="C9" i="414"/>
  <c r="F10" i="414"/>
  <c r="E10" i="414"/>
  <c r="D10" i="414"/>
  <c r="C10" i="414"/>
  <c r="F4" i="414"/>
  <c r="E4" i="414"/>
  <c r="D4" i="414"/>
  <c r="C4" i="414"/>
  <c r="F7" i="414"/>
  <c r="E7" i="414"/>
  <c r="D7" i="414"/>
  <c r="C7" i="414"/>
  <c r="F6" i="414"/>
  <c r="E6" i="414"/>
  <c r="D6" i="414"/>
  <c r="C6" i="414"/>
  <c r="F5" i="414"/>
  <c r="E5" i="414"/>
  <c r="D5" i="414"/>
  <c r="C5" i="414"/>
  <c r="C15" i="414" l="1"/>
  <c r="F12" i="414"/>
  <c r="F20" i="414" s="1"/>
  <c r="F22" i="414"/>
  <c r="E19" i="414"/>
  <c r="C22" i="414"/>
  <c r="C11" i="414"/>
  <c r="F19" i="414"/>
  <c r="E8" i="414"/>
  <c r="D11" i="414"/>
  <c r="E11" i="414"/>
  <c r="D8" i="414"/>
  <c r="E12" i="414"/>
  <c r="E20" i="414" s="1"/>
  <c r="F11" i="414"/>
  <c r="F8" i="414"/>
  <c r="D22" i="414"/>
  <c r="C8" i="414"/>
  <c r="C12" i="414"/>
  <c r="C20" i="414" s="1"/>
  <c r="D19" i="414"/>
  <c r="E22" i="414"/>
  <c r="C3" i="414"/>
  <c r="C23" i="414" s="1"/>
  <c r="C19" i="414"/>
  <c r="D12" i="414"/>
  <c r="D20" i="414" s="1"/>
  <c r="F3" i="414"/>
  <c r="F23" i="414" s="1"/>
  <c r="E3" i="414"/>
  <c r="E23" i="414" s="1"/>
  <c r="D3" i="414"/>
  <c r="D23" i="414" s="1"/>
  <c r="Q507" i="413"/>
  <c r="Q124" i="413"/>
  <c r="Q123" i="413"/>
  <c r="Q122" i="413"/>
  <c r="Q121" i="413"/>
  <c r="S525" i="413" l="1"/>
  <c r="T525" i="413" s="1"/>
  <c r="R525" i="413"/>
  <c r="Q523" i="413"/>
  <c r="S522" i="413"/>
  <c r="R522" i="413"/>
  <c r="Q520" i="413"/>
  <c r="S519" i="413"/>
  <c r="R519" i="413"/>
  <c r="S518" i="413"/>
  <c r="R518" i="413"/>
  <c r="S517" i="413"/>
  <c r="R517" i="413"/>
  <c r="S516" i="413"/>
  <c r="R516" i="413"/>
  <c r="S515" i="413"/>
  <c r="R515" i="413"/>
  <c r="S514" i="413"/>
  <c r="R514" i="413"/>
  <c r="S513" i="413"/>
  <c r="R513" i="413"/>
  <c r="S512" i="413"/>
  <c r="R512" i="413"/>
  <c r="S511" i="413"/>
  <c r="R511" i="413"/>
  <c r="S510" i="413"/>
  <c r="R510" i="413"/>
  <c r="S509" i="413"/>
  <c r="R509" i="413"/>
  <c r="S508" i="413"/>
  <c r="R508" i="413"/>
  <c r="S507" i="413"/>
  <c r="R507" i="413"/>
  <c r="S506" i="413"/>
  <c r="R506" i="413"/>
  <c r="AH505" i="413"/>
  <c r="U505" i="413"/>
  <c r="V505" i="413" s="1"/>
  <c r="S505" i="413"/>
  <c r="T505" i="413" s="1"/>
  <c r="R505" i="413"/>
  <c r="AH504" i="413"/>
  <c r="U504" i="413"/>
  <c r="V504" i="413" s="1"/>
  <c r="S504" i="413"/>
  <c r="T504" i="413" s="1"/>
  <c r="R504" i="413"/>
  <c r="AH503" i="413"/>
  <c r="U503" i="413"/>
  <c r="V503" i="413" s="1"/>
  <c r="S503" i="413"/>
  <c r="T503" i="413" s="1"/>
  <c r="R503" i="413"/>
  <c r="AH502" i="413"/>
  <c r="U502" i="413"/>
  <c r="V502" i="413" s="1"/>
  <c r="S502" i="413"/>
  <c r="T502" i="413" s="1"/>
  <c r="R502" i="413"/>
  <c r="AH501" i="413"/>
  <c r="U501" i="413"/>
  <c r="V501" i="413" s="1"/>
  <c r="S501" i="413"/>
  <c r="T501" i="413" s="1"/>
  <c r="R501" i="413"/>
  <c r="AH500" i="413"/>
  <c r="U500" i="413"/>
  <c r="V500" i="413" s="1"/>
  <c r="S500" i="413"/>
  <c r="T500" i="413" s="1"/>
  <c r="R500" i="413"/>
  <c r="AH499" i="413"/>
  <c r="U499" i="413"/>
  <c r="V499" i="413" s="1"/>
  <c r="S499" i="413"/>
  <c r="T499" i="413" s="1"/>
  <c r="R499" i="413"/>
  <c r="AH498" i="413"/>
  <c r="U498" i="413"/>
  <c r="V498" i="413" s="1"/>
  <c r="S498" i="413"/>
  <c r="T498" i="413" s="1"/>
  <c r="R498" i="413"/>
  <c r="AH497" i="413"/>
  <c r="U497" i="413"/>
  <c r="V497" i="413" s="1"/>
  <c r="S497" i="413"/>
  <c r="T497" i="413" s="1"/>
  <c r="R497" i="413"/>
  <c r="AH496" i="413"/>
  <c r="U496" i="413"/>
  <c r="V496" i="413" s="1"/>
  <c r="S496" i="413"/>
  <c r="T496" i="413" s="1"/>
  <c r="R496" i="413"/>
  <c r="AH495" i="413"/>
  <c r="U495" i="413"/>
  <c r="V495" i="413" s="1"/>
  <c r="S495" i="413"/>
  <c r="T495" i="413" s="1"/>
  <c r="R495" i="413"/>
  <c r="AH494" i="413"/>
  <c r="U494" i="413"/>
  <c r="V494" i="413" s="1"/>
  <c r="S494" i="413"/>
  <c r="T494" i="413" s="1"/>
  <c r="R494" i="413"/>
  <c r="AH493" i="413"/>
  <c r="U493" i="413"/>
  <c r="V493" i="413" s="1"/>
  <c r="S493" i="413"/>
  <c r="T493" i="413" s="1"/>
  <c r="R493" i="413"/>
  <c r="AH492" i="413"/>
  <c r="U492" i="413"/>
  <c r="V492" i="413" s="1"/>
  <c r="S492" i="413"/>
  <c r="T492" i="413" s="1"/>
  <c r="R492" i="413"/>
  <c r="AH491" i="413"/>
  <c r="U491" i="413"/>
  <c r="V491" i="413" s="1"/>
  <c r="S491" i="413"/>
  <c r="T491" i="413" s="1"/>
  <c r="R491" i="413"/>
  <c r="AH490" i="413"/>
  <c r="U490" i="413"/>
  <c r="V490" i="413" s="1"/>
  <c r="S490" i="413"/>
  <c r="T490" i="413" s="1"/>
  <c r="R490" i="413"/>
  <c r="AH489" i="413"/>
  <c r="U489" i="413"/>
  <c r="V489" i="413" s="1"/>
  <c r="S489" i="413"/>
  <c r="T489" i="413" s="1"/>
  <c r="R489" i="413"/>
  <c r="AH488" i="413"/>
  <c r="U488" i="413"/>
  <c r="V488" i="413" s="1"/>
  <c r="S488" i="413"/>
  <c r="T488" i="413" s="1"/>
  <c r="R488" i="413"/>
  <c r="AH487" i="413"/>
  <c r="U487" i="413"/>
  <c r="V487" i="413" s="1"/>
  <c r="S487" i="413"/>
  <c r="T487" i="413" s="1"/>
  <c r="R487" i="413"/>
  <c r="AH486" i="413"/>
  <c r="U486" i="413"/>
  <c r="V486" i="413" s="1"/>
  <c r="S486" i="413"/>
  <c r="T486" i="413" s="1"/>
  <c r="R486" i="413"/>
  <c r="AH485" i="413"/>
  <c r="U485" i="413"/>
  <c r="V485" i="413" s="1"/>
  <c r="S485" i="413"/>
  <c r="T485" i="413" s="1"/>
  <c r="R485" i="413"/>
  <c r="S484" i="413"/>
  <c r="T484" i="413" s="1"/>
  <c r="R484" i="413"/>
  <c r="S483" i="413"/>
  <c r="T483" i="413" s="1"/>
  <c r="R483" i="413"/>
  <c r="S482" i="413"/>
  <c r="T482" i="413" s="1"/>
  <c r="R482" i="413"/>
  <c r="S481" i="413"/>
  <c r="T481" i="413" s="1"/>
  <c r="R481" i="413"/>
  <c r="S480" i="413"/>
  <c r="T480" i="413" s="1"/>
  <c r="R480" i="413"/>
  <c r="S479" i="413"/>
  <c r="T479" i="413" s="1"/>
  <c r="R479" i="413"/>
  <c r="S478" i="413"/>
  <c r="T478" i="413" s="1"/>
  <c r="R478" i="413"/>
  <c r="S477" i="413"/>
  <c r="T477" i="413" s="1"/>
  <c r="R477" i="413"/>
  <c r="S476" i="413"/>
  <c r="T476" i="413" s="1"/>
  <c r="R476" i="413"/>
  <c r="S475" i="413"/>
  <c r="T475" i="413" s="1"/>
  <c r="R475" i="413"/>
  <c r="S474" i="413"/>
  <c r="T474" i="413" s="1"/>
  <c r="R474" i="413"/>
  <c r="S473" i="413"/>
  <c r="T473" i="413" s="1"/>
  <c r="R473" i="413"/>
  <c r="S472" i="413"/>
  <c r="T472" i="413" s="1"/>
  <c r="R472" i="413"/>
  <c r="S471" i="413"/>
  <c r="T471" i="413" s="1"/>
  <c r="R471" i="413"/>
  <c r="N515" i="413"/>
  <c r="N514" i="413"/>
  <c r="N513" i="413"/>
  <c r="N512" i="413"/>
  <c r="N511" i="413"/>
  <c r="N510" i="413"/>
  <c r="N509" i="413"/>
  <c r="N508" i="413"/>
  <c r="N507" i="413"/>
  <c r="N506" i="413"/>
  <c r="N505" i="413"/>
  <c r="N504" i="413"/>
  <c r="N503" i="413"/>
  <c r="N502" i="413"/>
  <c r="N501" i="413"/>
  <c r="N500" i="413"/>
  <c r="N499" i="413"/>
  <c r="N498" i="413"/>
  <c r="N497" i="413"/>
  <c r="N496" i="413"/>
  <c r="N495" i="413"/>
  <c r="N494" i="413"/>
  <c r="N493" i="413"/>
  <c r="N492" i="413"/>
  <c r="N491" i="413"/>
  <c r="N490" i="413"/>
  <c r="N489" i="413"/>
  <c r="N488" i="413"/>
  <c r="N487" i="413"/>
  <c r="N486" i="413"/>
  <c r="N485" i="413"/>
  <c r="N484" i="413"/>
  <c r="N483" i="413"/>
  <c r="N482" i="413"/>
  <c r="N481" i="413"/>
  <c r="N480" i="413"/>
  <c r="N479" i="413"/>
  <c r="N478" i="413"/>
  <c r="N477" i="413"/>
  <c r="N476" i="413"/>
  <c r="N475" i="413"/>
  <c r="N474" i="413"/>
  <c r="N473" i="413"/>
  <c r="N472" i="413"/>
  <c r="N471" i="413"/>
  <c r="I519" i="413"/>
  <c r="I518" i="413"/>
  <c r="I517" i="413"/>
  <c r="I516" i="413"/>
  <c r="I515" i="413"/>
  <c r="I514" i="413"/>
  <c r="I513" i="413"/>
  <c r="I512" i="413"/>
  <c r="I511" i="413"/>
  <c r="I510" i="413"/>
  <c r="I509" i="413"/>
  <c r="I508" i="413"/>
  <c r="I507" i="413"/>
  <c r="I506" i="413"/>
  <c r="I505" i="413"/>
  <c r="I504" i="413"/>
  <c r="I503" i="413"/>
  <c r="I502" i="413"/>
  <c r="I501" i="413"/>
  <c r="I500" i="413"/>
  <c r="I499" i="413"/>
  <c r="I498" i="413"/>
  <c r="I497" i="413"/>
  <c r="I496" i="413"/>
  <c r="I495" i="413"/>
  <c r="I494" i="413"/>
  <c r="I493" i="413"/>
  <c r="I492" i="413"/>
  <c r="I491" i="413"/>
  <c r="I490" i="413"/>
  <c r="I489" i="413"/>
  <c r="I488" i="413"/>
  <c r="I487" i="413"/>
  <c r="I486" i="413"/>
  <c r="I485" i="413"/>
  <c r="I484" i="413"/>
  <c r="I483" i="413"/>
  <c r="I482" i="413"/>
  <c r="I481" i="413"/>
  <c r="I480" i="413"/>
  <c r="I479" i="413"/>
  <c r="I478" i="413"/>
  <c r="I477" i="413"/>
  <c r="I476" i="413"/>
  <c r="I475" i="413"/>
  <c r="I474" i="413"/>
  <c r="I473" i="413"/>
  <c r="I472" i="413"/>
  <c r="I471" i="413"/>
  <c r="AH468" i="413"/>
  <c r="W468" i="413" s="1"/>
  <c r="W469" i="413" s="1"/>
  <c r="U468" i="413"/>
  <c r="V468" i="413" s="1"/>
  <c r="V469" i="413" s="1"/>
  <c r="S468" i="413"/>
  <c r="T468" i="413" s="1"/>
  <c r="R468" i="413"/>
  <c r="N468" i="413"/>
  <c r="I468" i="413"/>
  <c r="Q469" i="413"/>
  <c r="AR466" i="413"/>
  <c r="AQ466" i="413"/>
  <c r="AP466" i="413"/>
  <c r="AO466" i="413"/>
  <c r="AN466" i="413"/>
  <c r="AM466" i="413"/>
  <c r="AL466" i="413"/>
  <c r="AK466" i="413"/>
  <c r="AJ466" i="413"/>
  <c r="AI466" i="413"/>
  <c r="AH466" i="413"/>
  <c r="AF466" i="413"/>
  <c r="AE466" i="413"/>
  <c r="AD466" i="413"/>
  <c r="AC466" i="413"/>
  <c r="AB466" i="413"/>
  <c r="AA466" i="413"/>
  <c r="Z466" i="413"/>
  <c r="Y466" i="413"/>
  <c r="X466" i="413"/>
  <c r="W466" i="413"/>
  <c r="V466" i="413"/>
  <c r="U466" i="413"/>
  <c r="Q466" i="413"/>
  <c r="AI465" i="413"/>
  <c r="X465" i="413" s="1"/>
  <c r="AH465" i="413"/>
  <c r="W465" i="413"/>
  <c r="U465" i="413"/>
  <c r="V465" i="413" s="1"/>
  <c r="S465" i="413"/>
  <c r="T465" i="413" s="1"/>
  <c r="R465" i="413"/>
  <c r="N465" i="413"/>
  <c r="I465" i="413"/>
  <c r="AR463" i="413"/>
  <c r="AQ463" i="413"/>
  <c r="AP463" i="413"/>
  <c r="AO463" i="413"/>
  <c r="AN463" i="413"/>
  <c r="AM463" i="413"/>
  <c r="AL463" i="413"/>
  <c r="AK463" i="413"/>
  <c r="AJ463" i="413"/>
  <c r="AI463" i="413"/>
  <c r="AH463" i="413"/>
  <c r="AF463" i="413"/>
  <c r="AE463" i="413"/>
  <c r="AD463" i="413"/>
  <c r="AC463" i="413"/>
  <c r="AB463" i="413"/>
  <c r="AA463" i="413"/>
  <c r="Z463" i="413"/>
  <c r="Y463" i="413"/>
  <c r="X463" i="413"/>
  <c r="W463" i="413"/>
  <c r="V463" i="413"/>
  <c r="U463" i="413"/>
  <c r="Q463" i="413"/>
  <c r="U462" i="413"/>
  <c r="V462" i="413" s="1"/>
  <c r="U461" i="413"/>
  <c r="V461" i="413" s="1"/>
  <c r="S462" i="413"/>
  <c r="T462" i="413" s="1"/>
  <c r="S461" i="413"/>
  <c r="T461" i="413" s="1"/>
  <c r="R462" i="413"/>
  <c r="R461" i="413"/>
  <c r="N462" i="413"/>
  <c r="N461" i="413"/>
  <c r="I462" i="413"/>
  <c r="I461" i="413"/>
  <c r="AR459" i="413"/>
  <c r="AQ459" i="413"/>
  <c r="AP459" i="413"/>
  <c r="AO459" i="413"/>
  <c r="AN459" i="413"/>
  <c r="AM459" i="413"/>
  <c r="AL459" i="413"/>
  <c r="AK459" i="413"/>
  <c r="AJ459" i="413"/>
  <c r="AI459" i="413"/>
  <c r="AH459" i="413"/>
  <c r="AF459" i="413"/>
  <c r="AE459" i="413"/>
  <c r="AD459" i="413"/>
  <c r="AC459" i="413"/>
  <c r="AB459" i="413"/>
  <c r="AA459" i="413"/>
  <c r="Z459" i="413"/>
  <c r="Y459" i="413"/>
  <c r="X459" i="413"/>
  <c r="W459" i="413"/>
  <c r="V459" i="413"/>
  <c r="U459" i="413"/>
  <c r="Q459" i="413"/>
  <c r="T458" i="413"/>
  <c r="S458" i="413"/>
  <c r="S457" i="413"/>
  <c r="AI456" i="413"/>
  <c r="V456" i="413"/>
  <c r="U456" i="413"/>
  <c r="AH456" i="413" s="1"/>
  <c r="W456" i="413" s="1"/>
  <c r="T456" i="413"/>
  <c r="S456" i="413"/>
  <c r="S455" i="413"/>
  <c r="T455" i="413" s="1"/>
  <c r="T454" i="413"/>
  <c r="S454" i="413"/>
  <c r="S453" i="413"/>
  <c r="V452" i="413"/>
  <c r="U452" i="413"/>
  <c r="AH452" i="413" s="1"/>
  <c r="T452" i="413"/>
  <c r="S452" i="413"/>
  <c r="S451" i="413"/>
  <c r="T450" i="413"/>
  <c r="S450" i="413"/>
  <c r="S449" i="413"/>
  <c r="U448" i="413"/>
  <c r="T448" i="413"/>
  <c r="S448" i="413"/>
  <c r="U447" i="413"/>
  <c r="S447" i="413"/>
  <c r="T447" i="413" s="1"/>
  <c r="T446" i="413"/>
  <c r="S446" i="413"/>
  <c r="S445" i="413"/>
  <c r="S444" i="413"/>
  <c r="S443" i="413"/>
  <c r="U442" i="413"/>
  <c r="T442" i="413"/>
  <c r="S442" i="413"/>
  <c r="AH441" i="413"/>
  <c r="V441" i="413"/>
  <c r="U441" i="413"/>
  <c r="S441" i="413"/>
  <c r="T441" i="413" s="1"/>
  <c r="S440" i="413"/>
  <c r="T439" i="413"/>
  <c r="S439" i="413"/>
  <c r="U438" i="413"/>
  <c r="T438" i="413"/>
  <c r="S438" i="413"/>
  <c r="AH437" i="413"/>
  <c r="V437" i="413"/>
  <c r="U437" i="413"/>
  <c r="T437" i="413"/>
  <c r="S437" i="413"/>
  <c r="S436" i="413"/>
  <c r="T435" i="413"/>
  <c r="S435" i="413"/>
  <c r="AH434" i="413"/>
  <c r="U434" i="413"/>
  <c r="V434" i="413" s="1"/>
  <c r="T434" i="413"/>
  <c r="S434" i="413"/>
  <c r="U433" i="413"/>
  <c r="V433" i="413" s="1"/>
  <c r="T433" i="413"/>
  <c r="S433" i="413"/>
  <c r="S432" i="413"/>
  <c r="T431" i="413"/>
  <c r="S431" i="413"/>
  <c r="S430" i="413"/>
  <c r="AH429" i="413"/>
  <c r="V429" i="413"/>
  <c r="U429" i="413"/>
  <c r="T429" i="413"/>
  <c r="S429" i="413"/>
  <c r="AH428" i="413"/>
  <c r="V428" i="413"/>
  <c r="U428" i="413"/>
  <c r="S428" i="413"/>
  <c r="T428" i="413" s="1"/>
  <c r="T427" i="413"/>
  <c r="S427" i="413"/>
  <c r="U426" i="413"/>
  <c r="V426" i="413" s="1"/>
  <c r="T426" i="413"/>
  <c r="S426" i="413"/>
  <c r="AH425" i="413"/>
  <c r="U425" i="413"/>
  <c r="V425" i="413" s="1"/>
  <c r="T425" i="413"/>
  <c r="S425" i="413"/>
  <c r="S424" i="413"/>
  <c r="T424" i="413" s="1"/>
  <c r="S423" i="413"/>
  <c r="U422" i="413"/>
  <c r="V422" i="413" s="1"/>
  <c r="T422" i="413"/>
  <c r="S422" i="413"/>
  <c r="AH421" i="413"/>
  <c r="U421" i="413"/>
  <c r="V421" i="413" s="1"/>
  <c r="T421" i="413"/>
  <c r="S421" i="413"/>
  <c r="S420" i="413"/>
  <c r="T420" i="413" s="1"/>
  <c r="R458" i="413"/>
  <c r="R457" i="413"/>
  <c r="R456" i="413"/>
  <c r="R455" i="413"/>
  <c r="R454" i="413"/>
  <c r="R453" i="413"/>
  <c r="R452" i="413"/>
  <c r="R451" i="413"/>
  <c r="R450" i="413"/>
  <c r="R449" i="413"/>
  <c r="R448" i="413"/>
  <c r="R447" i="413"/>
  <c r="R446" i="413"/>
  <c r="R445" i="413"/>
  <c r="R444" i="413"/>
  <c r="R443" i="413"/>
  <c r="R442" i="413"/>
  <c r="R441" i="413"/>
  <c r="R440" i="413"/>
  <c r="R439" i="413"/>
  <c r="R438" i="413"/>
  <c r="R437" i="413"/>
  <c r="R436" i="413"/>
  <c r="R435" i="413"/>
  <c r="R434" i="413"/>
  <c r="R433" i="413"/>
  <c r="R432" i="413"/>
  <c r="R431" i="413"/>
  <c r="R430" i="413"/>
  <c r="R429" i="413"/>
  <c r="R428" i="413"/>
  <c r="R427" i="413"/>
  <c r="R426" i="413"/>
  <c r="R425" i="413"/>
  <c r="R424" i="413"/>
  <c r="R423" i="413"/>
  <c r="R422" i="413"/>
  <c r="R421" i="413"/>
  <c r="R420" i="413"/>
  <c r="N458" i="413"/>
  <c r="N457" i="413"/>
  <c r="N456" i="413"/>
  <c r="N455" i="413"/>
  <c r="N454" i="413"/>
  <c r="N453" i="413"/>
  <c r="N452" i="413"/>
  <c r="N451" i="413"/>
  <c r="N450" i="413"/>
  <c r="N449" i="413"/>
  <c r="N448" i="413"/>
  <c r="N447" i="413"/>
  <c r="N446" i="413"/>
  <c r="N445" i="413"/>
  <c r="N444" i="413"/>
  <c r="N443" i="413"/>
  <c r="N442" i="413"/>
  <c r="N441" i="413"/>
  <c r="N440" i="413"/>
  <c r="N439" i="413"/>
  <c r="N438" i="413"/>
  <c r="N437" i="413"/>
  <c r="N436" i="413"/>
  <c r="N435" i="413"/>
  <c r="N434" i="413"/>
  <c r="N433" i="413"/>
  <c r="N432" i="413"/>
  <c r="N431" i="413"/>
  <c r="N430" i="413"/>
  <c r="N429" i="413"/>
  <c r="N428" i="413"/>
  <c r="N427" i="413"/>
  <c r="N426" i="413"/>
  <c r="N425" i="413"/>
  <c r="N424" i="413"/>
  <c r="N423" i="413"/>
  <c r="N422" i="413"/>
  <c r="N421" i="413"/>
  <c r="N420" i="413"/>
  <c r="I458" i="413"/>
  <c r="I457" i="413"/>
  <c r="I456" i="413"/>
  <c r="I455" i="413"/>
  <c r="I454" i="413"/>
  <c r="I453" i="413"/>
  <c r="I452" i="413"/>
  <c r="I451" i="413"/>
  <c r="I450" i="413"/>
  <c r="I449" i="413"/>
  <c r="I448" i="413"/>
  <c r="I447" i="413"/>
  <c r="I446" i="413"/>
  <c r="I445" i="413"/>
  <c r="I444" i="413"/>
  <c r="I443" i="413"/>
  <c r="I442" i="413"/>
  <c r="I441" i="413"/>
  <c r="I440" i="413"/>
  <c r="I439" i="413"/>
  <c r="I438" i="413"/>
  <c r="I437" i="413"/>
  <c r="I436" i="413"/>
  <c r="I435" i="413"/>
  <c r="I434" i="413"/>
  <c r="I433" i="413"/>
  <c r="I432" i="413"/>
  <c r="I431" i="413"/>
  <c r="I430" i="413"/>
  <c r="I429" i="413"/>
  <c r="I428" i="413"/>
  <c r="I427" i="413"/>
  <c r="I426" i="413"/>
  <c r="I425" i="413"/>
  <c r="I424" i="413"/>
  <c r="I423" i="413"/>
  <c r="I422" i="413"/>
  <c r="I421" i="413"/>
  <c r="I420" i="413"/>
  <c r="U417" i="413"/>
  <c r="U416" i="413"/>
  <c r="U415" i="413"/>
  <c r="AH415" i="413" s="1"/>
  <c r="U414" i="413"/>
  <c r="AH414" i="413" s="1"/>
  <c r="U413" i="413"/>
  <c r="U412" i="413"/>
  <c r="U411" i="413"/>
  <c r="AH411" i="413" s="1"/>
  <c r="U410" i="413"/>
  <c r="V410" i="413" s="1"/>
  <c r="U409" i="413"/>
  <c r="U408" i="413"/>
  <c r="U407" i="413"/>
  <c r="AH407" i="413" s="1"/>
  <c r="U406" i="413"/>
  <c r="V406" i="413" s="1"/>
  <c r="U405" i="413"/>
  <c r="U404" i="413"/>
  <c r="U403" i="413"/>
  <c r="U402" i="413"/>
  <c r="U401" i="413"/>
  <c r="U400" i="413"/>
  <c r="V400" i="413" s="1"/>
  <c r="U399" i="413"/>
  <c r="V399" i="413" s="1"/>
  <c r="U398" i="413"/>
  <c r="U397" i="413"/>
  <c r="U396" i="413"/>
  <c r="U395" i="413"/>
  <c r="V395" i="413" s="1"/>
  <c r="U394" i="413"/>
  <c r="AH394" i="413" s="1"/>
  <c r="W394" i="413" s="1"/>
  <c r="U393" i="413"/>
  <c r="U392" i="413"/>
  <c r="V392" i="413" s="1"/>
  <c r="U391" i="413"/>
  <c r="U390" i="413"/>
  <c r="AH390" i="413" s="1"/>
  <c r="W390" i="413" s="1"/>
  <c r="U389" i="413"/>
  <c r="U388" i="413"/>
  <c r="V388" i="413" s="1"/>
  <c r="U387" i="413"/>
  <c r="V387" i="413" s="1"/>
  <c r="U386" i="413"/>
  <c r="AH386" i="413" s="1"/>
  <c r="U385" i="413"/>
  <c r="U384" i="413"/>
  <c r="AH384" i="413" s="1"/>
  <c r="W384" i="413" s="1"/>
  <c r="U383" i="413"/>
  <c r="AH383" i="413" s="1"/>
  <c r="U382" i="413"/>
  <c r="AH382" i="413" s="1"/>
  <c r="U381" i="413"/>
  <c r="U380" i="413"/>
  <c r="AH380" i="413" s="1"/>
  <c r="U379" i="413"/>
  <c r="V379" i="413" s="1"/>
  <c r="U378" i="413"/>
  <c r="U377" i="413"/>
  <c r="U376" i="413"/>
  <c r="U375" i="413"/>
  <c r="V375" i="413" s="1"/>
  <c r="U374" i="413"/>
  <c r="V374" i="413" s="1"/>
  <c r="U373" i="413"/>
  <c r="U372" i="413"/>
  <c r="V372" i="413" s="1"/>
  <c r="U371" i="413"/>
  <c r="AH371" i="413" s="1"/>
  <c r="U370" i="413"/>
  <c r="AH370" i="413" s="1"/>
  <c r="U369" i="413"/>
  <c r="U368" i="413"/>
  <c r="V368" i="413" s="1"/>
  <c r="U367" i="413"/>
  <c r="AH367" i="413" s="1"/>
  <c r="W367" i="413" s="1"/>
  <c r="AI367" i="413" s="1"/>
  <c r="U366" i="413"/>
  <c r="V366" i="413" s="1"/>
  <c r="U365" i="413"/>
  <c r="U364" i="413"/>
  <c r="AH364" i="413" s="1"/>
  <c r="U363" i="413"/>
  <c r="V363" i="413" s="1"/>
  <c r="U362" i="413"/>
  <c r="V362" i="413" s="1"/>
  <c r="U361" i="413"/>
  <c r="U360" i="413"/>
  <c r="U359" i="413"/>
  <c r="U358" i="413"/>
  <c r="AH358" i="413" s="1"/>
  <c r="U357" i="413"/>
  <c r="U356" i="413"/>
  <c r="U355" i="413"/>
  <c r="U354" i="413"/>
  <c r="V354" i="413" s="1"/>
  <c r="U353" i="413"/>
  <c r="U352" i="413"/>
  <c r="U351" i="413"/>
  <c r="V351" i="413" s="1"/>
  <c r="U350" i="413"/>
  <c r="AH350" i="413" s="1"/>
  <c r="U349" i="413"/>
  <c r="U348" i="413"/>
  <c r="U347" i="413"/>
  <c r="AH347" i="413" s="1"/>
  <c r="U346" i="413"/>
  <c r="U345" i="413"/>
  <c r="U344" i="413"/>
  <c r="AH344" i="413" s="1"/>
  <c r="W344" i="413" s="1"/>
  <c r="AI344" i="413" s="1"/>
  <c r="U343" i="413"/>
  <c r="AH343" i="413" s="1"/>
  <c r="U342" i="413"/>
  <c r="AH342" i="413" s="1"/>
  <c r="U341" i="413"/>
  <c r="U340" i="413"/>
  <c r="AH340" i="413" s="1"/>
  <c r="W340" i="413" s="1"/>
  <c r="U339" i="413"/>
  <c r="U338" i="413"/>
  <c r="V338" i="413" s="1"/>
  <c r="U337" i="413"/>
  <c r="U336" i="413"/>
  <c r="AH336" i="413" s="1"/>
  <c r="U335" i="413"/>
  <c r="U334" i="413"/>
  <c r="U333" i="413"/>
  <c r="U332" i="413"/>
  <c r="V332" i="413" s="1"/>
  <c r="U331" i="413"/>
  <c r="AH331" i="413" s="1"/>
  <c r="U330" i="413"/>
  <c r="V330" i="413" s="1"/>
  <c r="U329" i="413"/>
  <c r="U328" i="413"/>
  <c r="U327" i="413"/>
  <c r="U326" i="413"/>
  <c r="AH326" i="413" s="1"/>
  <c r="U325" i="413"/>
  <c r="U324" i="413"/>
  <c r="V324" i="413" s="1"/>
  <c r="U323" i="413"/>
  <c r="U322" i="413"/>
  <c r="V322" i="413" s="1"/>
  <c r="U321" i="413"/>
  <c r="U320" i="413"/>
  <c r="AH320" i="413" s="1"/>
  <c r="U319" i="413"/>
  <c r="U318" i="413"/>
  <c r="V318" i="413" s="1"/>
  <c r="U317" i="413"/>
  <c r="U316" i="413"/>
  <c r="V316" i="413" s="1"/>
  <c r="U315" i="413"/>
  <c r="U314" i="413"/>
  <c r="V314" i="413" s="1"/>
  <c r="U313" i="413"/>
  <c r="U312" i="413"/>
  <c r="U311" i="413"/>
  <c r="U310" i="413"/>
  <c r="V310" i="413" s="1"/>
  <c r="U309" i="413"/>
  <c r="U308" i="413"/>
  <c r="V308" i="413" s="1"/>
  <c r="U307" i="413"/>
  <c r="U306" i="413"/>
  <c r="V306" i="413" s="1"/>
  <c r="U305" i="413"/>
  <c r="U304" i="413"/>
  <c r="AH304" i="413" s="1"/>
  <c r="U303" i="413"/>
  <c r="U302" i="413"/>
  <c r="V302" i="413" s="1"/>
  <c r="U301" i="413"/>
  <c r="U300" i="413"/>
  <c r="V300" i="413" s="1"/>
  <c r="U299" i="413"/>
  <c r="U298" i="413"/>
  <c r="V298" i="413" s="1"/>
  <c r="U297" i="413"/>
  <c r="U296" i="413"/>
  <c r="U295" i="413"/>
  <c r="U294" i="413"/>
  <c r="V294" i="413" s="1"/>
  <c r="U293" i="413"/>
  <c r="U292" i="413"/>
  <c r="V292" i="413" s="1"/>
  <c r="U291" i="413"/>
  <c r="U290" i="413"/>
  <c r="V290" i="413" s="1"/>
  <c r="U289" i="413"/>
  <c r="U288" i="413"/>
  <c r="AH288" i="413" s="1"/>
  <c r="U287" i="413"/>
  <c r="U286" i="413"/>
  <c r="V286" i="413" s="1"/>
  <c r="U285" i="413"/>
  <c r="U284" i="413"/>
  <c r="V284" i="413" s="1"/>
  <c r="U283" i="413"/>
  <c r="U282" i="413"/>
  <c r="U281" i="413"/>
  <c r="U280" i="413"/>
  <c r="V280" i="413" s="1"/>
  <c r="U279" i="413"/>
  <c r="U278" i="413"/>
  <c r="AH278" i="413" s="1"/>
  <c r="U277" i="413"/>
  <c r="U276" i="413"/>
  <c r="U275" i="413"/>
  <c r="U274" i="413"/>
  <c r="AH274" i="413" s="1"/>
  <c r="U273" i="413"/>
  <c r="U272" i="413"/>
  <c r="V272" i="413" s="1"/>
  <c r="U271" i="413"/>
  <c r="U270" i="413"/>
  <c r="U269" i="413"/>
  <c r="U268" i="413"/>
  <c r="V268" i="413" s="1"/>
  <c r="U267" i="413"/>
  <c r="U266" i="413"/>
  <c r="U265" i="413"/>
  <c r="U264" i="413"/>
  <c r="V264" i="413" s="1"/>
  <c r="U263" i="413"/>
  <c r="V263" i="413" s="1"/>
  <c r="U262" i="413"/>
  <c r="U261" i="413"/>
  <c r="U260" i="413"/>
  <c r="V260" i="413" s="1"/>
  <c r="U259" i="413"/>
  <c r="U258" i="413"/>
  <c r="U257" i="413"/>
  <c r="U256" i="413"/>
  <c r="V256" i="413" s="1"/>
  <c r="U255" i="413"/>
  <c r="AH255" i="413" s="1"/>
  <c r="U254" i="413"/>
  <c r="V254" i="413" s="1"/>
  <c r="U253" i="413"/>
  <c r="U252" i="413"/>
  <c r="V252" i="413" s="1"/>
  <c r="U251" i="413"/>
  <c r="AH251" i="413" s="1"/>
  <c r="W251" i="413" s="1"/>
  <c r="U250" i="413"/>
  <c r="U249" i="413"/>
  <c r="U248" i="413"/>
  <c r="V248" i="413" s="1"/>
  <c r="U247" i="413"/>
  <c r="U246" i="413"/>
  <c r="V246" i="413" s="1"/>
  <c r="U245" i="413"/>
  <c r="U244" i="413"/>
  <c r="AH244" i="413" s="1"/>
  <c r="U243" i="413"/>
  <c r="V243" i="413" s="1"/>
  <c r="U242" i="413"/>
  <c r="U241" i="413"/>
  <c r="U240" i="413"/>
  <c r="U239" i="413"/>
  <c r="V239" i="413" s="1"/>
  <c r="U238" i="413"/>
  <c r="V238" i="413" s="1"/>
  <c r="U237" i="413"/>
  <c r="U236" i="413"/>
  <c r="V236" i="413" s="1"/>
  <c r="U235" i="413"/>
  <c r="AH235" i="413" s="1"/>
  <c r="W235" i="413" s="1"/>
  <c r="U234" i="413"/>
  <c r="U233" i="413"/>
  <c r="U232" i="413"/>
  <c r="U231" i="413"/>
  <c r="AH231" i="413" s="1"/>
  <c r="U230" i="413"/>
  <c r="V230" i="413" s="1"/>
  <c r="U229" i="413"/>
  <c r="U228" i="413"/>
  <c r="U227" i="413"/>
  <c r="V227" i="413" s="1"/>
  <c r="U226" i="413"/>
  <c r="U225" i="413"/>
  <c r="U224" i="413"/>
  <c r="AH224" i="413" s="1"/>
  <c r="U223" i="413"/>
  <c r="AH223" i="413" s="1"/>
  <c r="U222" i="413"/>
  <c r="V222" i="413" s="1"/>
  <c r="U221" i="413"/>
  <c r="U220" i="413"/>
  <c r="U219" i="413"/>
  <c r="AH219" i="413" s="1"/>
  <c r="W219" i="413" s="1"/>
  <c r="U218" i="413"/>
  <c r="U217" i="413"/>
  <c r="U216" i="413"/>
  <c r="V216" i="413" s="1"/>
  <c r="U215" i="413"/>
  <c r="V215" i="413" s="1"/>
  <c r="U214" i="413"/>
  <c r="V214" i="413" s="1"/>
  <c r="U213" i="413"/>
  <c r="U212" i="413"/>
  <c r="AH212" i="413" s="1"/>
  <c r="U211" i="413"/>
  <c r="AH211" i="413" s="1"/>
  <c r="W211" i="413" s="1"/>
  <c r="U210" i="413"/>
  <c r="U209" i="413"/>
  <c r="U208" i="413"/>
  <c r="AH208" i="413" s="1"/>
  <c r="W208" i="413" s="1"/>
  <c r="AI208" i="413" s="1"/>
  <c r="U207" i="413"/>
  <c r="V207" i="413" s="1"/>
  <c r="U206" i="413"/>
  <c r="V206" i="413" s="1"/>
  <c r="U205" i="413"/>
  <c r="U204" i="413"/>
  <c r="V204" i="413" s="1"/>
  <c r="U203" i="413"/>
  <c r="U202" i="413"/>
  <c r="U201" i="413"/>
  <c r="U200" i="413"/>
  <c r="U199" i="413"/>
  <c r="AH199" i="413" s="1"/>
  <c r="U198" i="413"/>
  <c r="V198" i="413" s="1"/>
  <c r="U197" i="413"/>
  <c r="U196" i="413"/>
  <c r="AH196" i="413" s="1"/>
  <c r="W196" i="413" s="1"/>
  <c r="AI196" i="413" s="1"/>
  <c r="U195" i="413"/>
  <c r="V195" i="413" s="1"/>
  <c r="U194" i="413"/>
  <c r="U193" i="413"/>
  <c r="U192" i="413"/>
  <c r="AH192" i="413" s="1"/>
  <c r="U191" i="413"/>
  <c r="AH191" i="413" s="1"/>
  <c r="U190" i="413"/>
  <c r="U189" i="413"/>
  <c r="U188" i="413"/>
  <c r="U187" i="413"/>
  <c r="AH187" i="413" s="1"/>
  <c r="W187" i="413" s="1"/>
  <c r="U186" i="413"/>
  <c r="U185" i="413"/>
  <c r="U184" i="413"/>
  <c r="V184" i="413" s="1"/>
  <c r="U183" i="413"/>
  <c r="AH183" i="413" s="1"/>
  <c r="U182" i="413"/>
  <c r="AH182" i="413" s="1"/>
  <c r="W182" i="413" s="1"/>
  <c r="U181" i="413"/>
  <c r="U180" i="413"/>
  <c r="U179" i="413"/>
  <c r="U178" i="413"/>
  <c r="AH178" i="413" s="1"/>
  <c r="W178" i="413" s="1"/>
  <c r="U177" i="413"/>
  <c r="U176" i="413"/>
  <c r="V176" i="413" s="1"/>
  <c r="U175" i="413"/>
  <c r="V175" i="413" s="1"/>
  <c r="U174" i="413"/>
  <c r="V174" i="413" s="1"/>
  <c r="U173" i="413"/>
  <c r="U172" i="413"/>
  <c r="V172" i="413" s="1"/>
  <c r="U171" i="413"/>
  <c r="U170" i="413"/>
  <c r="AH170" i="413" s="1"/>
  <c r="W170" i="413" s="1"/>
  <c r="U169" i="413"/>
  <c r="U168" i="413"/>
  <c r="AH168" i="413" s="1"/>
  <c r="U167" i="413"/>
  <c r="V167" i="413" s="1"/>
  <c r="U166" i="413"/>
  <c r="V166" i="413" s="1"/>
  <c r="U165" i="413"/>
  <c r="U164" i="413"/>
  <c r="V164" i="413" s="1"/>
  <c r="U163" i="413"/>
  <c r="U162" i="413"/>
  <c r="AH162" i="413" s="1"/>
  <c r="W162" i="413" s="1"/>
  <c r="U161" i="413"/>
  <c r="U160" i="413"/>
  <c r="AH160" i="413" s="1"/>
  <c r="W160" i="413" s="1"/>
  <c r="U159" i="413"/>
  <c r="V159" i="413" s="1"/>
  <c r="U158" i="413"/>
  <c r="AH158" i="413" s="1"/>
  <c r="W158" i="413" s="1"/>
  <c r="AI158" i="413" s="1"/>
  <c r="U157" i="413"/>
  <c r="U156" i="413"/>
  <c r="U155" i="413"/>
  <c r="V155" i="413" s="1"/>
  <c r="U154" i="413"/>
  <c r="V154" i="413" s="1"/>
  <c r="U153" i="413"/>
  <c r="U152" i="413"/>
  <c r="U151" i="413"/>
  <c r="U150" i="413"/>
  <c r="AH150" i="413" s="1"/>
  <c r="W150" i="413" s="1"/>
  <c r="AI150" i="413" s="1"/>
  <c r="U149" i="413"/>
  <c r="U148" i="413"/>
  <c r="U147" i="413"/>
  <c r="V147" i="413" s="1"/>
  <c r="U146" i="413"/>
  <c r="V146" i="413" s="1"/>
  <c r="U145" i="413"/>
  <c r="U144" i="413"/>
  <c r="U143" i="413"/>
  <c r="U142" i="413"/>
  <c r="V142" i="413" s="1"/>
  <c r="U141" i="413"/>
  <c r="U140" i="413"/>
  <c r="U139" i="413"/>
  <c r="AH139" i="413" s="1"/>
  <c r="W139" i="413" s="1"/>
  <c r="U138" i="413"/>
  <c r="AH138" i="413" s="1"/>
  <c r="U137" i="413"/>
  <c r="U136" i="413"/>
  <c r="U135" i="413"/>
  <c r="U134" i="413"/>
  <c r="V134" i="413" s="1"/>
  <c r="U133" i="413"/>
  <c r="U132" i="413"/>
  <c r="U131" i="413"/>
  <c r="AH131" i="413" s="1"/>
  <c r="W131" i="413" s="1"/>
  <c r="U130" i="413"/>
  <c r="V130" i="413" s="1"/>
  <c r="U129" i="413"/>
  <c r="U128" i="413"/>
  <c r="U127" i="413"/>
  <c r="U126" i="413"/>
  <c r="V126" i="413" s="1"/>
  <c r="U125" i="413"/>
  <c r="U124" i="413"/>
  <c r="AH124" i="413" s="1"/>
  <c r="U122" i="413"/>
  <c r="V122" i="413" s="1"/>
  <c r="U121" i="413"/>
  <c r="V121" i="413" s="1"/>
  <c r="U120" i="413"/>
  <c r="U119" i="413"/>
  <c r="U118" i="413"/>
  <c r="V118" i="413" s="1"/>
  <c r="U117" i="413"/>
  <c r="U116" i="413"/>
  <c r="U115" i="413"/>
  <c r="AH115" i="413" s="1"/>
  <c r="W115" i="413" s="1"/>
  <c r="U114" i="413"/>
  <c r="AH114" i="413" s="1"/>
  <c r="U113" i="413"/>
  <c r="U112" i="413"/>
  <c r="AH112" i="413" s="1"/>
  <c r="W112" i="413" s="1"/>
  <c r="U111" i="413"/>
  <c r="U110" i="413"/>
  <c r="V110" i="413" s="1"/>
  <c r="U109" i="413"/>
  <c r="U108" i="413"/>
  <c r="AH108" i="413" s="1"/>
  <c r="U107" i="413"/>
  <c r="AH107" i="413" s="1"/>
  <c r="W107" i="413" s="1"/>
  <c r="U106" i="413"/>
  <c r="V106" i="413" s="1"/>
  <c r="U105" i="413"/>
  <c r="U104" i="413"/>
  <c r="AH104" i="413" s="1"/>
  <c r="W104" i="413" s="1"/>
  <c r="U103" i="413"/>
  <c r="U102" i="413"/>
  <c r="V102" i="413" s="1"/>
  <c r="U101" i="413"/>
  <c r="U100" i="413"/>
  <c r="AH100" i="413" s="1"/>
  <c r="U99" i="413"/>
  <c r="V99" i="413" s="1"/>
  <c r="U98" i="413"/>
  <c r="V98" i="413" s="1"/>
  <c r="U97" i="413"/>
  <c r="U96" i="413"/>
  <c r="U95" i="413"/>
  <c r="V95" i="413" s="1"/>
  <c r="U94" i="413"/>
  <c r="V94" i="413" s="1"/>
  <c r="U93" i="413"/>
  <c r="U92" i="413"/>
  <c r="U89" i="413"/>
  <c r="U88" i="413"/>
  <c r="U87" i="413"/>
  <c r="U86" i="413"/>
  <c r="U85" i="413"/>
  <c r="U84" i="413"/>
  <c r="U90" i="413" s="1"/>
  <c r="U81" i="413"/>
  <c r="U80" i="413"/>
  <c r="U79" i="413"/>
  <c r="U78" i="413"/>
  <c r="U77" i="413"/>
  <c r="U76" i="413"/>
  <c r="U75" i="413"/>
  <c r="U74" i="413"/>
  <c r="U73" i="413"/>
  <c r="U72" i="413"/>
  <c r="U71" i="413"/>
  <c r="U70" i="413"/>
  <c r="U69" i="413"/>
  <c r="U68" i="413"/>
  <c r="U67" i="413"/>
  <c r="U66" i="413"/>
  <c r="U65" i="413"/>
  <c r="U64" i="413"/>
  <c r="U63" i="413"/>
  <c r="U62" i="413"/>
  <c r="U61" i="413"/>
  <c r="U60" i="413"/>
  <c r="U59" i="413"/>
  <c r="U58" i="413"/>
  <c r="U57" i="413"/>
  <c r="U56" i="413"/>
  <c r="U55" i="413"/>
  <c r="U54" i="413"/>
  <c r="U53" i="413"/>
  <c r="U52" i="413"/>
  <c r="U51" i="413"/>
  <c r="U50" i="413"/>
  <c r="U49" i="413"/>
  <c r="U48" i="413"/>
  <c r="U47" i="413"/>
  <c r="U46" i="413"/>
  <c r="U45" i="413"/>
  <c r="U44" i="413"/>
  <c r="U43" i="413"/>
  <c r="U42" i="413"/>
  <c r="U41" i="413"/>
  <c r="U40" i="413"/>
  <c r="U39" i="413"/>
  <c r="U38" i="413"/>
  <c r="U37" i="413"/>
  <c r="U36" i="413"/>
  <c r="U35" i="413"/>
  <c r="U34" i="413"/>
  <c r="U33" i="413"/>
  <c r="U32" i="413"/>
  <c r="U31" i="413"/>
  <c r="U30" i="413"/>
  <c r="U29" i="413"/>
  <c r="U28" i="413"/>
  <c r="U27" i="413"/>
  <c r="U26" i="413"/>
  <c r="U25" i="413"/>
  <c r="V417" i="413"/>
  <c r="AH417" i="413"/>
  <c r="V414" i="413"/>
  <c r="AH413" i="413"/>
  <c r="AH410" i="413"/>
  <c r="AH409" i="413"/>
  <c r="AH405" i="413"/>
  <c r="AH395" i="413"/>
  <c r="W395" i="413" s="1"/>
  <c r="AI395" i="413" s="1"/>
  <c r="AH393" i="413"/>
  <c r="V393" i="413"/>
  <c r="V391" i="413"/>
  <c r="AH391" i="413"/>
  <c r="W391" i="413" s="1"/>
  <c r="AH389" i="413"/>
  <c r="V389" i="413"/>
  <c r="AH387" i="413"/>
  <c r="W387" i="413" s="1"/>
  <c r="AI387" i="413" s="1"/>
  <c r="V386" i="413"/>
  <c r="V384" i="413"/>
  <c r="W383" i="413"/>
  <c r="AI383" i="413" s="1"/>
  <c r="V382" i="413"/>
  <c r="AH381" i="413"/>
  <c r="V381" i="413"/>
  <c r="W380" i="413"/>
  <c r="V380" i="413"/>
  <c r="AH379" i="413"/>
  <c r="W379" i="413" s="1"/>
  <c r="AH377" i="413"/>
  <c r="V377" i="413"/>
  <c r="V376" i="413"/>
  <c r="AH376" i="413"/>
  <c r="AH375" i="413"/>
  <c r="AH372" i="413"/>
  <c r="W371" i="413"/>
  <c r="AI371" i="413" s="1"/>
  <c r="V367" i="413"/>
  <c r="AH366" i="413"/>
  <c r="AH365" i="413"/>
  <c r="V365" i="413"/>
  <c r="V364" i="413"/>
  <c r="AH362" i="413"/>
  <c r="W362" i="413" s="1"/>
  <c r="AH361" i="413"/>
  <c r="V361" i="413"/>
  <c r="V359" i="413"/>
  <c r="W358" i="413"/>
  <c r="AH357" i="413"/>
  <c r="V357" i="413"/>
  <c r="V355" i="413"/>
  <c r="AH353" i="413"/>
  <c r="V353" i="413"/>
  <c r="AH349" i="413"/>
  <c r="V349" i="413"/>
  <c r="V348" i="413"/>
  <c r="V347" i="413"/>
  <c r="W345" i="413"/>
  <c r="V345" i="413"/>
  <c r="AH345" i="413"/>
  <c r="V344" i="413"/>
  <c r="V342" i="413"/>
  <c r="V341" i="413"/>
  <c r="AH341" i="413"/>
  <c r="W341" i="413" s="1"/>
  <c r="V340" i="413"/>
  <c r="AH338" i="413"/>
  <c r="V337" i="413"/>
  <c r="AH337" i="413"/>
  <c r="V336" i="413"/>
  <c r="V333" i="413"/>
  <c r="AH333" i="413"/>
  <c r="W332" i="413"/>
  <c r="AH332" i="413"/>
  <c r="V331" i="413"/>
  <c r="AH330" i="413"/>
  <c r="V329" i="413"/>
  <c r="AH329" i="413"/>
  <c r="V326" i="413"/>
  <c r="V325" i="413"/>
  <c r="AH325" i="413"/>
  <c r="W325" i="413" s="1"/>
  <c r="AH324" i="413"/>
  <c r="W321" i="413"/>
  <c r="V321" i="413"/>
  <c r="AH321" i="413"/>
  <c r="V320" i="413"/>
  <c r="V317" i="413"/>
  <c r="AH317" i="413"/>
  <c r="W317" i="413" s="1"/>
  <c r="AH316" i="413"/>
  <c r="W313" i="413"/>
  <c r="V313" i="413"/>
  <c r="AH313" i="413"/>
  <c r="AH312" i="413"/>
  <c r="V312" i="413"/>
  <c r="V309" i="413"/>
  <c r="AH309" i="413"/>
  <c r="W309" i="413" s="1"/>
  <c r="AH308" i="413"/>
  <c r="W305" i="413"/>
  <c r="V305" i="413"/>
  <c r="AH305" i="413"/>
  <c r="V304" i="413"/>
  <c r="V301" i="413"/>
  <c r="AH301" i="413"/>
  <c r="W301" i="413" s="1"/>
  <c r="AH300" i="413"/>
  <c r="W297" i="413"/>
  <c r="V297" i="413"/>
  <c r="AH297" i="413"/>
  <c r="AH296" i="413"/>
  <c r="V296" i="413"/>
  <c r="V293" i="413"/>
  <c r="AH293" i="413"/>
  <c r="W293" i="413" s="1"/>
  <c r="AH292" i="413"/>
  <c r="W289" i="413"/>
  <c r="V289" i="413"/>
  <c r="AH289" i="413"/>
  <c r="V288" i="413"/>
  <c r="V285" i="413"/>
  <c r="AH285" i="413"/>
  <c r="W285" i="413" s="1"/>
  <c r="AH284" i="413"/>
  <c r="AH283" i="413"/>
  <c r="V283" i="413"/>
  <c r="V281" i="413"/>
  <c r="AH281" i="413"/>
  <c r="W281" i="413" s="1"/>
  <c r="AH280" i="413"/>
  <c r="W280" i="413" s="1"/>
  <c r="AI280" i="413" s="1"/>
  <c r="AH279" i="413"/>
  <c r="W279" i="413" s="1"/>
  <c r="V279" i="413"/>
  <c r="W277" i="413"/>
  <c r="V277" i="413"/>
  <c r="AH277" i="413"/>
  <c r="V276" i="413"/>
  <c r="AH276" i="413"/>
  <c r="W276" i="413" s="1"/>
  <c r="V274" i="413"/>
  <c r="V273" i="413"/>
  <c r="AH273" i="413"/>
  <c r="AH272" i="413"/>
  <c r="AH271" i="413"/>
  <c r="V269" i="413"/>
  <c r="AH268" i="413"/>
  <c r="AH267" i="413"/>
  <c r="V265" i="413"/>
  <c r="AH263" i="413"/>
  <c r="V261" i="413"/>
  <c r="AH260" i="413"/>
  <c r="V257" i="413"/>
  <c r="AH256" i="413"/>
  <c r="V253" i="413"/>
  <c r="W252" i="413"/>
  <c r="AI252" i="413" s="1"/>
  <c r="AH252" i="413"/>
  <c r="V251" i="413"/>
  <c r="V249" i="413"/>
  <c r="AH248" i="413"/>
  <c r="W248" i="413" s="1"/>
  <c r="AI248" i="413" s="1"/>
  <c r="AH247" i="413"/>
  <c r="V247" i="413"/>
  <c r="V245" i="413"/>
  <c r="W244" i="413"/>
  <c r="AI244" i="413" s="1"/>
  <c r="V244" i="413"/>
  <c r="AH243" i="413"/>
  <c r="W243" i="413" s="1"/>
  <c r="V241" i="413"/>
  <c r="V240" i="413"/>
  <c r="AH240" i="413"/>
  <c r="W240" i="413" s="1"/>
  <c r="AI240" i="413" s="1"/>
  <c r="V237" i="413"/>
  <c r="V235" i="413"/>
  <c r="V233" i="413"/>
  <c r="V232" i="413"/>
  <c r="AH232" i="413"/>
  <c r="W232" i="413" s="1"/>
  <c r="AI232" i="413" s="1"/>
  <c r="V231" i="413"/>
  <c r="V229" i="413"/>
  <c r="V228" i="413"/>
  <c r="AH228" i="413"/>
  <c r="W228" i="413" s="1"/>
  <c r="AI228" i="413" s="1"/>
  <c r="V225" i="413"/>
  <c r="W224" i="413"/>
  <c r="AI224" i="413" s="1"/>
  <c r="V224" i="413"/>
  <c r="V221" i="413"/>
  <c r="V220" i="413"/>
  <c r="AH220" i="413"/>
  <c r="W220" i="413" s="1"/>
  <c r="AI220" i="413" s="1"/>
  <c r="V219" i="413"/>
  <c r="V217" i="413"/>
  <c r="AH216" i="413"/>
  <c r="W216" i="413" s="1"/>
  <c r="AI216" i="413" s="1"/>
  <c r="AH215" i="413"/>
  <c r="V213" i="413"/>
  <c r="W212" i="413"/>
  <c r="AI212" i="413" s="1"/>
  <c r="V212" i="413"/>
  <c r="V209" i="413"/>
  <c r="V208" i="413"/>
  <c r="V205" i="413"/>
  <c r="AH204" i="413"/>
  <c r="W204" i="413" s="1"/>
  <c r="AI204" i="413" s="1"/>
  <c r="AH203" i="413"/>
  <c r="W203" i="413" s="1"/>
  <c r="V203" i="413"/>
  <c r="V201" i="413"/>
  <c r="V200" i="413"/>
  <c r="AH200" i="413"/>
  <c r="W200" i="413" s="1"/>
  <c r="AI200" i="413" s="1"/>
  <c r="V197" i="413"/>
  <c r="V196" i="413"/>
  <c r="V193" i="413"/>
  <c r="W192" i="413"/>
  <c r="AI192" i="413" s="1"/>
  <c r="V191" i="413"/>
  <c r="V190" i="413"/>
  <c r="V189" i="413"/>
  <c r="V188" i="413"/>
  <c r="AH188" i="413"/>
  <c r="W188" i="413" s="1"/>
  <c r="AI188" i="413" s="1"/>
  <c r="V185" i="413"/>
  <c r="AH184" i="413"/>
  <c r="W184" i="413" s="1"/>
  <c r="AI184" i="413" s="1"/>
  <c r="V182" i="413"/>
  <c r="V181" i="413"/>
  <c r="AH181" i="413"/>
  <c r="AH180" i="413"/>
  <c r="V180" i="413"/>
  <c r="AI177" i="413"/>
  <c r="X177" i="413"/>
  <c r="V177" i="413"/>
  <c r="AH177" i="413"/>
  <c r="W177" i="413" s="1"/>
  <c r="AH176" i="413"/>
  <c r="AH175" i="413"/>
  <c r="W175" i="413" s="1"/>
  <c r="V173" i="413"/>
  <c r="AH173" i="413"/>
  <c r="V170" i="413"/>
  <c r="W169" i="413"/>
  <c r="V169" i="413"/>
  <c r="AH169" i="413"/>
  <c r="AI169" i="413" s="1"/>
  <c r="V168" i="413"/>
  <c r="AH167" i="413"/>
  <c r="W167" i="413" s="1"/>
  <c r="AH166" i="413"/>
  <c r="V165" i="413"/>
  <c r="AH165" i="413"/>
  <c r="AH164" i="413"/>
  <c r="AH161" i="413"/>
  <c r="V161" i="413"/>
  <c r="V158" i="413"/>
  <c r="AH156" i="413"/>
  <c r="AH155" i="413"/>
  <c r="W155" i="413"/>
  <c r="AH153" i="413"/>
  <c r="V153" i="413"/>
  <c r="AH152" i="413"/>
  <c r="W152" i="413" s="1"/>
  <c r="V150" i="413"/>
  <c r="AH148" i="413"/>
  <c r="V148" i="413"/>
  <c r="AH147" i="413"/>
  <c r="W147" i="413" s="1"/>
  <c r="AH146" i="413"/>
  <c r="AH145" i="413"/>
  <c r="W145" i="413"/>
  <c r="AI145" i="413" s="1"/>
  <c r="V145" i="413"/>
  <c r="AH144" i="413"/>
  <c r="W144" i="413" s="1"/>
  <c r="AH140" i="413"/>
  <c r="V139" i="413"/>
  <c r="V138" i="413"/>
  <c r="AH137" i="413"/>
  <c r="V137" i="413"/>
  <c r="AH136" i="413"/>
  <c r="W136" i="413" s="1"/>
  <c r="AH132" i="413"/>
  <c r="V131" i="413"/>
  <c r="AH129" i="413"/>
  <c r="V129" i="413"/>
  <c r="AH128" i="413"/>
  <c r="W128" i="413" s="1"/>
  <c r="AH122" i="413"/>
  <c r="AH120" i="413"/>
  <c r="W120" i="413" s="1"/>
  <c r="AH116" i="413"/>
  <c r="V116" i="413"/>
  <c r="V115" i="413"/>
  <c r="V114" i="413"/>
  <c r="AH113" i="413"/>
  <c r="W113" i="413"/>
  <c r="AI113" i="413" s="1"/>
  <c r="V113" i="413"/>
  <c r="AH110" i="413"/>
  <c r="W110" i="413" s="1"/>
  <c r="AI110" i="413" s="1"/>
  <c r="V107" i="413"/>
  <c r="AH105" i="413"/>
  <c r="V105" i="413"/>
  <c r="AH102" i="413"/>
  <c r="W102" i="413" s="1"/>
  <c r="AI102" i="413" s="1"/>
  <c r="W97" i="413"/>
  <c r="AI97" i="413" s="1"/>
  <c r="V97" i="413"/>
  <c r="AH97" i="413"/>
  <c r="AH96" i="413"/>
  <c r="W96" i="413" s="1"/>
  <c r="V96" i="413"/>
  <c r="W93" i="413"/>
  <c r="AI93" i="413" s="1"/>
  <c r="V93" i="413"/>
  <c r="AH93" i="413"/>
  <c r="AH92" i="413"/>
  <c r="W92" i="413" s="1"/>
  <c r="V92" i="413"/>
  <c r="Q418" i="413"/>
  <c r="T417" i="413"/>
  <c r="T416" i="413"/>
  <c r="T415" i="413"/>
  <c r="T414" i="413"/>
  <c r="T413" i="413"/>
  <c r="T412" i="413"/>
  <c r="T411" i="413"/>
  <c r="T410" i="413"/>
  <c r="T409" i="413"/>
  <c r="T408" i="413"/>
  <c r="T407" i="413"/>
  <c r="T406" i="413"/>
  <c r="T405" i="413"/>
  <c r="T404" i="413"/>
  <c r="T403" i="413"/>
  <c r="T402" i="413"/>
  <c r="T401" i="413"/>
  <c r="T400" i="413"/>
  <c r="T399" i="413"/>
  <c r="T398" i="413"/>
  <c r="T397" i="413"/>
  <c r="T396" i="413"/>
  <c r="T395" i="413"/>
  <c r="T394" i="413"/>
  <c r="T393" i="413"/>
  <c r="T392" i="413"/>
  <c r="T391" i="413"/>
  <c r="T390" i="413"/>
  <c r="T389" i="413"/>
  <c r="T388" i="413"/>
  <c r="T387" i="413"/>
  <c r="T386" i="413"/>
  <c r="T385" i="413"/>
  <c r="T384" i="413"/>
  <c r="T383" i="413"/>
  <c r="T382" i="413"/>
  <c r="T381" i="413"/>
  <c r="T380" i="413"/>
  <c r="T379" i="413"/>
  <c r="T378" i="413"/>
  <c r="T377" i="413"/>
  <c r="T376" i="413"/>
  <c r="T375" i="413"/>
  <c r="T374" i="413"/>
  <c r="T373" i="413"/>
  <c r="T372" i="413"/>
  <c r="T371" i="413"/>
  <c r="T370" i="413"/>
  <c r="T369" i="413"/>
  <c r="T368" i="413"/>
  <c r="T367" i="413"/>
  <c r="T366" i="413"/>
  <c r="T365" i="413"/>
  <c r="T364" i="413"/>
  <c r="T363" i="413"/>
  <c r="T362" i="413"/>
  <c r="T361" i="413"/>
  <c r="T360" i="413"/>
  <c r="T359" i="413"/>
  <c r="T358" i="413"/>
  <c r="T357" i="413"/>
  <c r="T356" i="413"/>
  <c r="T355" i="413"/>
  <c r="T354" i="413"/>
  <c r="T353" i="413"/>
  <c r="T352" i="413"/>
  <c r="T351" i="413"/>
  <c r="T350" i="413"/>
  <c r="T349" i="413"/>
  <c r="T348" i="413"/>
  <c r="T347" i="413"/>
  <c r="T346" i="413"/>
  <c r="T345" i="413"/>
  <c r="T344" i="413"/>
  <c r="T343" i="413"/>
  <c r="T342" i="413"/>
  <c r="T341" i="413"/>
  <c r="T340" i="413"/>
  <c r="T339" i="413"/>
  <c r="T338" i="413"/>
  <c r="T337" i="413"/>
  <c r="T336" i="413"/>
  <c r="T335" i="413"/>
  <c r="T334" i="413"/>
  <c r="T333" i="413"/>
  <c r="T332" i="413"/>
  <c r="T331" i="413"/>
  <c r="T330" i="413"/>
  <c r="T329" i="413"/>
  <c r="T328" i="413"/>
  <c r="T327" i="413"/>
  <c r="T326" i="413"/>
  <c r="T325" i="413"/>
  <c r="T324" i="413"/>
  <c r="T323" i="413"/>
  <c r="T322" i="413"/>
  <c r="T321" i="413"/>
  <c r="T320" i="413"/>
  <c r="T319" i="413"/>
  <c r="T318" i="413"/>
  <c r="T317" i="413"/>
  <c r="T316" i="413"/>
  <c r="T315" i="413"/>
  <c r="T314" i="413"/>
  <c r="T313" i="413"/>
  <c r="T312" i="413"/>
  <c r="T311" i="413"/>
  <c r="T310" i="413"/>
  <c r="T309" i="413"/>
  <c r="T308" i="413"/>
  <c r="T307" i="413"/>
  <c r="T306" i="413"/>
  <c r="T305" i="413"/>
  <c r="T304" i="413"/>
  <c r="T303" i="413"/>
  <c r="T302" i="413"/>
  <c r="T301" i="413"/>
  <c r="T300" i="413"/>
  <c r="T299" i="413"/>
  <c r="T298" i="413"/>
  <c r="T297" i="413"/>
  <c r="T296" i="413"/>
  <c r="T295" i="413"/>
  <c r="T294" i="413"/>
  <c r="T293" i="413"/>
  <c r="T292" i="413"/>
  <c r="T291" i="413"/>
  <c r="T290" i="413"/>
  <c r="T289" i="413"/>
  <c r="T288" i="413"/>
  <c r="T287" i="413"/>
  <c r="T286" i="413"/>
  <c r="T285" i="413"/>
  <c r="T284" i="413"/>
  <c r="T283" i="413"/>
  <c r="T282" i="413"/>
  <c r="T281" i="413"/>
  <c r="T280" i="413"/>
  <c r="T279" i="413"/>
  <c r="T278" i="413"/>
  <c r="T277" i="413"/>
  <c r="T276" i="413"/>
  <c r="T275" i="413"/>
  <c r="T274" i="413"/>
  <c r="T273" i="413"/>
  <c r="T272" i="413"/>
  <c r="T271" i="413"/>
  <c r="T270" i="413"/>
  <c r="T269" i="413"/>
  <c r="T268" i="413"/>
  <c r="T267" i="413"/>
  <c r="T266" i="413"/>
  <c r="T265" i="413"/>
  <c r="T264" i="413"/>
  <c r="T263" i="413"/>
  <c r="T262" i="413"/>
  <c r="T261" i="413"/>
  <c r="T260" i="413"/>
  <c r="T259" i="413"/>
  <c r="T258" i="413"/>
  <c r="T257" i="413"/>
  <c r="T256" i="413"/>
  <c r="T255" i="413"/>
  <c r="T254" i="413"/>
  <c r="T253" i="413"/>
  <c r="T252" i="413"/>
  <c r="T251" i="413"/>
  <c r="T250" i="413"/>
  <c r="T249" i="413"/>
  <c r="T248" i="413"/>
  <c r="T247" i="413"/>
  <c r="T246" i="413"/>
  <c r="T245" i="413"/>
  <c r="T244" i="413"/>
  <c r="T243" i="413"/>
  <c r="T242" i="413"/>
  <c r="T241" i="413"/>
  <c r="T240" i="413"/>
  <c r="T239" i="413"/>
  <c r="T238" i="413"/>
  <c r="T237" i="413"/>
  <c r="T236" i="413"/>
  <c r="T235" i="413"/>
  <c r="T234" i="413"/>
  <c r="T233" i="413"/>
  <c r="T232" i="413"/>
  <c r="T231" i="413"/>
  <c r="T230" i="413"/>
  <c r="T229" i="413"/>
  <c r="T228" i="413"/>
  <c r="T227" i="413"/>
  <c r="T226" i="413"/>
  <c r="T225" i="413"/>
  <c r="T224" i="413"/>
  <c r="T223" i="413"/>
  <c r="T222" i="413"/>
  <c r="T221" i="413"/>
  <c r="T220" i="413"/>
  <c r="T219" i="413"/>
  <c r="T218" i="413"/>
  <c r="T217" i="413"/>
  <c r="T216" i="413"/>
  <c r="T215" i="413"/>
  <c r="T214" i="413"/>
  <c r="T213" i="413"/>
  <c r="T212" i="413"/>
  <c r="T211" i="413"/>
  <c r="T210" i="413"/>
  <c r="T209" i="413"/>
  <c r="T208" i="413"/>
  <c r="T207" i="413"/>
  <c r="T206" i="413"/>
  <c r="T205" i="413"/>
  <c r="T204" i="413"/>
  <c r="T203" i="413"/>
  <c r="T202" i="413"/>
  <c r="T201" i="413"/>
  <c r="T200" i="413"/>
  <c r="T199" i="413"/>
  <c r="T198" i="413"/>
  <c r="T197" i="413"/>
  <c r="T196" i="413"/>
  <c r="T195" i="413"/>
  <c r="T194" i="413"/>
  <c r="T193" i="413"/>
  <c r="T192" i="413"/>
  <c r="T191" i="413"/>
  <c r="T190" i="413"/>
  <c r="T189" i="413"/>
  <c r="T188" i="413"/>
  <c r="T187" i="413"/>
  <c r="T186" i="413"/>
  <c r="T185" i="413"/>
  <c r="T184" i="413"/>
  <c r="T183" i="413"/>
  <c r="T182" i="413"/>
  <c r="T181" i="413"/>
  <c r="T180" i="413"/>
  <c r="T179" i="413"/>
  <c r="T178" i="413"/>
  <c r="T177" i="413"/>
  <c r="T176" i="413"/>
  <c r="T175" i="413"/>
  <c r="T174" i="413"/>
  <c r="T173" i="413"/>
  <c r="T172" i="413"/>
  <c r="T171" i="413"/>
  <c r="T170" i="413"/>
  <c r="T169" i="413"/>
  <c r="T168" i="413"/>
  <c r="T167" i="413"/>
  <c r="T166" i="413"/>
  <c r="T165" i="413"/>
  <c r="T164" i="413"/>
  <c r="T163" i="413"/>
  <c r="T162" i="413"/>
  <c r="T161" i="413"/>
  <c r="T160" i="413"/>
  <c r="T159" i="413"/>
  <c r="T158" i="413"/>
  <c r="T157" i="413"/>
  <c r="T156" i="413"/>
  <c r="T155" i="413"/>
  <c r="T154" i="413"/>
  <c r="T153" i="413"/>
  <c r="T152" i="413"/>
  <c r="T151" i="413"/>
  <c r="T150" i="413"/>
  <c r="T149" i="413"/>
  <c r="T148" i="413"/>
  <c r="T147" i="413"/>
  <c r="T146" i="413"/>
  <c r="T145" i="413"/>
  <c r="T144" i="413"/>
  <c r="T143" i="413"/>
  <c r="T142" i="413"/>
  <c r="T141" i="413"/>
  <c r="T140" i="413"/>
  <c r="T139" i="413"/>
  <c r="T138" i="413"/>
  <c r="T137" i="413"/>
  <c r="T136" i="413"/>
  <c r="T135" i="413"/>
  <c r="T134" i="413"/>
  <c r="T133" i="413"/>
  <c r="T132" i="413"/>
  <c r="T131" i="413"/>
  <c r="T130" i="413"/>
  <c r="T129" i="413"/>
  <c r="T128" i="413"/>
  <c r="T127" i="413"/>
  <c r="T126" i="413"/>
  <c r="T125" i="413"/>
  <c r="T124" i="413"/>
  <c r="T122" i="413"/>
  <c r="T121" i="413"/>
  <c r="T120" i="413"/>
  <c r="T119" i="413"/>
  <c r="T118" i="413"/>
  <c r="T117" i="413"/>
  <c r="T116" i="413"/>
  <c r="T115" i="413"/>
  <c r="T114" i="413"/>
  <c r="T113" i="413"/>
  <c r="T112" i="413"/>
  <c r="T111" i="413"/>
  <c r="T110" i="413"/>
  <c r="T109" i="413"/>
  <c r="T108" i="413"/>
  <c r="T107" i="413"/>
  <c r="T106" i="413"/>
  <c r="T105" i="413"/>
  <c r="T104" i="413"/>
  <c r="T103" i="413"/>
  <c r="T102" i="413"/>
  <c r="T101" i="413"/>
  <c r="T100" i="413"/>
  <c r="T99" i="413"/>
  <c r="T98" i="413"/>
  <c r="T97" i="413"/>
  <c r="T96" i="413"/>
  <c r="T95" i="413"/>
  <c r="T94" i="413"/>
  <c r="T93" i="413"/>
  <c r="T92" i="413"/>
  <c r="S417" i="413"/>
  <c r="R417" i="413"/>
  <c r="S416" i="413"/>
  <c r="R416" i="413"/>
  <c r="S415" i="413"/>
  <c r="R415" i="413"/>
  <c r="S414" i="413"/>
  <c r="R414" i="413"/>
  <c r="S413" i="413"/>
  <c r="R413" i="413"/>
  <c r="S412" i="413"/>
  <c r="R412" i="413"/>
  <c r="S411" i="413"/>
  <c r="R411" i="413"/>
  <c r="S410" i="413"/>
  <c r="R410" i="413"/>
  <c r="S409" i="413"/>
  <c r="R409" i="413"/>
  <c r="S408" i="413"/>
  <c r="R408" i="413"/>
  <c r="S407" i="413"/>
  <c r="R407" i="413"/>
  <c r="S406" i="413"/>
  <c r="R406" i="413"/>
  <c r="S405" i="413"/>
  <c r="R405" i="413"/>
  <c r="S404" i="413"/>
  <c r="R404" i="413"/>
  <c r="S403" i="413"/>
  <c r="R403" i="413"/>
  <c r="S402" i="413"/>
  <c r="R402" i="413"/>
  <c r="S401" i="413"/>
  <c r="R401" i="413"/>
  <c r="S400" i="413"/>
  <c r="R400" i="413"/>
  <c r="S399" i="413"/>
  <c r="R399" i="413"/>
  <c r="S398" i="413"/>
  <c r="R398" i="413"/>
  <c r="S397" i="413"/>
  <c r="R397" i="413"/>
  <c r="S396" i="413"/>
  <c r="R396" i="413"/>
  <c r="S395" i="413"/>
  <c r="R395" i="413"/>
  <c r="S394" i="413"/>
  <c r="R394" i="413"/>
  <c r="S393" i="413"/>
  <c r="R393" i="413"/>
  <c r="S392" i="413"/>
  <c r="R392" i="413"/>
  <c r="S391" i="413"/>
  <c r="R391" i="413"/>
  <c r="S390" i="413"/>
  <c r="R390" i="413"/>
  <c r="S389" i="413"/>
  <c r="R389" i="413"/>
  <c r="S388" i="413"/>
  <c r="R388" i="413"/>
  <c r="S387" i="413"/>
  <c r="R387" i="413"/>
  <c r="S386" i="413"/>
  <c r="R386" i="413"/>
  <c r="S385" i="413"/>
  <c r="R385" i="413"/>
  <c r="S384" i="413"/>
  <c r="R384" i="413"/>
  <c r="S383" i="413"/>
  <c r="R383" i="413"/>
  <c r="S382" i="413"/>
  <c r="R382" i="413"/>
  <c r="S381" i="413"/>
  <c r="R381" i="413"/>
  <c r="S380" i="413"/>
  <c r="R380" i="413"/>
  <c r="S379" i="413"/>
  <c r="R379" i="413"/>
  <c r="S378" i="413"/>
  <c r="R378" i="413"/>
  <c r="S377" i="413"/>
  <c r="R377" i="413"/>
  <c r="S376" i="413"/>
  <c r="R376" i="413"/>
  <c r="S375" i="413"/>
  <c r="R375" i="413"/>
  <c r="S374" i="413"/>
  <c r="R374" i="413"/>
  <c r="S373" i="413"/>
  <c r="R373" i="413"/>
  <c r="S372" i="413"/>
  <c r="R372" i="413"/>
  <c r="S371" i="413"/>
  <c r="R371" i="413"/>
  <c r="S370" i="413"/>
  <c r="R370" i="413"/>
  <c r="S369" i="413"/>
  <c r="R369" i="413"/>
  <c r="S368" i="413"/>
  <c r="R368" i="413"/>
  <c r="S367" i="413"/>
  <c r="R367" i="413"/>
  <c r="S366" i="413"/>
  <c r="R366" i="413"/>
  <c r="S365" i="413"/>
  <c r="R365" i="413"/>
  <c r="S364" i="413"/>
  <c r="R364" i="413"/>
  <c r="S363" i="413"/>
  <c r="R363" i="413"/>
  <c r="S362" i="413"/>
  <c r="R362" i="413"/>
  <c r="S361" i="413"/>
  <c r="R361" i="413"/>
  <c r="S360" i="413"/>
  <c r="R360" i="413"/>
  <c r="S359" i="413"/>
  <c r="R359" i="413"/>
  <c r="S358" i="413"/>
  <c r="R358" i="413"/>
  <c r="S357" i="413"/>
  <c r="R357" i="413"/>
  <c r="S356" i="413"/>
  <c r="R356" i="413"/>
  <c r="S355" i="413"/>
  <c r="R355" i="413"/>
  <c r="S354" i="413"/>
  <c r="R354" i="413"/>
  <c r="S353" i="413"/>
  <c r="R353" i="413"/>
  <c r="S352" i="413"/>
  <c r="R352" i="413"/>
  <c r="S351" i="413"/>
  <c r="R351" i="413"/>
  <c r="S350" i="413"/>
  <c r="R350" i="413"/>
  <c r="S349" i="413"/>
  <c r="R349" i="413"/>
  <c r="S348" i="413"/>
  <c r="R348" i="413"/>
  <c r="S347" i="413"/>
  <c r="R347" i="413"/>
  <c r="S346" i="413"/>
  <c r="R346" i="413"/>
  <c r="S345" i="413"/>
  <c r="R345" i="413"/>
  <c r="S344" i="413"/>
  <c r="R344" i="413"/>
  <c r="S343" i="413"/>
  <c r="R343" i="413"/>
  <c r="S342" i="413"/>
  <c r="R342" i="413"/>
  <c r="S341" i="413"/>
  <c r="R341" i="413"/>
  <c r="S340" i="413"/>
  <c r="R340" i="413"/>
  <c r="S339" i="413"/>
  <c r="R339" i="413"/>
  <c r="S338" i="413"/>
  <c r="R338" i="413"/>
  <c r="S337" i="413"/>
  <c r="R337" i="413"/>
  <c r="S336" i="413"/>
  <c r="R336" i="413"/>
  <c r="S335" i="413"/>
  <c r="R335" i="413"/>
  <c r="S334" i="413"/>
  <c r="R334" i="413"/>
  <c r="S333" i="413"/>
  <c r="R333" i="413"/>
  <c r="S332" i="413"/>
  <c r="R332" i="413"/>
  <c r="S331" i="413"/>
  <c r="R331" i="413"/>
  <c r="S330" i="413"/>
  <c r="R330" i="413"/>
  <c r="S329" i="413"/>
  <c r="R329" i="413"/>
  <c r="S328" i="413"/>
  <c r="R328" i="413"/>
  <c r="S327" i="413"/>
  <c r="R327" i="413"/>
  <c r="S326" i="413"/>
  <c r="R326" i="413"/>
  <c r="S325" i="413"/>
  <c r="R325" i="413"/>
  <c r="S324" i="413"/>
  <c r="R324" i="413"/>
  <c r="S323" i="413"/>
  <c r="R323" i="413"/>
  <c r="S322" i="413"/>
  <c r="R322" i="413"/>
  <c r="S321" i="413"/>
  <c r="R321" i="413"/>
  <c r="S320" i="413"/>
  <c r="R320" i="413"/>
  <c r="S319" i="413"/>
  <c r="R319" i="413"/>
  <c r="S318" i="413"/>
  <c r="R318" i="413"/>
  <c r="S317" i="413"/>
  <c r="R317" i="413"/>
  <c r="S316" i="413"/>
  <c r="R316" i="413"/>
  <c r="S315" i="413"/>
  <c r="R315" i="413"/>
  <c r="S314" i="413"/>
  <c r="R314" i="413"/>
  <c r="S313" i="413"/>
  <c r="R313" i="413"/>
  <c r="S312" i="413"/>
  <c r="R312" i="413"/>
  <c r="S311" i="413"/>
  <c r="R311" i="413"/>
  <c r="S310" i="413"/>
  <c r="R310" i="413"/>
  <c r="S309" i="413"/>
  <c r="R309" i="413"/>
  <c r="S308" i="413"/>
  <c r="R308" i="413"/>
  <c r="S307" i="413"/>
  <c r="R307" i="413"/>
  <c r="S306" i="413"/>
  <c r="R306" i="413"/>
  <c r="S305" i="413"/>
  <c r="R305" i="413"/>
  <c r="S304" i="413"/>
  <c r="R304" i="413"/>
  <c r="S303" i="413"/>
  <c r="R303" i="413"/>
  <c r="S302" i="413"/>
  <c r="R302" i="413"/>
  <c r="S301" i="413"/>
  <c r="R301" i="413"/>
  <c r="S300" i="413"/>
  <c r="R300" i="413"/>
  <c r="S299" i="413"/>
  <c r="R299" i="413"/>
  <c r="S298" i="413"/>
  <c r="R298" i="413"/>
  <c r="S297" i="413"/>
  <c r="R297" i="413"/>
  <c r="S296" i="413"/>
  <c r="R296" i="413"/>
  <c r="S295" i="413"/>
  <c r="R295" i="413"/>
  <c r="S294" i="413"/>
  <c r="R294" i="413"/>
  <c r="S293" i="413"/>
  <c r="R293" i="413"/>
  <c r="S292" i="413"/>
  <c r="R292" i="413"/>
  <c r="S291" i="413"/>
  <c r="R291" i="413"/>
  <c r="S290" i="413"/>
  <c r="R290" i="413"/>
  <c r="S289" i="413"/>
  <c r="R289" i="413"/>
  <c r="S288" i="413"/>
  <c r="R288" i="413"/>
  <c r="S287" i="413"/>
  <c r="R287" i="413"/>
  <c r="S286" i="413"/>
  <c r="R286" i="413"/>
  <c r="S285" i="413"/>
  <c r="R285" i="413"/>
  <c r="S284" i="413"/>
  <c r="R284" i="413"/>
  <c r="S283" i="413"/>
  <c r="R283" i="413"/>
  <c r="S282" i="413"/>
  <c r="R282" i="413"/>
  <c r="S281" i="413"/>
  <c r="R281" i="413"/>
  <c r="S280" i="413"/>
  <c r="R280" i="413"/>
  <c r="S279" i="413"/>
  <c r="R279" i="413"/>
  <c r="S278" i="413"/>
  <c r="R278" i="413"/>
  <c r="S277" i="413"/>
  <c r="R277" i="413"/>
  <c r="S276" i="413"/>
  <c r="R276" i="413"/>
  <c r="S275" i="413"/>
  <c r="R275" i="413"/>
  <c r="S274" i="413"/>
  <c r="R274" i="413"/>
  <c r="S273" i="413"/>
  <c r="R273" i="413"/>
  <c r="S272" i="413"/>
  <c r="R272" i="413"/>
  <c r="S271" i="413"/>
  <c r="R271" i="413"/>
  <c r="S270" i="413"/>
  <c r="R270" i="413"/>
  <c r="S269" i="413"/>
  <c r="R269" i="413"/>
  <c r="S268" i="413"/>
  <c r="R268" i="413"/>
  <c r="S267" i="413"/>
  <c r="R267" i="413"/>
  <c r="S266" i="413"/>
  <c r="R266" i="413"/>
  <c r="S265" i="413"/>
  <c r="R265" i="413"/>
  <c r="S264" i="413"/>
  <c r="R264" i="413"/>
  <c r="S263" i="413"/>
  <c r="R263" i="413"/>
  <c r="S262" i="413"/>
  <c r="R262" i="413"/>
  <c r="S261" i="413"/>
  <c r="R261" i="413"/>
  <c r="S260" i="413"/>
  <c r="R260" i="413"/>
  <c r="S259" i="413"/>
  <c r="R259" i="413"/>
  <c r="S258" i="413"/>
  <c r="R258" i="413"/>
  <c r="S257" i="413"/>
  <c r="R257" i="413"/>
  <c r="S256" i="413"/>
  <c r="R256" i="413"/>
  <c r="S255" i="413"/>
  <c r="R255" i="413"/>
  <c r="S254" i="413"/>
  <c r="R254" i="413"/>
  <c r="S253" i="413"/>
  <c r="R253" i="413"/>
  <c r="S252" i="413"/>
  <c r="R252" i="413"/>
  <c r="S251" i="413"/>
  <c r="R251" i="413"/>
  <c r="S250" i="413"/>
  <c r="R250" i="413"/>
  <c r="S249" i="413"/>
  <c r="R249" i="413"/>
  <c r="S248" i="413"/>
  <c r="R248" i="413"/>
  <c r="S247" i="413"/>
  <c r="R247" i="413"/>
  <c r="S246" i="413"/>
  <c r="R246" i="413"/>
  <c r="S245" i="413"/>
  <c r="R245" i="413"/>
  <c r="S244" i="413"/>
  <c r="R244" i="413"/>
  <c r="S243" i="413"/>
  <c r="R243" i="413"/>
  <c r="S242" i="413"/>
  <c r="R242" i="413"/>
  <c r="S241" i="413"/>
  <c r="R241" i="413"/>
  <c r="S240" i="413"/>
  <c r="R240" i="413"/>
  <c r="S239" i="413"/>
  <c r="R239" i="413"/>
  <c r="S238" i="413"/>
  <c r="R238" i="413"/>
  <c r="S237" i="413"/>
  <c r="R237" i="413"/>
  <c r="S236" i="413"/>
  <c r="R236" i="413"/>
  <c r="S235" i="413"/>
  <c r="R235" i="413"/>
  <c r="S234" i="413"/>
  <c r="R234" i="413"/>
  <c r="S233" i="413"/>
  <c r="R233" i="413"/>
  <c r="S232" i="413"/>
  <c r="R232" i="413"/>
  <c r="S231" i="413"/>
  <c r="R231" i="413"/>
  <c r="S230" i="413"/>
  <c r="R230" i="413"/>
  <c r="S229" i="413"/>
  <c r="R229" i="413"/>
  <c r="S228" i="413"/>
  <c r="R228" i="413"/>
  <c r="S227" i="413"/>
  <c r="R227" i="413"/>
  <c r="S226" i="413"/>
  <c r="R226" i="413"/>
  <c r="S225" i="413"/>
  <c r="R225" i="413"/>
  <c r="S224" i="413"/>
  <c r="R224" i="413"/>
  <c r="S223" i="413"/>
  <c r="R223" i="413"/>
  <c r="S222" i="413"/>
  <c r="R222" i="413"/>
  <c r="S221" i="413"/>
  <c r="R221" i="413"/>
  <c r="S220" i="413"/>
  <c r="R220" i="413"/>
  <c r="S219" i="413"/>
  <c r="R219" i="413"/>
  <c r="S218" i="413"/>
  <c r="R218" i="413"/>
  <c r="S217" i="413"/>
  <c r="R217" i="413"/>
  <c r="S216" i="413"/>
  <c r="R216" i="413"/>
  <c r="S215" i="413"/>
  <c r="R215" i="413"/>
  <c r="S214" i="413"/>
  <c r="R214" i="413"/>
  <c r="S213" i="413"/>
  <c r="R213" i="413"/>
  <c r="S212" i="413"/>
  <c r="R212" i="413"/>
  <c r="S211" i="413"/>
  <c r="R211" i="413"/>
  <c r="S210" i="413"/>
  <c r="R210" i="413"/>
  <c r="S209" i="413"/>
  <c r="R209" i="413"/>
  <c r="S208" i="413"/>
  <c r="R208" i="413"/>
  <c r="S207" i="413"/>
  <c r="R207" i="413"/>
  <c r="S206" i="413"/>
  <c r="R206" i="413"/>
  <c r="S205" i="413"/>
  <c r="R205" i="413"/>
  <c r="S204" i="413"/>
  <c r="R204" i="413"/>
  <c r="S203" i="413"/>
  <c r="R203" i="413"/>
  <c r="S202" i="413"/>
  <c r="R202" i="413"/>
  <c r="S201" i="413"/>
  <c r="R201" i="413"/>
  <c r="S200" i="413"/>
  <c r="R200" i="413"/>
  <c r="S199" i="413"/>
  <c r="R199" i="413"/>
  <c r="S198" i="413"/>
  <c r="R198" i="413"/>
  <c r="S197" i="413"/>
  <c r="R197" i="413"/>
  <c r="S196" i="413"/>
  <c r="R196" i="413"/>
  <c r="S195" i="413"/>
  <c r="R195" i="413"/>
  <c r="S194" i="413"/>
  <c r="R194" i="413"/>
  <c r="S193" i="413"/>
  <c r="R193" i="413"/>
  <c r="S192" i="413"/>
  <c r="R192" i="413"/>
  <c r="S191" i="413"/>
  <c r="R191" i="413"/>
  <c r="S190" i="413"/>
  <c r="R190" i="413"/>
  <c r="S189" i="413"/>
  <c r="R189" i="413"/>
  <c r="S188" i="413"/>
  <c r="R188" i="413"/>
  <c r="S187" i="413"/>
  <c r="R187" i="413"/>
  <c r="S186" i="413"/>
  <c r="R186" i="413"/>
  <c r="S185" i="413"/>
  <c r="R185" i="413"/>
  <c r="S184" i="413"/>
  <c r="R184" i="413"/>
  <c r="S183" i="413"/>
  <c r="R183" i="413"/>
  <c r="S182" i="413"/>
  <c r="R182" i="413"/>
  <c r="S181" i="413"/>
  <c r="R181" i="413"/>
  <c r="S180" i="413"/>
  <c r="R180" i="413"/>
  <c r="S179" i="413"/>
  <c r="R179" i="413"/>
  <c r="S178" i="413"/>
  <c r="R178" i="413"/>
  <c r="S177" i="413"/>
  <c r="R177" i="413"/>
  <c r="S176" i="413"/>
  <c r="R176" i="413"/>
  <c r="S175" i="413"/>
  <c r="R175" i="413"/>
  <c r="S174" i="413"/>
  <c r="R174" i="413"/>
  <c r="S173" i="413"/>
  <c r="R173" i="413"/>
  <c r="S172" i="413"/>
  <c r="R172" i="413"/>
  <c r="S171" i="413"/>
  <c r="R171" i="413"/>
  <c r="S170" i="413"/>
  <c r="R170" i="413"/>
  <c r="S169" i="413"/>
  <c r="R169" i="413"/>
  <c r="S168" i="413"/>
  <c r="R168" i="413"/>
  <c r="S167" i="413"/>
  <c r="R167" i="413"/>
  <c r="S166" i="413"/>
  <c r="R166" i="413"/>
  <c r="S165" i="413"/>
  <c r="R165" i="413"/>
  <c r="S164" i="413"/>
  <c r="R164" i="413"/>
  <c r="S163" i="413"/>
  <c r="R163" i="413"/>
  <c r="S162" i="413"/>
  <c r="R162" i="413"/>
  <c r="S161" i="413"/>
  <c r="R161" i="413"/>
  <c r="S160" i="413"/>
  <c r="R160" i="413"/>
  <c r="S159" i="413"/>
  <c r="R159" i="413"/>
  <c r="S158" i="413"/>
  <c r="R158" i="413"/>
  <c r="S157" i="413"/>
  <c r="R157" i="413"/>
  <c r="S156" i="413"/>
  <c r="R156" i="413"/>
  <c r="S155" i="413"/>
  <c r="R155" i="413"/>
  <c r="S154" i="413"/>
  <c r="R154" i="413"/>
  <c r="S153" i="413"/>
  <c r="R153" i="413"/>
  <c r="S152" i="413"/>
  <c r="R152" i="413"/>
  <c r="S151" i="413"/>
  <c r="R151" i="413"/>
  <c r="S150" i="413"/>
  <c r="R150" i="413"/>
  <c r="S149" i="413"/>
  <c r="R149" i="413"/>
  <c r="S148" i="413"/>
  <c r="R148" i="413"/>
  <c r="S147" i="413"/>
  <c r="R147" i="413"/>
  <c r="S146" i="413"/>
  <c r="R146" i="413"/>
  <c r="S145" i="413"/>
  <c r="R145" i="413"/>
  <c r="S144" i="413"/>
  <c r="R144" i="413"/>
  <c r="S143" i="413"/>
  <c r="R143" i="413"/>
  <c r="S142" i="413"/>
  <c r="R142" i="413"/>
  <c r="S141" i="413"/>
  <c r="R141" i="413"/>
  <c r="S140" i="413"/>
  <c r="R140" i="413"/>
  <c r="S139" i="413"/>
  <c r="R139" i="413"/>
  <c r="S138" i="413"/>
  <c r="R138" i="413"/>
  <c r="S137" i="413"/>
  <c r="R137" i="413"/>
  <c r="S136" i="413"/>
  <c r="R136" i="413"/>
  <c r="S135" i="413"/>
  <c r="R135" i="413"/>
  <c r="S134" i="413"/>
  <c r="R134" i="413"/>
  <c r="S133" i="413"/>
  <c r="R133" i="413"/>
  <c r="S132" i="413"/>
  <c r="R132" i="413"/>
  <c r="S131" i="413"/>
  <c r="R131" i="413"/>
  <c r="S130" i="413"/>
  <c r="R130" i="413"/>
  <c r="S129" i="413"/>
  <c r="R129" i="413"/>
  <c r="S128" i="413"/>
  <c r="R128" i="413"/>
  <c r="S127" i="413"/>
  <c r="R127" i="413"/>
  <c r="S126" i="413"/>
  <c r="R126" i="413"/>
  <c r="S125" i="413"/>
  <c r="R125" i="413"/>
  <c r="S124" i="413"/>
  <c r="R124" i="413"/>
  <c r="S123" i="413"/>
  <c r="U123" i="413" s="1"/>
  <c r="V123" i="413" s="1"/>
  <c r="R123" i="413"/>
  <c r="S122" i="413"/>
  <c r="R122" i="413"/>
  <c r="S121" i="413"/>
  <c r="AH121" i="413" s="1"/>
  <c r="R121" i="413"/>
  <c r="S120" i="413"/>
  <c r="R120" i="413"/>
  <c r="S119" i="413"/>
  <c r="R119" i="413"/>
  <c r="S118" i="413"/>
  <c r="R118" i="413"/>
  <c r="S117" i="413"/>
  <c r="R117" i="413"/>
  <c r="S116" i="413"/>
  <c r="R116" i="413"/>
  <c r="S115" i="413"/>
  <c r="R115" i="413"/>
  <c r="S114" i="413"/>
  <c r="R114" i="413"/>
  <c r="S113" i="413"/>
  <c r="R113" i="413"/>
  <c r="S112" i="413"/>
  <c r="R112" i="413"/>
  <c r="S111" i="413"/>
  <c r="R111" i="413"/>
  <c r="S110" i="413"/>
  <c r="R110" i="413"/>
  <c r="S109" i="413"/>
  <c r="R109" i="413"/>
  <c r="S108" i="413"/>
  <c r="R108" i="413"/>
  <c r="S107" i="413"/>
  <c r="R107" i="413"/>
  <c r="S106" i="413"/>
  <c r="R106" i="413"/>
  <c r="S105" i="413"/>
  <c r="R105" i="413"/>
  <c r="S104" i="413"/>
  <c r="R104" i="413"/>
  <c r="S103" i="413"/>
  <c r="R103" i="413"/>
  <c r="S102" i="413"/>
  <c r="R102" i="413"/>
  <c r="S101" i="413"/>
  <c r="R101" i="413"/>
  <c r="S100" i="413"/>
  <c r="R100" i="413"/>
  <c r="S99" i="413"/>
  <c r="R99" i="413"/>
  <c r="S98" i="413"/>
  <c r="R98" i="413"/>
  <c r="S97" i="413"/>
  <c r="R97" i="413"/>
  <c r="S96" i="413"/>
  <c r="R96" i="413"/>
  <c r="S95" i="413"/>
  <c r="R95" i="413"/>
  <c r="S94" i="413"/>
  <c r="R94" i="413"/>
  <c r="S93" i="413"/>
  <c r="R93" i="413"/>
  <c r="S92" i="413"/>
  <c r="R92" i="413"/>
  <c r="N417" i="413"/>
  <c r="N416" i="413"/>
  <c r="N415" i="413"/>
  <c r="N414" i="413"/>
  <c r="N413" i="413"/>
  <c r="N412" i="413"/>
  <c r="N411" i="413"/>
  <c r="N410" i="413"/>
  <c r="N409" i="413"/>
  <c r="N408" i="413"/>
  <c r="N407" i="413"/>
  <c r="N406" i="413"/>
  <c r="N405" i="413"/>
  <c r="N404" i="413"/>
  <c r="N403" i="413"/>
  <c r="N402" i="413"/>
  <c r="N401" i="413"/>
  <c r="N400" i="413"/>
  <c r="N399" i="413"/>
  <c r="N398" i="413"/>
  <c r="N397" i="413"/>
  <c r="N396" i="413"/>
  <c r="N395" i="413"/>
  <c r="N394" i="413"/>
  <c r="N393" i="413"/>
  <c r="N392" i="413"/>
  <c r="N391" i="413"/>
  <c r="N390" i="413"/>
  <c r="N389" i="413"/>
  <c r="N388" i="413"/>
  <c r="N387" i="413"/>
  <c r="N386" i="413"/>
  <c r="N385" i="413"/>
  <c r="N384" i="413"/>
  <c r="N383" i="413"/>
  <c r="N382" i="413"/>
  <c r="N381" i="413"/>
  <c r="N380" i="413"/>
  <c r="N379" i="413"/>
  <c r="N378" i="413"/>
  <c r="N377" i="413"/>
  <c r="N376" i="413"/>
  <c r="N375" i="413"/>
  <c r="N374" i="413"/>
  <c r="N373" i="413"/>
  <c r="N372" i="413"/>
  <c r="N371" i="413"/>
  <c r="N370" i="413"/>
  <c r="N369" i="413"/>
  <c r="N368" i="413"/>
  <c r="N367" i="413"/>
  <c r="N366" i="413"/>
  <c r="N365" i="413"/>
  <c r="N364" i="413"/>
  <c r="N363" i="413"/>
  <c r="N362" i="413"/>
  <c r="N361" i="413"/>
  <c r="N360" i="413"/>
  <c r="N359" i="413"/>
  <c r="N358" i="413"/>
  <c r="N357" i="413"/>
  <c r="N356" i="413"/>
  <c r="N355" i="413"/>
  <c r="N354" i="413"/>
  <c r="N353" i="413"/>
  <c r="N352" i="413"/>
  <c r="N351" i="413"/>
  <c r="N350" i="413"/>
  <c r="N349" i="413"/>
  <c r="N348" i="413"/>
  <c r="N347" i="413"/>
  <c r="N346" i="413"/>
  <c r="N345" i="413"/>
  <c r="N344" i="413"/>
  <c r="N343" i="413"/>
  <c r="N342" i="413"/>
  <c r="N341" i="413"/>
  <c r="N340" i="413"/>
  <c r="N339" i="413"/>
  <c r="N338" i="413"/>
  <c r="N337" i="413"/>
  <c r="N336" i="413"/>
  <c r="N335" i="413"/>
  <c r="N334" i="413"/>
  <c r="N333" i="413"/>
  <c r="N332" i="413"/>
  <c r="N331" i="413"/>
  <c r="N330" i="413"/>
  <c r="N329" i="413"/>
  <c r="N328" i="413"/>
  <c r="N327" i="413"/>
  <c r="N326" i="413"/>
  <c r="N325" i="413"/>
  <c r="N324" i="413"/>
  <c r="N323" i="413"/>
  <c r="N322" i="413"/>
  <c r="N321" i="413"/>
  <c r="N320" i="413"/>
  <c r="N319" i="413"/>
  <c r="N318" i="413"/>
  <c r="N317" i="413"/>
  <c r="N316" i="413"/>
  <c r="N315" i="413"/>
  <c r="N314" i="413"/>
  <c r="N313" i="413"/>
  <c r="N312" i="413"/>
  <c r="N311" i="413"/>
  <c r="N310" i="413"/>
  <c r="N309" i="413"/>
  <c r="N308" i="413"/>
  <c r="N307" i="413"/>
  <c r="N306" i="413"/>
  <c r="N305" i="413"/>
  <c r="N304" i="413"/>
  <c r="N303" i="413"/>
  <c r="N302" i="413"/>
  <c r="N301" i="413"/>
  <c r="N300" i="413"/>
  <c r="N299" i="413"/>
  <c r="N298" i="413"/>
  <c r="N297" i="413"/>
  <c r="N296" i="413"/>
  <c r="N295" i="413"/>
  <c r="N294" i="413"/>
  <c r="N293" i="413"/>
  <c r="N292" i="413"/>
  <c r="N291" i="413"/>
  <c r="N290" i="413"/>
  <c r="N289" i="413"/>
  <c r="N288" i="413"/>
  <c r="N287" i="413"/>
  <c r="N286" i="413"/>
  <c r="N285" i="413"/>
  <c r="N284" i="413"/>
  <c r="N283" i="413"/>
  <c r="N282" i="413"/>
  <c r="N281" i="413"/>
  <c r="N280" i="413"/>
  <c r="N279" i="413"/>
  <c r="N278" i="413"/>
  <c r="N277" i="413"/>
  <c r="N276" i="413"/>
  <c r="N275" i="413"/>
  <c r="N274" i="413"/>
  <c r="N273" i="413"/>
  <c r="N272" i="413"/>
  <c r="N271" i="413"/>
  <c r="N270" i="413"/>
  <c r="N269" i="413"/>
  <c r="N268" i="413"/>
  <c r="N267" i="413"/>
  <c r="N266" i="413"/>
  <c r="N265" i="413"/>
  <c r="N264" i="413"/>
  <c r="N263" i="413"/>
  <c r="N262" i="413"/>
  <c r="N261" i="413"/>
  <c r="N260" i="413"/>
  <c r="N259" i="413"/>
  <c r="N258" i="413"/>
  <c r="N257" i="413"/>
  <c r="N256" i="413"/>
  <c r="N255" i="413"/>
  <c r="N254" i="413"/>
  <c r="N253" i="413"/>
  <c r="N252" i="413"/>
  <c r="N251" i="413"/>
  <c r="N250" i="413"/>
  <c r="N249" i="413"/>
  <c r="N248" i="413"/>
  <c r="N247" i="413"/>
  <c r="N246" i="413"/>
  <c r="N245" i="413"/>
  <c r="N244" i="413"/>
  <c r="N243" i="413"/>
  <c r="N242" i="413"/>
  <c r="N241" i="413"/>
  <c r="N240" i="413"/>
  <c r="N239" i="413"/>
  <c r="N238" i="413"/>
  <c r="N237" i="413"/>
  <c r="N236" i="413"/>
  <c r="N235" i="413"/>
  <c r="N234" i="413"/>
  <c r="N233" i="413"/>
  <c r="N232" i="413"/>
  <c r="N231" i="413"/>
  <c r="N230" i="413"/>
  <c r="N229" i="413"/>
  <c r="N228" i="413"/>
  <c r="N227" i="413"/>
  <c r="N226" i="413"/>
  <c r="N225" i="413"/>
  <c r="N224" i="413"/>
  <c r="N223" i="413"/>
  <c r="N222" i="413"/>
  <c r="N221" i="413"/>
  <c r="N220" i="413"/>
  <c r="N219" i="413"/>
  <c r="N218" i="413"/>
  <c r="N217" i="413"/>
  <c r="N216" i="413"/>
  <c r="N215" i="413"/>
  <c r="N214" i="413"/>
  <c r="N213" i="413"/>
  <c r="N212" i="413"/>
  <c r="N211" i="413"/>
  <c r="N210" i="413"/>
  <c r="N209" i="413"/>
  <c r="N208" i="413"/>
  <c r="N207" i="413"/>
  <c r="N206" i="413"/>
  <c r="N205" i="413"/>
  <c r="N204" i="413"/>
  <c r="N203" i="413"/>
  <c r="N202" i="413"/>
  <c r="N201" i="413"/>
  <c r="N200" i="413"/>
  <c r="N199" i="413"/>
  <c r="N198" i="413"/>
  <c r="N197" i="413"/>
  <c r="N196" i="413"/>
  <c r="N195" i="413"/>
  <c r="N194" i="413"/>
  <c r="N193" i="413"/>
  <c r="N192" i="413"/>
  <c r="N191" i="413"/>
  <c r="N190" i="413"/>
  <c r="N189" i="413"/>
  <c r="N188" i="413"/>
  <c r="N187" i="413"/>
  <c r="N186" i="413"/>
  <c r="N185" i="413"/>
  <c r="N184" i="413"/>
  <c r="N183" i="413"/>
  <c r="N182" i="413"/>
  <c r="N181" i="413"/>
  <c r="N180" i="413"/>
  <c r="N179" i="413"/>
  <c r="N178" i="413"/>
  <c r="N177" i="413"/>
  <c r="N176" i="413"/>
  <c r="N175" i="413"/>
  <c r="N174" i="413"/>
  <c r="N173" i="413"/>
  <c r="N172" i="413"/>
  <c r="N171" i="413"/>
  <c r="N170" i="413"/>
  <c r="N169" i="413"/>
  <c r="N168" i="413"/>
  <c r="N167" i="413"/>
  <c r="N166" i="413"/>
  <c r="N165" i="413"/>
  <c r="N164" i="413"/>
  <c r="N163" i="413"/>
  <c r="N162" i="413"/>
  <c r="N161" i="413"/>
  <c r="N160" i="413"/>
  <c r="N159" i="413"/>
  <c r="N158" i="413"/>
  <c r="N157" i="413"/>
  <c r="N156" i="413"/>
  <c r="N155" i="413"/>
  <c r="N154" i="413"/>
  <c r="N153" i="413"/>
  <c r="N152" i="413"/>
  <c r="N151" i="413"/>
  <c r="N150" i="413"/>
  <c r="N149" i="413"/>
  <c r="N148" i="413"/>
  <c r="N147" i="413"/>
  <c r="N146" i="413"/>
  <c r="N145" i="413"/>
  <c r="N144" i="413"/>
  <c r="N143" i="413"/>
  <c r="N142" i="413"/>
  <c r="N141" i="413"/>
  <c r="N140" i="413"/>
  <c r="N139" i="413"/>
  <c r="N138" i="413"/>
  <c r="N137" i="413"/>
  <c r="N136" i="413"/>
  <c r="N135" i="413"/>
  <c r="N134" i="413"/>
  <c r="N133" i="413"/>
  <c r="N132" i="413"/>
  <c r="N131" i="413"/>
  <c r="N130" i="413"/>
  <c r="N129" i="413"/>
  <c r="N128" i="413"/>
  <c r="N127" i="413"/>
  <c r="N126" i="413"/>
  <c r="N125" i="413"/>
  <c r="N124" i="413"/>
  <c r="N123" i="413"/>
  <c r="N122" i="413"/>
  <c r="N121" i="413"/>
  <c r="N120" i="413"/>
  <c r="N119" i="413"/>
  <c r="N118" i="413"/>
  <c r="N117" i="413"/>
  <c r="N116" i="413"/>
  <c r="N115" i="413"/>
  <c r="N114" i="413"/>
  <c r="N113" i="413"/>
  <c r="N112" i="413"/>
  <c r="N111" i="413"/>
  <c r="N110" i="413"/>
  <c r="N109" i="413"/>
  <c r="N108" i="413"/>
  <c r="N107" i="413"/>
  <c r="N106" i="413"/>
  <c r="N105" i="413"/>
  <c r="N104" i="413"/>
  <c r="N103" i="413"/>
  <c r="N102" i="413"/>
  <c r="N101" i="413"/>
  <c r="N100" i="413"/>
  <c r="N99" i="413"/>
  <c r="N98" i="413"/>
  <c r="N97" i="413"/>
  <c r="N96" i="413"/>
  <c r="N95" i="413"/>
  <c r="N94" i="413"/>
  <c r="N93" i="413"/>
  <c r="N92" i="413"/>
  <c r="I417" i="413"/>
  <c r="I416" i="413"/>
  <c r="I415" i="413"/>
  <c r="I414" i="413"/>
  <c r="I413" i="413"/>
  <c r="I412" i="413"/>
  <c r="I411" i="413"/>
  <c r="I410" i="413"/>
  <c r="I409" i="413"/>
  <c r="I408" i="413"/>
  <c r="I407" i="413"/>
  <c r="I406" i="413"/>
  <c r="I405" i="413"/>
  <c r="I404" i="413"/>
  <c r="I403" i="413"/>
  <c r="I402" i="413"/>
  <c r="I401" i="413"/>
  <c r="I400" i="413"/>
  <c r="I399" i="413"/>
  <c r="I398" i="413"/>
  <c r="I397" i="413"/>
  <c r="I396" i="413"/>
  <c r="I395" i="413"/>
  <c r="I394" i="413"/>
  <c r="I393" i="413"/>
  <c r="I392" i="413"/>
  <c r="I391" i="413"/>
  <c r="I390" i="413"/>
  <c r="I389" i="413"/>
  <c r="I388" i="413"/>
  <c r="I387" i="413"/>
  <c r="I386" i="413"/>
  <c r="I385" i="413"/>
  <c r="I384" i="413"/>
  <c r="I383" i="413"/>
  <c r="I382" i="413"/>
  <c r="I381" i="413"/>
  <c r="I380" i="413"/>
  <c r="I379" i="413"/>
  <c r="I378" i="413"/>
  <c r="I377" i="413"/>
  <c r="I376" i="413"/>
  <c r="I375" i="413"/>
  <c r="I374" i="413"/>
  <c r="I373" i="413"/>
  <c r="I372" i="413"/>
  <c r="I371" i="413"/>
  <c r="I370" i="413"/>
  <c r="I369" i="413"/>
  <c r="I368" i="413"/>
  <c r="I367" i="413"/>
  <c r="I366" i="413"/>
  <c r="I365" i="413"/>
  <c r="I364" i="413"/>
  <c r="I363" i="413"/>
  <c r="I362" i="413"/>
  <c r="I361" i="413"/>
  <c r="I360" i="413"/>
  <c r="I359" i="413"/>
  <c r="I358" i="413"/>
  <c r="I357" i="413"/>
  <c r="I356" i="413"/>
  <c r="I355" i="413"/>
  <c r="I354" i="413"/>
  <c r="I353" i="413"/>
  <c r="I352" i="413"/>
  <c r="I351" i="413"/>
  <c r="I350" i="413"/>
  <c r="I349" i="413"/>
  <c r="I348" i="413"/>
  <c r="I347" i="413"/>
  <c r="I346" i="413"/>
  <c r="I345" i="413"/>
  <c r="I344" i="413"/>
  <c r="I343" i="413"/>
  <c r="I342" i="413"/>
  <c r="I341" i="413"/>
  <c r="I340" i="413"/>
  <c r="I339" i="413"/>
  <c r="I338" i="413"/>
  <c r="I337" i="413"/>
  <c r="I336" i="413"/>
  <c r="I335" i="413"/>
  <c r="I334" i="413"/>
  <c r="I333" i="413"/>
  <c r="I332" i="413"/>
  <c r="I331" i="413"/>
  <c r="I330" i="413"/>
  <c r="I329" i="413"/>
  <c r="I328" i="413"/>
  <c r="I327" i="413"/>
  <c r="I326" i="413"/>
  <c r="I325" i="413"/>
  <c r="I324" i="413"/>
  <c r="I323" i="413"/>
  <c r="I322" i="413"/>
  <c r="I321" i="413"/>
  <c r="I320" i="413"/>
  <c r="I319" i="413"/>
  <c r="I318" i="413"/>
  <c r="I317" i="413"/>
  <c r="I316" i="413"/>
  <c r="I315" i="413"/>
  <c r="I314" i="413"/>
  <c r="I313" i="413"/>
  <c r="I312" i="413"/>
  <c r="I311" i="413"/>
  <c r="I310" i="413"/>
  <c r="I309" i="413"/>
  <c r="I308" i="413"/>
  <c r="I307" i="413"/>
  <c r="I306" i="413"/>
  <c r="I305" i="413"/>
  <c r="I304" i="413"/>
  <c r="I303" i="413"/>
  <c r="I302" i="413"/>
  <c r="I301" i="413"/>
  <c r="I300" i="413"/>
  <c r="I299" i="413"/>
  <c r="I298" i="413"/>
  <c r="I297" i="413"/>
  <c r="I296" i="413"/>
  <c r="I295" i="413"/>
  <c r="I294" i="413"/>
  <c r="I293" i="413"/>
  <c r="I292" i="413"/>
  <c r="I291" i="413"/>
  <c r="I290" i="413"/>
  <c r="I289" i="413"/>
  <c r="I288" i="413"/>
  <c r="I287" i="413"/>
  <c r="I286" i="413"/>
  <c r="I285" i="413"/>
  <c r="I284" i="413"/>
  <c r="I283" i="413"/>
  <c r="I282" i="413"/>
  <c r="I281" i="413"/>
  <c r="I280" i="413"/>
  <c r="I279" i="413"/>
  <c r="I278" i="413"/>
  <c r="I277" i="413"/>
  <c r="I276" i="413"/>
  <c r="I275" i="413"/>
  <c r="I274" i="413"/>
  <c r="I273" i="413"/>
  <c r="I272" i="413"/>
  <c r="I271" i="413"/>
  <c r="I270" i="413"/>
  <c r="I269" i="413"/>
  <c r="I268" i="413"/>
  <c r="I267" i="413"/>
  <c r="I266" i="413"/>
  <c r="I265" i="413"/>
  <c r="I264" i="413"/>
  <c r="I263" i="413"/>
  <c r="I262" i="413"/>
  <c r="I261" i="413"/>
  <c r="I260" i="413"/>
  <c r="I259" i="413"/>
  <c r="I258" i="413"/>
  <c r="I257" i="413"/>
  <c r="I256" i="413"/>
  <c r="I255" i="413"/>
  <c r="I254" i="413"/>
  <c r="I253" i="413"/>
  <c r="I252" i="413"/>
  <c r="I251" i="413"/>
  <c r="I250" i="413"/>
  <c r="I249" i="413"/>
  <c r="I248" i="413"/>
  <c r="I247" i="413"/>
  <c r="I246" i="413"/>
  <c r="I245" i="413"/>
  <c r="I244" i="413"/>
  <c r="I243" i="413"/>
  <c r="I242" i="413"/>
  <c r="I241" i="413"/>
  <c r="I240" i="413"/>
  <c r="I239" i="413"/>
  <c r="I238" i="413"/>
  <c r="I237" i="413"/>
  <c r="I236" i="413"/>
  <c r="I235" i="413"/>
  <c r="I234" i="413"/>
  <c r="I233" i="413"/>
  <c r="I232" i="413"/>
  <c r="I231" i="413"/>
  <c r="I230" i="413"/>
  <c r="I229" i="413"/>
  <c r="I228" i="413"/>
  <c r="I227" i="413"/>
  <c r="I226" i="413"/>
  <c r="I225" i="413"/>
  <c r="I224" i="413"/>
  <c r="I223" i="413"/>
  <c r="I222" i="413"/>
  <c r="I221" i="413"/>
  <c r="I220" i="413"/>
  <c r="I219" i="413"/>
  <c r="I218" i="413"/>
  <c r="I217" i="413"/>
  <c r="I216" i="413"/>
  <c r="I215" i="413"/>
  <c r="I214" i="413"/>
  <c r="I213" i="413"/>
  <c r="I212" i="413"/>
  <c r="I211" i="413"/>
  <c r="I210" i="413"/>
  <c r="I209" i="413"/>
  <c r="I208" i="413"/>
  <c r="I207" i="413"/>
  <c r="I206" i="413"/>
  <c r="I205" i="413"/>
  <c r="I204" i="413"/>
  <c r="I203" i="413"/>
  <c r="I202" i="413"/>
  <c r="I201" i="413"/>
  <c r="I200" i="413"/>
  <c r="I199" i="413"/>
  <c r="I198" i="413"/>
  <c r="I197" i="413"/>
  <c r="I196" i="413"/>
  <c r="I195" i="413"/>
  <c r="I194" i="413"/>
  <c r="I193" i="413"/>
  <c r="I192" i="413"/>
  <c r="I191" i="413"/>
  <c r="I190" i="413"/>
  <c r="I189" i="413"/>
  <c r="I188" i="413"/>
  <c r="I187" i="413"/>
  <c r="I186" i="413"/>
  <c r="I185" i="413"/>
  <c r="I184" i="413"/>
  <c r="I183" i="413"/>
  <c r="I182" i="413"/>
  <c r="I181" i="413"/>
  <c r="I180" i="413"/>
  <c r="I179" i="413"/>
  <c r="I178" i="413"/>
  <c r="I177" i="413"/>
  <c r="I176" i="413"/>
  <c r="I175" i="413"/>
  <c r="I174" i="413"/>
  <c r="I173" i="413"/>
  <c r="I172" i="413"/>
  <c r="I171" i="413"/>
  <c r="I170" i="413"/>
  <c r="I169" i="413"/>
  <c r="I168" i="413"/>
  <c r="I167" i="413"/>
  <c r="I166" i="413"/>
  <c r="I165" i="413"/>
  <c r="I164" i="413"/>
  <c r="I163" i="413"/>
  <c r="I162" i="413"/>
  <c r="I161" i="413"/>
  <c r="I160" i="413"/>
  <c r="I159" i="413"/>
  <c r="I158" i="413"/>
  <c r="I157" i="413"/>
  <c r="I156" i="413"/>
  <c r="I155" i="413"/>
  <c r="I154" i="413"/>
  <c r="I153" i="413"/>
  <c r="I152" i="413"/>
  <c r="I151" i="413"/>
  <c r="I150" i="413"/>
  <c r="I149" i="413"/>
  <c r="I148" i="413"/>
  <c r="I147" i="413"/>
  <c r="I146" i="413"/>
  <c r="I145" i="413"/>
  <c r="I144" i="413"/>
  <c r="I143" i="413"/>
  <c r="I142" i="413"/>
  <c r="I141" i="413"/>
  <c r="I140" i="413"/>
  <c r="I139" i="413"/>
  <c r="I138" i="413"/>
  <c r="I137" i="413"/>
  <c r="I136" i="413"/>
  <c r="I135" i="413"/>
  <c r="I134" i="413"/>
  <c r="I133" i="413"/>
  <c r="I132" i="413"/>
  <c r="I131" i="413"/>
  <c r="I130" i="413"/>
  <c r="I129" i="413"/>
  <c r="I128" i="413"/>
  <c r="I127" i="413"/>
  <c r="I126" i="413"/>
  <c r="I125" i="413"/>
  <c r="I124" i="413"/>
  <c r="I123" i="413"/>
  <c r="I122" i="413"/>
  <c r="I121" i="413"/>
  <c r="I120" i="413"/>
  <c r="I119" i="413"/>
  <c r="I118" i="413"/>
  <c r="I117" i="413"/>
  <c r="I116" i="413"/>
  <c r="I115" i="413"/>
  <c r="I114" i="413"/>
  <c r="I113" i="413"/>
  <c r="I112" i="413"/>
  <c r="I111" i="413"/>
  <c r="I110" i="413"/>
  <c r="I109" i="413"/>
  <c r="I108" i="413"/>
  <c r="I107" i="413"/>
  <c r="I106" i="413"/>
  <c r="I105" i="413"/>
  <c r="I104" i="413"/>
  <c r="I103" i="413"/>
  <c r="I102" i="413"/>
  <c r="I101" i="413"/>
  <c r="I100" i="413"/>
  <c r="I99" i="413"/>
  <c r="I98" i="413"/>
  <c r="I97" i="413"/>
  <c r="I96" i="413"/>
  <c r="I95" i="413"/>
  <c r="I94" i="413"/>
  <c r="I93" i="413"/>
  <c r="I92" i="413"/>
  <c r="T123" i="413" l="1"/>
  <c r="AH123" i="413"/>
  <c r="W123" i="413" s="1"/>
  <c r="T522" i="413"/>
  <c r="U522" i="413"/>
  <c r="AI485" i="413"/>
  <c r="W485" i="413"/>
  <c r="AI486" i="413"/>
  <c r="W486" i="413"/>
  <c r="AI487" i="413"/>
  <c r="W487" i="413"/>
  <c r="AI488" i="413"/>
  <c r="W488" i="413"/>
  <c r="AI489" i="413"/>
  <c r="W489" i="413"/>
  <c r="AI490" i="413"/>
  <c r="W490" i="413"/>
  <c r="AI491" i="413"/>
  <c r="W491" i="413"/>
  <c r="AI492" i="413"/>
  <c r="W492" i="413"/>
  <c r="AI493" i="413"/>
  <c r="W493" i="413"/>
  <c r="AI494" i="413"/>
  <c r="W494" i="413"/>
  <c r="AI495" i="413"/>
  <c r="W495" i="413"/>
  <c r="AI496" i="413"/>
  <c r="W496" i="413"/>
  <c r="AI497" i="413"/>
  <c r="W497" i="413"/>
  <c r="AI498" i="413"/>
  <c r="W498" i="413"/>
  <c r="AI499" i="413"/>
  <c r="W499" i="413"/>
  <c r="AI500" i="413"/>
  <c r="W500" i="413"/>
  <c r="AI501" i="413"/>
  <c r="W501" i="413"/>
  <c r="AI502" i="413"/>
  <c r="W502" i="413"/>
  <c r="AI503" i="413"/>
  <c r="W503" i="413"/>
  <c r="AI504" i="413"/>
  <c r="W504" i="413"/>
  <c r="AI505" i="413"/>
  <c r="W505" i="413"/>
  <c r="T506" i="413"/>
  <c r="U506" i="413"/>
  <c r="V506" i="413" s="1"/>
  <c r="AH506" i="413"/>
  <c r="T510" i="413"/>
  <c r="U510" i="413"/>
  <c r="V510" i="413" s="1"/>
  <c r="T514" i="413"/>
  <c r="U514" i="413"/>
  <c r="V514" i="413" s="1"/>
  <c r="AH514" i="413"/>
  <c r="T515" i="413"/>
  <c r="U515" i="413"/>
  <c r="V515" i="413" s="1"/>
  <c r="U472" i="413"/>
  <c r="V472" i="413" s="1"/>
  <c r="U474" i="413"/>
  <c r="V474" i="413" s="1"/>
  <c r="U476" i="413"/>
  <c r="V476" i="413" s="1"/>
  <c r="U478" i="413"/>
  <c r="V478" i="413" s="1"/>
  <c r="U480" i="413"/>
  <c r="V480" i="413" s="1"/>
  <c r="U482" i="413"/>
  <c r="V482" i="413" s="1"/>
  <c r="U484" i="413"/>
  <c r="V484" i="413" s="1"/>
  <c r="T507" i="413"/>
  <c r="U507" i="413"/>
  <c r="T511" i="413"/>
  <c r="AH511" i="413"/>
  <c r="U511" i="413"/>
  <c r="V511" i="413" s="1"/>
  <c r="T518" i="413"/>
  <c r="U518" i="413"/>
  <c r="V518" i="413" s="1"/>
  <c r="T508" i="413"/>
  <c r="U508" i="413"/>
  <c r="V508" i="413" s="1"/>
  <c r="T512" i="413"/>
  <c r="U512" i="413"/>
  <c r="V512" i="413" s="1"/>
  <c r="AH512" i="413"/>
  <c r="T517" i="413"/>
  <c r="U517" i="413"/>
  <c r="V517" i="413" s="1"/>
  <c r="U471" i="413"/>
  <c r="V471" i="413" s="1"/>
  <c r="AH472" i="413"/>
  <c r="U473" i="413"/>
  <c r="V473" i="413" s="1"/>
  <c r="AH474" i="413"/>
  <c r="U475" i="413"/>
  <c r="V475" i="413" s="1"/>
  <c r="AH476" i="413"/>
  <c r="U477" i="413"/>
  <c r="V477" i="413" s="1"/>
  <c r="AH478" i="413"/>
  <c r="U479" i="413"/>
  <c r="V479" i="413" s="1"/>
  <c r="AH480" i="413"/>
  <c r="U481" i="413"/>
  <c r="V481" i="413" s="1"/>
  <c r="AH482" i="413"/>
  <c r="U483" i="413"/>
  <c r="V483" i="413" s="1"/>
  <c r="AH484" i="413"/>
  <c r="T509" i="413"/>
  <c r="U509" i="413"/>
  <c r="V509" i="413" s="1"/>
  <c r="T513" i="413"/>
  <c r="AH513" i="413"/>
  <c r="U513" i="413"/>
  <c r="V513" i="413" s="1"/>
  <c r="T516" i="413"/>
  <c r="U516" i="413"/>
  <c r="V516" i="413" s="1"/>
  <c r="T519" i="413"/>
  <c r="U519" i="413"/>
  <c r="V519" i="413" s="1"/>
  <c r="AI468" i="413"/>
  <c r="AH469" i="413"/>
  <c r="U469" i="413"/>
  <c r="AJ465" i="413"/>
  <c r="AH462" i="413"/>
  <c r="AH461" i="413"/>
  <c r="W425" i="413"/>
  <c r="AI425" i="413"/>
  <c r="W437" i="413"/>
  <c r="AI437" i="413" s="1"/>
  <c r="V438" i="413"/>
  <c r="AH438" i="413"/>
  <c r="AH423" i="413"/>
  <c r="U423" i="413"/>
  <c r="V423" i="413" s="1"/>
  <c r="T423" i="413"/>
  <c r="W428" i="413"/>
  <c r="AI428" i="413"/>
  <c r="W429" i="413"/>
  <c r="AI429" i="413"/>
  <c r="W421" i="413"/>
  <c r="AI421" i="413"/>
  <c r="U430" i="413"/>
  <c r="V430" i="413" s="1"/>
  <c r="T430" i="413"/>
  <c r="AH430" i="413"/>
  <c r="AH443" i="413"/>
  <c r="U443" i="413"/>
  <c r="V443" i="413" s="1"/>
  <c r="T443" i="413"/>
  <c r="AH448" i="413"/>
  <c r="V448" i="413"/>
  <c r="AH422" i="413"/>
  <c r="AH426" i="413"/>
  <c r="T445" i="413"/>
  <c r="U445" i="413"/>
  <c r="V445" i="413" s="1"/>
  <c r="AH445" i="413"/>
  <c r="T453" i="413"/>
  <c r="AH453" i="413"/>
  <c r="U453" i="413"/>
  <c r="V453" i="413" s="1"/>
  <c r="X456" i="413"/>
  <c r="AJ456" i="413" s="1"/>
  <c r="U420" i="413"/>
  <c r="V420" i="413" s="1"/>
  <c r="U424" i="413"/>
  <c r="V424" i="413" s="1"/>
  <c r="AH424" i="413"/>
  <c r="AH427" i="413"/>
  <c r="U427" i="413"/>
  <c r="V427" i="413" s="1"/>
  <c r="U431" i="413"/>
  <c r="V431" i="413" s="1"/>
  <c r="AH433" i="413"/>
  <c r="T436" i="413"/>
  <c r="U436" i="413"/>
  <c r="V436" i="413" s="1"/>
  <c r="AH439" i="413"/>
  <c r="U439" i="413"/>
  <c r="V439" i="413" s="1"/>
  <c r="V442" i="413"/>
  <c r="AH442" i="413"/>
  <c r="T444" i="413"/>
  <c r="U444" i="413"/>
  <c r="V444" i="413" s="1"/>
  <c r="W434" i="413"/>
  <c r="AI434" i="413" s="1"/>
  <c r="AH447" i="413"/>
  <c r="V447" i="413"/>
  <c r="T432" i="413"/>
  <c r="AH432" i="413"/>
  <c r="U432" i="413"/>
  <c r="V432" i="413" s="1"/>
  <c r="U435" i="413"/>
  <c r="V435" i="413" s="1"/>
  <c r="T440" i="413"/>
  <c r="U440" i="413"/>
  <c r="V440" i="413" s="1"/>
  <c r="W441" i="413"/>
  <c r="AI441" i="413"/>
  <c r="T457" i="413"/>
  <c r="U457" i="413"/>
  <c r="V457" i="413" s="1"/>
  <c r="AH457" i="413"/>
  <c r="AH450" i="413"/>
  <c r="W452" i="413"/>
  <c r="AI452" i="413" s="1"/>
  <c r="U446" i="413"/>
  <c r="V446" i="413" s="1"/>
  <c r="T449" i="413"/>
  <c r="U449" i="413"/>
  <c r="T451" i="413"/>
  <c r="U451" i="413"/>
  <c r="U455" i="413"/>
  <c r="U450" i="413"/>
  <c r="V450" i="413" s="1"/>
  <c r="U454" i="413"/>
  <c r="V454" i="413" s="1"/>
  <c r="U458" i="413"/>
  <c r="V458" i="413" s="1"/>
  <c r="W382" i="413"/>
  <c r="AI382" i="413"/>
  <c r="X169" i="413"/>
  <c r="AJ169" i="413" s="1"/>
  <c r="Y169" i="413" s="1"/>
  <c r="AK169" i="413" s="1"/>
  <c r="AI358" i="413"/>
  <c r="AH134" i="413"/>
  <c r="W134" i="413" s="1"/>
  <c r="AI134" i="413" s="1"/>
  <c r="AH142" i="413"/>
  <c r="W142" i="413" s="1"/>
  <c r="AI142" i="413" s="1"/>
  <c r="AH154" i="413"/>
  <c r="V162" i="413"/>
  <c r="V350" i="413"/>
  <c r="V370" i="413"/>
  <c r="AH406" i="413"/>
  <c r="AH106" i="413"/>
  <c r="AH118" i="413"/>
  <c r="W118" i="413" s="1"/>
  <c r="AI118" i="413" s="1"/>
  <c r="AJ118" i="413" s="1"/>
  <c r="AH126" i="413"/>
  <c r="W126" i="413" s="1"/>
  <c r="AI126" i="413" s="1"/>
  <c r="X126" i="413" s="1"/>
  <c r="AJ126" i="413" s="1"/>
  <c r="AI128" i="413"/>
  <c r="AH174" i="413"/>
  <c r="V178" i="413"/>
  <c r="V183" i="413"/>
  <c r="AH195" i="413"/>
  <c r="W195" i="413" s="1"/>
  <c r="AH207" i="413"/>
  <c r="V211" i="413"/>
  <c r="V223" i="413"/>
  <c r="V343" i="413"/>
  <c r="W350" i="413"/>
  <c r="AI350" i="413" s="1"/>
  <c r="X350" i="413" s="1"/>
  <c r="AJ350" i="413" s="1"/>
  <c r="AH354" i="413"/>
  <c r="W354" i="413" s="1"/>
  <c r="AH374" i="413"/>
  <c r="V390" i="413"/>
  <c r="AI391" i="413"/>
  <c r="X391" i="413" s="1"/>
  <c r="AJ391" i="413" s="1"/>
  <c r="V394" i="413"/>
  <c r="AH399" i="413"/>
  <c r="W399" i="413" s="1"/>
  <c r="AI399" i="413" s="1"/>
  <c r="AH172" i="413"/>
  <c r="V187" i="413"/>
  <c r="V192" i="413"/>
  <c r="V199" i="413"/>
  <c r="AH227" i="413"/>
  <c r="W227" i="413" s="1"/>
  <c r="AH236" i="413"/>
  <c r="W236" i="413" s="1"/>
  <c r="AI236" i="413" s="1"/>
  <c r="AH239" i="413"/>
  <c r="W239" i="413" s="1"/>
  <c r="AI239" i="413" s="1"/>
  <c r="AH264" i="413"/>
  <c r="W264" i="413" s="1"/>
  <c r="AI264" i="413" s="1"/>
  <c r="AI276" i="413"/>
  <c r="V278" i="413"/>
  <c r="V358" i="413"/>
  <c r="AH368" i="413"/>
  <c r="W368" i="413" s="1"/>
  <c r="V371" i="413"/>
  <c r="AI379" i="413"/>
  <c r="V383" i="413"/>
  <c r="AI390" i="413"/>
  <c r="X390" i="413" s="1"/>
  <c r="AJ390" i="413" s="1"/>
  <c r="AI289" i="413"/>
  <c r="AI297" i="413"/>
  <c r="AI305" i="413"/>
  <c r="X305" i="413" s="1"/>
  <c r="AJ305" i="413" s="1"/>
  <c r="AI313" i="413"/>
  <c r="X313" i="413" s="1"/>
  <c r="AJ313" i="413" s="1"/>
  <c r="AI321" i="413"/>
  <c r="U82" i="413"/>
  <c r="AH130" i="413"/>
  <c r="W130" i="413" s="1"/>
  <c r="AI130" i="413" s="1"/>
  <c r="W108" i="413"/>
  <c r="AI108" i="413" s="1"/>
  <c r="W140" i="413"/>
  <c r="AI140" i="413" s="1"/>
  <c r="W100" i="413"/>
  <c r="AI100" i="413"/>
  <c r="X102" i="413"/>
  <c r="AJ102" i="413" s="1"/>
  <c r="X113" i="413"/>
  <c r="AJ113" i="413"/>
  <c r="W124" i="413"/>
  <c r="AI124" i="413" s="1"/>
  <c r="W132" i="413"/>
  <c r="AI132" i="413" s="1"/>
  <c r="X134" i="413"/>
  <c r="AJ134" i="413" s="1"/>
  <c r="X145" i="413"/>
  <c r="AJ145" i="413" s="1"/>
  <c r="W156" i="413"/>
  <c r="AI156" i="413"/>
  <c r="X110" i="413"/>
  <c r="AJ110" i="413" s="1"/>
  <c r="X93" i="413"/>
  <c r="AJ93" i="413"/>
  <c r="X97" i="413"/>
  <c r="AJ97" i="413" s="1"/>
  <c r="X118" i="413"/>
  <c r="X150" i="413"/>
  <c r="AJ150" i="413" s="1"/>
  <c r="AI107" i="413"/>
  <c r="W116" i="413"/>
  <c r="AI116" i="413"/>
  <c r="AI139" i="413"/>
  <c r="AH149" i="413"/>
  <c r="V149" i="413"/>
  <c r="W161" i="413"/>
  <c r="AI161" i="413" s="1"/>
  <c r="AH171" i="413"/>
  <c r="V171" i="413"/>
  <c r="W174" i="413"/>
  <c r="AI174" i="413" s="1"/>
  <c r="W180" i="413"/>
  <c r="AI180" i="413"/>
  <c r="V186" i="413"/>
  <c r="AH186" i="413"/>
  <c r="W199" i="413"/>
  <c r="AI199" i="413"/>
  <c r="X200" i="413"/>
  <c r="AJ200" i="413" s="1"/>
  <c r="X204" i="413"/>
  <c r="AJ204" i="413" s="1"/>
  <c r="V218" i="413"/>
  <c r="AH218" i="413"/>
  <c r="W231" i="413"/>
  <c r="AI231" i="413" s="1"/>
  <c r="X232" i="413"/>
  <c r="AJ232" i="413" s="1"/>
  <c r="X236" i="413"/>
  <c r="AJ236" i="413"/>
  <c r="V250" i="413"/>
  <c r="AH250" i="413"/>
  <c r="X276" i="413"/>
  <c r="AJ276" i="413"/>
  <c r="W288" i="413"/>
  <c r="AI288" i="413" s="1"/>
  <c r="V111" i="413"/>
  <c r="AH111" i="413"/>
  <c r="AI114" i="413"/>
  <c r="W114" i="413"/>
  <c r="AH117" i="413"/>
  <c r="V117" i="413"/>
  <c r="X128" i="413"/>
  <c r="AJ128" i="413" s="1"/>
  <c r="V143" i="413"/>
  <c r="AH143" i="413"/>
  <c r="W146" i="413"/>
  <c r="AI146" i="413" s="1"/>
  <c r="W148" i="413"/>
  <c r="AI148" i="413"/>
  <c r="AH99" i="413"/>
  <c r="V103" i="413"/>
  <c r="AH103" i="413"/>
  <c r="W105" i="413"/>
  <c r="AI105" i="413" s="1"/>
  <c r="W106" i="413"/>
  <c r="AI106" i="413" s="1"/>
  <c r="V108" i="413"/>
  <c r="AH109" i="413"/>
  <c r="V109" i="413"/>
  <c r="AI120" i="413"/>
  <c r="AI131" i="413"/>
  <c r="V135" i="413"/>
  <c r="AH135" i="413"/>
  <c r="W137" i="413"/>
  <c r="AI137" i="413" s="1"/>
  <c r="W138" i="413"/>
  <c r="AI138" i="413" s="1"/>
  <c r="V140" i="413"/>
  <c r="AH141" i="413"/>
  <c r="V141" i="413"/>
  <c r="AI152" i="413"/>
  <c r="AH179" i="413"/>
  <c r="V179" i="413"/>
  <c r="W191" i="413"/>
  <c r="AI191" i="413" s="1"/>
  <c r="X192" i="413"/>
  <c r="AJ192" i="413"/>
  <c r="X196" i="413"/>
  <c r="AJ196" i="413" s="1"/>
  <c r="V210" i="413"/>
  <c r="AH210" i="413"/>
  <c r="W223" i="413"/>
  <c r="AI223" i="413" s="1"/>
  <c r="X224" i="413"/>
  <c r="AJ224" i="413" s="1"/>
  <c r="X228" i="413"/>
  <c r="AJ228" i="413" s="1"/>
  <c r="V242" i="413"/>
  <c r="AH242" i="413"/>
  <c r="V258" i="413"/>
  <c r="AH258" i="413"/>
  <c r="W320" i="413"/>
  <c r="AI320" i="413"/>
  <c r="AI92" i="413"/>
  <c r="AH95" i="413"/>
  <c r="AI96" i="413"/>
  <c r="V100" i="413"/>
  <c r="AH101" i="413"/>
  <c r="V101" i="413"/>
  <c r="AI112" i="413"/>
  <c r="V127" i="413"/>
  <c r="AH127" i="413"/>
  <c r="W129" i="413"/>
  <c r="AI129" i="413" s="1"/>
  <c r="V132" i="413"/>
  <c r="AH133" i="413"/>
  <c r="V133" i="413"/>
  <c r="AI144" i="413"/>
  <c r="AI155" i="413"/>
  <c r="X158" i="413"/>
  <c r="AJ158" i="413" s="1"/>
  <c r="W164" i="413"/>
  <c r="AI164" i="413" s="1"/>
  <c r="AJ177" i="413"/>
  <c r="W183" i="413"/>
  <c r="AI183" i="413" s="1"/>
  <c r="X184" i="413"/>
  <c r="AJ184" i="413" s="1"/>
  <c r="X188" i="413"/>
  <c r="AJ188" i="413"/>
  <c r="V202" i="413"/>
  <c r="AH202" i="413"/>
  <c r="W215" i="413"/>
  <c r="AI215" i="413"/>
  <c r="X216" i="413"/>
  <c r="AJ216" i="413" s="1"/>
  <c r="X220" i="413"/>
  <c r="AJ220" i="413"/>
  <c r="V234" i="413"/>
  <c r="AH234" i="413"/>
  <c r="W247" i="413"/>
  <c r="AI247" i="413"/>
  <c r="X248" i="413"/>
  <c r="AJ248" i="413" s="1"/>
  <c r="X252" i="413"/>
  <c r="AJ252" i="413"/>
  <c r="AH259" i="413"/>
  <c r="V259" i="413"/>
  <c r="W273" i="413"/>
  <c r="AI273" i="413" s="1"/>
  <c r="V291" i="413"/>
  <c r="AH291" i="413"/>
  <c r="U418" i="413"/>
  <c r="AI104" i="413"/>
  <c r="AI115" i="413"/>
  <c r="V119" i="413"/>
  <c r="AH119" i="413"/>
  <c r="W121" i="413"/>
  <c r="AI121" i="413" s="1"/>
  <c r="W122" i="413"/>
  <c r="AI122" i="413" s="1"/>
  <c r="V124" i="413"/>
  <c r="AH125" i="413"/>
  <c r="V125" i="413"/>
  <c r="AI136" i="413"/>
  <c r="AI147" i="413"/>
  <c r="V151" i="413"/>
  <c r="AH151" i="413"/>
  <c r="W153" i="413"/>
  <c r="AI153" i="413" s="1"/>
  <c r="W154" i="413"/>
  <c r="AI154" i="413" s="1"/>
  <c r="V156" i="413"/>
  <c r="AH157" i="413"/>
  <c r="V157" i="413"/>
  <c r="AI160" i="413"/>
  <c r="AH163" i="413"/>
  <c r="V163" i="413"/>
  <c r="W166" i="413"/>
  <c r="AI166" i="413" s="1"/>
  <c r="W172" i="413"/>
  <c r="AI172" i="413" s="1"/>
  <c r="V194" i="413"/>
  <c r="AH194" i="413"/>
  <c r="W207" i="413"/>
  <c r="AI207" i="413" s="1"/>
  <c r="X208" i="413"/>
  <c r="AJ208" i="413" s="1"/>
  <c r="X212" i="413"/>
  <c r="AJ212" i="413" s="1"/>
  <c r="V226" i="413"/>
  <c r="AH226" i="413"/>
  <c r="X240" i="413"/>
  <c r="AJ240" i="413"/>
  <c r="X244" i="413"/>
  <c r="AJ244" i="413" s="1"/>
  <c r="W296" i="413"/>
  <c r="AI296" i="413"/>
  <c r="V323" i="413"/>
  <c r="AH323" i="413"/>
  <c r="W255" i="413"/>
  <c r="AI255" i="413"/>
  <c r="V270" i="413"/>
  <c r="AH270" i="413"/>
  <c r="W271" i="413"/>
  <c r="AI271" i="413"/>
  <c r="W274" i="413"/>
  <c r="AI274" i="413" s="1"/>
  <c r="W278" i="413"/>
  <c r="AI278" i="413" s="1"/>
  <c r="X297" i="413"/>
  <c r="AJ297" i="413" s="1"/>
  <c r="V299" i="413"/>
  <c r="AH299" i="413"/>
  <c r="W326" i="413"/>
  <c r="AI326" i="413" s="1"/>
  <c r="V327" i="413"/>
  <c r="AH327" i="413"/>
  <c r="V346" i="413"/>
  <c r="AH346" i="413"/>
  <c r="V416" i="413"/>
  <c r="AH416" i="413"/>
  <c r="AH94" i="413"/>
  <c r="AH98" i="413"/>
  <c r="AH159" i="413"/>
  <c r="AI162" i="413"/>
  <c r="AI167" i="413"/>
  <c r="W168" i="413"/>
  <c r="AI168" i="413" s="1"/>
  <c r="AI170" i="413"/>
  <c r="AI175" i="413"/>
  <c r="W176" i="413"/>
  <c r="AI176" i="413" s="1"/>
  <c r="AI178" i="413"/>
  <c r="V255" i="413"/>
  <c r="V266" i="413"/>
  <c r="AH266" i="413"/>
  <c r="W267" i="413"/>
  <c r="AI267" i="413" s="1"/>
  <c r="V271" i="413"/>
  <c r="X280" i="413"/>
  <c r="AJ280" i="413" s="1"/>
  <c r="V282" i="413"/>
  <c r="AH282" i="413"/>
  <c r="W304" i="413"/>
  <c r="AI304" i="413" s="1"/>
  <c r="V307" i="413"/>
  <c r="AH307" i="413"/>
  <c r="W312" i="413"/>
  <c r="AI312" i="413" s="1"/>
  <c r="V104" i="413"/>
  <c r="V112" i="413"/>
  <c r="V120" i="413"/>
  <c r="V128" i="413"/>
  <c r="V136" i="413"/>
  <c r="V144" i="413"/>
  <c r="V152" i="413"/>
  <c r="V160" i="413"/>
  <c r="W165" i="413"/>
  <c r="AI165" i="413" s="1"/>
  <c r="W173" i="413"/>
  <c r="AI173" i="413" s="1"/>
  <c r="W181" i="413"/>
  <c r="AI181" i="413" s="1"/>
  <c r="AI182" i="413"/>
  <c r="AI187" i="413"/>
  <c r="AH190" i="413"/>
  <c r="AI195" i="413"/>
  <c r="AH198" i="413"/>
  <c r="AI203" i="413"/>
  <c r="AH206" i="413"/>
  <c r="AI211" i="413"/>
  <c r="AH214" i="413"/>
  <c r="AI219" i="413"/>
  <c r="AH222" i="413"/>
  <c r="AI227" i="413"/>
  <c r="AH230" i="413"/>
  <c r="AI235" i="413"/>
  <c r="AH238" i="413"/>
  <c r="AI243" i="413"/>
  <c r="AH246" i="413"/>
  <c r="AI251" i="413"/>
  <c r="AH254" i="413"/>
  <c r="V262" i="413"/>
  <c r="AH262" i="413"/>
  <c r="W263" i="413"/>
  <c r="AI263" i="413" s="1"/>
  <c r="V267" i="413"/>
  <c r="AH275" i="413"/>
  <c r="V275" i="413"/>
  <c r="AI279" i="413"/>
  <c r="W283" i="413"/>
  <c r="AI283" i="413"/>
  <c r="V315" i="413"/>
  <c r="AH315" i="413"/>
  <c r="AH328" i="413"/>
  <c r="V328" i="413"/>
  <c r="W256" i="413"/>
  <c r="AI256" i="413" s="1"/>
  <c r="W260" i="413"/>
  <c r="AI260" i="413" s="1"/>
  <c r="W268" i="413"/>
  <c r="AI268" i="413" s="1"/>
  <c r="W272" i="413"/>
  <c r="AI272" i="413" s="1"/>
  <c r="X289" i="413"/>
  <c r="AJ289" i="413" s="1"/>
  <c r="X321" i="413"/>
  <c r="AJ321" i="413" s="1"/>
  <c r="V356" i="413"/>
  <c r="AH356" i="413"/>
  <c r="X379" i="413"/>
  <c r="AJ379" i="413" s="1"/>
  <c r="AH185" i="413"/>
  <c r="AH189" i="413"/>
  <c r="AH193" i="413"/>
  <c r="AH197" i="413"/>
  <c r="AH201" i="413"/>
  <c r="AH205" i="413"/>
  <c r="AH209" i="413"/>
  <c r="AH213" i="413"/>
  <c r="AH217" i="413"/>
  <c r="AH221" i="413"/>
  <c r="AH225" i="413"/>
  <c r="AH229" i="413"/>
  <c r="AH233" i="413"/>
  <c r="AH237" i="413"/>
  <c r="AH241" i="413"/>
  <c r="AH245" i="413"/>
  <c r="AH249" i="413"/>
  <c r="AH253" i="413"/>
  <c r="AI277" i="413"/>
  <c r="AI285" i="413"/>
  <c r="AI293" i="413"/>
  <c r="AI301" i="413"/>
  <c r="AI309" i="413"/>
  <c r="AI317" i="413"/>
  <c r="AI325" i="413"/>
  <c r="W330" i="413"/>
  <c r="AI330" i="413" s="1"/>
  <c r="AH335" i="413"/>
  <c r="V335" i="413"/>
  <c r="W338" i="413"/>
  <c r="AI338" i="413" s="1"/>
  <c r="X367" i="413"/>
  <c r="AJ367" i="413"/>
  <c r="W374" i="413"/>
  <c r="AI374" i="413" s="1"/>
  <c r="AH398" i="413"/>
  <c r="V398" i="413"/>
  <c r="AI281" i="413"/>
  <c r="W284" i="413"/>
  <c r="AI284" i="413" s="1"/>
  <c r="V287" i="413"/>
  <c r="AH287" i="413"/>
  <c r="W292" i="413"/>
  <c r="AI292" i="413" s="1"/>
  <c r="V295" i="413"/>
  <c r="AH295" i="413"/>
  <c r="W300" i="413"/>
  <c r="AI300" i="413" s="1"/>
  <c r="V303" i="413"/>
  <c r="AH303" i="413"/>
  <c r="W308" i="413"/>
  <c r="AI308" i="413" s="1"/>
  <c r="V311" i="413"/>
  <c r="AH311" i="413"/>
  <c r="W316" i="413"/>
  <c r="AI316" i="413" s="1"/>
  <c r="V319" i="413"/>
  <c r="AH319" i="413"/>
  <c r="W324" i="413"/>
  <c r="AI324" i="413" s="1"/>
  <c r="W329" i="413"/>
  <c r="AI329" i="413" s="1"/>
  <c r="W333" i="413"/>
  <c r="AI333" i="413" s="1"/>
  <c r="V334" i="413"/>
  <c r="AH334" i="413"/>
  <c r="AH339" i="413"/>
  <c r="V339" i="413"/>
  <c r="W343" i="413"/>
  <c r="AI343" i="413" s="1"/>
  <c r="X344" i="413"/>
  <c r="AJ344" i="413"/>
  <c r="W361" i="413"/>
  <c r="AI361" i="413" s="1"/>
  <c r="W372" i="413"/>
  <c r="AI372" i="413" s="1"/>
  <c r="W376" i="413"/>
  <c r="AI376" i="413" s="1"/>
  <c r="X395" i="413"/>
  <c r="AJ395" i="413" s="1"/>
  <c r="AH257" i="413"/>
  <c r="AH261" i="413"/>
  <c r="AH265" i="413"/>
  <c r="AH269" i="413"/>
  <c r="AI332" i="413"/>
  <c r="W337" i="413"/>
  <c r="AI337" i="413" s="1"/>
  <c r="AI340" i="413"/>
  <c r="W342" i="413"/>
  <c r="AI342" i="413" s="1"/>
  <c r="W347" i="413"/>
  <c r="AI347" i="413"/>
  <c r="W353" i="413"/>
  <c r="AI353" i="413" s="1"/>
  <c r="X358" i="413"/>
  <c r="AJ358" i="413"/>
  <c r="W366" i="413"/>
  <c r="AI366" i="413" s="1"/>
  <c r="W331" i="413"/>
  <c r="AI331" i="413"/>
  <c r="W336" i="413"/>
  <c r="AI336" i="413" s="1"/>
  <c r="AH286" i="413"/>
  <c r="AH290" i="413"/>
  <c r="AH294" i="413"/>
  <c r="AH298" i="413"/>
  <c r="AH302" i="413"/>
  <c r="AH306" i="413"/>
  <c r="AH310" i="413"/>
  <c r="AH314" i="413"/>
  <c r="AH318" i="413"/>
  <c r="AH322" i="413"/>
  <c r="AI341" i="413"/>
  <c r="W349" i="413"/>
  <c r="AI349" i="413" s="1"/>
  <c r="V352" i="413"/>
  <c r="AH352" i="413"/>
  <c r="W357" i="413"/>
  <c r="AI357" i="413" s="1"/>
  <c r="V360" i="413"/>
  <c r="AH360" i="413"/>
  <c r="V369" i="413"/>
  <c r="AH369" i="413"/>
  <c r="W381" i="413"/>
  <c r="AI381" i="413" s="1"/>
  <c r="X382" i="413"/>
  <c r="AJ382" i="413" s="1"/>
  <c r="W389" i="413"/>
  <c r="AI389" i="413"/>
  <c r="W406" i="413"/>
  <c r="AI406" i="413" s="1"/>
  <c r="W414" i="413"/>
  <c r="AI414" i="413" s="1"/>
  <c r="AI345" i="413"/>
  <c r="AI362" i="413"/>
  <c r="W377" i="413"/>
  <c r="AI377" i="413"/>
  <c r="X383" i="413"/>
  <c r="AJ383" i="413" s="1"/>
  <c r="W386" i="413"/>
  <c r="AI386" i="413"/>
  <c r="X387" i="413"/>
  <c r="AJ387" i="413" s="1"/>
  <c r="W364" i="413"/>
  <c r="AI364" i="413" s="1"/>
  <c r="W365" i="413"/>
  <c r="AI365" i="413"/>
  <c r="X371" i="413"/>
  <c r="AJ371" i="413" s="1"/>
  <c r="V373" i="413"/>
  <c r="AH373" i="413"/>
  <c r="AH378" i="413"/>
  <c r="V378" i="413"/>
  <c r="V397" i="413"/>
  <c r="AH397" i="413"/>
  <c r="AH348" i="413"/>
  <c r="W370" i="413"/>
  <c r="AI370" i="413" s="1"/>
  <c r="W375" i="413"/>
  <c r="AI375" i="413" s="1"/>
  <c r="V385" i="413"/>
  <c r="AH385" i="413"/>
  <c r="AH351" i="413"/>
  <c r="AH355" i="413"/>
  <c r="AH359" i="413"/>
  <c r="AH363" i="413"/>
  <c r="AI380" i="413"/>
  <c r="AH402" i="413"/>
  <c r="V402" i="413"/>
  <c r="V408" i="413"/>
  <c r="AH408" i="413"/>
  <c r="AI368" i="413"/>
  <c r="AI384" i="413"/>
  <c r="W393" i="413"/>
  <c r="AI393" i="413"/>
  <c r="AI394" i="413"/>
  <c r="V401" i="413"/>
  <c r="AH401" i="413"/>
  <c r="V396" i="413"/>
  <c r="AH396" i="413"/>
  <c r="V404" i="413"/>
  <c r="AH404" i="413"/>
  <c r="W410" i="413"/>
  <c r="AI410" i="413" s="1"/>
  <c r="V412" i="413"/>
  <c r="AH412" i="413"/>
  <c r="AH388" i="413"/>
  <c r="AH392" i="413"/>
  <c r="W405" i="413"/>
  <c r="AI405" i="413"/>
  <c r="W409" i="413"/>
  <c r="AI409" i="413" s="1"/>
  <c r="W413" i="413"/>
  <c r="AI413" i="413" s="1"/>
  <c r="W417" i="413"/>
  <c r="AI417" i="413" s="1"/>
  <c r="AH403" i="413"/>
  <c r="V403" i="413"/>
  <c r="V405" i="413"/>
  <c r="W407" i="413"/>
  <c r="AI407" i="413" s="1"/>
  <c r="V409" i="413"/>
  <c r="W411" i="413"/>
  <c r="AI411" i="413" s="1"/>
  <c r="V413" i="413"/>
  <c r="W415" i="413"/>
  <c r="AI415" i="413" s="1"/>
  <c r="AH400" i="413"/>
  <c r="V407" i="413"/>
  <c r="V411" i="413"/>
  <c r="V415" i="413"/>
  <c r="V522" i="413" l="1"/>
  <c r="V523" i="413" s="1"/>
  <c r="U523" i="413"/>
  <c r="V507" i="413"/>
  <c r="V520" i="413" s="1"/>
  <c r="U520" i="413"/>
  <c r="AI418" i="413"/>
  <c r="AI123" i="413"/>
  <c r="AH418" i="413"/>
  <c r="AH522" i="413"/>
  <c r="AH523" i="413" s="1"/>
  <c r="AH519" i="413"/>
  <c r="AH516" i="413"/>
  <c r="AH515" i="413"/>
  <c r="AH518" i="413"/>
  <c r="AH517" i="413"/>
  <c r="W517" i="413" s="1"/>
  <c r="AI517" i="413" s="1"/>
  <c r="W516" i="413"/>
  <c r="AI516" i="413" s="1"/>
  <c r="AI513" i="413"/>
  <c r="W513" i="413"/>
  <c r="W518" i="413"/>
  <c r="AI518" i="413" s="1"/>
  <c r="W511" i="413"/>
  <c r="AI511" i="413" s="1"/>
  <c r="AH481" i="413"/>
  <c r="AH477" i="413"/>
  <c r="AH473" i="413"/>
  <c r="W515" i="413"/>
  <c r="AI515" i="413" s="1"/>
  <c r="AI506" i="413"/>
  <c r="W506" i="413"/>
  <c r="X505" i="413"/>
  <c r="AJ505" i="413"/>
  <c r="X503" i="413"/>
  <c r="AJ503" i="413" s="1"/>
  <c r="X501" i="413"/>
  <c r="AJ501" i="413"/>
  <c r="X499" i="413"/>
  <c r="AJ499" i="413" s="1"/>
  <c r="X497" i="413"/>
  <c r="AJ497" i="413"/>
  <c r="X495" i="413"/>
  <c r="AJ495" i="413" s="1"/>
  <c r="X493" i="413"/>
  <c r="AJ493" i="413"/>
  <c r="X491" i="413"/>
  <c r="AJ491" i="413" s="1"/>
  <c r="X489" i="413"/>
  <c r="AJ489" i="413"/>
  <c r="X487" i="413"/>
  <c r="AJ487" i="413" s="1"/>
  <c r="X485" i="413"/>
  <c r="AJ485" i="413"/>
  <c r="AI484" i="413"/>
  <c r="W484" i="413"/>
  <c r="W480" i="413"/>
  <c r="AI480" i="413" s="1"/>
  <c r="AI476" i="413"/>
  <c r="W476" i="413"/>
  <c r="W472" i="413"/>
  <c r="AI472" i="413" s="1"/>
  <c r="AH508" i="413"/>
  <c r="AH510" i="413"/>
  <c r="W519" i="413"/>
  <c r="AI519" i="413" s="1"/>
  <c r="AI512" i="413"/>
  <c r="W512" i="413"/>
  <c r="AH483" i="413"/>
  <c r="AH479" i="413"/>
  <c r="AH475" i="413"/>
  <c r="AH471" i="413"/>
  <c r="W514" i="413"/>
  <c r="AI514" i="413" s="1"/>
  <c r="X504" i="413"/>
  <c r="AJ504" i="413" s="1"/>
  <c r="X502" i="413"/>
  <c r="AJ502" i="413"/>
  <c r="X500" i="413"/>
  <c r="AJ500" i="413" s="1"/>
  <c r="X498" i="413"/>
  <c r="AJ498" i="413"/>
  <c r="X496" i="413"/>
  <c r="AJ496" i="413" s="1"/>
  <c r="X494" i="413"/>
  <c r="AJ494" i="413"/>
  <c r="X492" i="413"/>
  <c r="AJ492" i="413" s="1"/>
  <c r="X490" i="413"/>
  <c r="AJ490" i="413"/>
  <c r="X488" i="413"/>
  <c r="AJ488" i="413" s="1"/>
  <c r="X486" i="413"/>
  <c r="AJ486" i="413"/>
  <c r="AH509" i="413"/>
  <c r="W482" i="413"/>
  <c r="AI482" i="413" s="1"/>
  <c r="AI478" i="413"/>
  <c r="W478" i="413"/>
  <c r="W474" i="413"/>
  <c r="AI474" i="413" s="1"/>
  <c r="AH507" i="413"/>
  <c r="AH520" i="413" s="1"/>
  <c r="X468" i="413"/>
  <c r="X469" i="413" s="1"/>
  <c r="AI469" i="413"/>
  <c r="Y465" i="413"/>
  <c r="AK465" i="413"/>
  <c r="W461" i="413"/>
  <c r="AI461" i="413" s="1"/>
  <c r="W462" i="413"/>
  <c r="AI462" i="413" s="1"/>
  <c r="X434" i="413"/>
  <c r="AJ434" i="413" s="1"/>
  <c r="Y456" i="413"/>
  <c r="AK456" i="413" s="1"/>
  <c r="X437" i="413"/>
  <c r="AJ437" i="413" s="1"/>
  <c r="AJ452" i="413"/>
  <c r="X452" i="413"/>
  <c r="V451" i="413"/>
  <c r="AH451" i="413"/>
  <c r="AJ441" i="413"/>
  <c r="X441" i="413"/>
  <c r="AH446" i="413"/>
  <c r="W448" i="413"/>
  <c r="AI448" i="413"/>
  <c r="W438" i="413"/>
  <c r="AI438" i="413" s="1"/>
  <c r="V455" i="413"/>
  <c r="AH455" i="413"/>
  <c r="AH440" i="413"/>
  <c r="W447" i="413"/>
  <c r="AI447" i="413" s="1"/>
  <c r="AH444" i="413"/>
  <c r="AH420" i="413"/>
  <c r="AH454" i="413"/>
  <c r="W450" i="413"/>
  <c r="AI450" i="413"/>
  <c r="W432" i="413"/>
  <c r="AI432" i="413" s="1"/>
  <c r="W439" i="413"/>
  <c r="AI439" i="413" s="1"/>
  <c r="W433" i="413"/>
  <c r="AI433" i="413"/>
  <c r="W427" i="413"/>
  <c r="AI427" i="413" s="1"/>
  <c r="W453" i="413"/>
  <c r="AI453" i="413" s="1"/>
  <c r="W443" i="413"/>
  <c r="AI443" i="413" s="1"/>
  <c r="X421" i="413"/>
  <c r="AJ421" i="413" s="1"/>
  <c r="X428" i="413"/>
  <c r="AJ428" i="413"/>
  <c r="W423" i="413"/>
  <c r="AI423" i="413" s="1"/>
  <c r="W457" i="413"/>
  <c r="AI457" i="413" s="1"/>
  <c r="W442" i="413"/>
  <c r="AI442" i="413" s="1"/>
  <c r="W424" i="413"/>
  <c r="AI424" i="413"/>
  <c r="W426" i="413"/>
  <c r="AI426" i="413" s="1"/>
  <c r="W430" i="413"/>
  <c r="AI430" i="413" s="1"/>
  <c r="X425" i="413"/>
  <c r="AJ425" i="413" s="1"/>
  <c r="AH458" i="413"/>
  <c r="V449" i="413"/>
  <c r="AH449" i="413"/>
  <c r="AH435" i="413"/>
  <c r="AH436" i="413"/>
  <c r="AH431" i="413"/>
  <c r="W445" i="413"/>
  <c r="AI445" i="413" s="1"/>
  <c r="W422" i="413"/>
  <c r="AI422" i="413" s="1"/>
  <c r="X429" i="413"/>
  <c r="AJ429" i="413" s="1"/>
  <c r="V418" i="413"/>
  <c r="X142" i="413"/>
  <c r="AJ142" i="413" s="1"/>
  <c r="AI354" i="413"/>
  <c r="X354" i="413" s="1"/>
  <c r="Y371" i="413"/>
  <c r="AK371" i="413" s="1"/>
  <c r="X357" i="413"/>
  <c r="AJ357" i="413" s="1"/>
  <c r="X173" i="413"/>
  <c r="AJ173" i="413" s="1"/>
  <c r="X207" i="413"/>
  <c r="AJ207" i="413" s="1"/>
  <c r="X153" i="413"/>
  <c r="AJ153" i="413" s="1"/>
  <c r="X407" i="413"/>
  <c r="AJ407" i="413" s="1"/>
  <c r="X406" i="413"/>
  <c r="AJ406" i="413" s="1"/>
  <c r="X256" i="413"/>
  <c r="AJ256" i="413" s="1"/>
  <c r="X165" i="413"/>
  <c r="AJ165" i="413" s="1"/>
  <c r="X168" i="413"/>
  <c r="AJ168" i="413" s="1"/>
  <c r="Y297" i="413"/>
  <c r="AK297" i="413" s="1"/>
  <c r="Y184" i="413"/>
  <c r="AK184" i="413" s="1"/>
  <c r="X129" i="413"/>
  <c r="AJ129" i="413" s="1"/>
  <c r="Y200" i="413"/>
  <c r="AK200" i="413" s="1"/>
  <c r="X399" i="413"/>
  <c r="AJ399" i="413" s="1"/>
  <c r="Y383" i="413"/>
  <c r="AK383" i="413" s="1"/>
  <c r="Y390" i="413"/>
  <c r="AK390" i="413" s="1"/>
  <c r="X353" i="413"/>
  <c r="AJ353" i="413" s="1"/>
  <c r="X372" i="413"/>
  <c r="AJ372" i="413" s="1"/>
  <c r="X343" i="413"/>
  <c r="AJ343" i="413" s="1"/>
  <c r="Y350" i="413"/>
  <c r="AK350" i="413" s="1"/>
  <c r="X330" i="413"/>
  <c r="AJ330" i="413" s="1"/>
  <c r="Y289" i="413"/>
  <c r="AK289" i="413" s="1"/>
  <c r="X264" i="413"/>
  <c r="AJ264" i="413" s="1"/>
  <c r="Y313" i="413"/>
  <c r="AK313" i="413" s="1"/>
  <c r="X176" i="413"/>
  <c r="AJ176" i="413" s="1"/>
  <c r="X239" i="413"/>
  <c r="AJ239" i="413" s="1"/>
  <c r="X121" i="413"/>
  <c r="AJ121" i="413" s="1"/>
  <c r="AJ418" i="413" s="1"/>
  <c r="X273" i="413"/>
  <c r="AJ273" i="413" s="1"/>
  <c r="Y216" i="413"/>
  <c r="AK216" i="413" s="1"/>
  <c r="Y158" i="413"/>
  <c r="AK158" i="413" s="1"/>
  <c r="Y228" i="413"/>
  <c r="AK228" i="413" s="1"/>
  <c r="Z169" i="413"/>
  <c r="AL169" i="413" s="1"/>
  <c r="X105" i="413"/>
  <c r="AJ105" i="413" s="1"/>
  <c r="Y232" i="413"/>
  <c r="AK232" i="413" s="1"/>
  <c r="Y126" i="413"/>
  <c r="AK126" i="413" s="1"/>
  <c r="AJ140" i="413"/>
  <c r="X140" i="413"/>
  <c r="X409" i="413"/>
  <c r="AJ409" i="413" s="1"/>
  <c r="X370" i="413"/>
  <c r="AJ370" i="413" s="1"/>
  <c r="X414" i="413"/>
  <c r="AJ414" i="413" s="1"/>
  <c r="X337" i="413"/>
  <c r="AJ337" i="413" s="1"/>
  <c r="Y379" i="413"/>
  <c r="AK379" i="413" s="1"/>
  <c r="X274" i="413"/>
  <c r="AJ274" i="413" s="1"/>
  <c r="X166" i="413"/>
  <c r="AJ166" i="413" s="1"/>
  <c r="X130" i="413"/>
  <c r="AJ130" i="413" s="1"/>
  <c r="X417" i="413"/>
  <c r="AJ417" i="413" s="1"/>
  <c r="Y382" i="413"/>
  <c r="AK382" i="413" s="1"/>
  <c r="X263" i="413"/>
  <c r="AJ263" i="413" s="1"/>
  <c r="X267" i="413"/>
  <c r="AJ267" i="413" s="1"/>
  <c r="Y212" i="413"/>
  <c r="AK212" i="413" s="1"/>
  <c r="X164" i="413"/>
  <c r="AJ164" i="413" s="1"/>
  <c r="X223" i="413"/>
  <c r="AJ223" i="413" s="1"/>
  <c r="X132" i="413"/>
  <c r="AJ132" i="413" s="1"/>
  <c r="X411" i="413"/>
  <c r="AJ411" i="413" s="1"/>
  <c r="X410" i="413"/>
  <c r="AJ410" i="413" s="1"/>
  <c r="X375" i="413"/>
  <c r="AJ375" i="413" s="1"/>
  <c r="Y387" i="413"/>
  <c r="AK387" i="413" s="1"/>
  <c r="X349" i="413"/>
  <c r="AJ349" i="413" s="1"/>
  <c r="X366" i="413"/>
  <c r="AJ366" i="413" s="1"/>
  <c r="X361" i="413"/>
  <c r="AJ361" i="413" s="1"/>
  <c r="X333" i="413"/>
  <c r="AJ333" i="413" s="1"/>
  <c r="X374" i="413"/>
  <c r="AJ374" i="413" s="1"/>
  <c r="X338" i="413"/>
  <c r="AJ338" i="413" s="1"/>
  <c r="Y321" i="413"/>
  <c r="AK321" i="413" s="1"/>
  <c r="X272" i="413"/>
  <c r="AJ272" i="413" s="1"/>
  <c r="X181" i="413"/>
  <c r="AJ181" i="413" s="1"/>
  <c r="Y244" i="413"/>
  <c r="AK244" i="413" s="1"/>
  <c r="X172" i="413"/>
  <c r="AJ172" i="413" s="1"/>
  <c r="X154" i="413"/>
  <c r="AJ154" i="413" s="1"/>
  <c r="Y248" i="413"/>
  <c r="AK248" i="413" s="1"/>
  <c r="X191" i="413"/>
  <c r="AJ191" i="413" s="1"/>
  <c r="X138" i="413"/>
  <c r="AJ138" i="413" s="1"/>
  <c r="X288" i="413"/>
  <c r="AJ288" i="413" s="1"/>
  <c r="Y97" i="413"/>
  <c r="AK97" i="413" s="1"/>
  <c r="Y145" i="413"/>
  <c r="AK145" i="413" s="1"/>
  <c r="X124" i="413"/>
  <c r="AJ124" i="413" s="1"/>
  <c r="Y196" i="413"/>
  <c r="AK196" i="413" s="1"/>
  <c r="X137" i="413"/>
  <c r="AJ137" i="413" s="1"/>
  <c r="Y128" i="413"/>
  <c r="AK128" i="413" s="1"/>
  <c r="Y150" i="413"/>
  <c r="AK150" i="413" s="1"/>
  <c r="Y110" i="413"/>
  <c r="AK110" i="413" s="1"/>
  <c r="Y134" i="413"/>
  <c r="AK134" i="413" s="1"/>
  <c r="AJ405" i="413"/>
  <c r="X405" i="413"/>
  <c r="W404" i="413"/>
  <c r="AI404" i="413" s="1"/>
  <c r="AI396" i="413"/>
  <c r="W396" i="413"/>
  <c r="X368" i="413"/>
  <c r="AJ368" i="413" s="1"/>
  <c r="AJ381" i="413"/>
  <c r="X381" i="413"/>
  <c r="W352" i="413"/>
  <c r="AI352" i="413" s="1"/>
  <c r="W310" i="413"/>
  <c r="AI310" i="413" s="1"/>
  <c r="X336" i="413"/>
  <c r="AJ336" i="413" s="1"/>
  <c r="X332" i="413"/>
  <c r="AJ332" i="413" s="1"/>
  <c r="X376" i="413"/>
  <c r="AJ376" i="413" s="1"/>
  <c r="X329" i="413"/>
  <c r="AJ329" i="413" s="1"/>
  <c r="Y367" i="413"/>
  <c r="AK367" i="413" s="1"/>
  <c r="X277" i="413"/>
  <c r="AJ277" i="413" s="1"/>
  <c r="W225" i="413"/>
  <c r="AI225" i="413" s="1"/>
  <c r="X260" i="413"/>
  <c r="AJ260" i="413" s="1"/>
  <c r="W328" i="413"/>
  <c r="AI328" i="413" s="1"/>
  <c r="X235" i="413"/>
  <c r="AJ235" i="413" s="1"/>
  <c r="X203" i="413"/>
  <c r="AJ203" i="413" s="1"/>
  <c r="X187" i="413"/>
  <c r="AJ187" i="413" s="1"/>
  <c r="X312" i="413"/>
  <c r="AJ312" i="413" s="1"/>
  <c r="X304" i="413"/>
  <c r="AJ304" i="413" s="1"/>
  <c r="X170" i="413"/>
  <c r="AJ170" i="413" s="1"/>
  <c r="AI416" i="413"/>
  <c r="W416" i="413"/>
  <c r="W299" i="413"/>
  <c r="AI299" i="413" s="1"/>
  <c r="X271" i="413"/>
  <c r="AJ271" i="413" s="1"/>
  <c r="X296" i="413"/>
  <c r="AJ296" i="413" s="1"/>
  <c r="W226" i="413"/>
  <c r="AI226" i="413" s="1"/>
  <c r="X160" i="413"/>
  <c r="AJ160" i="413" s="1"/>
  <c r="AI125" i="413"/>
  <c r="W125" i="413"/>
  <c r="X104" i="413"/>
  <c r="AJ104" i="413" s="1"/>
  <c r="Y252" i="413"/>
  <c r="AK252" i="413" s="1"/>
  <c r="Y220" i="413"/>
  <c r="AK220" i="413" s="1"/>
  <c r="Y188" i="413"/>
  <c r="AK188" i="413" s="1"/>
  <c r="X183" i="413"/>
  <c r="AJ183" i="413" s="1"/>
  <c r="AJ144" i="413"/>
  <c r="X144" i="413"/>
  <c r="X92" i="413"/>
  <c r="AJ92" i="413" s="1"/>
  <c r="W99" i="413"/>
  <c r="AI99" i="413" s="1"/>
  <c r="Y276" i="413"/>
  <c r="AK276" i="413" s="1"/>
  <c r="X231" i="413"/>
  <c r="AJ231" i="413" s="1"/>
  <c r="X199" i="413"/>
  <c r="AJ199" i="413" s="1"/>
  <c r="AJ116" i="413"/>
  <c r="X116" i="413"/>
  <c r="Y118" i="413"/>
  <c r="AK118" i="413" s="1"/>
  <c r="X100" i="413"/>
  <c r="AJ100" i="413" s="1"/>
  <c r="W242" i="413"/>
  <c r="AI242" i="413" s="1"/>
  <c r="W210" i="413"/>
  <c r="AI210" i="413" s="1"/>
  <c r="Y192" i="413"/>
  <c r="AK192" i="413" s="1"/>
  <c r="AJ148" i="413"/>
  <c r="X148" i="413"/>
  <c r="W117" i="413"/>
  <c r="AI117" i="413" s="1"/>
  <c r="AI149" i="413"/>
  <c r="W149" i="413"/>
  <c r="W400" i="413"/>
  <c r="AI400" i="413" s="1"/>
  <c r="AI392" i="413"/>
  <c r="W392" i="413"/>
  <c r="W401" i="413"/>
  <c r="AI401" i="413" s="1"/>
  <c r="W363" i="413"/>
  <c r="AI363" i="413" s="1"/>
  <c r="W385" i="413"/>
  <c r="AI385" i="413" s="1"/>
  <c r="W369" i="413"/>
  <c r="AI369" i="413" s="1"/>
  <c r="W318" i="413"/>
  <c r="AI318" i="413" s="1"/>
  <c r="W302" i="413"/>
  <c r="AI302" i="413" s="1"/>
  <c r="W286" i="413"/>
  <c r="AI286" i="413" s="1"/>
  <c r="W265" i="413"/>
  <c r="AI265" i="413" s="1"/>
  <c r="W339" i="413"/>
  <c r="AI339" i="413" s="1"/>
  <c r="X325" i="413"/>
  <c r="AJ325" i="413" s="1"/>
  <c r="X293" i="413"/>
  <c r="AJ293" i="413" s="1"/>
  <c r="W249" i="413"/>
  <c r="AI249" i="413" s="1"/>
  <c r="AI233" i="413"/>
  <c r="W233" i="413"/>
  <c r="W217" i="413"/>
  <c r="AI217" i="413" s="1"/>
  <c r="AI201" i="413"/>
  <c r="W201" i="413"/>
  <c r="W185" i="413"/>
  <c r="AI185" i="413" s="1"/>
  <c r="X243" i="413"/>
  <c r="AJ243" i="413" s="1"/>
  <c r="X227" i="413"/>
  <c r="AJ227" i="413" s="1"/>
  <c r="X211" i="413"/>
  <c r="AJ211" i="413" s="1"/>
  <c r="X195" i="413"/>
  <c r="AJ195" i="413" s="1"/>
  <c r="W307" i="413"/>
  <c r="AI307" i="413" s="1"/>
  <c r="W282" i="413"/>
  <c r="AI282" i="413" s="1"/>
  <c r="W98" i="413"/>
  <c r="AI98" i="413" s="1"/>
  <c r="AI346" i="413"/>
  <c r="W346" i="413"/>
  <c r="W270" i="413"/>
  <c r="AI270" i="413" s="1"/>
  <c r="W323" i="413"/>
  <c r="AI323" i="413" s="1"/>
  <c r="AI157" i="413"/>
  <c r="W157" i="413"/>
  <c r="X136" i="413"/>
  <c r="AJ136" i="413" s="1"/>
  <c r="W291" i="413"/>
  <c r="AI291" i="413" s="1"/>
  <c r="W234" i="413"/>
  <c r="AI234" i="413" s="1"/>
  <c r="W202" i="413"/>
  <c r="AI202" i="413" s="1"/>
  <c r="Y177" i="413"/>
  <c r="AK177" i="413" s="1"/>
  <c r="AI133" i="413"/>
  <c r="W133" i="413"/>
  <c r="X112" i="413"/>
  <c r="AJ112" i="413" s="1"/>
  <c r="X96" i="413"/>
  <c r="AJ96" i="413" s="1"/>
  <c r="W179" i="413"/>
  <c r="AI179" i="413" s="1"/>
  <c r="X131" i="413"/>
  <c r="AJ131" i="413" s="1"/>
  <c r="AI103" i="413"/>
  <c r="W103" i="413"/>
  <c r="W250" i="413"/>
  <c r="AI250" i="413" s="1"/>
  <c r="W218" i="413"/>
  <c r="AI218" i="413" s="1"/>
  <c r="W186" i="413"/>
  <c r="AI186" i="413" s="1"/>
  <c r="X139" i="413"/>
  <c r="AJ139" i="413" s="1"/>
  <c r="X107" i="413"/>
  <c r="AJ107" i="413" s="1"/>
  <c r="X415" i="413"/>
  <c r="AJ415" i="413" s="1"/>
  <c r="X413" i="413"/>
  <c r="AJ413" i="413" s="1"/>
  <c r="AI412" i="413"/>
  <c r="W412" i="413"/>
  <c r="X394" i="413"/>
  <c r="AJ394" i="413"/>
  <c r="W402" i="413"/>
  <c r="AI402" i="413"/>
  <c r="W355" i="413"/>
  <c r="AI355" i="413" s="1"/>
  <c r="W348" i="413"/>
  <c r="AI348" i="413" s="1"/>
  <c r="W378" i="413"/>
  <c r="AI378" i="413"/>
  <c r="X364" i="413"/>
  <c r="AJ364" i="413"/>
  <c r="X389" i="413"/>
  <c r="AJ389" i="413" s="1"/>
  <c r="W360" i="413"/>
  <c r="AI360" i="413" s="1"/>
  <c r="X341" i="413"/>
  <c r="AJ341" i="413" s="1"/>
  <c r="W294" i="413"/>
  <c r="AI294" i="413" s="1"/>
  <c r="X342" i="413"/>
  <c r="AJ342" i="413" s="1"/>
  <c r="W257" i="413"/>
  <c r="AI257" i="413" s="1"/>
  <c r="X309" i="413"/>
  <c r="AJ309" i="413"/>
  <c r="W241" i="413"/>
  <c r="AI241" i="413" s="1"/>
  <c r="W209" i="413"/>
  <c r="AI209" i="413" s="1"/>
  <c r="W193" i="413"/>
  <c r="AI193" i="413" s="1"/>
  <c r="X268" i="413"/>
  <c r="AJ268" i="413"/>
  <c r="X251" i="413"/>
  <c r="AJ251" i="413"/>
  <c r="X219" i="413"/>
  <c r="AJ219" i="413"/>
  <c r="Y280" i="413"/>
  <c r="AK280" i="413"/>
  <c r="X178" i="413"/>
  <c r="AJ178" i="413" s="1"/>
  <c r="X162" i="413"/>
  <c r="AJ162" i="413" s="1"/>
  <c r="W327" i="413"/>
  <c r="AI327" i="413"/>
  <c r="X278" i="413"/>
  <c r="AJ278" i="413" s="1"/>
  <c r="X255" i="413"/>
  <c r="AJ255" i="413" s="1"/>
  <c r="Y240" i="413"/>
  <c r="AK240" i="413"/>
  <c r="Y208" i="413"/>
  <c r="AK208" i="413" s="1"/>
  <c r="W194" i="413"/>
  <c r="AI194" i="413"/>
  <c r="X247" i="413"/>
  <c r="AJ247" i="413" s="1"/>
  <c r="X215" i="413"/>
  <c r="AJ215" i="413"/>
  <c r="W101" i="413"/>
  <c r="AI101" i="413" s="1"/>
  <c r="W135" i="413"/>
  <c r="AI135" i="413" s="1"/>
  <c r="X106" i="413"/>
  <c r="AJ106" i="413" s="1"/>
  <c r="X146" i="413"/>
  <c r="AJ146" i="413" s="1"/>
  <c r="W111" i="413"/>
  <c r="AI111" i="413" s="1"/>
  <c r="Y236" i="413"/>
  <c r="AK236" i="413"/>
  <c r="Y204" i="413"/>
  <c r="AK204" i="413"/>
  <c r="X180" i="413"/>
  <c r="AJ180" i="413"/>
  <c r="Y93" i="413"/>
  <c r="AK93" i="413"/>
  <c r="X156" i="413"/>
  <c r="AJ156" i="413" s="1"/>
  <c r="Y113" i="413"/>
  <c r="AK113" i="413" s="1"/>
  <c r="X108" i="413"/>
  <c r="AJ108" i="413" s="1"/>
  <c r="W403" i="413"/>
  <c r="AI403" i="413" s="1"/>
  <c r="X393" i="413"/>
  <c r="AJ393" i="413" s="1"/>
  <c r="W408" i="413"/>
  <c r="AI408" i="413" s="1"/>
  <c r="X380" i="413"/>
  <c r="AJ380" i="413" s="1"/>
  <c r="W351" i="413"/>
  <c r="AI351" i="413" s="1"/>
  <c r="W397" i="413"/>
  <c r="AI397" i="413"/>
  <c r="W373" i="413"/>
  <c r="AI373" i="413"/>
  <c r="X365" i="413"/>
  <c r="AJ365" i="413" s="1"/>
  <c r="Y391" i="413"/>
  <c r="AK391" i="413"/>
  <c r="X386" i="413"/>
  <c r="AJ386" i="413" s="1"/>
  <c r="X377" i="413"/>
  <c r="AJ377" i="413" s="1"/>
  <c r="X345" i="413"/>
  <c r="AJ345" i="413" s="1"/>
  <c r="W322" i="413"/>
  <c r="AI322" i="413" s="1"/>
  <c r="W306" i="413"/>
  <c r="AI306" i="413" s="1"/>
  <c r="W290" i="413"/>
  <c r="AI290" i="413" s="1"/>
  <c r="X331" i="413"/>
  <c r="AJ331" i="413" s="1"/>
  <c r="Y358" i="413"/>
  <c r="AK358" i="413" s="1"/>
  <c r="X347" i="413"/>
  <c r="AJ347" i="413" s="1"/>
  <c r="X340" i="413"/>
  <c r="AJ340" i="413"/>
  <c r="W269" i="413"/>
  <c r="AI269" i="413" s="1"/>
  <c r="Y395" i="413"/>
  <c r="AK395" i="413"/>
  <c r="Y344" i="413"/>
  <c r="AK344" i="413" s="1"/>
  <c r="X324" i="413"/>
  <c r="AJ324" i="413"/>
  <c r="X316" i="413"/>
  <c r="AJ316" i="413"/>
  <c r="X308" i="413"/>
  <c r="AJ308" i="413"/>
  <c r="X300" i="413"/>
  <c r="AJ300" i="413"/>
  <c r="X292" i="413"/>
  <c r="AJ292" i="413"/>
  <c r="X284" i="413"/>
  <c r="AJ284" i="413"/>
  <c r="W398" i="413"/>
  <c r="AI398" i="413"/>
  <c r="X301" i="413"/>
  <c r="AJ301" i="413"/>
  <c r="W253" i="413"/>
  <c r="AI253" i="413" s="1"/>
  <c r="W237" i="413"/>
  <c r="AI237" i="413" s="1"/>
  <c r="W221" i="413"/>
  <c r="AI221" i="413" s="1"/>
  <c r="W205" i="413"/>
  <c r="AI205" i="413" s="1"/>
  <c r="W189" i="413"/>
  <c r="AI189" i="413" s="1"/>
  <c r="W356" i="413"/>
  <c r="AI356" i="413"/>
  <c r="Y305" i="413"/>
  <c r="AK305" i="413" s="1"/>
  <c r="W315" i="413"/>
  <c r="AI315" i="413"/>
  <c r="X283" i="413"/>
  <c r="AJ283" i="413" s="1"/>
  <c r="W275" i="413"/>
  <c r="AI275" i="413"/>
  <c r="W262" i="413"/>
  <c r="AI262" i="413" s="1"/>
  <c r="W246" i="413"/>
  <c r="AI246" i="413"/>
  <c r="W230" i="413"/>
  <c r="AI230" i="413" s="1"/>
  <c r="W214" i="413"/>
  <c r="AI214" i="413"/>
  <c r="W198" i="413"/>
  <c r="AI198" i="413" s="1"/>
  <c r="X182" i="413"/>
  <c r="AJ182" i="413" s="1"/>
  <c r="W266" i="413"/>
  <c r="AI266" i="413"/>
  <c r="W159" i="413"/>
  <c r="AI159" i="413" s="1"/>
  <c r="X147" i="413"/>
  <c r="AJ147" i="413" s="1"/>
  <c r="W119" i="413"/>
  <c r="AI119" i="413" s="1"/>
  <c r="X123" i="413"/>
  <c r="AJ123" i="413" s="1"/>
  <c r="X320" i="413"/>
  <c r="AJ320" i="413"/>
  <c r="Y224" i="413"/>
  <c r="AK224" i="413"/>
  <c r="X152" i="413"/>
  <c r="AJ152" i="413" s="1"/>
  <c r="W109" i="413"/>
  <c r="AI109" i="413" s="1"/>
  <c r="W143" i="413"/>
  <c r="AI143" i="413" s="1"/>
  <c r="W171" i="413"/>
  <c r="AI171" i="413" s="1"/>
  <c r="W388" i="413"/>
  <c r="AI388" i="413" s="1"/>
  <c r="X384" i="413"/>
  <c r="AJ384" i="413" s="1"/>
  <c r="W359" i="413"/>
  <c r="AI359" i="413" s="1"/>
  <c r="X362" i="413"/>
  <c r="AJ362" i="413"/>
  <c r="W314" i="413"/>
  <c r="AI314" i="413" s="1"/>
  <c r="W298" i="413"/>
  <c r="AI298" i="413" s="1"/>
  <c r="W261" i="413"/>
  <c r="AI261" i="413" s="1"/>
  <c r="W334" i="413"/>
  <c r="AI334" i="413" s="1"/>
  <c r="W319" i="413"/>
  <c r="AI319" i="413"/>
  <c r="W311" i="413"/>
  <c r="AI311" i="413"/>
  <c r="W303" i="413"/>
  <c r="AI303" i="413"/>
  <c r="W295" i="413"/>
  <c r="AI295" i="413"/>
  <c r="W287" i="413"/>
  <c r="AI287" i="413"/>
  <c r="X281" i="413"/>
  <c r="AJ281" i="413" s="1"/>
  <c r="W335" i="413"/>
  <c r="AI335" i="413"/>
  <c r="X317" i="413"/>
  <c r="AJ317" i="413" s="1"/>
  <c r="X285" i="413"/>
  <c r="AJ285" i="413"/>
  <c r="W245" i="413"/>
  <c r="AI245" i="413" s="1"/>
  <c r="W229" i="413"/>
  <c r="AI229" i="413" s="1"/>
  <c r="W213" i="413"/>
  <c r="AI213" i="413" s="1"/>
  <c r="W197" i="413"/>
  <c r="AI197" i="413" s="1"/>
  <c r="X279" i="413"/>
  <c r="AJ279" i="413" s="1"/>
  <c r="W254" i="413"/>
  <c r="AI254" i="413" s="1"/>
  <c r="W238" i="413"/>
  <c r="AI238" i="413"/>
  <c r="W222" i="413"/>
  <c r="AI222" i="413"/>
  <c r="W206" i="413"/>
  <c r="AI206" i="413"/>
  <c r="W190" i="413"/>
  <c r="AI190" i="413"/>
  <c r="X175" i="413"/>
  <c r="AJ175" i="413" s="1"/>
  <c r="X167" i="413"/>
  <c r="AJ167" i="413" s="1"/>
  <c r="W94" i="413"/>
  <c r="X326" i="413"/>
  <c r="AJ326" i="413"/>
  <c r="W163" i="413"/>
  <c r="AI163" i="413" s="1"/>
  <c r="W151" i="413"/>
  <c r="AI151" i="413" s="1"/>
  <c r="X122" i="413"/>
  <c r="AJ122" i="413" s="1"/>
  <c r="X115" i="413"/>
  <c r="AJ115" i="413" s="1"/>
  <c r="W259" i="413"/>
  <c r="AI259" i="413"/>
  <c r="X155" i="413"/>
  <c r="AJ155" i="413" s="1"/>
  <c r="W127" i="413"/>
  <c r="AI127" i="413" s="1"/>
  <c r="W95" i="413"/>
  <c r="AI95" i="413"/>
  <c r="W258" i="413"/>
  <c r="AI258" i="413"/>
  <c r="W141" i="413"/>
  <c r="AI141" i="413" s="1"/>
  <c r="X120" i="413"/>
  <c r="AJ120" i="413" s="1"/>
  <c r="X114" i="413"/>
  <c r="AJ114" i="413" s="1"/>
  <c r="X174" i="413"/>
  <c r="AJ174" i="413" s="1"/>
  <c r="X161" i="413"/>
  <c r="AJ161" i="413"/>
  <c r="Y102" i="413"/>
  <c r="AK102" i="413"/>
  <c r="W522" i="413" l="1"/>
  <c r="Y496" i="413"/>
  <c r="AK496" i="413" s="1"/>
  <c r="X480" i="413"/>
  <c r="AJ480" i="413" s="1"/>
  <c r="Y491" i="413"/>
  <c r="AK491" i="413" s="1"/>
  <c r="X516" i="413"/>
  <c r="AJ516" i="413" s="1"/>
  <c r="Y492" i="413"/>
  <c r="AK492" i="413" s="1"/>
  <c r="X472" i="413"/>
  <c r="AJ472" i="413" s="1"/>
  <c r="Y487" i="413"/>
  <c r="AK487" i="413" s="1"/>
  <c r="AK503" i="413"/>
  <c r="Y503" i="413"/>
  <c r="X517" i="413"/>
  <c r="AJ517" i="413" s="1"/>
  <c r="X482" i="413"/>
  <c r="AJ482" i="413" s="1"/>
  <c r="Y488" i="413"/>
  <c r="AK488" i="413" s="1"/>
  <c r="AK504" i="413"/>
  <c r="Y504" i="413"/>
  <c r="X519" i="413"/>
  <c r="AJ519" i="413" s="1"/>
  <c r="AK499" i="413"/>
  <c r="Y499" i="413"/>
  <c r="X515" i="413"/>
  <c r="AJ515" i="413"/>
  <c r="X511" i="413"/>
  <c r="AJ511" i="413" s="1"/>
  <c r="X474" i="413"/>
  <c r="AJ474" i="413"/>
  <c r="AK500" i="413"/>
  <c r="Y500" i="413"/>
  <c r="X514" i="413"/>
  <c r="AJ514" i="413" s="1"/>
  <c r="AK495" i="413"/>
  <c r="Y495" i="413"/>
  <c r="W507" i="413"/>
  <c r="AK486" i="413"/>
  <c r="Y486" i="413"/>
  <c r="Y494" i="413"/>
  <c r="AK494" i="413" s="1"/>
  <c r="AK489" i="413"/>
  <c r="Y489" i="413"/>
  <c r="Y497" i="413"/>
  <c r="AK497" i="413" s="1"/>
  <c r="AK505" i="413"/>
  <c r="Y505" i="413"/>
  <c r="W481" i="413"/>
  <c r="AI481" i="413" s="1"/>
  <c r="X513" i="413"/>
  <c r="AJ513" i="413" s="1"/>
  <c r="W483" i="413"/>
  <c r="AI483" i="413" s="1"/>
  <c r="AI509" i="413"/>
  <c r="W509" i="413"/>
  <c r="W475" i="413"/>
  <c r="AI475" i="413" s="1"/>
  <c r="X512" i="413"/>
  <c r="AJ512" i="413" s="1"/>
  <c r="W508" i="413"/>
  <c r="AI508" i="413" s="1"/>
  <c r="X476" i="413"/>
  <c r="AJ476" i="413" s="1"/>
  <c r="X484" i="413"/>
  <c r="AJ484" i="413"/>
  <c r="X506" i="413"/>
  <c r="AJ506" i="413" s="1"/>
  <c r="W477" i="413"/>
  <c r="AI477" i="413" s="1"/>
  <c r="X478" i="413"/>
  <c r="AJ478" i="413" s="1"/>
  <c r="Y490" i="413"/>
  <c r="AK490" i="413" s="1"/>
  <c r="AK498" i="413"/>
  <c r="Y498" i="413"/>
  <c r="Y502" i="413"/>
  <c r="AK502" i="413" s="1"/>
  <c r="AI479" i="413"/>
  <c r="W479" i="413"/>
  <c r="Y485" i="413"/>
  <c r="AK485" i="413" s="1"/>
  <c r="AK493" i="413"/>
  <c r="Y493" i="413"/>
  <c r="Y501" i="413"/>
  <c r="AK501" i="413" s="1"/>
  <c r="X518" i="413"/>
  <c r="AJ518" i="413" s="1"/>
  <c r="W471" i="413"/>
  <c r="AI471" i="413" s="1"/>
  <c r="AI510" i="413"/>
  <c r="W510" i="413"/>
  <c r="W473" i="413"/>
  <c r="AI473" i="413" s="1"/>
  <c r="AJ468" i="413"/>
  <c r="Z465" i="413"/>
  <c r="AL465" i="413" s="1"/>
  <c r="X462" i="413"/>
  <c r="AJ462" i="413" s="1"/>
  <c r="X461" i="413"/>
  <c r="AJ461" i="413" s="1"/>
  <c r="X426" i="413"/>
  <c r="AJ426" i="413" s="1"/>
  <c r="X457" i="413"/>
  <c r="AJ457" i="413" s="1"/>
  <c r="Y421" i="413"/>
  <c r="AK421" i="413" s="1"/>
  <c r="AJ422" i="413"/>
  <c r="X422" i="413"/>
  <c r="Y425" i="413"/>
  <c r="AK425" i="413" s="1"/>
  <c r="X453" i="413"/>
  <c r="AJ453" i="413" s="1"/>
  <c r="X439" i="413"/>
  <c r="AJ439" i="413"/>
  <c r="AJ445" i="413"/>
  <c r="X445" i="413"/>
  <c r="X430" i="413"/>
  <c r="AJ430" i="413" s="1"/>
  <c r="AJ442" i="413"/>
  <c r="X442" i="413"/>
  <c r="X427" i="413"/>
  <c r="AJ427" i="413" s="1"/>
  <c r="X432" i="413"/>
  <c r="AJ432" i="413" s="1"/>
  <c r="Y437" i="413"/>
  <c r="AK437" i="413" s="1"/>
  <c r="AL456" i="413"/>
  <c r="Z456" i="413"/>
  <c r="Y429" i="413"/>
  <c r="AK429" i="413" s="1"/>
  <c r="X423" i="413"/>
  <c r="AJ423" i="413" s="1"/>
  <c r="X443" i="413"/>
  <c r="AJ443" i="413"/>
  <c r="X447" i="413"/>
  <c r="AJ447" i="413" s="1"/>
  <c r="X438" i="413"/>
  <c r="AJ438" i="413" s="1"/>
  <c r="AK434" i="413"/>
  <c r="Y434" i="413"/>
  <c r="W436" i="413"/>
  <c r="AI436" i="413" s="1"/>
  <c r="AI449" i="413"/>
  <c r="W449" i="413"/>
  <c r="W420" i="413"/>
  <c r="AI420" i="413"/>
  <c r="W440" i="413"/>
  <c r="AI440" i="413" s="1"/>
  <c r="W431" i="413"/>
  <c r="AI431" i="413" s="1"/>
  <c r="X424" i="413"/>
  <c r="AJ424" i="413" s="1"/>
  <c r="Y428" i="413"/>
  <c r="AK428" i="413" s="1"/>
  <c r="AJ450" i="413"/>
  <c r="X450" i="413"/>
  <c r="W444" i="413"/>
  <c r="AI444" i="413"/>
  <c r="AI455" i="413"/>
  <c r="W455" i="413"/>
  <c r="X448" i="413"/>
  <c r="AJ448" i="413" s="1"/>
  <c r="AK441" i="413"/>
  <c r="Y441" i="413"/>
  <c r="Y452" i="413"/>
  <c r="AK452" i="413"/>
  <c r="W458" i="413"/>
  <c r="AI458" i="413" s="1"/>
  <c r="W451" i="413"/>
  <c r="AI451" i="413" s="1"/>
  <c r="AI435" i="413"/>
  <c r="W435" i="413"/>
  <c r="X433" i="413"/>
  <c r="AJ433" i="413" s="1"/>
  <c r="W454" i="413"/>
  <c r="AI454" i="413" s="1"/>
  <c r="W446" i="413"/>
  <c r="AI446" i="413" s="1"/>
  <c r="Y142" i="413"/>
  <c r="AK142" i="413" s="1"/>
  <c r="AJ354" i="413"/>
  <c r="W418" i="413"/>
  <c r="Y155" i="413"/>
  <c r="AK155" i="413" s="1"/>
  <c r="Y384" i="413"/>
  <c r="AK384" i="413"/>
  <c r="X221" i="413"/>
  <c r="AJ221" i="413" s="1"/>
  <c r="Y331" i="413"/>
  <c r="AK331" i="413" s="1"/>
  <c r="Y146" i="413"/>
  <c r="AK146" i="413"/>
  <c r="X294" i="413"/>
  <c r="AJ294" i="413" s="1"/>
  <c r="X218" i="413"/>
  <c r="AJ218" i="413" s="1"/>
  <c r="X141" i="413"/>
  <c r="AJ141" i="413"/>
  <c r="X229" i="413"/>
  <c r="AJ229" i="413" s="1"/>
  <c r="Y281" i="413"/>
  <c r="AK281" i="413"/>
  <c r="X261" i="413"/>
  <c r="AJ261" i="413"/>
  <c r="Y152" i="413"/>
  <c r="AK152" i="413" s="1"/>
  <c r="X159" i="413"/>
  <c r="AJ159" i="413" s="1"/>
  <c r="X189" i="413"/>
  <c r="AJ189" i="413" s="1"/>
  <c r="X253" i="413"/>
  <c r="AJ253" i="413" s="1"/>
  <c r="X269" i="413"/>
  <c r="AJ269" i="413"/>
  <c r="X306" i="413"/>
  <c r="AJ306" i="413" s="1"/>
  <c r="Y365" i="413"/>
  <c r="AK365" i="413" s="1"/>
  <c r="Y156" i="413"/>
  <c r="AK156" i="413" s="1"/>
  <c r="X135" i="413"/>
  <c r="AJ135" i="413" s="1"/>
  <c r="X257" i="413"/>
  <c r="AJ257" i="413"/>
  <c r="Y415" i="413"/>
  <c r="AK415" i="413"/>
  <c r="X234" i="413"/>
  <c r="AJ234" i="413" s="1"/>
  <c r="X282" i="413"/>
  <c r="AJ282" i="413" s="1"/>
  <c r="Y293" i="413"/>
  <c r="AK293" i="413"/>
  <c r="Z220" i="413"/>
  <c r="AL220" i="413" s="1"/>
  <c r="X127" i="413"/>
  <c r="AJ127" i="413" s="1"/>
  <c r="Y115" i="413"/>
  <c r="AK115" i="413" s="1"/>
  <c r="Y167" i="413"/>
  <c r="AK167" i="413" s="1"/>
  <c r="X245" i="413"/>
  <c r="AJ245" i="413" s="1"/>
  <c r="X298" i="413"/>
  <c r="AJ298" i="413" s="1"/>
  <c r="X359" i="413"/>
  <c r="AJ359" i="413"/>
  <c r="Y123" i="413"/>
  <c r="AK123" i="413" s="1"/>
  <c r="X205" i="413"/>
  <c r="AJ205" i="413" s="1"/>
  <c r="Z344" i="413"/>
  <c r="AL344" i="413" s="1"/>
  <c r="X322" i="413"/>
  <c r="AJ322" i="413" s="1"/>
  <c r="X351" i="413"/>
  <c r="AJ351" i="413"/>
  <c r="X403" i="413"/>
  <c r="AJ403" i="413"/>
  <c r="X111" i="413"/>
  <c r="AJ111" i="413" s="1"/>
  <c r="X101" i="413"/>
  <c r="AJ101" i="413" s="1"/>
  <c r="Y162" i="413"/>
  <c r="AK162" i="413" s="1"/>
  <c r="X241" i="413"/>
  <c r="AJ241" i="413" s="1"/>
  <c r="Y342" i="413"/>
  <c r="AK342" i="413" s="1"/>
  <c r="X348" i="413"/>
  <c r="AJ348" i="413" s="1"/>
  <c r="X186" i="413"/>
  <c r="AJ186" i="413" s="1"/>
  <c r="Y96" i="413"/>
  <c r="AK96" i="413" s="1"/>
  <c r="X291" i="413"/>
  <c r="AJ291" i="413" s="1"/>
  <c r="X307" i="413"/>
  <c r="AJ307" i="413" s="1"/>
  <c r="Y243" i="413"/>
  <c r="AK243" i="413" s="1"/>
  <c r="Y325" i="413"/>
  <c r="AK325" i="413"/>
  <c r="Z252" i="413"/>
  <c r="AL252" i="413" s="1"/>
  <c r="Y296" i="413"/>
  <c r="AK296" i="413" s="1"/>
  <c r="Y312" i="413"/>
  <c r="AK312" i="413" s="1"/>
  <c r="X328" i="413"/>
  <c r="AJ328" i="413" s="1"/>
  <c r="Z97" i="413"/>
  <c r="AL97" i="413" s="1"/>
  <c r="Y191" i="413"/>
  <c r="AK191" i="413" s="1"/>
  <c r="Y172" i="413"/>
  <c r="AK172" i="413" s="1"/>
  <c r="Y272" i="413"/>
  <c r="AK272" i="413"/>
  <c r="Y374" i="413"/>
  <c r="AK374" i="413" s="1"/>
  <c r="Y349" i="413"/>
  <c r="AK349" i="413" s="1"/>
  <c r="Y411" i="413"/>
  <c r="AK411" i="413"/>
  <c r="Y164" i="413"/>
  <c r="AK164" i="413" s="1"/>
  <c r="Y130" i="413"/>
  <c r="AK130" i="413" s="1"/>
  <c r="Z379" i="413"/>
  <c r="AL379" i="413" s="1"/>
  <c r="Y370" i="413"/>
  <c r="AK370" i="413" s="1"/>
  <c r="Z216" i="413"/>
  <c r="AL216" i="413" s="1"/>
  <c r="Y239" i="413"/>
  <c r="AK239" i="413" s="1"/>
  <c r="Z289" i="413"/>
  <c r="AL289" i="413" s="1"/>
  <c r="Z200" i="413"/>
  <c r="AL200" i="413" s="1"/>
  <c r="Y168" i="413"/>
  <c r="AK168" i="413" s="1"/>
  <c r="Y406" i="413"/>
  <c r="AK406" i="413" s="1"/>
  <c r="Y175" i="413"/>
  <c r="AK175" i="413" s="1"/>
  <c r="X143" i="413"/>
  <c r="AJ143" i="413" s="1"/>
  <c r="Y380" i="413"/>
  <c r="AK380" i="413"/>
  <c r="Y278" i="413"/>
  <c r="AK278" i="413" s="1"/>
  <c r="Y389" i="413"/>
  <c r="AK389" i="413" s="1"/>
  <c r="X323" i="413"/>
  <c r="AJ323" i="413" s="1"/>
  <c r="Y195" i="413"/>
  <c r="AK195" i="413" s="1"/>
  <c r="X339" i="413"/>
  <c r="AJ339" i="413" s="1"/>
  <c r="Z192" i="413"/>
  <c r="AL192" i="413" s="1"/>
  <c r="AK199" i="413"/>
  <c r="Y199" i="413"/>
  <c r="Y183" i="413"/>
  <c r="AK183" i="413" s="1"/>
  <c r="Y271" i="413"/>
  <c r="AK271" i="413" s="1"/>
  <c r="Y187" i="413"/>
  <c r="AK187" i="413" s="1"/>
  <c r="Y260" i="413"/>
  <c r="AK260" i="413" s="1"/>
  <c r="Z134" i="413"/>
  <c r="AL134" i="413" s="1"/>
  <c r="Y288" i="413"/>
  <c r="AK288" i="413" s="1"/>
  <c r="Z248" i="413"/>
  <c r="AL248" i="413" s="1"/>
  <c r="Z244" i="413"/>
  <c r="AL244" i="413" s="1"/>
  <c r="Z321" i="413"/>
  <c r="AL321" i="413" s="1"/>
  <c r="Y333" i="413"/>
  <c r="AK333" i="413" s="1"/>
  <c r="Z387" i="413"/>
  <c r="AL387" i="413" s="1"/>
  <c r="Z212" i="413"/>
  <c r="AL212" i="413" s="1"/>
  <c r="Y166" i="413"/>
  <c r="AK166" i="413" s="1"/>
  <c r="Z126" i="413"/>
  <c r="AL126" i="413" s="1"/>
  <c r="Y176" i="413"/>
  <c r="AK176" i="413" s="1"/>
  <c r="AK129" i="413"/>
  <c r="Y129" i="413"/>
  <c r="Y407" i="413"/>
  <c r="AK407" i="413"/>
  <c r="AK120" i="413"/>
  <c r="Y120" i="413"/>
  <c r="X151" i="413"/>
  <c r="AJ151" i="413" s="1"/>
  <c r="X254" i="413"/>
  <c r="AJ254" i="413" s="1"/>
  <c r="X213" i="413"/>
  <c r="AJ213" i="413" s="1"/>
  <c r="X334" i="413"/>
  <c r="AJ334" i="413" s="1"/>
  <c r="X388" i="413"/>
  <c r="AJ388" i="413" s="1"/>
  <c r="X109" i="413"/>
  <c r="AJ109" i="413" s="1"/>
  <c r="Y147" i="413"/>
  <c r="AK147" i="413" s="1"/>
  <c r="Y182" i="413"/>
  <c r="AK182" i="413" s="1"/>
  <c r="X237" i="413"/>
  <c r="AJ237" i="413" s="1"/>
  <c r="Y347" i="413"/>
  <c r="AK347" i="413" s="1"/>
  <c r="X290" i="413"/>
  <c r="AJ290" i="413" s="1"/>
  <c r="Y377" i="413"/>
  <c r="AK377" i="413" s="1"/>
  <c r="X408" i="413"/>
  <c r="AJ408" i="413" s="1"/>
  <c r="Z113" i="413"/>
  <c r="AL113" i="413" s="1"/>
  <c r="Y106" i="413"/>
  <c r="AK106" i="413"/>
  <c r="X193" i="413"/>
  <c r="AJ193" i="413" s="1"/>
  <c r="Y341" i="413"/>
  <c r="AK341" i="413"/>
  <c r="X250" i="413"/>
  <c r="AJ250" i="413" s="1"/>
  <c r="X202" i="413"/>
  <c r="AJ202" i="413" s="1"/>
  <c r="X270" i="413"/>
  <c r="AJ270" i="413" s="1"/>
  <c r="Y211" i="413"/>
  <c r="AK211" i="413" s="1"/>
  <c r="X369" i="413"/>
  <c r="AJ369" i="413" s="1"/>
  <c r="X401" i="413"/>
  <c r="AJ401" i="413" s="1"/>
  <c r="X210" i="413"/>
  <c r="AJ210" i="413" s="1"/>
  <c r="Z118" i="413"/>
  <c r="AL118" i="413" s="1"/>
  <c r="Y231" i="413"/>
  <c r="AK231" i="413" s="1"/>
  <c r="Y92" i="413"/>
  <c r="AL188" i="413"/>
  <c r="Z188" i="413"/>
  <c r="X299" i="413"/>
  <c r="AJ299" i="413" s="1"/>
  <c r="Y203" i="413"/>
  <c r="AK203" i="413" s="1"/>
  <c r="Z367" i="413"/>
  <c r="AL367" i="413" s="1"/>
  <c r="Y332" i="413"/>
  <c r="AK332" i="413" s="1"/>
  <c r="X352" i="413"/>
  <c r="AJ352" i="413" s="1"/>
  <c r="Z110" i="413"/>
  <c r="AL110" i="413" s="1"/>
  <c r="Y137" i="413"/>
  <c r="AK137" i="413" s="1"/>
  <c r="Y361" i="413"/>
  <c r="AK361" i="413" s="1"/>
  <c r="Y375" i="413"/>
  <c r="AK375" i="413" s="1"/>
  <c r="Y267" i="413"/>
  <c r="AK267" i="413" s="1"/>
  <c r="Z232" i="413"/>
  <c r="AL232" i="413" s="1"/>
  <c r="Z228" i="413"/>
  <c r="AL228" i="413" s="1"/>
  <c r="Z313" i="413"/>
  <c r="AL313" i="413" s="1"/>
  <c r="Y372" i="413"/>
  <c r="AK372" i="413" s="1"/>
  <c r="Z383" i="413"/>
  <c r="AL383" i="413" s="1"/>
  <c r="Z184" i="413"/>
  <c r="AL184" i="413" s="1"/>
  <c r="Y153" i="413"/>
  <c r="AK153" i="413" s="1"/>
  <c r="Y357" i="413"/>
  <c r="AK357" i="413" s="1"/>
  <c r="Y114" i="413"/>
  <c r="AK114" i="413"/>
  <c r="Y122" i="413"/>
  <c r="AK122" i="413" s="1"/>
  <c r="X197" i="413"/>
  <c r="AJ197" i="413" s="1"/>
  <c r="X314" i="413"/>
  <c r="AJ314" i="413" s="1"/>
  <c r="X119" i="413"/>
  <c r="AJ119" i="413" s="1"/>
  <c r="Y345" i="413"/>
  <c r="AK345" i="413" s="1"/>
  <c r="Y108" i="413"/>
  <c r="AK108" i="413" s="1"/>
  <c r="Y178" i="413"/>
  <c r="AK178" i="413" s="1"/>
  <c r="X355" i="413"/>
  <c r="AJ355" i="413"/>
  <c r="Z177" i="413"/>
  <c r="AL177" i="413" s="1"/>
  <c r="Y393" i="413"/>
  <c r="AK393" i="413" s="1"/>
  <c r="X209" i="413"/>
  <c r="AJ209" i="413" s="1"/>
  <c r="X179" i="413"/>
  <c r="AJ179" i="413" s="1"/>
  <c r="Y227" i="413"/>
  <c r="AK227" i="413" s="1"/>
  <c r="X385" i="413"/>
  <c r="AJ385" i="413" s="1"/>
  <c r="X242" i="413"/>
  <c r="AJ242" i="413" s="1"/>
  <c r="Z276" i="413"/>
  <c r="AL276" i="413" s="1"/>
  <c r="X226" i="413"/>
  <c r="AJ226" i="413" s="1"/>
  <c r="Y304" i="413"/>
  <c r="AK304" i="413" s="1"/>
  <c r="AK235" i="413"/>
  <c r="Y235" i="413"/>
  <c r="Y329" i="413"/>
  <c r="AK329" i="413"/>
  <c r="AK336" i="413"/>
  <c r="Y336" i="413"/>
  <c r="Z150" i="413"/>
  <c r="AL150" i="413" s="1"/>
  <c r="Z196" i="413"/>
  <c r="AL196" i="413" s="1"/>
  <c r="Y366" i="413"/>
  <c r="AK366" i="413" s="1"/>
  <c r="Y410" i="413"/>
  <c r="AK410" i="413" s="1"/>
  <c r="Y223" i="413"/>
  <c r="AK223" i="413" s="1"/>
  <c r="Y263" i="413"/>
  <c r="AK263" i="413" s="1"/>
  <c r="Y414" i="413"/>
  <c r="AK414" i="413" s="1"/>
  <c r="Y105" i="413"/>
  <c r="AK105" i="413" s="1"/>
  <c r="Z158" i="413"/>
  <c r="AL158" i="413" s="1"/>
  <c r="Y121" i="413"/>
  <c r="AK121" i="413" s="1"/>
  <c r="Y264" i="413"/>
  <c r="AK264" i="413"/>
  <c r="Z350" i="413"/>
  <c r="AL350" i="413" s="1"/>
  <c r="Y353" i="413"/>
  <c r="AK353" i="413" s="1"/>
  <c r="Y399" i="413"/>
  <c r="AK399" i="413" s="1"/>
  <c r="Z297" i="413"/>
  <c r="AL297" i="413" s="1"/>
  <c r="Y256" i="413"/>
  <c r="AK256" i="413" s="1"/>
  <c r="Y207" i="413"/>
  <c r="AK207" i="413" s="1"/>
  <c r="Z371" i="413"/>
  <c r="AL371" i="413" s="1"/>
  <c r="Y174" i="413"/>
  <c r="AK174" i="413" s="1"/>
  <c r="X258" i="413"/>
  <c r="AJ258" i="413" s="1"/>
  <c r="X295" i="413"/>
  <c r="AJ295" i="413" s="1"/>
  <c r="AJ171" i="413"/>
  <c r="X171" i="413"/>
  <c r="X262" i="413"/>
  <c r="AJ262" i="413" s="1"/>
  <c r="X398" i="413"/>
  <c r="AJ398" i="413"/>
  <c r="Z395" i="413"/>
  <c r="AL395" i="413" s="1"/>
  <c r="Y247" i="413"/>
  <c r="AK247" i="413" s="1"/>
  <c r="X327" i="413"/>
  <c r="AJ327" i="413" s="1"/>
  <c r="X133" i="413"/>
  <c r="AJ133" i="413"/>
  <c r="X157" i="413"/>
  <c r="AJ157" i="413"/>
  <c r="X117" i="413"/>
  <c r="AJ117" i="413" s="1"/>
  <c r="Y104" i="413"/>
  <c r="AK104" i="413"/>
  <c r="Y160" i="413"/>
  <c r="AK160" i="413" s="1"/>
  <c r="X225" i="413"/>
  <c r="AJ225" i="413" s="1"/>
  <c r="Y124" i="413"/>
  <c r="AK124" i="413" s="1"/>
  <c r="Y181" i="413"/>
  <c r="AK181" i="413" s="1"/>
  <c r="Y417" i="413"/>
  <c r="AK417" i="413" s="1"/>
  <c r="Y409" i="413"/>
  <c r="AK409" i="413" s="1"/>
  <c r="Y161" i="413"/>
  <c r="AK161" i="413" s="1"/>
  <c r="X95" i="413"/>
  <c r="AJ95" i="413" s="1"/>
  <c r="X287" i="413"/>
  <c r="AJ287" i="413" s="1"/>
  <c r="X319" i="413"/>
  <c r="AJ319" i="413" s="1"/>
  <c r="X214" i="413"/>
  <c r="AJ214" i="413" s="1"/>
  <c r="X275" i="413"/>
  <c r="AJ275" i="413"/>
  <c r="X356" i="413"/>
  <c r="AJ356" i="413" s="1"/>
  <c r="Y284" i="413"/>
  <c r="AK284" i="413" s="1"/>
  <c r="Y300" i="413"/>
  <c r="AK300" i="413" s="1"/>
  <c r="X238" i="413"/>
  <c r="AJ238" i="413" s="1"/>
  <c r="Y279" i="413"/>
  <c r="AK279" i="413" s="1"/>
  <c r="Y317" i="413"/>
  <c r="AK317" i="413"/>
  <c r="X311" i="413"/>
  <c r="AJ311" i="413" s="1"/>
  <c r="Z224" i="413"/>
  <c r="AL224" i="413" s="1"/>
  <c r="X198" i="413"/>
  <c r="AJ198" i="413" s="1"/>
  <c r="Y292" i="413"/>
  <c r="AK292" i="413" s="1"/>
  <c r="Y340" i="413"/>
  <c r="AK340" i="413" s="1"/>
  <c r="Z93" i="413"/>
  <c r="AL93" i="413" s="1"/>
  <c r="Y376" i="413"/>
  <c r="AK376" i="413" s="1"/>
  <c r="Y368" i="413"/>
  <c r="AK368" i="413"/>
  <c r="Y138" i="413"/>
  <c r="AK138" i="413" s="1"/>
  <c r="Y330" i="413"/>
  <c r="AK330" i="413" s="1"/>
  <c r="Y343" i="413"/>
  <c r="AK343" i="413" s="1"/>
  <c r="AI94" i="413"/>
  <c r="X259" i="413"/>
  <c r="AJ259" i="413" s="1"/>
  <c r="AJ163" i="413"/>
  <c r="X163" i="413"/>
  <c r="X206" i="413"/>
  <c r="AJ206" i="413" s="1"/>
  <c r="Y362" i="413"/>
  <c r="AK362" i="413" s="1"/>
  <c r="X266" i="413"/>
  <c r="AJ266" i="413" s="1"/>
  <c r="X230" i="413"/>
  <c r="AJ230" i="413" s="1"/>
  <c r="Y283" i="413"/>
  <c r="AK283" i="413" s="1"/>
  <c r="Z305" i="413"/>
  <c r="AL305" i="413" s="1"/>
  <c r="Y308" i="413"/>
  <c r="AK308" i="413" s="1"/>
  <c r="Y324" i="413"/>
  <c r="AK324" i="413" s="1"/>
  <c r="Z358" i="413"/>
  <c r="AL358" i="413" s="1"/>
  <c r="Z391" i="413"/>
  <c r="AL391" i="413" s="1"/>
  <c r="X373" i="413"/>
  <c r="AJ373" i="413" s="1"/>
  <c r="Z204" i="413"/>
  <c r="AL204" i="413" s="1"/>
  <c r="Z208" i="413"/>
  <c r="AL208" i="413" s="1"/>
  <c r="Y255" i="413"/>
  <c r="AK255" i="413" s="1"/>
  <c r="Y219" i="413"/>
  <c r="AK219" i="413" s="1"/>
  <c r="Y268" i="413"/>
  <c r="AK268" i="413" s="1"/>
  <c r="Y309" i="413"/>
  <c r="AK309" i="413" s="1"/>
  <c r="Y364" i="413"/>
  <c r="AK364" i="413" s="1"/>
  <c r="X402" i="413"/>
  <c r="AJ402" i="413" s="1"/>
  <c r="Y413" i="413"/>
  <c r="AK413" i="413" s="1"/>
  <c r="Y107" i="413"/>
  <c r="AK107" i="413" s="1"/>
  <c r="Y131" i="413"/>
  <c r="AK131" i="413" s="1"/>
  <c r="X98" i="413"/>
  <c r="AJ98" i="413" s="1"/>
  <c r="X201" i="413"/>
  <c r="AJ201" i="413" s="1"/>
  <c r="X233" i="413"/>
  <c r="AJ233" i="413" s="1"/>
  <c r="X286" i="413"/>
  <c r="AJ286" i="413" s="1"/>
  <c r="X318" i="413"/>
  <c r="AJ318" i="413" s="1"/>
  <c r="X400" i="413"/>
  <c r="AJ400" i="413" s="1"/>
  <c r="Y170" i="413"/>
  <c r="AK170" i="413" s="1"/>
  <c r="X404" i="413"/>
  <c r="AJ404" i="413" s="1"/>
  <c r="Z102" i="413"/>
  <c r="AL102" i="413" s="1"/>
  <c r="Y326" i="413"/>
  <c r="AK326" i="413"/>
  <c r="X190" i="413"/>
  <c r="AJ190" i="413" s="1"/>
  <c r="X222" i="413"/>
  <c r="AJ222" i="413" s="1"/>
  <c r="Y285" i="413"/>
  <c r="AK285" i="413"/>
  <c r="X335" i="413"/>
  <c r="AJ335" i="413" s="1"/>
  <c r="X303" i="413"/>
  <c r="AJ303" i="413" s="1"/>
  <c r="Y320" i="413"/>
  <c r="AK320" i="413" s="1"/>
  <c r="X246" i="413"/>
  <c r="AJ246" i="413" s="1"/>
  <c r="X315" i="413"/>
  <c r="AJ315" i="413" s="1"/>
  <c r="Y301" i="413"/>
  <c r="AK301" i="413"/>
  <c r="Y316" i="413"/>
  <c r="AK316" i="413" s="1"/>
  <c r="Y386" i="413"/>
  <c r="AK386" i="413" s="1"/>
  <c r="X397" i="413"/>
  <c r="AJ397" i="413" s="1"/>
  <c r="Y180" i="413"/>
  <c r="AK180" i="413" s="1"/>
  <c r="Z236" i="413"/>
  <c r="AL236" i="413" s="1"/>
  <c r="Y215" i="413"/>
  <c r="AK215" i="413" s="1"/>
  <c r="X194" i="413"/>
  <c r="AJ194" i="413" s="1"/>
  <c r="Z240" i="413"/>
  <c r="AL240" i="413" s="1"/>
  <c r="Z280" i="413"/>
  <c r="AL280" i="413" s="1"/>
  <c r="Y251" i="413"/>
  <c r="AK251" i="413" s="1"/>
  <c r="X360" i="413"/>
  <c r="AJ360" i="413" s="1"/>
  <c r="Y354" i="413"/>
  <c r="AK354" i="413"/>
  <c r="X378" i="413"/>
  <c r="AJ378" i="413"/>
  <c r="Y394" i="413"/>
  <c r="AK394" i="413" s="1"/>
  <c r="X412" i="413"/>
  <c r="AJ412" i="413" s="1"/>
  <c r="Y139" i="413"/>
  <c r="AK139" i="413" s="1"/>
  <c r="AJ103" i="413"/>
  <c r="X103" i="413"/>
  <c r="Y112" i="413"/>
  <c r="AK112" i="413" s="1"/>
  <c r="Y136" i="413"/>
  <c r="AK136" i="413" s="1"/>
  <c r="X346" i="413"/>
  <c r="AJ346" i="413" s="1"/>
  <c r="X185" i="413"/>
  <c r="AJ185" i="413" s="1"/>
  <c r="X217" i="413"/>
  <c r="AJ217" i="413" s="1"/>
  <c r="X249" i="413"/>
  <c r="AJ249" i="413" s="1"/>
  <c r="X265" i="413"/>
  <c r="AJ265" i="413" s="1"/>
  <c r="X302" i="413"/>
  <c r="AJ302" i="413" s="1"/>
  <c r="X363" i="413"/>
  <c r="AJ363" i="413" s="1"/>
  <c r="X392" i="413"/>
  <c r="AJ392" i="413" s="1"/>
  <c r="X149" i="413"/>
  <c r="AJ149" i="413" s="1"/>
  <c r="AK148" i="413"/>
  <c r="Y148" i="413"/>
  <c r="Y100" i="413"/>
  <c r="AK100" i="413" s="1"/>
  <c r="AK116" i="413"/>
  <c r="Y116" i="413"/>
  <c r="X99" i="413"/>
  <c r="AJ99" i="413" s="1"/>
  <c r="AK144" i="413"/>
  <c r="Y144" i="413"/>
  <c r="X125" i="413"/>
  <c r="AJ125" i="413" s="1"/>
  <c r="X416" i="413"/>
  <c r="AJ416" i="413" s="1"/>
  <c r="Y277" i="413"/>
  <c r="AK277" i="413" s="1"/>
  <c r="X310" i="413"/>
  <c r="AJ310" i="413" s="1"/>
  <c r="AK381" i="413"/>
  <c r="Y381" i="413"/>
  <c r="X396" i="413"/>
  <c r="AJ396" i="413" s="1"/>
  <c r="Y405" i="413"/>
  <c r="AK405" i="413" s="1"/>
  <c r="Z128" i="413"/>
  <c r="AL128" i="413" s="1"/>
  <c r="Z145" i="413"/>
  <c r="AL145" i="413" s="1"/>
  <c r="Y154" i="413"/>
  <c r="AK154" i="413" s="1"/>
  <c r="Y338" i="413"/>
  <c r="AK338" i="413" s="1"/>
  <c r="Y132" i="413"/>
  <c r="AK132" i="413" s="1"/>
  <c r="Z382" i="413"/>
  <c r="AL382" i="413" s="1"/>
  <c r="Y274" i="413"/>
  <c r="AK274" i="413" s="1"/>
  <c r="Y337" i="413"/>
  <c r="AK337" i="413" s="1"/>
  <c r="Y140" i="413"/>
  <c r="AK140" i="413" s="1"/>
  <c r="AA169" i="413"/>
  <c r="AM169" i="413" s="1"/>
  <c r="Y273" i="413"/>
  <c r="AK273" i="413" s="1"/>
  <c r="Z390" i="413"/>
  <c r="AL390" i="413" s="1"/>
  <c r="Y165" i="413"/>
  <c r="AK165" i="413" s="1"/>
  <c r="Y173" i="413"/>
  <c r="AK173" i="413" s="1"/>
  <c r="AI522" i="413" l="1"/>
  <c r="AI523" i="413" s="1"/>
  <c r="W523" i="413"/>
  <c r="AI507" i="413"/>
  <c r="AI520" i="413" s="1"/>
  <c r="W520" i="413"/>
  <c r="AK418" i="413"/>
  <c r="X522" i="413"/>
  <c r="X471" i="413"/>
  <c r="AJ471" i="413" s="1"/>
  <c r="Z502" i="413"/>
  <c r="AL502" i="413" s="1"/>
  <c r="AK478" i="413"/>
  <c r="Y478" i="413"/>
  <c r="X475" i="413"/>
  <c r="AJ475" i="413" s="1"/>
  <c r="AK513" i="413"/>
  <c r="Y513" i="413"/>
  <c r="Z497" i="413"/>
  <c r="AL497" i="413" s="1"/>
  <c r="Z488" i="413"/>
  <c r="AL488" i="413" s="1"/>
  <c r="Z492" i="413"/>
  <c r="AL492" i="413" s="1"/>
  <c r="Z496" i="413"/>
  <c r="AL496" i="413" s="1"/>
  <c r="X473" i="413"/>
  <c r="AJ473" i="413" s="1"/>
  <c r="Y518" i="413"/>
  <c r="AK518" i="413" s="1"/>
  <c r="Z485" i="413"/>
  <c r="AL485" i="413" s="1"/>
  <c r="X477" i="413"/>
  <c r="AJ477" i="413" s="1"/>
  <c r="AK476" i="413"/>
  <c r="Y476" i="413"/>
  <c r="X481" i="413"/>
  <c r="AJ481" i="413" s="1"/>
  <c r="AK482" i="413"/>
  <c r="Y482" i="413"/>
  <c r="AK516" i="413"/>
  <c r="Y516" i="413"/>
  <c r="Z501" i="413"/>
  <c r="AL501" i="413" s="1"/>
  <c r="AK506" i="413"/>
  <c r="Y506" i="413"/>
  <c r="X508" i="413"/>
  <c r="AJ508" i="413" s="1"/>
  <c r="X507" i="413"/>
  <c r="Z487" i="413"/>
  <c r="AL487" i="413" s="1"/>
  <c r="Z491" i="413"/>
  <c r="AL491" i="413" s="1"/>
  <c r="Z490" i="413"/>
  <c r="AL490" i="413" s="1"/>
  <c r="AK512" i="413"/>
  <c r="Y512" i="413"/>
  <c r="X483" i="413"/>
  <c r="AJ483" i="413" s="1"/>
  <c r="Z494" i="413"/>
  <c r="AL494" i="413" s="1"/>
  <c r="AK511" i="413"/>
  <c r="Y511" i="413"/>
  <c r="AK472" i="413"/>
  <c r="Y472" i="413"/>
  <c r="AK480" i="413"/>
  <c r="Y480" i="413"/>
  <c r="X479" i="413"/>
  <c r="AJ479" i="413" s="1"/>
  <c r="X509" i="413"/>
  <c r="AJ509" i="413" s="1"/>
  <c r="Z489" i="413"/>
  <c r="AL489" i="413" s="1"/>
  <c r="Z495" i="413"/>
  <c r="AL495" i="413" s="1"/>
  <c r="Z504" i="413"/>
  <c r="AL504" i="413" s="1"/>
  <c r="Z503" i="413"/>
  <c r="AL503" i="413" s="1"/>
  <c r="AK484" i="413"/>
  <c r="Y484" i="413"/>
  <c r="Y514" i="413"/>
  <c r="AK514" i="413" s="1"/>
  <c r="Y515" i="413"/>
  <c r="AK515" i="413" s="1"/>
  <c r="X510" i="413"/>
  <c r="AJ510" i="413" s="1"/>
  <c r="Z493" i="413"/>
  <c r="AL493" i="413" s="1"/>
  <c r="Z498" i="413"/>
  <c r="AL498" i="413" s="1"/>
  <c r="Z505" i="413"/>
  <c r="AL505" i="413" s="1"/>
  <c r="Z486" i="413"/>
  <c r="AL486" i="413" s="1"/>
  <c r="Z500" i="413"/>
  <c r="AL500" i="413" s="1"/>
  <c r="Z499" i="413"/>
  <c r="AL499" i="413" s="1"/>
  <c r="AK474" i="413"/>
  <c r="Y474" i="413"/>
  <c r="Y519" i="413"/>
  <c r="AK519" i="413" s="1"/>
  <c r="Y517" i="413"/>
  <c r="AK517" i="413" s="1"/>
  <c r="AJ469" i="413"/>
  <c r="Y468" i="413"/>
  <c r="Y469" i="413" s="1"/>
  <c r="AA465" i="413"/>
  <c r="AM465" i="413"/>
  <c r="Y461" i="413"/>
  <c r="AK461" i="413"/>
  <c r="Y462" i="413"/>
  <c r="AK462" i="413" s="1"/>
  <c r="Y448" i="413"/>
  <c r="AK448" i="413" s="1"/>
  <c r="Y453" i="413"/>
  <c r="AK453" i="413" s="1"/>
  <c r="X446" i="413"/>
  <c r="AJ446" i="413" s="1"/>
  <c r="X431" i="413"/>
  <c r="AJ431" i="413" s="1"/>
  <c r="Z425" i="413"/>
  <c r="AL425" i="413"/>
  <c r="Y457" i="413"/>
  <c r="AK457" i="413" s="1"/>
  <c r="X454" i="413"/>
  <c r="AJ454" i="413" s="1"/>
  <c r="X451" i="413"/>
  <c r="AJ451" i="413"/>
  <c r="X440" i="413"/>
  <c r="AJ440" i="413"/>
  <c r="Y438" i="413"/>
  <c r="AK438" i="413"/>
  <c r="Y423" i="413"/>
  <c r="AK423" i="413"/>
  <c r="Z437" i="413"/>
  <c r="AL437" i="413" s="1"/>
  <c r="Y426" i="413"/>
  <c r="AK426" i="413"/>
  <c r="Y433" i="413"/>
  <c r="AK433" i="413" s="1"/>
  <c r="X458" i="413"/>
  <c r="AJ458" i="413" s="1"/>
  <c r="Z428" i="413"/>
  <c r="AL428" i="413" s="1"/>
  <c r="X436" i="413"/>
  <c r="AJ436" i="413"/>
  <c r="Y447" i="413"/>
  <c r="AK447" i="413" s="1"/>
  <c r="Z429" i="413"/>
  <c r="AL429" i="413" s="1"/>
  <c r="Y432" i="413"/>
  <c r="AK432" i="413" s="1"/>
  <c r="Y430" i="413"/>
  <c r="AK430" i="413" s="1"/>
  <c r="Y424" i="413"/>
  <c r="AK424" i="413" s="1"/>
  <c r="Y427" i="413"/>
  <c r="AK427" i="413"/>
  <c r="Z421" i="413"/>
  <c r="AL421" i="413"/>
  <c r="Z441" i="413"/>
  <c r="AL441" i="413"/>
  <c r="Z434" i="413"/>
  <c r="AL434" i="413"/>
  <c r="Y422" i="413"/>
  <c r="AK422" i="413"/>
  <c r="Z452" i="413"/>
  <c r="AL452" i="413" s="1"/>
  <c r="Y443" i="413"/>
  <c r="AK443" i="413"/>
  <c r="X435" i="413"/>
  <c r="AJ435" i="413" s="1"/>
  <c r="X455" i="413"/>
  <c r="AJ455" i="413"/>
  <c r="Y450" i="413"/>
  <c r="AK450" i="413"/>
  <c r="X449" i="413"/>
  <c r="AJ449" i="413"/>
  <c r="AA456" i="413"/>
  <c r="AM456" i="413"/>
  <c r="Y442" i="413"/>
  <c r="AK442" i="413"/>
  <c r="Y445" i="413"/>
  <c r="AK445" i="413" s="1"/>
  <c r="X444" i="413"/>
  <c r="AJ444" i="413"/>
  <c r="X420" i="413"/>
  <c r="AJ420" i="413"/>
  <c r="Y439" i="413"/>
  <c r="AK439" i="413"/>
  <c r="Z142" i="413"/>
  <c r="AL142" i="413" s="1"/>
  <c r="Y396" i="413"/>
  <c r="AK396" i="413" s="1"/>
  <c r="Y194" i="413"/>
  <c r="AK194" i="413" s="1"/>
  <c r="Y303" i="413"/>
  <c r="AK303" i="413" s="1"/>
  <c r="Y222" i="413"/>
  <c r="AK222" i="413" s="1"/>
  <c r="Z165" i="413"/>
  <c r="AL165" i="413" s="1"/>
  <c r="Z337" i="413"/>
  <c r="AL337" i="413" s="1"/>
  <c r="Y363" i="413"/>
  <c r="AK363" i="413" s="1"/>
  <c r="Z136" i="413"/>
  <c r="AL136" i="413" s="1"/>
  <c r="Y412" i="413"/>
  <c r="AK412" i="413" s="1"/>
  <c r="AA280" i="413"/>
  <c r="AM280" i="413" s="1"/>
  <c r="AA236" i="413"/>
  <c r="AM236" i="413" s="1"/>
  <c r="Y246" i="413"/>
  <c r="AK246" i="413" s="1"/>
  <c r="Z170" i="413"/>
  <c r="AL170" i="413" s="1"/>
  <c r="AL309" i="413"/>
  <c r="Z309" i="413"/>
  <c r="Z362" i="413"/>
  <c r="AL362" i="413" s="1"/>
  <c r="AL160" i="413"/>
  <c r="Z160" i="413"/>
  <c r="AA350" i="413"/>
  <c r="AM350" i="413" s="1"/>
  <c r="Z263" i="413"/>
  <c r="AL263" i="413" s="1"/>
  <c r="AM177" i="413"/>
  <c r="AA177" i="413"/>
  <c r="AA110" i="413"/>
  <c r="AM110" i="413" s="1"/>
  <c r="AK250" i="413"/>
  <c r="Y250" i="413"/>
  <c r="Z274" i="413"/>
  <c r="AL274" i="413" s="1"/>
  <c r="Y149" i="413"/>
  <c r="AK149" i="413" s="1"/>
  <c r="Z394" i="413"/>
  <c r="AL394" i="413" s="1"/>
  <c r="AA240" i="413"/>
  <c r="AM240" i="413" s="1"/>
  <c r="AL180" i="413"/>
  <c r="Z180" i="413"/>
  <c r="Z320" i="413"/>
  <c r="AL320" i="413" s="1"/>
  <c r="Y400" i="413"/>
  <c r="AK400" i="413" s="1"/>
  <c r="Z268" i="413"/>
  <c r="AL268" i="413" s="1"/>
  <c r="Y259" i="413"/>
  <c r="AK259" i="413" s="1"/>
  <c r="Z343" i="413"/>
  <c r="AL343" i="413" s="1"/>
  <c r="AA93" i="413"/>
  <c r="AM93" i="413" s="1"/>
  <c r="AA196" i="413"/>
  <c r="AM196" i="413" s="1"/>
  <c r="Z345" i="413"/>
  <c r="AL345" i="413" s="1"/>
  <c r="Z122" i="413"/>
  <c r="AL122" i="413" s="1"/>
  <c r="Z372" i="413"/>
  <c r="AL372" i="413" s="1"/>
  <c r="Z203" i="413"/>
  <c r="AL203" i="413" s="1"/>
  <c r="AK254" i="413"/>
  <c r="Y254" i="413"/>
  <c r="Z288" i="413"/>
  <c r="AL288" i="413" s="1"/>
  <c r="Z271" i="413"/>
  <c r="AL271" i="413" s="1"/>
  <c r="Z338" i="413"/>
  <c r="AL338" i="413" s="1"/>
  <c r="Y360" i="413"/>
  <c r="AK360" i="413" s="1"/>
  <c r="Y397" i="413"/>
  <c r="AK397" i="413" s="1"/>
  <c r="AM102" i="413"/>
  <c r="AA102" i="413"/>
  <c r="Y402" i="413"/>
  <c r="AK402" i="413" s="1"/>
  <c r="Z330" i="413"/>
  <c r="AL330" i="413" s="1"/>
  <c r="Z340" i="413"/>
  <c r="AL340" i="413" s="1"/>
  <c r="Z279" i="413"/>
  <c r="AL279" i="413" s="1"/>
  <c r="Y214" i="413"/>
  <c r="AK214" i="413" s="1"/>
  <c r="Y258" i="413"/>
  <c r="AK258" i="413" s="1"/>
  <c r="AL399" i="413"/>
  <c r="Z399" i="413"/>
  <c r="Y226" i="413"/>
  <c r="AK226" i="413" s="1"/>
  <c r="AL231" i="413"/>
  <c r="Z231" i="413"/>
  <c r="AA113" i="413"/>
  <c r="AM113" i="413" s="1"/>
  <c r="AL347" i="413"/>
  <c r="Z347" i="413"/>
  <c r="AA126" i="413"/>
  <c r="AM126" i="413" s="1"/>
  <c r="AK339" i="413"/>
  <c r="Y339" i="413"/>
  <c r="Z173" i="413"/>
  <c r="AL173" i="413" s="1"/>
  <c r="Z273" i="413"/>
  <c r="AL273" i="413" s="1"/>
  <c r="Z154" i="413"/>
  <c r="AL154" i="413" s="1"/>
  <c r="Z277" i="413"/>
  <c r="AL277" i="413" s="1"/>
  <c r="Y265" i="413"/>
  <c r="AK265" i="413" s="1"/>
  <c r="Z251" i="413"/>
  <c r="AL251" i="413" s="1"/>
  <c r="Z215" i="413"/>
  <c r="AL215" i="413" s="1"/>
  <c r="Z386" i="413"/>
  <c r="AL386" i="413" s="1"/>
  <c r="Y315" i="413"/>
  <c r="AK315" i="413" s="1"/>
  <c r="Y335" i="413"/>
  <c r="AK335" i="413" s="1"/>
  <c r="Y190" i="413"/>
  <c r="AK190" i="413" s="1"/>
  <c r="Y404" i="413"/>
  <c r="AK404" i="413" s="1"/>
  <c r="Z364" i="413"/>
  <c r="AL364" i="413" s="1"/>
  <c r="AK311" i="413"/>
  <c r="Y311" i="413"/>
  <c r="Y356" i="413"/>
  <c r="AK356" i="413" s="1"/>
  <c r="Z161" i="413"/>
  <c r="AL161" i="413" s="1"/>
  <c r="Y117" i="413"/>
  <c r="AK117" i="413" s="1"/>
  <c r="Z121" i="413"/>
  <c r="AL121" i="413" s="1"/>
  <c r="Z227" i="413"/>
  <c r="AL227" i="413" s="1"/>
  <c r="Z178" i="413"/>
  <c r="AL178" i="413" s="1"/>
  <c r="Y314" i="413"/>
  <c r="AK314" i="413" s="1"/>
  <c r="AA184" i="413"/>
  <c r="AM184" i="413" s="1"/>
  <c r="AA228" i="413"/>
  <c r="AM228" i="413" s="1"/>
  <c r="Y369" i="413"/>
  <c r="AK369" i="413" s="1"/>
  <c r="Y193" i="413"/>
  <c r="AK193" i="413" s="1"/>
  <c r="Z260" i="413"/>
  <c r="AL260" i="413" s="1"/>
  <c r="AK125" i="413"/>
  <c r="Y125" i="413"/>
  <c r="Z316" i="413"/>
  <c r="AL316" i="413" s="1"/>
  <c r="Z377" i="413"/>
  <c r="AL377" i="413" s="1"/>
  <c r="AB169" i="413"/>
  <c r="AN169" i="413" s="1"/>
  <c r="AA382" i="413"/>
  <c r="AM382" i="413" s="1"/>
  <c r="AA145" i="413"/>
  <c r="AM145" i="413" s="1"/>
  <c r="Y99" i="413"/>
  <c r="AK99" i="413" s="1"/>
  <c r="Z100" i="413"/>
  <c r="AL100" i="413" s="1"/>
  <c r="Y217" i="413"/>
  <c r="AK217" i="413" s="1"/>
  <c r="Y346" i="413"/>
  <c r="AK346" i="413" s="1"/>
  <c r="AL112" i="413"/>
  <c r="Z112" i="413"/>
  <c r="Z139" i="413"/>
  <c r="AL139" i="413" s="1"/>
  <c r="Z354" i="413"/>
  <c r="AL354" i="413" s="1"/>
  <c r="Z301" i="413"/>
  <c r="AL301" i="413" s="1"/>
  <c r="Z285" i="413"/>
  <c r="AL285" i="413" s="1"/>
  <c r="Y286" i="413"/>
  <c r="AK286" i="413" s="1"/>
  <c r="Y201" i="413"/>
  <c r="AK201" i="413" s="1"/>
  <c r="Z131" i="413"/>
  <c r="AL131" i="413" s="1"/>
  <c r="Z413" i="413"/>
  <c r="AL413" i="413" s="1"/>
  <c r="Z255" i="413"/>
  <c r="AL255" i="413" s="1"/>
  <c r="AA204" i="413"/>
  <c r="AM204" i="413" s="1"/>
  <c r="AA391" i="413"/>
  <c r="AM391" i="413" s="1"/>
  <c r="Z324" i="413"/>
  <c r="AL324" i="413" s="1"/>
  <c r="AA305" i="413"/>
  <c r="AM305" i="413" s="1"/>
  <c r="AK230" i="413"/>
  <c r="Y230" i="413"/>
  <c r="Y163" i="413"/>
  <c r="AK163" i="413" s="1"/>
  <c r="Z368" i="413"/>
  <c r="AL368" i="413" s="1"/>
  <c r="Z292" i="413"/>
  <c r="AL292" i="413" s="1"/>
  <c r="AL300" i="413"/>
  <c r="Z300" i="413"/>
  <c r="Y275" i="413"/>
  <c r="AK275" i="413" s="1"/>
  <c r="AK319" i="413"/>
  <c r="Y319" i="413"/>
  <c r="Z417" i="413"/>
  <c r="AL417" i="413" s="1"/>
  <c r="Z124" i="413"/>
  <c r="AL124" i="413" s="1"/>
  <c r="Z104" i="413"/>
  <c r="AL104" i="413" s="1"/>
  <c r="Y157" i="413"/>
  <c r="AK157" i="413" s="1"/>
  <c r="Y327" i="413"/>
  <c r="AK327" i="413" s="1"/>
  <c r="Y398" i="413"/>
  <c r="AK398" i="413" s="1"/>
  <c r="Y171" i="413"/>
  <c r="AK171" i="413" s="1"/>
  <c r="Z174" i="413"/>
  <c r="AL174" i="413" s="1"/>
  <c r="Z256" i="413"/>
  <c r="AL256" i="413" s="1"/>
  <c r="AL264" i="413"/>
  <c r="Z264" i="413"/>
  <c r="AA158" i="413"/>
  <c r="AM158" i="413" s="1"/>
  <c r="Z410" i="413"/>
  <c r="AL410" i="413" s="1"/>
  <c r="AA150" i="413"/>
  <c r="AM150" i="413" s="1"/>
  <c r="Y242" i="413"/>
  <c r="AK242" i="413" s="1"/>
  <c r="Y179" i="413"/>
  <c r="AK179" i="413" s="1"/>
  <c r="Y197" i="413"/>
  <c r="AK197" i="413" s="1"/>
  <c r="AA232" i="413"/>
  <c r="AM232" i="413" s="1"/>
  <c r="AL332" i="413"/>
  <c r="Z332" i="413"/>
  <c r="Y299" i="413"/>
  <c r="AK299" i="413" s="1"/>
  <c r="AK210" i="413"/>
  <c r="Y210" i="413"/>
  <c r="Z211" i="413"/>
  <c r="AL211" i="413" s="1"/>
  <c r="Y237" i="413"/>
  <c r="AK237" i="413" s="1"/>
  <c r="Y109" i="413"/>
  <c r="AK109" i="413" s="1"/>
  <c r="Y334" i="413"/>
  <c r="AK334" i="413" s="1"/>
  <c r="AK151" i="413"/>
  <c r="Y151" i="413"/>
  <c r="AA212" i="413"/>
  <c r="AM212" i="413" s="1"/>
  <c r="AA321" i="413"/>
  <c r="AM321" i="413" s="1"/>
  <c r="AL183" i="413"/>
  <c r="Z183" i="413"/>
  <c r="Y323" i="413"/>
  <c r="AK323" i="413" s="1"/>
  <c r="Z168" i="413"/>
  <c r="AL168" i="413" s="1"/>
  <c r="AA216" i="413"/>
  <c r="AM216" i="413" s="1"/>
  <c r="Z349" i="413"/>
  <c r="AL349" i="413" s="1"/>
  <c r="Z172" i="413"/>
  <c r="AL172" i="413" s="1"/>
  <c r="Z325" i="413"/>
  <c r="AL325" i="413" s="1"/>
  <c r="Y291" i="413"/>
  <c r="AK291" i="413" s="1"/>
  <c r="Z342" i="413"/>
  <c r="AL342" i="413" s="1"/>
  <c r="Y205" i="413"/>
  <c r="AK205" i="413" s="1"/>
  <c r="Y298" i="413"/>
  <c r="AK298" i="413" s="1"/>
  <c r="AK127" i="413"/>
  <c r="Y127" i="413"/>
  <c r="Y282" i="413"/>
  <c r="AK282" i="413" s="1"/>
  <c r="Z365" i="413"/>
  <c r="AL365" i="413" s="1"/>
  <c r="Y253" i="413"/>
  <c r="AK253" i="413" s="1"/>
  <c r="Y229" i="413"/>
  <c r="AK229" i="413" s="1"/>
  <c r="Y294" i="413"/>
  <c r="AK294" i="413" s="1"/>
  <c r="Y221" i="413"/>
  <c r="AK221" i="413" s="1"/>
  <c r="X94" i="413"/>
  <c r="X418" i="413" s="1"/>
  <c r="Z284" i="413"/>
  <c r="AL284" i="413" s="1"/>
  <c r="Z181" i="413"/>
  <c r="AL181" i="413" s="1"/>
  <c r="Y225" i="413"/>
  <c r="AK225" i="413" s="1"/>
  <c r="AK295" i="413"/>
  <c r="Y295" i="413"/>
  <c r="Z353" i="413"/>
  <c r="AL353" i="413" s="1"/>
  <c r="Z366" i="413"/>
  <c r="AL366" i="413" s="1"/>
  <c r="Y385" i="413"/>
  <c r="AK385" i="413" s="1"/>
  <c r="Y119" i="413"/>
  <c r="AK119" i="413" s="1"/>
  <c r="AA313" i="413"/>
  <c r="AM313" i="413" s="1"/>
  <c r="AA367" i="413"/>
  <c r="AM367" i="413" s="1"/>
  <c r="Y401" i="413"/>
  <c r="AK401" i="413" s="1"/>
  <c r="Y290" i="413"/>
  <c r="AK290" i="413" s="1"/>
  <c r="Y213" i="413"/>
  <c r="AK213" i="413" s="1"/>
  <c r="AA387" i="413"/>
  <c r="AM387" i="413" s="1"/>
  <c r="Z187" i="413"/>
  <c r="AL187" i="413" s="1"/>
  <c r="Z389" i="413"/>
  <c r="AL389" i="413" s="1"/>
  <c r="AK143" i="413"/>
  <c r="Y143" i="413"/>
  <c r="AA200" i="413"/>
  <c r="AM200" i="413" s="1"/>
  <c r="Z370" i="413"/>
  <c r="AL370" i="413" s="1"/>
  <c r="Z164" i="413"/>
  <c r="AL164" i="413" s="1"/>
  <c r="Z374" i="413"/>
  <c r="AL374" i="413" s="1"/>
  <c r="AL191" i="413"/>
  <c r="Z191" i="413"/>
  <c r="Z312" i="413"/>
  <c r="AL312" i="413" s="1"/>
  <c r="AL96" i="413"/>
  <c r="Z96" i="413"/>
  <c r="Y241" i="413"/>
  <c r="AK241" i="413" s="1"/>
  <c r="Y111" i="413"/>
  <c r="AK111" i="413" s="1"/>
  <c r="Z123" i="413"/>
  <c r="AL123" i="413" s="1"/>
  <c r="Y245" i="413"/>
  <c r="AK245" i="413" s="1"/>
  <c r="AA220" i="413"/>
  <c r="AM220" i="413" s="1"/>
  <c r="AK234" i="413"/>
  <c r="Y234" i="413"/>
  <c r="Y306" i="413"/>
  <c r="AK306" i="413" s="1"/>
  <c r="Y189" i="413"/>
  <c r="AK189" i="413" s="1"/>
  <c r="AK141" i="413"/>
  <c r="Y141" i="413"/>
  <c r="Z384" i="413"/>
  <c r="AL384" i="413" s="1"/>
  <c r="AA390" i="413"/>
  <c r="AM390" i="413" s="1"/>
  <c r="Z381" i="413"/>
  <c r="AL381" i="413" s="1"/>
  <c r="Z140" i="413"/>
  <c r="AL140" i="413" s="1"/>
  <c r="Z132" i="413"/>
  <c r="AL132" i="413" s="1"/>
  <c r="AA128" i="413"/>
  <c r="AM128" i="413" s="1"/>
  <c r="Y310" i="413"/>
  <c r="AK310" i="413" s="1"/>
  <c r="Y416" i="413"/>
  <c r="AK416" i="413" s="1"/>
  <c r="AL144" i="413"/>
  <c r="Z144" i="413"/>
  <c r="Z116" i="413"/>
  <c r="AL116" i="413" s="1"/>
  <c r="AL148" i="413"/>
  <c r="Z148" i="413"/>
  <c r="Y392" i="413"/>
  <c r="AK392" i="413" s="1"/>
  <c r="Y302" i="413"/>
  <c r="AK302" i="413" s="1"/>
  <c r="Y249" i="413"/>
  <c r="AK249" i="413" s="1"/>
  <c r="Y185" i="413"/>
  <c r="AK185" i="413" s="1"/>
  <c r="Y103" i="413"/>
  <c r="AK103" i="413" s="1"/>
  <c r="AK378" i="413"/>
  <c r="Y378" i="413"/>
  <c r="Z326" i="413"/>
  <c r="AL326" i="413" s="1"/>
  <c r="Y318" i="413"/>
  <c r="AK318" i="413" s="1"/>
  <c r="Y233" i="413"/>
  <c r="AK233" i="413" s="1"/>
  <c r="Y98" i="413"/>
  <c r="AK98" i="413" s="1"/>
  <c r="Z107" i="413"/>
  <c r="AL107" i="413" s="1"/>
  <c r="Z219" i="413"/>
  <c r="AL219" i="413" s="1"/>
  <c r="AA208" i="413"/>
  <c r="AM208" i="413" s="1"/>
  <c r="Y373" i="413"/>
  <c r="AK373" i="413" s="1"/>
  <c r="AA358" i="413"/>
  <c r="AM358" i="413" s="1"/>
  <c r="AL308" i="413"/>
  <c r="Z308" i="413"/>
  <c r="Z283" i="413"/>
  <c r="AL283" i="413" s="1"/>
  <c r="Y266" i="413"/>
  <c r="AK266" i="413" s="1"/>
  <c r="Y206" i="413"/>
  <c r="AK206" i="413" s="1"/>
  <c r="Z138" i="413"/>
  <c r="AL138" i="413" s="1"/>
  <c r="Z376" i="413"/>
  <c r="AL376" i="413" s="1"/>
  <c r="Y198" i="413"/>
  <c r="AK198" i="413" s="1"/>
  <c r="AL317" i="413"/>
  <c r="Z317" i="413"/>
  <c r="Y238" i="413"/>
  <c r="AK238" i="413" s="1"/>
  <c r="AK287" i="413"/>
  <c r="Y287" i="413"/>
  <c r="Z409" i="413"/>
  <c r="AL409" i="413" s="1"/>
  <c r="Y133" i="413"/>
  <c r="AK133" i="413" s="1"/>
  <c r="Z247" i="413"/>
  <c r="AL247" i="413" s="1"/>
  <c r="Y262" i="413"/>
  <c r="AK262" i="413" s="1"/>
  <c r="AA371" i="413"/>
  <c r="AM371" i="413" s="1"/>
  <c r="AA297" i="413"/>
  <c r="AM297" i="413" s="1"/>
  <c r="Z105" i="413"/>
  <c r="AL105" i="413" s="1"/>
  <c r="AL223" i="413"/>
  <c r="Z223" i="413"/>
  <c r="Z336" i="413"/>
  <c r="AL336" i="413" s="1"/>
  <c r="AL235" i="413"/>
  <c r="Z235" i="413"/>
  <c r="AA276" i="413"/>
  <c r="AM276" i="413" s="1"/>
  <c r="Y209" i="413"/>
  <c r="AK209" i="413" s="1"/>
  <c r="Y355" i="413"/>
  <c r="AK355" i="413" s="1"/>
  <c r="Z108" i="413"/>
  <c r="AL108" i="413" s="1"/>
  <c r="Z357" i="413"/>
  <c r="AL357" i="413" s="1"/>
  <c r="AA383" i="413"/>
  <c r="AM383" i="413" s="1"/>
  <c r="Z267" i="413"/>
  <c r="AL267" i="413" s="1"/>
  <c r="Z361" i="413"/>
  <c r="AL361" i="413" s="1"/>
  <c r="Y352" i="413"/>
  <c r="AK352" i="413" s="1"/>
  <c r="AA188" i="413"/>
  <c r="AM188" i="413" s="1"/>
  <c r="AA118" i="413"/>
  <c r="AM118" i="413" s="1"/>
  <c r="Y270" i="413"/>
  <c r="AK270" i="413" s="1"/>
  <c r="Z341" i="413"/>
  <c r="AL341" i="413" s="1"/>
  <c r="AL106" i="413"/>
  <c r="Z106" i="413"/>
  <c r="Y408" i="413"/>
  <c r="AK408" i="413" s="1"/>
  <c r="Z182" i="413"/>
  <c r="AL182" i="413" s="1"/>
  <c r="Y388" i="413"/>
  <c r="AK388" i="413" s="1"/>
  <c r="Z120" i="413"/>
  <c r="AL120" i="413" s="1"/>
  <c r="Z129" i="413"/>
  <c r="AL129" i="413" s="1"/>
  <c r="Z166" i="413"/>
  <c r="AL166" i="413" s="1"/>
  <c r="Z333" i="413"/>
  <c r="AL333" i="413" s="1"/>
  <c r="AA244" i="413"/>
  <c r="AM244" i="413" s="1"/>
  <c r="AA134" i="413"/>
  <c r="AM134" i="413" s="1"/>
  <c r="Z199" i="413"/>
  <c r="AL199" i="413" s="1"/>
  <c r="Z195" i="413"/>
  <c r="AL195" i="413" s="1"/>
  <c r="Z278" i="413"/>
  <c r="AL278" i="413" s="1"/>
  <c r="AL175" i="413"/>
  <c r="Z175" i="413"/>
  <c r="AA289" i="413"/>
  <c r="AM289" i="413" s="1"/>
  <c r="AA379" i="413"/>
  <c r="AM379" i="413" s="1"/>
  <c r="Z272" i="413"/>
  <c r="AL272" i="413" s="1"/>
  <c r="AA97" i="413"/>
  <c r="AM97" i="413" s="1"/>
  <c r="AL296" i="413"/>
  <c r="Z296" i="413"/>
  <c r="Z243" i="413"/>
  <c r="AL243" i="413" s="1"/>
  <c r="AK186" i="413"/>
  <c r="Y186" i="413"/>
  <c r="Z162" i="413"/>
  <c r="AL162" i="413" s="1"/>
  <c r="Y403" i="413"/>
  <c r="AK403" i="413" s="1"/>
  <c r="Y322" i="413"/>
  <c r="AK322" i="413" s="1"/>
  <c r="Y359" i="413"/>
  <c r="AK359" i="413" s="1"/>
  <c r="Z167" i="413"/>
  <c r="AL167" i="413" s="1"/>
  <c r="AL415" i="413"/>
  <c r="Z415" i="413"/>
  <c r="Y135" i="413"/>
  <c r="AK135" i="413" s="1"/>
  <c r="Y269" i="413"/>
  <c r="AK269" i="413" s="1"/>
  <c r="Y159" i="413"/>
  <c r="AK159" i="413" s="1"/>
  <c r="Z281" i="413"/>
  <c r="AL281" i="413" s="1"/>
  <c r="Z405" i="413"/>
  <c r="AL405" i="413" s="1"/>
  <c r="AA224" i="413"/>
  <c r="AM224" i="413" s="1"/>
  <c r="Y95" i="413"/>
  <c r="AK95" i="413" s="1"/>
  <c r="AM395" i="413"/>
  <c r="AA395" i="413"/>
  <c r="Z207" i="413"/>
  <c r="AL207" i="413" s="1"/>
  <c r="AL414" i="413"/>
  <c r="Z414" i="413"/>
  <c r="Z329" i="413"/>
  <c r="AL329" i="413" s="1"/>
  <c r="AL304" i="413"/>
  <c r="Z304" i="413"/>
  <c r="Z393" i="413"/>
  <c r="AL393" i="413" s="1"/>
  <c r="Z114" i="413"/>
  <c r="AL114" i="413" s="1"/>
  <c r="Z153" i="413"/>
  <c r="AL153" i="413" s="1"/>
  <c r="Z375" i="413"/>
  <c r="AL375" i="413" s="1"/>
  <c r="Z137" i="413"/>
  <c r="AL137" i="413" s="1"/>
  <c r="AK92" i="413"/>
  <c r="AK202" i="413"/>
  <c r="Y202" i="413"/>
  <c r="Z147" i="413"/>
  <c r="AL147" i="413" s="1"/>
  <c r="Z407" i="413"/>
  <c r="AL407" i="413" s="1"/>
  <c r="Z176" i="413"/>
  <c r="AL176" i="413" s="1"/>
  <c r="AA248" i="413"/>
  <c r="AM248" i="413" s="1"/>
  <c r="AA192" i="413"/>
  <c r="AM192" i="413" s="1"/>
  <c r="Z380" i="413"/>
  <c r="AL380" i="413" s="1"/>
  <c r="Z406" i="413"/>
  <c r="AL406" i="413" s="1"/>
  <c r="Z239" i="413"/>
  <c r="AL239" i="413" s="1"/>
  <c r="Y328" i="413"/>
  <c r="AK328" i="413" s="1"/>
  <c r="AA252" i="413"/>
  <c r="AM252" i="413" s="1"/>
  <c r="AK307" i="413"/>
  <c r="Y307" i="413"/>
  <c r="Y348" i="413"/>
  <c r="AK348" i="413" s="1"/>
  <c r="Y101" i="413"/>
  <c r="AK101" i="413" s="1"/>
  <c r="AA344" i="413"/>
  <c r="AM344" i="413" s="1"/>
  <c r="Z115" i="413"/>
  <c r="AL115" i="413" s="1"/>
  <c r="AL156" i="413"/>
  <c r="Z156" i="413"/>
  <c r="Z152" i="413"/>
  <c r="AL152" i="413" s="1"/>
  <c r="AK218" i="413"/>
  <c r="Y218" i="413"/>
  <c r="Z331" i="413"/>
  <c r="AL331" i="413" s="1"/>
  <c r="Z155" i="413"/>
  <c r="AL155" i="413" s="1"/>
  <c r="Z130" i="413"/>
  <c r="AL130" i="413" s="1"/>
  <c r="Z411" i="413"/>
  <c r="AL411" i="413" s="1"/>
  <c r="Y351" i="413"/>
  <c r="AK351" i="413" s="1"/>
  <c r="Z293" i="413"/>
  <c r="AL293" i="413" s="1"/>
  <c r="Y257" i="413"/>
  <c r="AK257" i="413" s="1"/>
  <c r="Y261" i="413"/>
  <c r="AK261" i="413" s="1"/>
  <c r="Z146" i="413"/>
  <c r="AL146" i="413" s="1"/>
  <c r="AJ522" i="413" l="1"/>
  <c r="AJ523" i="413" s="1"/>
  <c r="X523" i="413"/>
  <c r="AJ507" i="413"/>
  <c r="AJ520" i="413" s="1"/>
  <c r="X520" i="413"/>
  <c r="AL418" i="413"/>
  <c r="Y522" i="413"/>
  <c r="AM505" i="413"/>
  <c r="AA505" i="413"/>
  <c r="AM495" i="413"/>
  <c r="AA495" i="413"/>
  <c r="AM487" i="413"/>
  <c r="AA487" i="413"/>
  <c r="AM488" i="413"/>
  <c r="AA488" i="413"/>
  <c r="AK475" i="413"/>
  <c r="Y475" i="413"/>
  <c r="AK471" i="413"/>
  <c r="Y471" i="413"/>
  <c r="AM499" i="413"/>
  <c r="AA499" i="413"/>
  <c r="AM498" i="413"/>
  <c r="AA498" i="413"/>
  <c r="AM489" i="413"/>
  <c r="AA489" i="413"/>
  <c r="AK507" i="413"/>
  <c r="AK520" i="413" s="1"/>
  <c r="Y507" i="413"/>
  <c r="Y520" i="413" s="1"/>
  <c r="AM501" i="413"/>
  <c r="AA501" i="413"/>
  <c r="AK477" i="413"/>
  <c r="Y477" i="413"/>
  <c r="AK473" i="413"/>
  <c r="Y473" i="413"/>
  <c r="AM497" i="413"/>
  <c r="AA497" i="413"/>
  <c r="AM500" i="413"/>
  <c r="AA500" i="413"/>
  <c r="AM493" i="413"/>
  <c r="AA493" i="413"/>
  <c r="AM503" i="413"/>
  <c r="AA503" i="413"/>
  <c r="AK509" i="413"/>
  <c r="Y509" i="413"/>
  <c r="AM494" i="413"/>
  <c r="AA494" i="413"/>
  <c r="AM490" i="413"/>
  <c r="AA490" i="413"/>
  <c r="AK508" i="413"/>
  <c r="Y508" i="413"/>
  <c r="AK481" i="413"/>
  <c r="Y481" i="413"/>
  <c r="AM485" i="413"/>
  <c r="AA485" i="413"/>
  <c r="AM496" i="413"/>
  <c r="AA496" i="413"/>
  <c r="AM486" i="413"/>
  <c r="AA486" i="413"/>
  <c r="AK510" i="413"/>
  <c r="Y510" i="413"/>
  <c r="AM504" i="413"/>
  <c r="AA504" i="413"/>
  <c r="AK479" i="413"/>
  <c r="Y479" i="413"/>
  <c r="AK483" i="413"/>
  <c r="Y483" i="413"/>
  <c r="AM491" i="413"/>
  <c r="AA491" i="413"/>
  <c r="AM492" i="413"/>
  <c r="AA492" i="413"/>
  <c r="AM502" i="413"/>
  <c r="AA502" i="413"/>
  <c r="Z517" i="413"/>
  <c r="AL517" i="413" s="1"/>
  <c r="Z474" i="413"/>
  <c r="AL474" i="413" s="1"/>
  <c r="Z515" i="413"/>
  <c r="AL515" i="413" s="1"/>
  <c r="Z484" i="413"/>
  <c r="AL484" i="413" s="1"/>
  <c r="Z472" i="413"/>
  <c r="AL472" i="413" s="1"/>
  <c r="Z512" i="413"/>
  <c r="AL512" i="413" s="1"/>
  <c r="Z506" i="413"/>
  <c r="AL506" i="413" s="1"/>
  <c r="Z516" i="413"/>
  <c r="AL516" i="413" s="1"/>
  <c r="Z518" i="413"/>
  <c r="AL518" i="413" s="1"/>
  <c r="Z513" i="413"/>
  <c r="AL513" i="413" s="1"/>
  <c r="Z478" i="413"/>
  <c r="AL478" i="413" s="1"/>
  <c r="Z519" i="413"/>
  <c r="AL519" i="413" s="1"/>
  <c r="Z514" i="413"/>
  <c r="AL514" i="413" s="1"/>
  <c r="Z480" i="413"/>
  <c r="AL480" i="413" s="1"/>
  <c r="Z511" i="413"/>
  <c r="AL511" i="413" s="1"/>
  <c r="Z482" i="413"/>
  <c r="AL482" i="413" s="1"/>
  <c r="Z476" i="413"/>
  <c r="AL476" i="413" s="1"/>
  <c r="AK468" i="413"/>
  <c r="AB465" i="413"/>
  <c r="AN465" i="413"/>
  <c r="Z462" i="413"/>
  <c r="AL462" i="413"/>
  <c r="Z461" i="413"/>
  <c r="AL461" i="413"/>
  <c r="Z457" i="413"/>
  <c r="AL457" i="413"/>
  <c r="AA429" i="413"/>
  <c r="AM429" i="413"/>
  <c r="Z453" i="413"/>
  <c r="AL453" i="413"/>
  <c r="AA452" i="413"/>
  <c r="AM452" i="413"/>
  <c r="Z430" i="413"/>
  <c r="AL430" i="413"/>
  <c r="Z433" i="413"/>
  <c r="AL433" i="413" s="1"/>
  <c r="Y454" i="413"/>
  <c r="AK454" i="413"/>
  <c r="Y431" i="413"/>
  <c r="AK431" i="413"/>
  <c r="Y435" i="413"/>
  <c r="AK435" i="413"/>
  <c r="Z432" i="413"/>
  <c r="AL432" i="413" s="1"/>
  <c r="Y446" i="413"/>
  <c r="AK446" i="413"/>
  <c r="Z445" i="413"/>
  <c r="AL445" i="413"/>
  <c r="AA428" i="413"/>
  <c r="AM428" i="413" s="1"/>
  <c r="Z424" i="413"/>
  <c r="AL424" i="413" s="1"/>
  <c r="Z447" i="413"/>
  <c r="AL447" i="413" s="1"/>
  <c r="Y458" i="413"/>
  <c r="AK458" i="413"/>
  <c r="AA437" i="413"/>
  <c r="AM437" i="413"/>
  <c r="Z448" i="413"/>
  <c r="AL448" i="413" s="1"/>
  <c r="Y420" i="413"/>
  <c r="AK420" i="413" s="1"/>
  <c r="AB456" i="413"/>
  <c r="AN456" i="413" s="1"/>
  <c r="Z450" i="413"/>
  <c r="AL450" i="413" s="1"/>
  <c r="AA434" i="413"/>
  <c r="AM434" i="413" s="1"/>
  <c r="AA421" i="413"/>
  <c r="AM421" i="413"/>
  <c r="Z438" i="413"/>
  <c r="AL438" i="413"/>
  <c r="Y451" i="413"/>
  <c r="AK451" i="413" s="1"/>
  <c r="Z439" i="413"/>
  <c r="AL439" i="413" s="1"/>
  <c r="Y444" i="413"/>
  <c r="AK444" i="413" s="1"/>
  <c r="Z442" i="413"/>
  <c r="AL442" i="413"/>
  <c r="Y449" i="413"/>
  <c r="AK449" i="413" s="1"/>
  <c r="Y455" i="413"/>
  <c r="AK455" i="413" s="1"/>
  <c r="Z443" i="413"/>
  <c r="AL443" i="413" s="1"/>
  <c r="Z422" i="413"/>
  <c r="AL422" i="413"/>
  <c r="AA441" i="413"/>
  <c r="AM441" i="413"/>
  <c r="Z427" i="413"/>
  <c r="AL427" i="413" s="1"/>
  <c r="Y436" i="413"/>
  <c r="AK436" i="413" s="1"/>
  <c r="Z426" i="413"/>
  <c r="AL426" i="413"/>
  <c r="Z423" i="413"/>
  <c r="AL423" i="413" s="1"/>
  <c r="Y440" i="413"/>
  <c r="AK440" i="413" s="1"/>
  <c r="AA425" i="413"/>
  <c r="AM425" i="413"/>
  <c r="AA142" i="413"/>
  <c r="AM142" i="413" s="1"/>
  <c r="AJ94" i="413"/>
  <c r="Z257" i="413"/>
  <c r="AL257" i="413" s="1"/>
  <c r="AA155" i="413"/>
  <c r="AM155" i="413" s="1"/>
  <c r="AA405" i="413"/>
  <c r="AM405" i="413" s="1"/>
  <c r="Z269" i="413"/>
  <c r="AL269" i="413"/>
  <c r="AB244" i="413"/>
  <c r="AN244" i="413" s="1"/>
  <c r="AA115" i="413"/>
  <c r="AM115" i="413" s="1"/>
  <c r="AB252" i="413"/>
  <c r="AN252" i="413" s="1"/>
  <c r="AB192" i="413"/>
  <c r="AN192" i="413"/>
  <c r="AM281" i="413"/>
  <c r="AA281" i="413"/>
  <c r="Z403" i="413"/>
  <c r="AL403" i="413" s="1"/>
  <c r="AB97" i="413"/>
  <c r="AN97" i="413" s="1"/>
  <c r="AA278" i="413"/>
  <c r="AM278" i="413" s="1"/>
  <c r="AA182" i="413"/>
  <c r="AM182" i="413" s="1"/>
  <c r="AA267" i="413"/>
  <c r="AM267" i="413"/>
  <c r="Z262" i="413"/>
  <c r="AL262" i="413" s="1"/>
  <c r="AB358" i="413"/>
  <c r="AN358" i="413"/>
  <c r="Z302" i="413"/>
  <c r="AL302" i="413" s="1"/>
  <c r="Z416" i="413"/>
  <c r="AL416" i="413"/>
  <c r="Z189" i="413"/>
  <c r="AL189" i="413" s="1"/>
  <c r="Z348" i="413"/>
  <c r="AL348" i="413" s="1"/>
  <c r="AB248" i="413"/>
  <c r="AN248" i="413" s="1"/>
  <c r="AA147" i="413"/>
  <c r="AM147" i="413" s="1"/>
  <c r="AA393" i="413"/>
  <c r="AM393" i="413" s="1"/>
  <c r="AA162" i="413"/>
  <c r="AM162" i="413" s="1"/>
  <c r="AB289" i="413"/>
  <c r="AN289" i="413" s="1"/>
  <c r="Z408" i="413"/>
  <c r="AL408" i="413"/>
  <c r="AB188" i="413"/>
  <c r="AN188" i="413" s="1"/>
  <c r="AA409" i="413"/>
  <c r="AM409" i="413"/>
  <c r="Z373" i="413"/>
  <c r="AL373" i="413" s="1"/>
  <c r="AA107" i="413"/>
  <c r="AM107" i="413" s="1"/>
  <c r="AA326" i="413"/>
  <c r="AM326" i="413" s="1"/>
  <c r="Z392" i="413"/>
  <c r="AL392" i="413" s="1"/>
  <c r="Z310" i="413"/>
  <c r="AL310" i="413" s="1"/>
  <c r="AA384" i="413"/>
  <c r="AM384" i="413" s="1"/>
  <c r="Z306" i="413"/>
  <c r="AL306" i="413" s="1"/>
  <c r="Z245" i="413"/>
  <c r="AL245" i="413"/>
  <c r="Z241" i="413"/>
  <c r="AL241" i="413" s="1"/>
  <c r="AB200" i="413"/>
  <c r="AN200" i="413" s="1"/>
  <c r="Z213" i="413"/>
  <c r="AL213" i="413" s="1"/>
  <c r="AA353" i="413"/>
  <c r="AM353" i="413"/>
  <c r="Z229" i="413"/>
  <c r="AL229" i="413" s="1"/>
  <c r="Z205" i="413"/>
  <c r="AL205" i="413"/>
  <c r="AA349" i="413"/>
  <c r="AM349" i="413" s="1"/>
  <c r="AB212" i="413"/>
  <c r="AN212" i="413"/>
  <c r="Z197" i="413"/>
  <c r="AL197" i="413" s="1"/>
  <c r="AB158" i="413"/>
  <c r="AN158" i="413" s="1"/>
  <c r="AA417" i="413"/>
  <c r="AM417" i="413" s="1"/>
  <c r="Z163" i="413"/>
  <c r="AL163" i="413"/>
  <c r="AB204" i="413"/>
  <c r="AN204" i="413" s="1"/>
  <c r="Z201" i="413"/>
  <c r="AL201" i="413"/>
  <c r="AA139" i="413"/>
  <c r="AM139" i="413" s="1"/>
  <c r="AB382" i="413"/>
  <c r="AN382" i="413"/>
  <c r="AB228" i="413"/>
  <c r="AN228" i="413" s="1"/>
  <c r="Z356" i="413"/>
  <c r="AL356" i="413" s="1"/>
  <c r="Z360" i="413"/>
  <c r="AL360" i="413" s="1"/>
  <c r="AA274" i="413"/>
  <c r="AM274" i="413"/>
  <c r="AB350" i="413"/>
  <c r="AN350" i="413" s="1"/>
  <c r="Z363" i="413"/>
  <c r="AL363" i="413"/>
  <c r="Z261" i="413"/>
  <c r="AL261" i="413" s="1"/>
  <c r="Z351" i="413"/>
  <c r="AL351" i="413"/>
  <c r="AA176" i="413"/>
  <c r="AM176" i="413" s="1"/>
  <c r="AB224" i="413"/>
  <c r="AN224" i="413" s="1"/>
  <c r="Z359" i="413"/>
  <c r="AL359" i="413" s="1"/>
  <c r="AA166" i="413"/>
  <c r="AM166" i="413" s="1"/>
  <c r="Z270" i="413"/>
  <c r="AL270" i="413" s="1"/>
  <c r="Z352" i="413"/>
  <c r="AL352" i="413"/>
  <c r="Z355" i="413"/>
  <c r="AL355" i="413" s="1"/>
  <c r="AB297" i="413"/>
  <c r="AN297" i="413" s="1"/>
  <c r="AA376" i="413"/>
  <c r="AM376" i="413" s="1"/>
  <c r="AB208" i="413"/>
  <c r="AN208" i="413" s="1"/>
  <c r="Z98" i="413"/>
  <c r="AL98" i="413" s="1"/>
  <c r="Z185" i="413"/>
  <c r="AL185" i="413"/>
  <c r="AB128" i="413"/>
  <c r="AN128" i="413" s="1"/>
  <c r="AA123" i="413"/>
  <c r="AM123" i="413" s="1"/>
  <c r="Z290" i="413"/>
  <c r="AL290" i="413" s="1"/>
  <c r="AB313" i="413"/>
  <c r="AN313" i="413"/>
  <c r="Z253" i="413"/>
  <c r="AL253" i="413" s="1"/>
  <c r="AA342" i="413"/>
  <c r="AM342" i="413" s="1"/>
  <c r="AB216" i="413"/>
  <c r="AN216" i="413" s="1"/>
  <c r="Z179" i="413"/>
  <c r="AL179" i="413"/>
  <c r="AM174" i="413"/>
  <c r="AA174" i="413"/>
  <c r="Z327" i="413"/>
  <c r="AL327" i="413"/>
  <c r="AM368" i="413"/>
  <c r="AA368" i="413"/>
  <c r="AA255" i="413"/>
  <c r="AM255" i="413"/>
  <c r="Z286" i="413"/>
  <c r="AL286" i="413" s="1"/>
  <c r="Z217" i="413"/>
  <c r="AL217" i="413"/>
  <c r="AC169" i="413"/>
  <c r="AO169" i="413" s="1"/>
  <c r="Z193" i="413"/>
  <c r="AL193" i="413" s="1"/>
  <c r="AB184" i="413"/>
  <c r="AN184" i="413" s="1"/>
  <c r="Z404" i="413"/>
  <c r="AL404" i="413"/>
  <c r="AA338" i="413"/>
  <c r="AM338" i="413" s="1"/>
  <c r="AA372" i="413"/>
  <c r="AM372" i="413" s="1"/>
  <c r="AA337" i="413"/>
  <c r="AM337" i="413" s="1"/>
  <c r="AA380" i="413"/>
  <c r="AM380" i="413" s="1"/>
  <c r="Z322" i="413"/>
  <c r="AL322" i="413" s="1"/>
  <c r="Z388" i="413"/>
  <c r="AL388" i="413"/>
  <c r="AA361" i="413"/>
  <c r="AM361" i="413" s="1"/>
  <c r="AA357" i="413"/>
  <c r="AM357" i="413"/>
  <c r="Z209" i="413"/>
  <c r="AL209" i="413" s="1"/>
  <c r="AB371" i="413"/>
  <c r="AN371" i="413" s="1"/>
  <c r="Z266" i="413"/>
  <c r="AL266" i="413" s="1"/>
  <c r="Z233" i="413"/>
  <c r="AL233" i="413"/>
  <c r="Z249" i="413"/>
  <c r="AL249" i="413" s="1"/>
  <c r="AA381" i="413"/>
  <c r="AM381" i="413"/>
  <c r="Z401" i="413"/>
  <c r="AL401" i="413" s="1"/>
  <c r="Z221" i="413"/>
  <c r="AL221" i="413"/>
  <c r="AA365" i="413"/>
  <c r="AM365" i="413" s="1"/>
  <c r="AA168" i="413"/>
  <c r="AM168" i="413" s="1"/>
  <c r="Z237" i="413"/>
  <c r="AL237" i="413" s="1"/>
  <c r="Z171" i="413"/>
  <c r="AL171" i="413"/>
  <c r="AA413" i="413"/>
  <c r="AM413" i="413" s="1"/>
  <c r="AA377" i="413"/>
  <c r="AM377" i="413"/>
  <c r="Z314" i="413"/>
  <c r="AL314" i="413" s="1"/>
  <c r="Z265" i="413"/>
  <c r="AL265" i="413"/>
  <c r="AA273" i="413"/>
  <c r="AM273" i="413" s="1"/>
  <c r="AA330" i="413"/>
  <c r="AM330" i="413" s="1"/>
  <c r="AA271" i="413"/>
  <c r="AM271" i="413" s="1"/>
  <c r="AB196" i="413"/>
  <c r="AN196" i="413"/>
  <c r="Z400" i="413"/>
  <c r="AL400" i="413" s="1"/>
  <c r="AB236" i="413"/>
  <c r="AN236" i="413"/>
  <c r="Z412" i="413"/>
  <c r="AL412" i="413" s="1"/>
  <c r="AA165" i="413"/>
  <c r="AM165" i="413" s="1"/>
  <c r="Z194" i="413"/>
  <c r="AL194" i="413" s="1"/>
  <c r="Z318" i="413"/>
  <c r="AL318" i="413" s="1"/>
  <c r="AB390" i="413"/>
  <c r="AN390" i="413" s="1"/>
  <c r="AB220" i="413"/>
  <c r="AN220" i="413" s="1"/>
  <c r="AA374" i="413"/>
  <c r="AM374" i="413" s="1"/>
  <c r="AA389" i="413"/>
  <c r="AM389" i="413" s="1"/>
  <c r="Z225" i="413"/>
  <c r="AL225" i="413" s="1"/>
  <c r="Z294" i="413"/>
  <c r="AL294" i="413" s="1"/>
  <c r="Z298" i="413"/>
  <c r="AL298" i="413" s="1"/>
  <c r="AB321" i="413"/>
  <c r="AN321" i="413" s="1"/>
  <c r="Z334" i="413"/>
  <c r="AL334" i="413" s="1"/>
  <c r="AB232" i="413"/>
  <c r="AN232" i="413" s="1"/>
  <c r="AB305" i="413"/>
  <c r="AN305" i="413" s="1"/>
  <c r="AM131" i="413"/>
  <c r="AA131" i="413"/>
  <c r="AA178" i="413"/>
  <c r="AM178" i="413" s="1"/>
  <c r="AM277" i="413"/>
  <c r="AA277" i="413"/>
  <c r="Z258" i="413"/>
  <c r="AL258" i="413" s="1"/>
  <c r="Z397" i="413"/>
  <c r="AL397" i="413" s="1"/>
  <c r="AB93" i="413"/>
  <c r="AN93" i="413" s="1"/>
  <c r="AB240" i="413"/>
  <c r="AN240" i="413" s="1"/>
  <c r="AA263" i="413"/>
  <c r="AM263" i="413" s="1"/>
  <c r="AA170" i="413"/>
  <c r="AM170" i="413" s="1"/>
  <c r="AA136" i="413"/>
  <c r="AM136" i="413" s="1"/>
  <c r="Z222" i="413"/>
  <c r="AL222" i="413" s="1"/>
  <c r="Z396" i="413"/>
  <c r="AL396" i="413" s="1"/>
  <c r="AM146" i="413"/>
  <c r="AA146" i="413"/>
  <c r="AA331" i="413"/>
  <c r="AM331" i="413" s="1"/>
  <c r="Z101" i="413"/>
  <c r="AL101" i="413" s="1"/>
  <c r="AA406" i="413"/>
  <c r="AM406" i="413" s="1"/>
  <c r="AA114" i="413"/>
  <c r="AM114" i="413" s="1"/>
  <c r="AB395" i="413"/>
  <c r="AN395" i="413" s="1"/>
  <c r="AA272" i="413"/>
  <c r="AM272" i="413" s="1"/>
  <c r="Z287" i="413"/>
  <c r="AL287" i="413" s="1"/>
  <c r="Z206" i="413"/>
  <c r="AL206" i="413" s="1"/>
  <c r="AA283" i="413"/>
  <c r="AM283" i="413" s="1"/>
  <c r="Z103" i="413"/>
  <c r="AL103" i="413" s="1"/>
  <c r="AA116" i="413"/>
  <c r="AM116" i="413" s="1"/>
  <c r="AA140" i="413"/>
  <c r="AM140" i="413" s="1"/>
  <c r="Z141" i="413"/>
  <c r="AL141" i="413" s="1"/>
  <c r="AA312" i="413"/>
  <c r="AM312" i="413" s="1"/>
  <c r="AA370" i="413"/>
  <c r="AM370" i="413" s="1"/>
  <c r="Z143" i="413"/>
  <c r="AL143" i="413" s="1"/>
  <c r="AA187" i="413"/>
  <c r="AM187" i="413" s="1"/>
  <c r="Z385" i="413"/>
  <c r="AL385" i="413" s="1"/>
  <c r="AA284" i="413"/>
  <c r="AM284" i="413" s="1"/>
  <c r="Z127" i="413"/>
  <c r="AL127" i="413" s="1"/>
  <c r="Z291" i="413"/>
  <c r="AL291" i="413" s="1"/>
  <c r="AA172" i="413"/>
  <c r="AM172" i="413" s="1"/>
  <c r="Z323" i="413"/>
  <c r="AL323" i="413" s="1"/>
  <c r="Z151" i="413"/>
  <c r="AL151" i="413" s="1"/>
  <c r="Z109" i="413"/>
  <c r="AL109" i="413" s="1"/>
  <c r="AA211" i="413"/>
  <c r="AM211" i="413" s="1"/>
  <c r="Z299" i="413"/>
  <c r="AL299" i="413" s="1"/>
  <c r="AB150" i="413"/>
  <c r="AN150" i="413" s="1"/>
  <c r="AA256" i="413"/>
  <c r="AM256" i="413" s="1"/>
  <c r="AA104" i="413"/>
  <c r="AM104" i="413" s="1"/>
  <c r="AL275" i="413"/>
  <c r="Z275" i="413"/>
  <c r="AA292" i="413"/>
  <c r="AM292" i="413" s="1"/>
  <c r="Z230" i="413"/>
  <c r="AL230" i="413" s="1"/>
  <c r="AA324" i="413"/>
  <c r="AM324" i="413" s="1"/>
  <c r="AA285" i="413"/>
  <c r="AM285" i="413" s="1"/>
  <c r="AA354" i="413"/>
  <c r="AM354" i="413" s="1"/>
  <c r="AA112" i="413"/>
  <c r="AM112" i="413" s="1"/>
  <c r="Z99" i="413"/>
  <c r="AL99" i="413" s="1"/>
  <c r="AL125" i="413"/>
  <c r="Z125" i="413"/>
  <c r="AA227" i="413"/>
  <c r="AM227" i="413" s="1"/>
  <c r="Z117" i="413"/>
  <c r="AL117" i="413" s="1"/>
  <c r="AA364" i="413"/>
  <c r="AM364" i="413" s="1"/>
  <c r="Z190" i="413"/>
  <c r="AL190" i="413" s="1"/>
  <c r="Z315" i="413"/>
  <c r="AL315" i="413" s="1"/>
  <c r="AA215" i="413"/>
  <c r="AM215" i="413" s="1"/>
  <c r="AA154" i="413"/>
  <c r="AM154" i="413" s="1"/>
  <c r="AA173" i="413"/>
  <c r="AM173" i="413" s="1"/>
  <c r="AB126" i="413"/>
  <c r="AN126" i="413" s="1"/>
  <c r="AB113" i="413"/>
  <c r="AN113" i="413" s="1"/>
  <c r="Z226" i="413"/>
  <c r="AL226" i="413" s="1"/>
  <c r="AA279" i="413"/>
  <c r="AM279" i="413" s="1"/>
  <c r="AB102" i="413"/>
  <c r="AN102" i="413" s="1"/>
  <c r="Z254" i="413"/>
  <c r="AL254" i="413" s="1"/>
  <c r="AM345" i="413"/>
  <c r="AA345" i="413"/>
  <c r="Z259" i="413"/>
  <c r="AL259" i="413" s="1"/>
  <c r="AA180" i="413"/>
  <c r="AM180" i="413" s="1"/>
  <c r="AA394" i="413"/>
  <c r="AM394" i="413" s="1"/>
  <c r="AB110" i="413"/>
  <c r="AN110" i="413" s="1"/>
  <c r="AA160" i="413"/>
  <c r="AM160" i="413" s="1"/>
  <c r="AA309" i="413"/>
  <c r="AM309" i="413" s="1"/>
  <c r="Z246" i="413"/>
  <c r="AL246" i="413" s="1"/>
  <c r="AB280" i="413"/>
  <c r="AN280" i="413" s="1"/>
  <c r="AA130" i="413"/>
  <c r="AM130" i="413" s="1"/>
  <c r="Z328" i="413"/>
  <c r="AL328" i="413" s="1"/>
  <c r="AA375" i="413"/>
  <c r="AM375" i="413" s="1"/>
  <c r="AA414" i="413"/>
  <c r="AM414" i="413" s="1"/>
  <c r="AA296" i="413"/>
  <c r="AM296" i="413" s="1"/>
  <c r="AB383" i="413"/>
  <c r="AN383" i="413" s="1"/>
  <c r="AA235" i="413"/>
  <c r="AM235" i="413" s="1"/>
  <c r="AA317" i="413"/>
  <c r="AM317" i="413" s="1"/>
  <c r="AA293" i="413"/>
  <c r="AM293" i="413" s="1"/>
  <c r="AA411" i="413"/>
  <c r="AM411" i="413" s="1"/>
  <c r="Z218" i="413"/>
  <c r="AL218" i="413" s="1"/>
  <c r="AA156" i="413"/>
  <c r="AM156" i="413" s="1"/>
  <c r="AB344" i="413"/>
  <c r="AN344" i="413" s="1"/>
  <c r="AA239" i="413"/>
  <c r="AM239" i="413" s="1"/>
  <c r="AM407" i="413"/>
  <c r="AA407" i="413"/>
  <c r="Z202" i="413"/>
  <c r="AL202" i="413" s="1"/>
  <c r="AA137" i="413"/>
  <c r="AM137" i="413" s="1"/>
  <c r="AA153" i="413"/>
  <c r="AM153" i="413" s="1"/>
  <c r="AA329" i="413"/>
  <c r="AM329" i="413" s="1"/>
  <c r="AA207" i="413"/>
  <c r="AM207" i="413" s="1"/>
  <c r="Z95" i="413"/>
  <c r="AL95" i="413" s="1"/>
  <c r="Z159" i="413"/>
  <c r="AL159" i="413" s="1"/>
  <c r="Z135" i="413"/>
  <c r="AL135" i="413" s="1"/>
  <c r="AA167" i="413"/>
  <c r="AM167" i="413" s="1"/>
  <c r="AA243" i="413"/>
  <c r="AM243" i="413" s="1"/>
  <c r="AB379" i="413"/>
  <c r="AN379" i="413" s="1"/>
  <c r="AA175" i="413"/>
  <c r="AM175" i="413" s="1"/>
  <c r="AA195" i="413"/>
  <c r="AM195" i="413" s="1"/>
  <c r="AB134" i="413"/>
  <c r="AN134" i="413" s="1"/>
  <c r="AM333" i="413"/>
  <c r="AA333" i="413"/>
  <c r="AA129" i="413"/>
  <c r="AM129" i="413" s="1"/>
  <c r="AM341" i="413"/>
  <c r="AA341" i="413"/>
  <c r="AB118" i="413"/>
  <c r="AN118" i="413" s="1"/>
  <c r="AB276" i="413"/>
  <c r="AN276" i="413" s="1"/>
  <c r="AA336" i="413"/>
  <c r="AM336" i="413" s="1"/>
  <c r="AA105" i="413"/>
  <c r="AM105" i="413" s="1"/>
  <c r="AA247" i="413"/>
  <c r="AM247" i="413" s="1"/>
  <c r="Z238" i="413"/>
  <c r="AL238" i="413" s="1"/>
  <c r="Z198" i="413"/>
  <c r="AL198" i="413" s="1"/>
  <c r="AA138" i="413"/>
  <c r="AM138" i="413" s="1"/>
  <c r="AA308" i="413"/>
  <c r="AM308" i="413" s="1"/>
  <c r="AA219" i="413"/>
  <c r="AM219" i="413" s="1"/>
  <c r="Z378" i="413"/>
  <c r="AL378" i="413" s="1"/>
  <c r="AA148" i="413"/>
  <c r="AM148" i="413" s="1"/>
  <c r="AA144" i="413"/>
  <c r="AM144" i="413" s="1"/>
  <c r="AA132" i="413"/>
  <c r="AM132" i="413" s="1"/>
  <c r="Z234" i="413"/>
  <c r="AL234" i="413" s="1"/>
  <c r="Z111" i="413"/>
  <c r="AL111" i="413" s="1"/>
  <c r="AA96" i="413"/>
  <c r="AM96" i="413" s="1"/>
  <c r="AA191" i="413"/>
  <c r="AM191" i="413" s="1"/>
  <c r="AM164" i="413"/>
  <c r="AA164" i="413"/>
  <c r="AB387" i="413"/>
  <c r="AN387" i="413" s="1"/>
  <c r="AB367" i="413"/>
  <c r="AN367" i="413" s="1"/>
  <c r="Z119" i="413"/>
  <c r="AL119" i="413" s="1"/>
  <c r="AA366" i="413"/>
  <c r="AM366" i="413" s="1"/>
  <c r="Z295" i="413"/>
  <c r="AL295" i="413" s="1"/>
  <c r="AA181" i="413"/>
  <c r="AM181" i="413" s="1"/>
  <c r="Y94" i="413"/>
  <c r="Y418" i="413" s="1"/>
  <c r="Z282" i="413"/>
  <c r="AL282" i="413" s="1"/>
  <c r="AA325" i="413"/>
  <c r="AM325" i="413" s="1"/>
  <c r="AA183" i="413"/>
  <c r="AM183" i="413" s="1"/>
  <c r="Z210" i="413"/>
  <c r="AL210" i="413" s="1"/>
  <c r="AA332" i="413"/>
  <c r="AM332" i="413" s="1"/>
  <c r="Z242" i="413"/>
  <c r="AL242" i="413" s="1"/>
  <c r="AA410" i="413"/>
  <c r="AM410" i="413" s="1"/>
  <c r="AA264" i="413"/>
  <c r="AM264" i="413" s="1"/>
  <c r="Z398" i="413"/>
  <c r="AL398" i="413" s="1"/>
  <c r="Z157" i="413"/>
  <c r="AL157" i="413" s="1"/>
  <c r="AA124" i="413"/>
  <c r="AM124" i="413" s="1"/>
  <c r="Z319" i="413"/>
  <c r="AL319" i="413" s="1"/>
  <c r="AA300" i="413"/>
  <c r="AM300" i="413" s="1"/>
  <c r="AB391" i="413"/>
  <c r="AN391" i="413" s="1"/>
  <c r="AA301" i="413"/>
  <c r="AM301" i="413" s="1"/>
  <c r="Z346" i="413"/>
  <c r="AL346" i="413" s="1"/>
  <c r="AA100" i="413"/>
  <c r="AM100" i="413" s="1"/>
  <c r="AB145" i="413"/>
  <c r="AN145" i="413" s="1"/>
  <c r="AA316" i="413"/>
  <c r="AM316" i="413" s="1"/>
  <c r="AA260" i="413"/>
  <c r="AM260" i="413" s="1"/>
  <c r="Z369" i="413"/>
  <c r="AL369" i="413" s="1"/>
  <c r="AA121" i="413"/>
  <c r="AM121" i="413" s="1"/>
  <c r="AA161" i="413"/>
  <c r="AM161" i="413" s="1"/>
  <c r="Z311" i="413"/>
  <c r="AL311" i="413" s="1"/>
  <c r="Z335" i="413"/>
  <c r="AL335" i="413" s="1"/>
  <c r="AA386" i="413"/>
  <c r="AM386" i="413" s="1"/>
  <c r="AA251" i="413"/>
  <c r="AM251" i="413" s="1"/>
  <c r="Z339" i="413"/>
  <c r="AL339" i="413" s="1"/>
  <c r="AA347" i="413"/>
  <c r="AM347" i="413" s="1"/>
  <c r="AA231" i="413"/>
  <c r="AM231" i="413" s="1"/>
  <c r="AA399" i="413"/>
  <c r="AM399" i="413" s="1"/>
  <c r="Z214" i="413"/>
  <c r="AL214" i="413" s="1"/>
  <c r="AA340" i="413"/>
  <c r="AM340" i="413" s="1"/>
  <c r="Z402" i="413"/>
  <c r="AL402" i="413" s="1"/>
  <c r="AA288" i="413"/>
  <c r="AM288" i="413" s="1"/>
  <c r="AA203" i="413"/>
  <c r="AM203" i="413" s="1"/>
  <c r="AA122" i="413"/>
  <c r="AM122" i="413" s="1"/>
  <c r="AA343" i="413"/>
  <c r="AM343" i="413" s="1"/>
  <c r="AA268" i="413"/>
  <c r="AM268" i="413" s="1"/>
  <c r="AA320" i="413"/>
  <c r="AM320" i="413" s="1"/>
  <c r="Z149" i="413"/>
  <c r="AL149" i="413" s="1"/>
  <c r="Z250" i="413"/>
  <c r="AL250" i="413" s="1"/>
  <c r="AB177" i="413"/>
  <c r="AN177" i="413" s="1"/>
  <c r="AA362" i="413"/>
  <c r="AM362" i="413" s="1"/>
  <c r="AA152" i="413"/>
  <c r="AM152" i="413" s="1"/>
  <c r="Z307" i="413"/>
  <c r="AL307" i="413" s="1"/>
  <c r="AA304" i="413"/>
  <c r="AM304" i="413" s="1"/>
  <c r="AA415" i="413"/>
  <c r="AM415" i="413" s="1"/>
  <c r="Z186" i="413"/>
  <c r="AL186" i="413" s="1"/>
  <c r="AA199" i="413"/>
  <c r="AM199" i="413" s="1"/>
  <c r="AA120" i="413"/>
  <c r="AM120" i="413" s="1"/>
  <c r="AA106" i="413"/>
  <c r="AM106" i="413" s="1"/>
  <c r="AA108" i="413"/>
  <c r="AM108" i="413" s="1"/>
  <c r="AA223" i="413"/>
  <c r="AM223" i="413" s="1"/>
  <c r="Z133" i="413"/>
  <c r="AL133" i="413" s="1"/>
  <c r="AL92" i="413"/>
  <c r="Z92" i="413"/>
  <c r="Z303" i="413"/>
  <c r="AL303" i="413" s="1"/>
  <c r="AK522" i="413" l="1"/>
  <c r="AK523" i="413" s="1"/>
  <c r="Y523" i="413"/>
  <c r="AM418" i="413"/>
  <c r="AL522" i="413"/>
  <c r="AL523" i="413" s="1"/>
  <c r="Z522" i="413"/>
  <c r="Z523" i="413" s="1"/>
  <c r="AM476" i="413"/>
  <c r="AA476" i="413"/>
  <c r="AA514" i="413"/>
  <c r="AM514" i="413" s="1"/>
  <c r="AA518" i="413"/>
  <c r="AM518" i="413" s="1"/>
  <c r="AM472" i="413"/>
  <c r="AA472" i="413"/>
  <c r="AA517" i="413"/>
  <c r="AM517" i="413" s="1"/>
  <c r="AM482" i="413"/>
  <c r="AA482" i="413"/>
  <c r="AA519" i="413"/>
  <c r="AM519" i="413" s="1"/>
  <c r="AA516" i="413"/>
  <c r="AM516" i="413" s="1"/>
  <c r="AM484" i="413"/>
  <c r="AA484" i="413"/>
  <c r="AM511" i="413"/>
  <c r="AA511" i="413"/>
  <c r="AM478" i="413"/>
  <c r="AA478" i="413"/>
  <c r="AM506" i="413"/>
  <c r="AA506" i="413"/>
  <c r="AM515" i="413"/>
  <c r="AA515" i="413"/>
  <c r="AM480" i="413"/>
  <c r="AA480" i="413"/>
  <c r="AM513" i="413"/>
  <c r="AA513" i="413"/>
  <c r="AM512" i="413"/>
  <c r="AA512" i="413"/>
  <c r="AM474" i="413"/>
  <c r="AA474" i="413"/>
  <c r="AB492" i="413"/>
  <c r="AN492" i="413" s="1"/>
  <c r="Z483" i="413"/>
  <c r="AL483" i="413" s="1"/>
  <c r="AB504" i="413"/>
  <c r="AN504" i="413" s="1"/>
  <c r="AB486" i="413"/>
  <c r="AN486" i="413" s="1"/>
  <c r="AB485" i="413"/>
  <c r="AN485" i="413" s="1"/>
  <c r="Z508" i="413"/>
  <c r="AL508" i="413" s="1"/>
  <c r="AB494" i="413"/>
  <c r="AN494" i="413" s="1"/>
  <c r="AB503" i="413"/>
  <c r="AN503" i="413" s="1"/>
  <c r="AB500" i="413"/>
  <c r="AN500" i="413" s="1"/>
  <c r="Z473" i="413"/>
  <c r="AL473" i="413" s="1"/>
  <c r="AB501" i="413"/>
  <c r="AN501" i="413" s="1"/>
  <c r="AB489" i="413"/>
  <c r="AN489" i="413" s="1"/>
  <c r="AB499" i="413"/>
  <c r="AN499" i="413" s="1"/>
  <c r="Z475" i="413"/>
  <c r="AL475" i="413" s="1"/>
  <c r="AB487" i="413"/>
  <c r="AN487" i="413" s="1"/>
  <c r="AB505" i="413"/>
  <c r="AN505" i="413" s="1"/>
  <c r="AB502" i="413"/>
  <c r="AN502" i="413" s="1"/>
  <c r="AB491" i="413"/>
  <c r="AN491" i="413" s="1"/>
  <c r="Z479" i="413"/>
  <c r="AL479" i="413" s="1"/>
  <c r="Z510" i="413"/>
  <c r="AL510" i="413" s="1"/>
  <c r="AB496" i="413"/>
  <c r="AN496" i="413" s="1"/>
  <c r="Z481" i="413"/>
  <c r="AL481" i="413" s="1"/>
  <c r="AB490" i="413"/>
  <c r="AN490" i="413" s="1"/>
  <c r="Z509" i="413"/>
  <c r="AL509" i="413" s="1"/>
  <c r="AB493" i="413"/>
  <c r="AN493" i="413" s="1"/>
  <c r="AB497" i="413"/>
  <c r="AN497" i="413" s="1"/>
  <c r="Z477" i="413"/>
  <c r="AL477" i="413" s="1"/>
  <c r="Z507" i="413"/>
  <c r="AB498" i="413"/>
  <c r="AN498" i="413" s="1"/>
  <c r="Z471" i="413"/>
  <c r="AL471" i="413" s="1"/>
  <c r="AB488" i="413"/>
  <c r="AN488" i="413" s="1"/>
  <c r="AB495" i="413"/>
  <c r="AN495" i="413" s="1"/>
  <c r="AK469" i="413"/>
  <c r="Z468" i="413"/>
  <c r="Z469" i="413" s="1"/>
  <c r="AC465" i="413"/>
  <c r="AO465" i="413"/>
  <c r="AA461" i="413"/>
  <c r="AM461" i="413" s="1"/>
  <c r="AA462" i="413"/>
  <c r="AM462" i="413"/>
  <c r="AA423" i="413"/>
  <c r="AM423" i="413" s="1"/>
  <c r="Z451" i="413"/>
  <c r="AL451" i="413"/>
  <c r="AB434" i="413"/>
  <c r="AN434" i="413" s="1"/>
  <c r="AA432" i="413"/>
  <c r="AM432" i="413"/>
  <c r="Z440" i="413"/>
  <c r="AL440" i="413" s="1"/>
  <c r="Z436" i="413"/>
  <c r="AL436" i="413" s="1"/>
  <c r="Z449" i="413"/>
  <c r="AL449" i="413"/>
  <c r="AA439" i="413"/>
  <c r="AM439" i="413" s="1"/>
  <c r="AC456" i="413"/>
  <c r="AO456" i="413"/>
  <c r="AA424" i="413"/>
  <c r="AM424" i="413"/>
  <c r="AA427" i="413"/>
  <c r="AM427" i="413" s="1"/>
  <c r="Z420" i="413"/>
  <c r="AL420" i="413" s="1"/>
  <c r="AB428" i="413"/>
  <c r="AN428" i="413"/>
  <c r="AA433" i="413"/>
  <c r="AM433" i="413"/>
  <c r="AA443" i="413"/>
  <c r="AM443" i="413" s="1"/>
  <c r="AA448" i="413"/>
  <c r="AM448" i="413"/>
  <c r="Z455" i="413"/>
  <c r="AL455" i="413"/>
  <c r="Z444" i="413"/>
  <c r="AL444" i="413" s="1"/>
  <c r="AA450" i="413"/>
  <c r="AM450" i="413"/>
  <c r="AA447" i="413"/>
  <c r="AM447" i="413"/>
  <c r="AA426" i="413"/>
  <c r="AM426" i="413" s="1"/>
  <c r="AA422" i="413"/>
  <c r="AM422" i="413" s="1"/>
  <c r="AA442" i="413"/>
  <c r="AM442" i="413" s="1"/>
  <c r="AA438" i="413"/>
  <c r="AM438" i="413" s="1"/>
  <c r="Z458" i="413"/>
  <c r="AL458" i="413" s="1"/>
  <c r="AA445" i="413"/>
  <c r="AM445" i="413" s="1"/>
  <c r="Z431" i="413"/>
  <c r="AL431" i="413" s="1"/>
  <c r="AB452" i="413"/>
  <c r="AN452" i="413" s="1"/>
  <c r="AB429" i="413"/>
  <c r="AN429" i="413" s="1"/>
  <c r="AB425" i="413"/>
  <c r="AN425" i="413" s="1"/>
  <c r="AB441" i="413"/>
  <c r="AN441" i="413" s="1"/>
  <c r="AB421" i="413"/>
  <c r="AN421" i="413" s="1"/>
  <c r="AB437" i="413"/>
  <c r="AN437" i="413" s="1"/>
  <c r="Z446" i="413"/>
  <c r="AL446" i="413" s="1"/>
  <c r="Z435" i="413"/>
  <c r="AL435" i="413" s="1"/>
  <c r="Z454" i="413"/>
  <c r="AL454" i="413" s="1"/>
  <c r="AA430" i="413"/>
  <c r="AM430" i="413" s="1"/>
  <c r="AA453" i="413"/>
  <c r="AM453" i="413" s="1"/>
  <c r="AA457" i="413"/>
  <c r="AM457" i="413" s="1"/>
  <c r="AB142" i="413"/>
  <c r="AN142" i="413" s="1"/>
  <c r="AC142" i="413" s="1"/>
  <c r="AO142" i="413" s="1"/>
  <c r="AB152" i="413"/>
  <c r="AN152" i="413" s="1"/>
  <c r="AB203" i="413"/>
  <c r="AN203" i="413" s="1"/>
  <c r="AB251" i="413"/>
  <c r="AN251" i="413"/>
  <c r="AB100" i="413"/>
  <c r="AN100" i="413" s="1"/>
  <c r="AB300" i="413"/>
  <c r="AN300" i="413"/>
  <c r="AB325" i="413"/>
  <c r="AN325" i="413"/>
  <c r="AB223" i="413"/>
  <c r="AN223" i="413" s="1"/>
  <c r="AB120" i="413"/>
  <c r="AN120" i="413" s="1"/>
  <c r="AB362" i="413"/>
  <c r="AN362" i="413" s="1"/>
  <c r="AB343" i="413"/>
  <c r="AN343" i="413" s="1"/>
  <c r="AB288" i="413"/>
  <c r="AN288" i="413" s="1"/>
  <c r="AB231" i="413"/>
  <c r="AN231" i="413"/>
  <c r="AB386" i="413"/>
  <c r="AN386" i="413" s="1"/>
  <c r="AB260" i="413"/>
  <c r="AN260" i="413"/>
  <c r="AA319" i="413"/>
  <c r="AM319" i="413" s="1"/>
  <c r="AA398" i="413"/>
  <c r="AM398" i="413" s="1"/>
  <c r="AB332" i="413"/>
  <c r="AN332" i="413" s="1"/>
  <c r="AA282" i="413"/>
  <c r="AM282" i="413"/>
  <c r="AB366" i="413"/>
  <c r="AN366" i="413" s="1"/>
  <c r="AA111" i="413"/>
  <c r="AM111" i="413" s="1"/>
  <c r="AB148" i="413"/>
  <c r="AN148" i="413" s="1"/>
  <c r="AB308" i="413"/>
  <c r="AN308" i="413" s="1"/>
  <c r="AA238" i="413"/>
  <c r="AM238" i="413" s="1"/>
  <c r="AB336" i="413"/>
  <c r="AN336" i="413"/>
  <c r="AB195" i="413"/>
  <c r="AN195" i="413" s="1"/>
  <c r="AB207" i="413"/>
  <c r="AN207" i="413"/>
  <c r="AB156" i="413"/>
  <c r="AN156" i="413" s="1"/>
  <c r="AB293" i="413"/>
  <c r="AN293" i="413"/>
  <c r="AA328" i="413"/>
  <c r="AM328" i="413" s="1"/>
  <c r="AA246" i="413"/>
  <c r="AM246" i="413" s="1"/>
  <c r="AB108" i="413"/>
  <c r="AN108" i="413" s="1"/>
  <c r="AB199" i="413"/>
  <c r="AN199" i="413"/>
  <c r="AB304" i="413"/>
  <c r="AN304" i="413" s="1"/>
  <c r="AC177" i="413"/>
  <c r="AO177" i="413"/>
  <c r="AB320" i="413"/>
  <c r="AN320" i="413" s="1"/>
  <c r="AA214" i="413"/>
  <c r="AM214" i="413"/>
  <c r="AB347" i="413"/>
  <c r="AN347" i="413" s="1"/>
  <c r="AA335" i="413"/>
  <c r="AM335" i="413" s="1"/>
  <c r="AB316" i="413"/>
  <c r="AN316" i="413" s="1"/>
  <c r="AB301" i="413"/>
  <c r="AN301" i="413"/>
  <c r="AB124" i="413"/>
  <c r="AN124" i="413" s="1"/>
  <c r="AB264" i="413"/>
  <c r="AN264" i="413"/>
  <c r="AA210" i="413"/>
  <c r="AM210" i="413" s="1"/>
  <c r="AA119" i="413"/>
  <c r="AM119" i="413" s="1"/>
  <c r="AA234" i="413"/>
  <c r="AM234" i="413" s="1"/>
  <c r="AB247" i="413"/>
  <c r="AN247" i="413"/>
  <c r="AC276" i="413"/>
  <c r="AO276" i="413" s="1"/>
  <c r="AB175" i="413"/>
  <c r="AN175" i="413" s="1"/>
  <c r="AA135" i="413"/>
  <c r="AM135" i="413" s="1"/>
  <c r="AA218" i="413"/>
  <c r="AM218" i="413" s="1"/>
  <c r="AB317" i="413"/>
  <c r="AN317" i="413" s="1"/>
  <c r="AB414" i="413"/>
  <c r="AN414" i="413"/>
  <c r="AB309" i="413"/>
  <c r="AN309" i="413" s="1"/>
  <c r="AB394" i="413"/>
  <c r="AN394" i="413"/>
  <c r="AC126" i="413"/>
  <c r="AO126" i="413" s="1"/>
  <c r="AB215" i="413"/>
  <c r="AN215" i="413"/>
  <c r="AB112" i="413"/>
  <c r="AN112" i="413" s="1"/>
  <c r="AA230" i="413"/>
  <c r="AM230" i="413" s="1"/>
  <c r="AB211" i="413"/>
  <c r="AN211" i="413" s="1"/>
  <c r="AA323" i="413"/>
  <c r="AM323" i="413"/>
  <c r="AA127" i="413"/>
  <c r="AM127" i="413" s="1"/>
  <c r="AA143" i="413"/>
  <c r="AM143" i="413" s="1"/>
  <c r="AB283" i="413"/>
  <c r="AN283" i="413" s="1"/>
  <c r="AB406" i="413"/>
  <c r="AN406" i="413" s="1"/>
  <c r="AB136" i="413"/>
  <c r="AN136" i="413" s="1"/>
  <c r="AC240" i="413"/>
  <c r="AO240" i="413"/>
  <c r="AA334" i="413"/>
  <c r="AM334" i="413" s="1"/>
  <c r="AA225" i="413"/>
  <c r="AM225" i="413" s="1"/>
  <c r="AC390" i="413"/>
  <c r="AO390" i="413" s="1"/>
  <c r="AA400" i="413"/>
  <c r="AM400" i="413" s="1"/>
  <c r="AB330" i="413"/>
  <c r="AN330" i="413" s="1"/>
  <c r="AB413" i="413"/>
  <c r="AN413" i="413" s="1"/>
  <c r="AA249" i="413"/>
  <c r="AM249" i="413" s="1"/>
  <c r="AA322" i="413"/>
  <c r="AM322" i="413" s="1"/>
  <c r="AB338" i="413"/>
  <c r="AN338" i="413" s="1"/>
  <c r="AC216" i="413"/>
  <c r="AO216" i="413"/>
  <c r="AC350" i="413"/>
  <c r="AO350" i="413" s="1"/>
  <c r="AB417" i="413"/>
  <c r="AN417" i="413" s="1"/>
  <c r="AA229" i="413"/>
  <c r="AM229" i="413" s="1"/>
  <c r="AB107" i="413"/>
  <c r="AN107" i="413" s="1"/>
  <c r="AC188" i="413"/>
  <c r="AO188" i="413" s="1"/>
  <c r="AB162" i="413"/>
  <c r="AN162" i="413"/>
  <c r="AA262" i="413"/>
  <c r="AM262" i="413" s="1"/>
  <c r="AC252" i="413"/>
  <c r="AO252" i="413" s="1"/>
  <c r="AA186" i="413"/>
  <c r="AM186" i="413" s="1"/>
  <c r="AA307" i="413"/>
  <c r="AM307" i="413"/>
  <c r="AA250" i="413"/>
  <c r="AM250" i="413" s="1"/>
  <c r="AA339" i="413"/>
  <c r="AM339" i="413"/>
  <c r="AA311" i="413"/>
  <c r="AM311" i="413" s="1"/>
  <c r="AC145" i="413"/>
  <c r="AO145" i="413" s="1"/>
  <c r="AC391" i="413"/>
  <c r="AO391" i="413" s="1"/>
  <c r="AB410" i="413"/>
  <c r="AN410" i="413"/>
  <c r="AB183" i="413"/>
  <c r="AN183" i="413" s="1"/>
  <c r="AB181" i="413"/>
  <c r="AN181" i="413" s="1"/>
  <c r="AC367" i="413"/>
  <c r="AO367" i="413" s="1"/>
  <c r="AB191" i="413"/>
  <c r="AN191" i="413" s="1"/>
  <c r="AB132" i="413"/>
  <c r="AN132" i="413" s="1"/>
  <c r="AC379" i="413"/>
  <c r="AO379" i="413"/>
  <c r="AA159" i="413"/>
  <c r="AM159" i="413" s="1"/>
  <c r="AB239" i="413"/>
  <c r="AN239" i="413"/>
  <c r="AB235" i="413"/>
  <c r="AN235" i="413" s="1"/>
  <c r="AB160" i="413"/>
  <c r="AN160" i="413" s="1"/>
  <c r="AB279" i="413"/>
  <c r="AN279" i="413" s="1"/>
  <c r="AB173" i="413"/>
  <c r="AN173" i="413" s="1"/>
  <c r="AA315" i="413"/>
  <c r="AM315" i="413" s="1"/>
  <c r="AB354" i="413"/>
  <c r="AN354" i="413"/>
  <c r="AB284" i="413"/>
  <c r="AN284" i="413" s="1"/>
  <c r="AB370" i="413"/>
  <c r="AN370" i="413" s="1"/>
  <c r="AB140" i="413"/>
  <c r="AN140" i="413" s="1"/>
  <c r="AA206" i="413"/>
  <c r="AM206" i="413"/>
  <c r="AC395" i="413"/>
  <c r="AO395" i="413" s="1"/>
  <c r="AC93" i="413"/>
  <c r="AO93" i="413"/>
  <c r="AC321" i="413"/>
  <c r="AO321" i="413" s="1"/>
  <c r="AB389" i="413"/>
  <c r="AN389" i="413" s="1"/>
  <c r="AA318" i="413"/>
  <c r="AM318" i="413" s="1"/>
  <c r="AA412" i="413"/>
  <c r="AM412" i="413" s="1"/>
  <c r="AA314" i="413"/>
  <c r="AM314" i="413" s="1"/>
  <c r="AA401" i="413"/>
  <c r="AM401" i="413" s="1"/>
  <c r="AB361" i="413"/>
  <c r="AN361" i="413" s="1"/>
  <c r="AB380" i="413"/>
  <c r="AN380" i="413" s="1"/>
  <c r="AA286" i="413"/>
  <c r="AM286" i="413" s="1"/>
  <c r="AN342" i="413"/>
  <c r="AB342" i="413"/>
  <c r="AA290" i="413"/>
  <c r="AM290" i="413" s="1"/>
  <c r="AA270" i="413"/>
  <c r="AM270" i="413" s="1"/>
  <c r="AA261" i="413"/>
  <c r="AM261" i="413" s="1"/>
  <c r="AC204" i="413"/>
  <c r="AO204" i="413" s="1"/>
  <c r="AC158" i="413"/>
  <c r="AO158" i="413" s="1"/>
  <c r="AB349" i="413"/>
  <c r="AN349" i="413" s="1"/>
  <c r="AA306" i="413"/>
  <c r="AM306" i="413" s="1"/>
  <c r="AA373" i="413"/>
  <c r="AM373" i="413" s="1"/>
  <c r="AB393" i="413"/>
  <c r="AN393" i="413" s="1"/>
  <c r="AA302" i="413"/>
  <c r="AM302" i="413" s="1"/>
  <c r="AB115" i="413"/>
  <c r="AN115" i="413" s="1"/>
  <c r="AB405" i="413"/>
  <c r="AN405" i="413" s="1"/>
  <c r="AA303" i="413"/>
  <c r="AM303" i="413" s="1"/>
  <c r="AA369" i="413"/>
  <c r="AM369" i="413" s="1"/>
  <c r="AA242" i="413"/>
  <c r="AM242" i="413" s="1"/>
  <c r="AA295" i="413"/>
  <c r="AM295" i="413" s="1"/>
  <c r="AC387" i="413"/>
  <c r="AO387" i="413" s="1"/>
  <c r="AB96" i="413"/>
  <c r="AN96" i="413" s="1"/>
  <c r="AN144" i="413"/>
  <c r="AB144" i="413"/>
  <c r="AB219" i="413"/>
  <c r="AN219" i="413" s="1"/>
  <c r="AA198" i="413"/>
  <c r="AM198" i="413" s="1"/>
  <c r="AB243" i="413"/>
  <c r="AN243" i="413" s="1"/>
  <c r="AA95" i="413"/>
  <c r="AM95" i="413" s="1"/>
  <c r="AA202" i="413"/>
  <c r="AM202" i="413" s="1"/>
  <c r="AC344" i="413"/>
  <c r="AO344" i="413" s="1"/>
  <c r="AC383" i="413"/>
  <c r="AO383" i="413" s="1"/>
  <c r="AC280" i="413"/>
  <c r="AO280" i="413" s="1"/>
  <c r="AA254" i="413"/>
  <c r="AM254" i="413" s="1"/>
  <c r="AA226" i="413"/>
  <c r="AM226" i="413" s="1"/>
  <c r="AA190" i="413"/>
  <c r="AM190" i="413" s="1"/>
  <c r="AB285" i="413"/>
  <c r="AN285" i="413" s="1"/>
  <c r="AN104" i="413"/>
  <c r="AB104" i="413"/>
  <c r="AA385" i="413"/>
  <c r="AM385" i="413" s="1"/>
  <c r="AB312" i="413"/>
  <c r="AN312" i="413" s="1"/>
  <c r="AN116" i="413"/>
  <c r="AB116" i="413"/>
  <c r="AA287" i="413"/>
  <c r="AM287" i="413" s="1"/>
  <c r="AA396" i="413"/>
  <c r="AM396" i="413" s="1"/>
  <c r="AA397" i="413"/>
  <c r="AM397" i="413" s="1"/>
  <c r="AC305" i="413"/>
  <c r="AO305" i="413" s="1"/>
  <c r="AA298" i="413"/>
  <c r="AM298" i="413" s="1"/>
  <c r="AB374" i="413"/>
  <c r="AN374" i="413" s="1"/>
  <c r="AA194" i="413"/>
  <c r="AM194" i="413" s="1"/>
  <c r="AB365" i="413"/>
  <c r="AN365" i="413" s="1"/>
  <c r="AA209" i="413"/>
  <c r="AM209" i="413" s="1"/>
  <c r="AB337" i="413"/>
  <c r="AN337" i="413" s="1"/>
  <c r="AD169" i="413"/>
  <c r="AP169" i="413" s="1"/>
  <c r="AA253" i="413"/>
  <c r="AM253" i="413" s="1"/>
  <c r="AB123" i="413"/>
  <c r="AN123" i="413" s="1"/>
  <c r="AA355" i="413"/>
  <c r="AM355" i="413" s="1"/>
  <c r="AB166" i="413"/>
  <c r="AN166" i="413" s="1"/>
  <c r="AB176" i="413"/>
  <c r="AN176" i="413" s="1"/>
  <c r="AC228" i="413"/>
  <c r="AO228" i="413" s="1"/>
  <c r="AA197" i="413"/>
  <c r="AM197" i="413" s="1"/>
  <c r="AA241" i="413"/>
  <c r="AM241" i="413" s="1"/>
  <c r="AB384" i="413"/>
  <c r="AN384" i="413" s="1"/>
  <c r="AB147" i="413"/>
  <c r="AN147" i="413" s="1"/>
  <c r="AM189" i="413"/>
  <c r="AA189" i="413"/>
  <c r="AC97" i="413"/>
  <c r="AO97" i="413" s="1"/>
  <c r="AC244" i="413"/>
  <c r="AO244" i="413" s="1"/>
  <c r="AN155" i="413"/>
  <c r="AB155" i="413"/>
  <c r="AA346" i="413"/>
  <c r="AM346" i="413" s="1"/>
  <c r="AN167" i="413"/>
  <c r="AB167" i="413"/>
  <c r="AB296" i="413"/>
  <c r="AN296" i="413" s="1"/>
  <c r="AA259" i="413"/>
  <c r="AM259" i="413" s="1"/>
  <c r="AO113" i="413"/>
  <c r="AC113" i="413"/>
  <c r="AB227" i="413"/>
  <c r="AN227" i="413" s="1"/>
  <c r="AB324" i="413"/>
  <c r="AN324" i="413" s="1"/>
  <c r="AB292" i="413"/>
  <c r="AN292" i="413" s="1"/>
  <c r="AA299" i="413"/>
  <c r="AM299" i="413" s="1"/>
  <c r="AA151" i="413"/>
  <c r="AM151" i="413" s="1"/>
  <c r="AA291" i="413"/>
  <c r="AM291" i="413" s="1"/>
  <c r="AB187" i="413"/>
  <c r="AN187" i="413" s="1"/>
  <c r="AA103" i="413"/>
  <c r="AM103" i="413" s="1"/>
  <c r="AN331" i="413"/>
  <c r="AB331" i="413"/>
  <c r="AA222" i="413"/>
  <c r="AM222" i="413" s="1"/>
  <c r="AB263" i="413"/>
  <c r="AN263" i="413" s="1"/>
  <c r="AA258" i="413"/>
  <c r="AM258" i="413" s="1"/>
  <c r="AC232" i="413"/>
  <c r="AO232" i="413" s="1"/>
  <c r="AA294" i="413"/>
  <c r="AM294" i="413" s="1"/>
  <c r="AC220" i="413"/>
  <c r="AO220" i="413" s="1"/>
  <c r="AB165" i="413"/>
  <c r="AN165" i="413" s="1"/>
  <c r="AB271" i="413"/>
  <c r="AN271" i="413" s="1"/>
  <c r="AM237" i="413"/>
  <c r="AA237" i="413"/>
  <c r="AA266" i="413"/>
  <c r="AM266" i="413" s="1"/>
  <c r="AB372" i="413"/>
  <c r="AN372" i="413" s="1"/>
  <c r="AC184" i="413"/>
  <c r="AO184" i="413" s="1"/>
  <c r="AA98" i="413"/>
  <c r="AM98" i="413" s="1"/>
  <c r="AM359" i="413"/>
  <c r="AA359" i="413"/>
  <c r="AA360" i="413"/>
  <c r="AM360" i="413" s="1"/>
  <c r="AA213" i="413"/>
  <c r="AM213" i="413" s="1"/>
  <c r="AA310" i="413"/>
  <c r="AM310" i="413" s="1"/>
  <c r="AC289" i="413"/>
  <c r="AO289" i="413" s="1"/>
  <c r="AC248" i="413"/>
  <c r="AO248" i="413" s="1"/>
  <c r="AB182" i="413"/>
  <c r="AN182" i="413" s="1"/>
  <c r="AA403" i="413"/>
  <c r="AM403" i="413" s="1"/>
  <c r="AA257" i="413"/>
  <c r="AM257" i="413" s="1"/>
  <c r="AA133" i="413"/>
  <c r="AM133" i="413" s="1"/>
  <c r="AB122" i="413"/>
  <c r="AN122" i="413" s="1"/>
  <c r="AB399" i="413"/>
  <c r="AN399" i="413" s="1"/>
  <c r="AB161" i="413"/>
  <c r="AN161" i="413" s="1"/>
  <c r="AB164" i="413"/>
  <c r="AN164" i="413" s="1"/>
  <c r="AA378" i="413"/>
  <c r="AM378" i="413" s="1"/>
  <c r="AC118" i="413"/>
  <c r="AO118" i="413" s="1"/>
  <c r="AB129" i="413"/>
  <c r="AN129" i="413" s="1"/>
  <c r="AC134" i="413"/>
  <c r="AO134" i="413" s="1"/>
  <c r="AB329" i="413"/>
  <c r="AN329" i="413" s="1"/>
  <c r="AB137" i="413"/>
  <c r="AN137" i="413" s="1"/>
  <c r="AN407" i="413"/>
  <c r="AB407" i="413"/>
  <c r="AB375" i="413"/>
  <c r="AN375" i="413" s="1"/>
  <c r="AB130" i="413"/>
  <c r="AN130" i="413" s="1"/>
  <c r="AM117" i="413"/>
  <c r="AA117" i="413"/>
  <c r="AA125" i="413"/>
  <c r="AM125" i="413" s="1"/>
  <c r="AC150" i="413"/>
  <c r="AO150" i="413" s="1"/>
  <c r="AB172" i="413"/>
  <c r="AN172" i="413" s="1"/>
  <c r="AB272" i="413"/>
  <c r="AN272" i="413" s="1"/>
  <c r="AB114" i="413"/>
  <c r="AN114" i="413" s="1"/>
  <c r="AA101" i="413"/>
  <c r="AM101" i="413" s="1"/>
  <c r="AB146" i="413"/>
  <c r="AN146" i="413" s="1"/>
  <c r="AB170" i="413"/>
  <c r="AN170" i="413" s="1"/>
  <c r="AB277" i="413"/>
  <c r="AN277" i="413" s="1"/>
  <c r="AB131" i="413"/>
  <c r="AN131" i="413" s="1"/>
  <c r="AC236" i="413"/>
  <c r="AO236" i="413" s="1"/>
  <c r="AC196" i="413"/>
  <c r="AO196" i="413" s="1"/>
  <c r="AA265" i="413"/>
  <c r="AM265" i="413" s="1"/>
  <c r="AB377" i="413"/>
  <c r="AN377" i="413" s="1"/>
  <c r="AA171" i="413"/>
  <c r="AM171" i="413" s="1"/>
  <c r="AB168" i="413"/>
  <c r="AN168" i="413" s="1"/>
  <c r="AA221" i="413"/>
  <c r="AM221" i="413" s="1"/>
  <c r="AB381" i="413"/>
  <c r="AN381" i="413" s="1"/>
  <c r="AA233" i="413"/>
  <c r="AM233" i="413" s="1"/>
  <c r="AC371" i="413"/>
  <c r="AO371" i="413" s="1"/>
  <c r="AB357" i="413"/>
  <c r="AN357" i="413" s="1"/>
  <c r="AA388" i="413"/>
  <c r="AM388" i="413" s="1"/>
  <c r="AA404" i="413"/>
  <c r="AM404" i="413" s="1"/>
  <c r="AA193" i="413"/>
  <c r="AM193" i="413" s="1"/>
  <c r="AA217" i="413"/>
  <c r="AM217" i="413" s="1"/>
  <c r="AB255" i="413"/>
  <c r="AN255" i="413" s="1"/>
  <c r="AA327" i="413"/>
  <c r="AM327" i="413" s="1"/>
  <c r="AA179" i="413"/>
  <c r="AM179" i="413" s="1"/>
  <c r="AC313" i="413"/>
  <c r="AO313" i="413" s="1"/>
  <c r="AA185" i="413"/>
  <c r="AM185" i="413" s="1"/>
  <c r="AC208" i="413"/>
  <c r="AO208" i="413" s="1"/>
  <c r="AC297" i="413"/>
  <c r="AO297" i="413" s="1"/>
  <c r="AA352" i="413"/>
  <c r="AM352" i="413" s="1"/>
  <c r="AC224" i="413"/>
  <c r="AO224" i="413" s="1"/>
  <c r="AA351" i="413"/>
  <c r="AM351" i="413" s="1"/>
  <c r="AA363" i="413"/>
  <c r="AM363" i="413" s="1"/>
  <c r="AB274" i="413"/>
  <c r="AN274" i="413" s="1"/>
  <c r="AA356" i="413"/>
  <c r="AM356" i="413" s="1"/>
  <c r="AC382" i="413"/>
  <c r="AO382" i="413" s="1"/>
  <c r="AM201" i="413"/>
  <c r="AA201" i="413"/>
  <c r="AA163" i="413"/>
  <c r="AM163" i="413" s="1"/>
  <c r="AC212" i="413"/>
  <c r="AO212" i="413" s="1"/>
  <c r="AM205" i="413"/>
  <c r="AA205" i="413"/>
  <c r="AB353" i="413"/>
  <c r="AN353" i="413" s="1"/>
  <c r="AC200" i="413"/>
  <c r="AO200" i="413" s="1"/>
  <c r="AM245" i="413"/>
  <c r="AA245" i="413"/>
  <c r="AA392" i="413"/>
  <c r="AM392" i="413" s="1"/>
  <c r="AN409" i="413"/>
  <c r="AB409" i="413"/>
  <c r="AA408" i="413"/>
  <c r="AM408" i="413" s="1"/>
  <c r="AA348" i="413"/>
  <c r="AM348" i="413" s="1"/>
  <c r="AA416" i="413"/>
  <c r="AM416" i="413" s="1"/>
  <c r="AC358" i="413"/>
  <c r="AO358" i="413" s="1"/>
  <c r="AB267" i="413"/>
  <c r="AN267" i="413" s="1"/>
  <c r="AB278" i="413"/>
  <c r="AN278" i="413" s="1"/>
  <c r="AC192" i="413"/>
  <c r="AO192" i="413" s="1"/>
  <c r="AM269" i="413"/>
  <c r="AA269" i="413"/>
  <c r="AK94" i="413"/>
  <c r="AA149" i="413"/>
  <c r="AM149" i="413" s="1"/>
  <c r="AA92" i="413"/>
  <c r="AB106" i="413"/>
  <c r="AN106" i="413" s="1"/>
  <c r="AN415" i="413"/>
  <c r="AB415" i="413"/>
  <c r="AA157" i="413"/>
  <c r="AM157" i="413" s="1"/>
  <c r="AN138" i="413"/>
  <c r="AB138" i="413"/>
  <c r="AB105" i="413"/>
  <c r="AN105" i="413" s="1"/>
  <c r="AB341" i="413"/>
  <c r="AN341" i="413" s="1"/>
  <c r="AN333" i="413"/>
  <c r="AB333" i="413"/>
  <c r="AB153" i="413"/>
  <c r="AN153" i="413" s="1"/>
  <c r="AB411" i="413"/>
  <c r="AN411" i="413" s="1"/>
  <c r="AC110" i="413"/>
  <c r="AO110" i="413" s="1"/>
  <c r="AB180" i="413"/>
  <c r="AN180" i="413" s="1"/>
  <c r="AB345" i="413"/>
  <c r="AN345" i="413" s="1"/>
  <c r="AC102" i="413"/>
  <c r="AO102" i="413" s="1"/>
  <c r="AB154" i="413"/>
  <c r="AN154" i="413" s="1"/>
  <c r="AB364" i="413"/>
  <c r="AN364" i="413" s="1"/>
  <c r="AA99" i="413"/>
  <c r="AM99" i="413" s="1"/>
  <c r="AA275" i="413"/>
  <c r="AM275" i="413" s="1"/>
  <c r="AB256" i="413"/>
  <c r="AN256" i="413" s="1"/>
  <c r="AA109" i="413"/>
  <c r="AM109" i="413" s="1"/>
  <c r="AM141" i="413"/>
  <c r="AA141" i="413"/>
  <c r="AB178" i="413"/>
  <c r="AN178" i="413" s="1"/>
  <c r="AB268" i="413"/>
  <c r="AN268" i="413" s="1"/>
  <c r="AB340" i="413"/>
  <c r="AN340" i="413" s="1"/>
  <c r="AA402" i="413"/>
  <c r="AM402" i="413" s="1"/>
  <c r="AB121" i="413"/>
  <c r="AN121" i="413" s="1"/>
  <c r="AN418" i="413" s="1"/>
  <c r="AB273" i="413"/>
  <c r="AN273" i="413" s="1"/>
  <c r="AB368" i="413"/>
  <c r="AN368" i="413" s="1"/>
  <c r="AB174" i="413"/>
  <c r="AN174" i="413" s="1"/>
  <c r="AC128" i="413"/>
  <c r="AO128" i="413" s="1"/>
  <c r="AB376" i="413"/>
  <c r="AN376" i="413" s="1"/>
  <c r="AB139" i="413"/>
  <c r="AN139" i="413" s="1"/>
  <c r="AB326" i="413"/>
  <c r="AN326" i="413" s="1"/>
  <c r="AB281" i="413"/>
  <c r="AN281" i="413" s="1"/>
  <c r="AL507" i="413" l="1"/>
  <c r="AL520" i="413" s="1"/>
  <c r="Z520" i="413"/>
  <c r="AA522" i="413"/>
  <c r="AA523" i="413" s="1"/>
  <c r="AM522" i="413"/>
  <c r="AM523" i="413" s="1"/>
  <c r="AC488" i="413"/>
  <c r="AO488" i="413" s="1"/>
  <c r="AM477" i="413"/>
  <c r="AA477" i="413"/>
  <c r="AC490" i="413"/>
  <c r="AO490" i="413" s="1"/>
  <c r="AM479" i="413"/>
  <c r="AA479" i="413"/>
  <c r="AC487" i="413"/>
  <c r="AO487" i="413" s="1"/>
  <c r="AO501" i="413"/>
  <c r="AC501" i="413"/>
  <c r="AC494" i="413"/>
  <c r="AO494" i="413" s="1"/>
  <c r="AO504" i="413"/>
  <c r="AC504" i="413"/>
  <c r="AA471" i="413"/>
  <c r="AM471" i="413" s="1"/>
  <c r="AO497" i="413"/>
  <c r="AC497" i="413"/>
  <c r="AA481" i="413"/>
  <c r="AM481" i="413" s="1"/>
  <c r="AO491" i="413"/>
  <c r="AC491" i="413"/>
  <c r="AA475" i="413"/>
  <c r="AM475" i="413" s="1"/>
  <c r="AM473" i="413"/>
  <c r="AA473" i="413"/>
  <c r="AA508" i="413"/>
  <c r="AM508" i="413" s="1"/>
  <c r="AM483" i="413"/>
  <c r="AA483" i="413"/>
  <c r="AC498" i="413"/>
  <c r="AO498" i="413" s="1"/>
  <c r="AO493" i="413"/>
  <c r="AC493" i="413"/>
  <c r="AC496" i="413"/>
  <c r="AO496" i="413" s="1"/>
  <c r="AO502" i="413"/>
  <c r="AC502" i="413"/>
  <c r="AC499" i="413"/>
  <c r="AO499" i="413" s="1"/>
  <c r="AO500" i="413"/>
  <c r="AC500" i="413"/>
  <c r="AC485" i="413"/>
  <c r="AO485" i="413" s="1"/>
  <c r="AO492" i="413"/>
  <c r="AC492" i="413"/>
  <c r="AC495" i="413"/>
  <c r="AO495" i="413" s="1"/>
  <c r="AA507" i="413"/>
  <c r="AA520" i="413" s="1"/>
  <c r="AA509" i="413"/>
  <c r="AM509" i="413" s="1"/>
  <c r="AM510" i="413"/>
  <c r="AA510" i="413"/>
  <c r="AC505" i="413"/>
  <c r="AO505" i="413" s="1"/>
  <c r="AO489" i="413"/>
  <c r="AC489" i="413"/>
  <c r="AC503" i="413"/>
  <c r="AO503" i="413" s="1"/>
  <c r="AO486" i="413"/>
  <c r="AC486" i="413"/>
  <c r="AB474" i="413"/>
  <c r="AN474" i="413"/>
  <c r="AB513" i="413"/>
  <c r="AN513" i="413" s="1"/>
  <c r="AB515" i="413"/>
  <c r="AN515" i="413" s="1"/>
  <c r="AB478" i="413"/>
  <c r="AN478" i="413" s="1"/>
  <c r="AB484" i="413"/>
  <c r="AN484" i="413"/>
  <c r="AB519" i="413"/>
  <c r="AN519" i="413" s="1"/>
  <c r="AB517" i="413"/>
  <c r="AN517" i="413" s="1"/>
  <c r="AB518" i="413"/>
  <c r="AN518" i="413" s="1"/>
  <c r="AB476" i="413"/>
  <c r="AN476" i="413"/>
  <c r="AB512" i="413"/>
  <c r="AN512" i="413" s="1"/>
  <c r="AB480" i="413"/>
  <c r="AN480" i="413"/>
  <c r="AB506" i="413"/>
  <c r="AN506" i="413" s="1"/>
  <c r="AB511" i="413"/>
  <c r="AN511" i="413"/>
  <c r="AB516" i="413"/>
  <c r="AN516" i="413" s="1"/>
  <c r="AB482" i="413"/>
  <c r="AN482" i="413"/>
  <c r="AB472" i="413"/>
  <c r="AN472" i="413" s="1"/>
  <c r="AB514" i="413"/>
  <c r="AN514" i="413" s="1"/>
  <c r="AL468" i="413"/>
  <c r="AD465" i="413"/>
  <c r="AP465" i="413" s="1"/>
  <c r="AB461" i="413"/>
  <c r="AN461" i="413" s="1"/>
  <c r="AN462" i="413"/>
  <c r="AB462" i="413"/>
  <c r="AC452" i="413"/>
  <c r="AO452" i="413"/>
  <c r="AA440" i="413"/>
  <c r="AM440" i="413" s="1"/>
  <c r="AA435" i="413"/>
  <c r="AM435" i="413" s="1"/>
  <c r="AA431" i="413"/>
  <c r="AM431" i="413" s="1"/>
  <c r="AB443" i="413"/>
  <c r="AN443" i="413" s="1"/>
  <c r="AB430" i="413"/>
  <c r="AN430" i="413" s="1"/>
  <c r="AC437" i="413"/>
  <c r="AO437" i="413" s="1"/>
  <c r="AC429" i="413"/>
  <c r="AO429" i="413"/>
  <c r="AA458" i="413"/>
  <c r="AM458" i="413"/>
  <c r="AB426" i="413"/>
  <c r="AN426" i="413" s="1"/>
  <c r="AB427" i="413"/>
  <c r="AN427" i="413" s="1"/>
  <c r="AA436" i="413"/>
  <c r="AM436" i="413"/>
  <c r="AC434" i="413"/>
  <c r="AO434" i="413"/>
  <c r="AA454" i="413"/>
  <c r="AM454" i="413"/>
  <c r="AC421" i="413"/>
  <c r="AO421" i="413" s="1"/>
  <c r="AB438" i="413"/>
  <c r="AN438" i="413" s="1"/>
  <c r="AA444" i="413"/>
  <c r="AM444" i="413" s="1"/>
  <c r="AB439" i="413"/>
  <c r="AN439" i="413" s="1"/>
  <c r="AB457" i="413"/>
  <c r="AN457" i="413"/>
  <c r="AC441" i="413"/>
  <c r="AO441" i="413" s="1"/>
  <c r="AB442" i="413"/>
  <c r="AN442" i="413" s="1"/>
  <c r="AB453" i="413"/>
  <c r="AN453" i="413"/>
  <c r="AA446" i="413"/>
  <c r="AM446" i="413" s="1"/>
  <c r="AC425" i="413"/>
  <c r="AO425" i="413" s="1"/>
  <c r="AB445" i="413"/>
  <c r="AN445" i="413"/>
  <c r="AB422" i="413"/>
  <c r="AN422" i="413" s="1"/>
  <c r="AA420" i="413"/>
  <c r="AM420" i="413"/>
  <c r="AB423" i="413"/>
  <c r="AN423" i="413"/>
  <c r="AB447" i="413"/>
  <c r="AN447" i="413"/>
  <c r="AB448" i="413"/>
  <c r="AN448" i="413" s="1"/>
  <c r="AB433" i="413"/>
  <c r="AN433" i="413" s="1"/>
  <c r="AB424" i="413"/>
  <c r="AN424" i="413"/>
  <c r="AB432" i="413"/>
  <c r="AN432" i="413"/>
  <c r="AA451" i="413"/>
  <c r="AM451" i="413" s="1"/>
  <c r="AB450" i="413"/>
  <c r="AN450" i="413" s="1"/>
  <c r="AA455" i="413"/>
  <c r="AM455" i="413" s="1"/>
  <c r="AC428" i="413"/>
  <c r="AO428" i="413" s="1"/>
  <c r="AD456" i="413"/>
  <c r="AP456" i="413" s="1"/>
  <c r="AA449" i="413"/>
  <c r="AM449" i="413" s="1"/>
  <c r="AC268" i="413"/>
  <c r="AO268" i="413" s="1"/>
  <c r="AP142" i="413"/>
  <c r="AD142" i="413"/>
  <c r="AD192" i="413"/>
  <c r="AP192" i="413" s="1"/>
  <c r="AP358" i="413"/>
  <c r="AD358" i="413"/>
  <c r="AD212" i="413"/>
  <c r="AP212" i="413" s="1"/>
  <c r="AC121" i="413"/>
  <c r="AO121" i="413" s="1"/>
  <c r="AC178" i="413"/>
  <c r="AO178" i="413" s="1"/>
  <c r="AO180" i="413"/>
  <c r="AC180" i="413"/>
  <c r="AC105" i="413"/>
  <c r="AO105" i="413" s="1"/>
  <c r="AO353" i="413"/>
  <c r="AC353" i="413"/>
  <c r="AB163" i="413"/>
  <c r="AN163" i="413" s="1"/>
  <c r="AP224" i="413"/>
  <c r="AD224" i="413"/>
  <c r="AB327" i="413"/>
  <c r="AN327" i="413" s="1"/>
  <c r="AP196" i="413"/>
  <c r="AD196" i="413"/>
  <c r="AC277" i="413"/>
  <c r="AO277" i="413" s="1"/>
  <c r="AC272" i="413"/>
  <c r="AO272" i="413" s="1"/>
  <c r="AP118" i="413"/>
  <c r="AD118" i="413"/>
  <c r="AC399" i="413"/>
  <c r="AO399" i="413" s="1"/>
  <c r="AB402" i="413"/>
  <c r="AN402" i="413" s="1"/>
  <c r="AC256" i="413"/>
  <c r="AO256" i="413" s="1"/>
  <c r="AD102" i="413"/>
  <c r="AP102" i="413" s="1"/>
  <c r="AP110" i="413"/>
  <c r="AD110" i="413"/>
  <c r="AB356" i="413"/>
  <c r="AN356" i="413" s="1"/>
  <c r="AB352" i="413"/>
  <c r="AN352" i="413" s="1"/>
  <c r="AC255" i="413"/>
  <c r="AO255" i="413" s="1"/>
  <c r="AD236" i="413"/>
  <c r="AP236" i="413" s="1"/>
  <c r="AC170" i="413"/>
  <c r="AO170" i="413" s="1"/>
  <c r="AC172" i="413"/>
  <c r="AO172" i="413" s="1"/>
  <c r="AC375" i="413"/>
  <c r="AO375" i="413" s="1"/>
  <c r="AC329" i="413"/>
  <c r="AO329" i="413" s="1"/>
  <c r="AB378" i="413"/>
  <c r="AN378" i="413" s="1"/>
  <c r="AN360" i="413"/>
  <c r="AB360" i="413"/>
  <c r="AB266" i="413"/>
  <c r="AN266" i="413" s="1"/>
  <c r="AN222" i="413"/>
  <c r="AB222" i="413"/>
  <c r="AC227" i="413"/>
  <c r="AO227" i="413" s="1"/>
  <c r="AO296" i="413"/>
  <c r="AC296" i="413"/>
  <c r="AD97" i="413"/>
  <c r="AP97" i="413" s="1"/>
  <c r="AN194" i="413"/>
  <c r="AB194" i="413"/>
  <c r="AD305" i="413"/>
  <c r="AP305" i="413" s="1"/>
  <c r="AN287" i="413"/>
  <c r="AB287" i="413"/>
  <c r="AB385" i="413"/>
  <c r="AN385" i="413" s="1"/>
  <c r="AN190" i="413"/>
  <c r="AB190" i="413"/>
  <c r="AD280" i="413"/>
  <c r="AP280" i="413" s="1"/>
  <c r="AN202" i="413"/>
  <c r="AB202" i="413"/>
  <c r="AC219" i="413"/>
  <c r="AO219" i="413" s="1"/>
  <c r="AN369" i="413"/>
  <c r="AB369" i="413"/>
  <c r="AB318" i="413"/>
  <c r="AN318" i="413" s="1"/>
  <c r="AC140" i="413"/>
  <c r="AO140" i="413" s="1"/>
  <c r="AC279" i="413"/>
  <c r="AO279" i="413" s="1"/>
  <c r="AC132" i="413"/>
  <c r="AO132" i="413" s="1"/>
  <c r="AC181" i="413"/>
  <c r="AO181" i="413" s="1"/>
  <c r="AD391" i="413"/>
  <c r="AP391" i="413" s="1"/>
  <c r="AN186" i="413"/>
  <c r="AB186" i="413"/>
  <c r="AB229" i="413"/>
  <c r="AN229" i="413" s="1"/>
  <c r="AO413" i="413"/>
  <c r="AC413" i="413"/>
  <c r="AB225" i="413"/>
  <c r="AN225" i="413" s="1"/>
  <c r="AO136" i="413"/>
  <c r="AC136" i="413"/>
  <c r="AB143" i="413"/>
  <c r="AN143" i="413" s="1"/>
  <c r="AO211" i="413"/>
  <c r="AC211" i="413"/>
  <c r="AC317" i="413"/>
  <c r="AO317" i="413" s="1"/>
  <c r="AC175" i="413"/>
  <c r="AO175" i="413" s="1"/>
  <c r="AN234" i="413"/>
  <c r="AB234" i="413"/>
  <c r="AC316" i="413"/>
  <c r="AO316" i="413" s="1"/>
  <c r="AO108" i="413"/>
  <c r="AC108" i="413"/>
  <c r="AB238" i="413"/>
  <c r="AN238" i="413" s="1"/>
  <c r="AN111" i="413"/>
  <c r="AB111" i="413"/>
  <c r="AC332" i="413"/>
  <c r="AO332" i="413" s="1"/>
  <c r="AO120" i="413"/>
  <c r="AC120" i="413"/>
  <c r="AC340" i="413"/>
  <c r="AO340" i="413" s="1"/>
  <c r="AB275" i="413"/>
  <c r="AN275" i="413" s="1"/>
  <c r="AC364" i="413"/>
  <c r="AO364" i="413" s="1"/>
  <c r="AC267" i="413"/>
  <c r="AO267" i="413" s="1"/>
  <c r="AN348" i="413"/>
  <c r="AB348" i="413"/>
  <c r="AD297" i="413"/>
  <c r="AP297" i="413" s="1"/>
  <c r="AP313" i="413"/>
  <c r="AD313" i="413"/>
  <c r="AC357" i="413"/>
  <c r="AO357" i="413" s="1"/>
  <c r="AO168" i="413"/>
  <c r="AC168" i="413"/>
  <c r="AD150" i="413"/>
  <c r="AP150" i="413" s="1"/>
  <c r="AP134" i="413"/>
  <c r="AD134" i="413"/>
  <c r="AC164" i="413"/>
  <c r="AO164" i="413" s="1"/>
  <c r="AP184" i="413"/>
  <c r="AD184" i="413"/>
  <c r="AD232" i="413"/>
  <c r="AP232" i="413" s="1"/>
  <c r="AO187" i="413"/>
  <c r="AC187" i="413"/>
  <c r="AB299" i="413"/>
  <c r="AN299" i="413" s="1"/>
  <c r="AC384" i="413"/>
  <c r="AO384" i="413" s="1"/>
  <c r="AC374" i="413"/>
  <c r="AO374" i="413" s="1"/>
  <c r="AB397" i="413"/>
  <c r="AN397" i="413" s="1"/>
  <c r="AB226" i="413"/>
  <c r="AN226" i="413" s="1"/>
  <c r="AP383" i="413"/>
  <c r="AD383" i="413"/>
  <c r="AB95" i="413"/>
  <c r="AN95" i="413" s="1"/>
  <c r="AB303" i="413"/>
  <c r="AN303" i="413" s="1"/>
  <c r="AC349" i="413"/>
  <c r="AO349" i="413" s="1"/>
  <c r="AC380" i="413"/>
  <c r="AO380" i="413" s="1"/>
  <c r="AC389" i="413"/>
  <c r="AO389" i="413" s="1"/>
  <c r="AD395" i="413"/>
  <c r="AP395" i="413" s="1"/>
  <c r="AC160" i="413"/>
  <c r="AO160" i="413" s="1"/>
  <c r="AN159" i="413"/>
  <c r="AB159" i="413"/>
  <c r="AC183" i="413"/>
  <c r="AO183" i="413" s="1"/>
  <c r="AP145" i="413"/>
  <c r="AD145" i="413"/>
  <c r="AB250" i="413"/>
  <c r="AN250" i="413" s="1"/>
  <c r="AO417" i="413"/>
  <c r="AC417" i="413"/>
  <c r="AC338" i="413"/>
  <c r="AO338" i="413" s="1"/>
  <c r="AC330" i="413"/>
  <c r="AO330" i="413" s="1"/>
  <c r="AB334" i="413"/>
  <c r="AN334" i="413" s="1"/>
  <c r="AB127" i="413"/>
  <c r="AN127" i="413" s="1"/>
  <c r="AC309" i="413"/>
  <c r="AO309" i="413" s="1"/>
  <c r="AD276" i="413"/>
  <c r="AP276" i="413" s="1"/>
  <c r="AN119" i="413"/>
  <c r="AB119" i="413"/>
  <c r="AC124" i="413"/>
  <c r="AO124" i="413" s="1"/>
  <c r="AO304" i="413"/>
  <c r="AC304" i="413"/>
  <c r="AC195" i="413"/>
  <c r="AO195" i="413" s="1"/>
  <c r="AO366" i="413"/>
  <c r="AC366" i="413"/>
  <c r="AC288" i="413"/>
  <c r="AO288" i="413" s="1"/>
  <c r="AO223" i="413"/>
  <c r="AC223" i="413"/>
  <c r="AC341" i="413"/>
  <c r="AO341" i="413" s="1"/>
  <c r="AP200" i="413"/>
  <c r="AD200" i="413"/>
  <c r="AD208" i="413"/>
  <c r="AP208" i="413" s="1"/>
  <c r="AB179" i="413"/>
  <c r="AN179" i="413" s="1"/>
  <c r="AD371" i="413"/>
  <c r="AP371" i="413" s="1"/>
  <c r="AB171" i="413"/>
  <c r="AN171" i="413" s="1"/>
  <c r="AC129" i="413"/>
  <c r="AO129" i="413" s="1"/>
  <c r="AC161" i="413"/>
  <c r="AO161" i="413" s="1"/>
  <c r="AD248" i="413"/>
  <c r="AP248" i="413" s="1"/>
  <c r="AP220" i="413"/>
  <c r="AD220" i="413"/>
  <c r="AB258" i="413"/>
  <c r="AN258" i="413" s="1"/>
  <c r="AB291" i="413"/>
  <c r="AN291" i="413" s="1"/>
  <c r="AC292" i="413"/>
  <c r="AO292" i="413" s="1"/>
  <c r="AD228" i="413"/>
  <c r="AP228" i="413" s="1"/>
  <c r="AC243" i="413"/>
  <c r="AO243" i="413" s="1"/>
  <c r="AB295" i="413"/>
  <c r="AN295" i="413" s="1"/>
  <c r="AB373" i="413"/>
  <c r="AN373" i="413" s="1"/>
  <c r="AP158" i="413"/>
  <c r="AD158" i="413"/>
  <c r="AB270" i="413"/>
  <c r="AN270" i="413" s="1"/>
  <c r="AC361" i="413"/>
  <c r="AO361" i="413" s="1"/>
  <c r="AD321" i="413"/>
  <c r="AP321" i="413" s="1"/>
  <c r="AB315" i="413"/>
  <c r="AN315" i="413" s="1"/>
  <c r="AC235" i="413"/>
  <c r="AO235" i="413" s="1"/>
  <c r="AB311" i="413"/>
  <c r="AN311" i="413" s="1"/>
  <c r="AD188" i="413"/>
  <c r="AP188" i="413" s="1"/>
  <c r="AP350" i="413"/>
  <c r="AD350" i="413"/>
  <c r="AB322" i="413"/>
  <c r="AN322" i="413" s="1"/>
  <c r="AB400" i="413"/>
  <c r="AN400" i="413" s="1"/>
  <c r="AD126" i="413"/>
  <c r="AP126" i="413" s="1"/>
  <c r="AB210" i="413"/>
  <c r="AN210" i="413" s="1"/>
  <c r="AC320" i="413"/>
  <c r="AO320" i="413" s="1"/>
  <c r="AC156" i="413"/>
  <c r="AO156" i="413" s="1"/>
  <c r="AC386" i="413"/>
  <c r="AO386" i="413" s="1"/>
  <c r="AO343" i="413"/>
  <c r="AC343" i="413"/>
  <c r="AC100" i="413"/>
  <c r="AO100" i="413" s="1"/>
  <c r="AC153" i="413"/>
  <c r="AO153" i="413" s="1"/>
  <c r="AC137" i="413"/>
  <c r="AO137" i="413" s="1"/>
  <c r="AD289" i="413"/>
  <c r="AP289" i="413" s="1"/>
  <c r="AC271" i="413"/>
  <c r="AO271" i="413" s="1"/>
  <c r="AC263" i="413"/>
  <c r="AO263" i="413" s="1"/>
  <c r="AC324" i="413"/>
  <c r="AO324" i="413" s="1"/>
  <c r="AB259" i="413"/>
  <c r="AN259" i="413" s="1"/>
  <c r="AP244" i="413"/>
  <c r="AD244" i="413"/>
  <c r="AC176" i="413"/>
  <c r="AO176" i="413" s="1"/>
  <c r="AO312" i="413"/>
  <c r="AC312" i="413"/>
  <c r="AC285" i="413"/>
  <c r="AO285" i="413" s="1"/>
  <c r="AN198" i="413"/>
  <c r="AB198" i="413"/>
  <c r="AC96" i="413"/>
  <c r="AO96" i="413" s="1"/>
  <c r="AB242" i="413"/>
  <c r="AN242" i="413" s="1"/>
  <c r="AD204" i="413"/>
  <c r="AP204" i="413" s="1"/>
  <c r="AB401" i="413"/>
  <c r="AN401" i="413" s="1"/>
  <c r="AB412" i="413"/>
  <c r="AN412" i="413" s="1"/>
  <c r="AC284" i="413"/>
  <c r="AO284" i="413" s="1"/>
  <c r="AC173" i="413"/>
  <c r="AO173" i="413"/>
  <c r="AD367" i="413"/>
  <c r="AP367" i="413" s="1"/>
  <c r="AB262" i="413"/>
  <c r="AN262" i="413" s="1"/>
  <c r="AC107" i="413"/>
  <c r="AO107" i="413" s="1"/>
  <c r="AB249" i="413"/>
  <c r="AN249" i="413" s="1"/>
  <c r="AD390" i="413"/>
  <c r="AP390" i="413"/>
  <c r="AC283" i="413"/>
  <c r="AO283" i="413" s="1"/>
  <c r="AC112" i="413"/>
  <c r="AO112" i="413" s="1"/>
  <c r="AB135" i="413"/>
  <c r="AN135" i="413" s="1"/>
  <c r="AC347" i="413"/>
  <c r="AO347" i="413" s="1"/>
  <c r="AB328" i="413"/>
  <c r="AN328" i="413" s="1"/>
  <c r="AC148" i="413"/>
  <c r="AO148" i="413" s="1"/>
  <c r="AB319" i="413"/>
  <c r="AN319" i="413" s="1"/>
  <c r="AC362" i="413"/>
  <c r="AO362" i="413" s="1"/>
  <c r="AC152" i="413"/>
  <c r="AO152" i="413" s="1"/>
  <c r="AD128" i="413"/>
  <c r="AP128" i="413" s="1"/>
  <c r="AB109" i="413"/>
  <c r="AN109" i="413" s="1"/>
  <c r="AC154" i="413"/>
  <c r="AO154" i="413" s="1"/>
  <c r="AC138" i="413"/>
  <c r="AO138" i="413"/>
  <c r="AC415" i="413"/>
  <c r="AO415" i="413" s="1"/>
  <c r="AB416" i="413"/>
  <c r="AN416" i="413" s="1"/>
  <c r="AB408" i="413"/>
  <c r="AN408" i="413" s="1"/>
  <c r="AB392" i="413"/>
  <c r="AN392" i="413" s="1"/>
  <c r="AB205" i="413"/>
  <c r="AN205" i="413" s="1"/>
  <c r="AD382" i="413"/>
  <c r="AP382" i="413"/>
  <c r="AC274" i="413"/>
  <c r="AO274" i="413" s="1"/>
  <c r="AB351" i="413"/>
  <c r="AN351" i="413"/>
  <c r="AB217" i="413"/>
  <c r="AN217" i="413" s="1"/>
  <c r="AB404" i="413"/>
  <c r="AN404" i="413" s="1"/>
  <c r="AB233" i="413"/>
  <c r="AN233" i="413" s="1"/>
  <c r="AB221" i="413"/>
  <c r="AN221" i="413" s="1"/>
  <c r="AB265" i="413"/>
  <c r="AN265" i="413" s="1"/>
  <c r="AC146" i="413"/>
  <c r="AO146" i="413"/>
  <c r="AC114" i="413"/>
  <c r="AO114" i="413"/>
  <c r="AB125" i="413"/>
  <c r="AN125" i="413"/>
  <c r="AC130" i="413"/>
  <c r="AO130" i="413" s="1"/>
  <c r="AC407" i="413"/>
  <c r="AO407" i="413" s="1"/>
  <c r="AC122" i="413"/>
  <c r="AO122" i="413" s="1"/>
  <c r="AB257" i="413"/>
  <c r="AN257" i="413" s="1"/>
  <c r="AC182" i="413"/>
  <c r="AO182" i="413" s="1"/>
  <c r="AB213" i="413"/>
  <c r="AN213" i="413" s="1"/>
  <c r="AB359" i="413"/>
  <c r="AN359" i="413" s="1"/>
  <c r="AC331" i="413"/>
  <c r="AO331" i="413" s="1"/>
  <c r="AB151" i="413"/>
  <c r="AN151" i="413" s="1"/>
  <c r="AC167" i="413"/>
  <c r="AO167" i="413" s="1"/>
  <c r="AC155" i="413"/>
  <c r="AO155" i="413" s="1"/>
  <c r="AC147" i="413"/>
  <c r="AO147" i="413" s="1"/>
  <c r="AB241" i="413"/>
  <c r="AN241" i="413" s="1"/>
  <c r="AC166" i="413"/>
  <c r="AO166" i="413"/>
  <c r="AC123" i="413"/>
  <c r="AO123" i="413" s="1"/>
  <c r="AE169" i="413"/>
  <c r="AQ169" i="413" s="1"/>
  <c r="AB209" i="413"/>
  <c r="AN209" i="413" s="1"/>
  <c r="AB298" i="413"/>
  <c r="AN298" i="413"/>
  <c r="AC104" i="413"/>
  <c r="AO104" i="413" s="1"/>
  <c r="AB254" i="413"/>
  <c r="AN254" i="413"/>
  <c r="AC405" i="413"/>
  <c r="AO405" i="413" s="1"/>
  <c r="AB302" i="413"/>
  <c r="AN302" i="413" s="1"/>
  <c r="AC342" i="413"/>
  <c r="AO342" i="413"/>
  <c r="AD93" i="413"/>
  <c r="AP93" i="413" s="1"/>
  <c r="AB206" i="413"/>
  <c r="AN206" i="413" s="1"/>
  <c r="AC370" i="413"/>
  <c r="AO370" i="413" s="1"/>
  <c r="AC354" i="413"/>
  <c r="AO354" i="413"/>
  <c r="AC239" i="413"/>
  <c r="AO239" i="413" s="1"/>
  <c r="AD379" i="413"/>
  <c r="AP379" i="413" s="1"/>
  <c r="AC191" i="413"/>
  <c r="AO191" i="413" s="1"/>
  <c r="AC410" i="413"/>
  <c r="AO410" i="413" s="1"/>
  <c r="AB339" i="413"/>
  <c r="AN339" i="413" s="1"/>
  <c r="AB307" i="413"/>
  <c r="AN307" i="413" s="1"/>
  <c r="AD252" i="413"/>
  <c r="AP252" i="413" s="1"/>
  <c r="AC162" i="413"/>
  <c r="AO162" i="413" s="1"/>
  <c r="AD216" i="413"/>
  <c r="AP216" i="413" s="1"/>
  <c r="AD240" i="413"/>
  <c r="AP240" i="413" s="1"/>
  <c r="AC406" i="413"/>
  <c r="AO406" i="413" s="1"/>
  <c r="AB323" i="413"/>
  <c r="AN323" i="413" s="1"/>
  <c r="AB230" i="413"/>
  <c r="AN230" i="413" s="1"/>
  <c r="AC215" i="413"/>
  <c r="AO215" i="413" s="1"/>
  <c r="AC394" i="413"/>
  <c r="AO394" i="413" s="1"/>
  <c r="AC414" i="413"/>
  <c r="AO414" i="413" s="1"/>
  <c r="AB218" i="413"/>
  <c r="AN218" i="413" s="1"/>
  <c r="AC247" i="413"/>
  <c r="AO247" i="413" s="1"/>
  <c r="AC264" i="413"/>
  <c r="AO264" i="413"/>
  <c r="AC301" i="413"/>
  <c r="AO301" i="413"/>
  <c r="AB335" i="413"/>
  <c r="AN335" i="413" s="1"/>
  <c r="AB214" i="413"/>
  <c r="AN214" i="413" s="1"/>
  <c r="AD177" i="413"/>
  <c r="AP177" i="413" s="1"/>
  <c r="AC199" i="413"/>
  <c r="AO199" i="413" s="1"/>
  <c r="AB246" i="413"/>
  <c r="AN246" i="413" s="1"/>
  <c r="AC293" i="413"/>
  <c r="AO293" i="413" s="1"/>
  <c r="AC207" i="413"/>
  <c r="AO207" i="413" s="1"/>
  <c r="AC336" i="413"/>
  <c r="AO336" i="413" s="1"/>
  <c r="AC308" i="413"/>
  <c r="AO308" i="413" s="1"/>
  <c r="AB282" i="413"/>
  <c r="AN282" i="413" s="1"/>
  <c r="AB398" i="413"/>
  <c r="AN398" i="413" s="1"/>
  <c r="AC260" i="413"/>
  <c r="AO260" i="413" s="1"/>
  <c r="AC231" i="413"/>
  <c r="AO231" i="413" s="1"/>
  <c r="AC325" i="413"/>
  <c r="AO325" i="413" s="1"/>
  <c r="AC203" i="413"/>
  <c r="AO203" i="413" s="1"/>
  <c r="AC139" i="413"/>
  <c r="AO139" i="413" s="1"/>
  <c r="AC345" i="413"/>
  <c r="AO345" i="413" s="1"/>
  <c r="AC326" i="413"/>
  <c r="AO326" i="413" s="1"/>
  <c r="AC376" i="413"/>
  <c r="AO376" i="413" s="1"/>
  <c r="AC174" i="413"/>
  <c r="AO174" i="413" s="1"/>
  <c r="AC273" i="413"/>
  <c r="AO273" i="413" s="1"/>
  <c r="AB141" i="413"/>
  <c r="AN141" i="413" s="1"/>
  <c r="AC411" i="413"/>
  <c r="AO411" i="413" s="1"/>
  <c r="AC333" i="413"/>
  <c r="AO333" i="413" s="1"/>
  <c r="AB157" i="413"/>
  <c r="AN157" i="413" s="1"/>
  <c r="AC106" i="413"/>
  <c r="AO106" i="413" s="1"/>
  <c r="AB149" i="413"/>
  <c r="AN149" i="413" s="1"/>
  <c r="AN269" i="413"/>
  <c r="AB269" i="413"/>
  <c r="AC278" i="413"/>
  <c r="AO278" i="413" s="1"/>
  <c r="AC409" i="413"/>
  <c r="AO409" i="413" s="1"/>
  <c r="AB245" i="413"/>
  <c r="AN245" i="413" s="1"/>
  <c r="AB201" i="413"/>
  <c r="AN201" i="413" s="1"/>
  <c r="AB363" i="413"/>
  <c r="AN363" i="413" s="1"/>
  <c r="AB185" i="413"/>
  <c r="AN185" i="413" s="1"/>
  <c r="AB193" i="413"/>
  <c r="AN193" i="413" s="1"/>
  <c r="AB388" i="413"/>
  <c r="AN388" i="413" s="1"/>
  <c r="AC381" i="413"/>
  <c r="AO381" i="413" s="1"/>
  <c r="AC377" i="413"/>
  <c r="AO377" i="413" s="1"/>
  <c r="AC131" i="413"/>
  <c r="AO131" i="413" s="1"/>
  <c r="AB101" i="413"/>
  <c r="AN101" i="413" s="1"/>
  <c r="AB117" i="413"/>
  <c r="AN117" i="413" s="1"/>
  <c r="AB133" i="413"/>
  <c r="AN133" i="413" s="1"/>
  <c r="AB403" i="413"/>
  <c r="AN403" i="413" s="1"/>
  <c r="AB310" i="413"/>
  <c r="AN310" i="413" s="1"/>
  <c r="AN98" i="413"/>
  <c r="AB98" i="413"/>
  <c r="AC372" i="413"/>
  <c r="AO372" i="413" s="1"/>
  <c r="AB237" i="413"/>
  <c r="AN237" i="413" s="1"/>
  <c r="AC165" i="413"/>
  <c r="AO165" i="413" s="1"/>
  <c r="AB294" i="413"/>
  <c r="AN294" i="413" s="1"/>
  <c r="AB103" i="413"/>
  <c r="AN103" i="413" s="1"/>
  <c r="AD113" i="413"/>
  <c r="AP113" i="413" s="1"/>
  <c r="AN346" i="413"/>
  <c r="AB346" i="413"/>
  <c r="AB189" i="413"/>
  <c r="AN189" i="413" s="1"/>
  <c r="AB197" i="413"/>
  <c r="AN197" i="413" s="1"/>
  <c r="AB355" i="413"/>
  <c r="AN355" i="413" s="1"/>
  <c r="AB253" i="413"/>
  <c r="AN253" i="413" s="1"/>
  <c r="AC337" i="413"/>
  <c r="AO337" i="413" s="1"/>
  <c r="AC365" i="413"/>
  <c r="AO365" i="413" s="1"/>
  <c r="AB396" i="413"/>
  <c r="AN396" i="413" s="1"/>
  <c r="AC116" i="413"/>
  <c r="AO116" i="413" s="1"/>
  <c r="AD344" i="413"/>
  <c r="AP344" i="413" s="1"/>
  <c r="AC144" i="413"/>
  <c r="AO144" i="413" s="1"/>
  <c r="AP387" i="413"/>
  <c r="AD387" i="413"/>
  <c r="AC115" i="413"/>
  <c r="AO115" i="413" s="1"/>
  <c r="AC393" i="413"/>
  <c r="AO393" i="413" s="1"/>
  <c r="AN306" i="413"/>
  <c r="AB306" i="413"/>
  <c r="AB261" i="413"/>
  <c r="AN261" i="413" s="1"/>
  <c r="AN290" i="413"/>
  <c r="AB290" i="413"/>
  <c r="AB286" i="413"/>
  <c r="AN286" i="413" s="1"/>
  <c r="AB314" i="413"/>
  <c r="AN314" i="413" s="1"/>
  <c r="AC300" i="413"/>
  <c r="AO300" i="413" s="1"/>
  <c r="AC251" i="413"/>
  <c r="AO251" i="413" s="1"/>
  <c r="AC281" i="413"/>
  <c r="AO281" i="413" s="1"/>
  <c r="AC368" i="413"/>
  <c r="AO368" i="413" s="1"/>
  <c r="AB99" i="413"/>
  <c r="AN99" i="413" s="1"/>
  <c r="AM92" i="413"/>
  <c r="Z94" i="413"/>
  <c r="Z418" i="413" s="1"/>
  <c r="AL94" i="413"/>
  <c r="AM507" i="413" l="1"/>
  <c r="AM520" i="413" s="1"/>
  <c r="AO418" i="413"/>
  <c r="AB522" i="413"/>
  <c r="AO512" i="413"/>
  <c r="AC512" i="413"/>
  <c r="AD505" i="413"/>
  <c r="AP505" i="413" s="1"/>
  <c r="AB475" i="413"/>
  <c r="AN475" i="413" s="1"/>
  <c r="AC478" i="413"/>
  <c r="AO478" i="413" s="1"/>
  <c r="AD485" i="413"/>
  <c r="AP485" i="413" s="1"/>
  <c r="AB508" i="413"/>
  <c r="AN508" i="413"/>
  <c r="AO472" i="413"/>
  <c r="AC472" i="413"/>
  <c r="AC518" i="413"/>
  <c r="AO518" i="413" s="1"/>
  <c r="AB509" i="413"/>
  <c r="AN509" i="413" s="1"/>
  <c r="AD496" i="413"/>
  <c r="AP496" i="413"/>
  <c r="AB481" i="413"/>
  <c r="AN481" i="413" s="1"/>
  <c r="AD490" i="413"/>
  <c r="AP490" i="413"/>
  <c r="AO513" i="413"/>
  <c r="AC513" i="413"/>
  <c r="AD499" i="413"/>
  <c r="AP499" i="413"/>
  <c r="AD487" i="413"/>
  <c r="AP487" i="413" s="1"/>
  <c r="AC506" i="413"/>
  <c r="AO506" i="413" s="1"/>
  <c r="AD503" i="413"/>
  <c r="AP503" i="413" s="1"/>
  <c r="AD494" i="413"/>
  <c r="AP494" i="413"/>
  <c r="AC516" i="413"/>
  <c r="AO516" i="413" s="1"/>
  <c r="AC519" i="413"/>
  <c r="AO519" i="413" s="1"/>
  <c r="AD495" i="413"/>
  <c r="AP495" i="413" s="1"/>
  <c r="AD498" i="413"/>
  <c r="AP498" i="413"/>
  <c r="AB471" i="413"/>
  <c r="AN471" i="413" s="1"/>
  <c r="AD488" i="413"/>
  <c r="AP488" i="413"/>
  <c r="AD486" i="413"/>
  <c r="AP486" i="413" s="1"/>
  <c r="AB510" i="413"/>
  <c r="AN510" i="413"/>
  <c r="AD492" i="413"/>
  <c r="AP492" i="413" s="1"/>
  <c r="AD502" i="413"/>
  <c r="AP502" i="413"/>
  <c r="AB483" i="413"/>
  <c r="AN483" i="413" s="1"/>
  <c r="AD497" i="413"/>
  <c r="AP497" i="413"/>
  <c r="AD501" i="413"/>
  <c r="AP501" i="413" s="1"/>
  <c r="AB477" i="413"/>
  <c r="AN477" i="413"/>
  <c r="AO482" i="413"/>
  <c r="AC482" i="413"/>
  <c r="AC480" i="413"/>
  <c r="AO480" i="413" s="1"/>
  <c r="AC517" i="413"/>
  <c r="AO517" i="413" s="1"/>
  <c r="AC515" i="413"/>
  <c r="AO515" i="413" s="1"/>
  <c r="AD489" i="413"/>
  <c r="AP489" i="413" s="1"/>
  <c r="AB507" i="413"/>
  <c r="AB520" i="413" s="1"/>
  <c r="AN507" i="413"/>
  <c r="AN520" i="413" s="1"/>
  <c r="AD500" i="413"/>
  <c r="AP500" i="413" s="1"/>
  <c r="AD493" i="413"/>
  <c r="AP493" i="413"/>
  <c r="AB473" i="413"/>
  <c r="AN473" i="413" s="1"/>
  <c r="AD491" i="413"/>
  <c r="AP491" i="413"/>
  <c r="AD504" i="413"/>
  <c r="AP504" i="413" s="1"/>
  <c r="AB479" i="413"/>
  <c r="AN479" i="413"/>
  <c r="AC514" i="413"/>
  <c r="AO514" i="413" s="1"/>
  <c r="AC511" i="413"/>
  <c r="AO511" i="413" s="1"/>
  <c r="AO476" i="413"/>
  <c r="AC476" i="413"/>
  <c r="AC484" i="413"/>
  <c r="AO484" i="413" s="1"/>
  <c r="AO474" i="413"/>
  <c r="AC474" i="413"/>
  <c r="AA468" i="413"/>
  <c r="AA469" i="413" s="1"/>
  <c r="AL469" i="413"/>
  <c r="AM468" i="413"/>
  <c r="AE465" i="413"/>
  <c r="AQ465" i="413"/>
  <c r="AC461" i="413"/>
  <c r="AO461" i="413" s="1"/>
  <c r="AC462" i="413"/>
  <c r="AO462" i="413"/>
  <c r="AC422" i="413"/>
  <c r="AO422" i="413"/>
  <c r="AC430" i="413"/>
  <c r="AO430" i="413" s="1"/>
  <c r="AC448" i="413"/>
  <c r="AO448" i="413" s="1"/>
  <c r="AC427" i="413"/>
  <c r="AO427" i="413"/>
  <c r="AE456" i="413"/>
  <c r="AQ456" i="413"/>
  <c r="AB451" i="413"/>
  <c r="AN451" i="413"/>
  <c r="AD425" i="413"/>
  <c r="AP425" i="413"/>
  <c r="AC442" i="413"/>
  <c r="AO442" i="413" s="1"/>
  <c r="AC439" i="413"/>
  <c r="AO439" i="413"/>
  <c r="AD437" i="413"/>
  <c r="AP437" i="413"/>
  <c r="AB435" i="413"/>
  <c r="AN435" i="413"/>
  <c r="AD428" i="413"/>
  <c r="AP428" i="413" s="1"/>
  <c r="AC433" i="413"/>
  <c r="AO433" i="413" s="1"/>
  <c r="AB446" i="413"/>
  <c r="AN446" i="413" s="1"/>
  <c r="AD441" i="413"/>
  <c r="AP441" i="413"/>
  <c r="AB444" i="413"/>
  <c r="AN444" i="413"/>
  <c r="AB440" i="413"/>
  <c r="AN440" i="413"/>
  <c r="AB455" i="413"/>
  <c r="AN455" i="413"/>
  <c r="AC438" i="413"/>
  <c r="AO438" i="413" s="1"/>
  <c r="AC443" i="413"/>
  <c r="AO443" i="413"/>
  <c r="AB449" i="413"/>
  <c r="AN449" i="413" s="1"/>
  <c r="AC450" i="413"/>
  <c r="AO450" i="413"/>
  <c r="AD421" i="413"/>
  <c r="AP421" i="413"/>
  <c r="AC426" i="413"/>
  <c r="AO426" i="413"/>
  <c r="AB431" i="413"/>
  <c r="AN431" i="413"/>
  <c r="AC424" i="413"/>
  <c r="AO424" i="413" s="1"/>
  <c r="AC423" i="413"/>
  <c r="AO423" i="413"/>
  <c r="AC453" i="413"/>
  <c r="AO453" i="413" s="1"/>
  <c r="AB454" i="413"/>
  <c r="AN454" i="413" s="1"/>
  <c r="AB436" i="413"/>
  <c r="AN436" i="413"/>
  <c r="AD429" i="413"/>
  <c r="AP429" i="413" s="1"/>
  <c r="AC432" i="413"/>
  <c r="AO432" i="413" s="1"/>
  <c r="AC447" i="413"/>
  <c r="AO447" i="413" s="1"/>
  <c r="AB420" i="413"/>
  <c r="AN420" i="413"/>
  <c r="AC445" i="413"/>
  <c r="AO445" i="413"/>
  <c r="AC457" i="413"/>
  <c r="AO457" i="413" s="1"/>
  <c r="AD434" i="413"/>
  <c r="AP434" i="413"/>
  <c r="AB458" i="413"/>
  <c r="AN458" i="413" s="1"/>
  <c r="AD452" i="413"/>
  <c r="AP452" i="413" s="1"/>
  <c r="AD393" i="413"/>
  <c r="AP393" i="413" s="1"/>
  <c r="AC310" i="413"/>
  <c r="AO310" i="413" s="1"/>
  <c r="AC117" i="413"/>
  <c r="AO117" i="413" s="1"/>
  <c r="AD333" i="413"/>
  <c r="AP333" i="413" s="1"/>
  <c r="AD336" i="413"/>
  <c r="AP336" i="413" s="1"/>
  <c r="AC246" i="413"/>
  <c r="AO246" i="413" s="1"/>
  <c r="AD394" i="413"/>
  <c r="AP394" i="413" s="1"/>
  <c r="AD368" i="413"/>
  <c r="AP368" i="413"/>
  <c r="AC286" i="413"/>
  <c r="AO286" i="413" s="1"/>
  <c r="AD365" i="413"/>
  <c r="AP365" i="413" s="1"/>
  <c r="AC294" i="413"/>
  <c r="AO294" i="413" s="1"/>
  <c r="AD372" i="413"/>
  <c r="AP372" i="413"/>
  <c r="AC101" i="413"/>
  <c r="AO101" i="413" s="1"/>
  <c r="AD381" i="413"/>
  <c r="AP381" i="413"/>
  <c r="AC149" i="413"/>
  <c r="AO149" i="413" s="1"/>
  <c r="AD411" i="413"/>
  <c r="AP411" i="413" s="1"/>
  <c r="AD376" i="413"/>
  <c r="AP376" i="413" s="1"/>
  <c r="AD139" i="413"/>
  <c r="AP139" i="413"/>
  <c r="AD231" i="413"/>
  <c r="AP231" i="413" s="1"/>
  <c r="AD199" i="413"/>
  <c r="AP199" i="413" s="1"/>
  <c r="AD247" i="413"/>
  <c r="AP247" i="413" s="1"/>
  <c r="AD215" i="413"/>
  <c r="AP215" i="413" s="1"/>
  <c r="AE240" i="413"/>
  <c r="AQ240" i="413" s="1"/>
  <c r="AC307" i="413"/>
  <c r="AO307" i="413"/>
  <c r="AE379" i="413"/>
  <c r="AQ379" i="413" s="1"/>
  <c r="AD370" i="413"/>
  <c r="AP370" i="413" s="1"/>
  <c r="AD331" i="413"/>
  <c r="AP331" i="413" s="1"/>
  <c r="AC221" i="413"/>
  <c r="AO221" i="413"/>
  <c r="AC408" i="413"/>
  <c r="AO408" i="413" s="1"/>
  <c r="AD281" i="413"/>
  <c r="AP281" i="413"/>
  <c r="AD337" i="413"/>
  <c r="AP337" i="413" s="1"/>
  <c r="AD165" i="413"/>
  <c r="AP165" i="413" s="1"/>
  <c r="AD131" i="413"/>
  <c r="AP131" i="413" s="1"/>
  <c r="AC388" i="413"/>
  <c r="AO388" i="413"/>
  <c r="AD278" i="413"/>
  <c r="AP278" i="413" s="1"/>
  <c r="AD106" i="413"/>
  <c r="AP106" i="413" s="1"/>
  <c r="AC141" i="413"/>
  <c r="AO141" i="413" s="1"/>
  <c r="AD326" i="413"/>
  <c r="AP326" i="413" s="1"/>
  <c r="AD203" i="413"/>
  <c r="AP203" i="413" s="1"/>
  <c r="AC282" i="413"/>
  <c r="AO282" i="413" s="1"/>
  <c r="AE177" i="413"/>
  <c r="AQ177" i="413" s="1"/>
  <c r="AC218" i="413"/>
  <c r="AO218" i="413" s="1"/>
  <c r="AC230" i="413"/>
  <c r="AO230" i="413" s="1"/>
  <c r="AE216" i="413"/>
  <c r="AQ216" i="413" s="1"/>
  <c r="AC339" i="413"/>
  <c r="AO339" i="413" s="1"/>
  <c r="AD239" i="413"/>
  <c r="AP239" i="413" s="1"/>
  <c r="AC206" i="413"/>
  <c r="AO206" i="413" s="1"/>
  <c r="AC209" i="413"/>
  <c r="AO209" i="413"/>
  <c r="AD182" i="413"/>
  <c r="AP182" i="413" s="1"/>
  <c r="AC233" i="413"/>
  <c r="AO233" i="413"/>
  <c r="AC205" i="413"/>
  <c r="AO205" i="413" s="1"/>
  <c r="AC416" i="413"/>
  <c r="AO416" i="413" s="1"/>
  <c r="AC249" i="413"/>
  <c r="AO249" i="413" s="1"/>
  <c r="AD285" i="413"/>
  <c r="AP285" i="413" s="1"/>
  <c r="AD341" i="413"/>
  <c r="AP341" i="413" s="1"/>
  <c r="AD317" i="413"/>
  <c r="AP317" i="413" s="1"/>
  <c r="AC318" i="413"/>
  <c r="AO318" i="413" s="1"/>
  <c r="AD329" i="413"/>
  <c r="AP329" i="413" s="1"/>
  <c r="AD399" i="413"/>
  <c r="AP399" i="413" s="1"/>
  <c r="AD277" i="413"/>
  <c r="AP277" i="413"/>
  <c r="AC133" i="413"/>
  <c r="AO133" i="413" s="1"/>
  <c r="AC245" i="413"/>
  <c r="AO245" i="413" s="1"/>
  <c r="AC157" i="413"/>
  <c r="AO157" i="413" s="1"/>
  <c r="AD273" i="413"/>
  <c r="AP273" i="413"/>
  <c r="AD308" i="413"/>
  <c r="AP308" i="413" s="1"/>
  <c r="AC214" i="413"/>
  <c r="AO214" i="413" s="1"/>
  <c r="AD414" i="413"/>
  <c r="AP414" i="413" s="1"/>
  <c r="AC323" i="413"/>
  <c r="AO323" i="413" s="1"/>
  <c r="AD162" i="413"/>
  <c r="AP162" i="413" s="1"/>
  <c r="AD410" i="413"/>
  <c r="AP410" i="413" s="1"/>
  <c r="AE93" i="413"/>
  <c r="AQ93" i="413" s="1"/>
  <c r="AD104" i="413"/>
  <c r="AP104" i="413" s="1"/>
  <c r="AF169" i="413"/>
  <c r="AR169" i="413" s="1"/>
  <c r="AC241" i="413"/>
  <c r="AO241" i="413"/>
  <c r="AC257" i="413"/>
  <c r="AO257" i="413" s="1"/>
  <c r="AC404" i="413"/>
  <c r="AO404" i="413" s="1"/>
  <c r="AD274" i="413"/>
  <c r="AP274" i="413" s="1"/>
  <c r="AE128" i="413"/>
  <c r="AQ128" i="413" s="1"/>
  <c r="AC319" i="413"/>
  <c r="AO319" i="413" s="1"/>
  <c r="AD347" i="413"/>
  <c r="AP347" i="413"/>
  <c r="AD283" i="413"/>
  <c r="AP283" i="413" s="1"/>
  <c r="AD107" i="413"/>
  <c r="AP107" i="413"/>
  <c r="AD309" i="413"/>
  <c r="AP309" i="413" s="1"/>
  <c r="AD364" i="413"/>
  <c r="AP364" i="413" s="1"/>
  <c r="AD181" i="413"/>
  <c r="AP181" i="413" s="1"/>
  <c r="AD375" i="413"/>
  <c r="AP375" i="413" s="1"/>
  <c r="AD174" i="413"/>
  <c r="AP174" i="413" s="1"/>
  <c r="AC335" i="413"/>
  <c r="AO335" i="413" s="1"/>
  <c r="AD406" i="413"/>
  <c r="AP406" i="413" s="1"/>
  <c r="AE252" i="413"/>
  <c r="AQ252" i="413"/>
  <c r="AD191" i="413"/>
  <c r="AP191" i="413" s="1"/>
  <c r="AD405" i="413"/>
  <c r="AP405" i="413" s="1"/>
  <c r="AD123" i="413"/>
  <c r="AP123" i="413" s="1"/>
  <c r="AD147" i="413"/>
  <c r="AP147" i="413" s="1"/>
  <c r="AC151" i="413"/>
  <c r="AO151" i="413" s="1"/>
  <c r="AC265" i="413"/>
  <c r="AO265" i="413"/>
  <c r="AC217" i="413"/>
  <c r="AO217" i="413" s="1"/>
  <c r="AD152" i="413"/>
  <c r="AP152" i="413" s="1"/>
  <c r="AD148" i="413"/>
  <c r="AP148" i="413" s="1"/>
  <c r="AC135" i="413"/>
  <c r="AO135" i="413" s="1"/>
  <c r="AC262" i="413"/>
  <c r="AO262" i="413" s="1"/>
  <c r="AD284" i="413"/>
  <c r="AP284" i="413"/>
  <c r="AD330" i="413"/>
  <c r="AP330" i="413" s="1"/>
  <c r="AD389" i="413"/>
  <c r="AP389" i="413"/>
  <c r="AD384" i="413"/>
  <c r="AP384" i="413" s="1"/>
  <c r="AC275" i="413"/>
  <c r="AO275" i="413" s="1"/>
  <c r="AD256" i="413"/>
  <c r="AP256" i="413" s="1"/>
  <c r="AD207" i="413"/>
  <c r="AP207" i="413" s="1"/>
  <c r="AD155" i="413"/>
  <c r="AP155" i="413" s="1"/>
  <c r="AE367" i="413"/>
  <c r="AQ367" i="413" s="1"/>
  <c r="AC259" i="413"/>
  <c r="AO259" i="413" s="1"/>
  <c r="AD160" i="413"/>
  <c r="AP160" i="413" s="1"/>
  <c r="AD380" i="413"/>
  <c r="AP380" i="413" s="1"/>
  <c r="AD175" i="413"/>
  <c r="AP175" i="413" s="1"/>
  <c r="AC378" i="413"/>
  <c r="AO378" i="413" s="1"/>
  <c r="AC402" i="413"/>
  <c r="AO402" i="413" s="1"/>
  <c r="AD272" i="413"/>
  <c r="AP272" i="413" s="1"/>
  <c r="AD268" i="413"/>
  <c r="AP268" i="413" s="1"/>
  <c r="AC290" i="413"/>
  <c r="AO290" i="413" s="1"/>
  <c r="AD144" i="413"/>
  <c r="AP144" i="413" s="1"/>
  <c r="AC197" i="413"/>
  <c r="AO197" i="413" s="1"/>
  <c r="AC185" i="413"/>
  <c r="AO185" i="413"/>
  <c r="AD260" i="413"/>
  <c r="AP260" i="413" s="1"/>
  <c r="AD122" i="413"/>
  <c r="AP122" i="413" s="1"/>
  <c r="AD415" i="413"/>
  <c r="AP415" i="413" s="1"/>
  <c r="AD362" i="413"/>
  <c r="AP362" i="413" s="1"/>
  <c r="AD112" i="413"/>
  <c r="AP112" i="413" s="1"/>
  <c r="AE204" i="413"/>
  <c r="AQ204" i="413" s="1"/>
  <c r="AD176" i="413"/>
  <c r="AP176" i="413" s="1"/>
  <c r="AD153" i="413"/>
  <c r="AP153" i="413" s="1"/>
  <c r="AC210" i="413"/>
  <c r="AO210" i="413" s="1"/>
  <c r="AC311" i="413"/>
  <c r="AO311" i="413" s="1"/>
  <c r="AE158" i="413"/>
  <c r="AQ158" i="413" s="1"/>
  <c r="AC291" i="413"/>
  <c r="AO291" i="413"/>
  <c r="AC179" i="413"/>
  <c r="AO179" i="413" s="1"/>
  <c r="AD304" i="413"/>
  <c r="AP304" i="413" s="1"/>
  <c r="AC334" i="413"/>
  <c r="AO334" i="413" s="1"/>
  <c r="AD183" i="413"/>
  <c r="AP183" i="413" s="1"/>
  <c r="AD349" i="413"/>
  <c r="AP349" i="413" s="1"/>
  <c r="AC299" i="413"/>
  <c r="AO299" i="413"/>
  <c r="AE150" i="413"/>
  <c r="AQ150" i="413" s="1"/>
  <c r="AD267" i="413"/>
  <c r="AP267" i="413" s="1"/>
  <c r="AC111" i="413"/>
  <c r="AO111" i="413" s="1"/>
  <c r="AC143" i="413"/>
  <c r="AO143" i="413" s="1"/>
  <c r="AD132" i="413"/>
  <c r="AP132" i="413" s="1"/>
  <c r="AC194" i="413"/>
  <c r="AO194" i="413" s="1"/>
  <c r="AD121" i="413"/>
  <c r="AP121" i="413" s="1"/>
  <c r="AB92" i="413"/>
  <c r="AN92" i="413"/>
  <c r="AC306" i="413"/>
  <c r="AO306" i="413"/>
  <c r="AC346" i="413"/>
  <c r="AO346" i="413"/>
  <c r="AC269" i="413"/>
  <c r="AO269" i="413"/>
  <c r="AD325" i="413"/>
  <c r="AP325" i="413" s="1"/>
  <c r="AD293" i="413"/>
  <c r="AP293" i="413" s="1"/>
  <c r="AD301" i="413"/>
  <c r="AP301" i="413" s="1"/>
  <c r="AD154" i="413"/>
  <c r="AP154" i="413" s="1"/>
  <c r="AD96" i="413"/>
  <c r="AP96" i="413" s="1"/>
  <c r="AD263" i="413"/>
  <c r="AP263" i="413" s="1"/>
  <c r="AD156" i="413"/>
  <c r="AP156" i="413" s="1"/>
  <c r="AE350" i="413"/>
  <c r="AQ350" i="413" s="1"/>
  <c r="AC295" i="413"/>
  <c r="AO295" i="413"/>
  <c r="AD161" i="413"/>
  <c r="AP161" i="413" s="1"/>
  <c r="AD223" i="413"/>
  <c r="AP223" i="413" s="1"/>
  <c r="AC226" i="413"/>
  <c r="AO226" i="413" s="1"/>
  <c r="AE232" i="413"/>
  <c r="AQ232" i="413" s="1"/>
  <c r="AD357" i="413"/>
  <c r="AP357" i="413"/>
  <c r="AD120" i="413"/>
  <c r="AP120" i="413"/>
  <c r="AE391" i="413"/>
  <c r="AQ391" i="413" s="1"/>
  <c r="AC190" i="413"/>
  <c r="AO190" i="413" s="1"/>
  <c r="AE142" i="413"/>
  <c r="AQ142" i="413" s="1"/>
  <c r="AD251" i="413"/>
  <c r="AP251" i="413" s="1"/>
  <c r="AC314" i="413"/>
  <c r="AO314" i="413"/>
  <c r="AD115" i="413"/>
  <c r="AP115" i="413"/>
  <c r="AD116" i="413"/>
  <c r="AP116" i="413" s="1"/>
  <c r="AC253" i="413"/>
  <c r="AO253" i="413"/>
  <c r="AC103" i="413"/>
  <c r="AO103" i="413" s="1"/>
  <c r="AD377" i="413"/>
  <c r="AP377" i="413"/>
  <c r="AC201" i="413"/>
  <c r="AO201" i="413"/>
  <c r="AD409" i="413"/>
  <c r="AP409" i="413" s="1"/>
  <c r="AD354" i="413"/>
  <c r="AP354" i="413" s="1"/>
  <c r="AD342" i="413"/>
  <c r="AP342" i="413"/>
  <c r="AC359" i="413"/>
  <c r="AO359" i="413"/>
  <c r="AD130" i="413"/>
  <c r="AP130" i="413" s="1"/>
  <c r="AD114" i="413"/>
  <c r="AP114" i="413" s="1"/>
  <c r="AE390" i="413"/>
  <c r="AQ390" i="413"/>
  <c r="AC412" i="413"/>
  <c r="AO412" i="413" s="1"/>
  <c r="AE289" i="413"/>
  <c r="AQ289" i="413" s="1"/>
  <c r="AD343" i="413"/>
  <c r="AP343" i="413" s="1"/>
  <c r="AC400" i="413"/>
  <c r="AO400" i="413" s="1"/>
  <c r="AC315" i="413"/>
  <c r="AO315" i="413" s="1"/>
  <c r="AD361" i="413"/>
  <c r="AP361" i="413" s="1"/>
  <c r="AE228" i="413"/>
  <c r="AQ228" i="413" s="1"/>
  <c r="AE220" i="413"/>
  <c r="AQ220" i="413" s="1"/>
  <c r="AC171" i="413"/>
  <c r="AO171" i="413" s="1"/>
  <c r="AQ200" i="413"/>
  <c r="AE200" i="413"/>
  <c r="AD366" i="413"/>
  <c r="AP366" i="413" s="1"/>
  <c r="AC119" i="413"/>
  <c r="AO119" i="413" s="1"/>
  <c r="AD338" i="413"/>
  <c r="AP338" i="413" s="1"/>
  <c r="AC250" i="413"/>
  <c r="AO250" i="413" s="1"/>
  <c r="AO95" i="413"/>
  <c r="AC95" i="413"/>
  <c r="AD374" i="413"/>
  <c r="AP374" i="413" s="1"/>
  <c r="AD164" i="413"/>
  <c r="AP164" i="413" s="1"/>
  <c r="AE297" i="413"/>
  <c r="AQ297" i="413" s="1"/>
  <c r="AD108" i="413"/>
  <c r="AP108" i="413" s="1"/>
  <c r="AC234" i="413"/>
  <c r="AO234" i="413" s="1"/>
  <c r="AC225" i="413"/>
  <c r="AO225" i="413" s="1"/>
  <c r="AC229" i="413"/>
  <c r="AO229" i="413" s="1"/>
  <c r="AD140" i="413"/>
  <c r="AP140" i="413" s="1"/>
  <c r="AC369" i="413"/>
  <c r="AO369" i="413" s="1"/>
  <c r="AO202" i="413"/>
  <c r="AC202" i="413"/>
  <c r="AC287" i="413"/>
  <c r="AO287" i="413" s="1"/>
  <c r="AD296" i="413"/>
  <c r="AP296" i="413" s="1"/>
  <c r="AC222" i="413"/>
  <c r="AO222" i="413" s="1"/>
  <c r="AC360" i="413"/>
  <c r="AO360" i="413" s="1"/>
  <c r="AD172" i="413"/>
  <c r="AP172" i="413" s="1"/>
  <c r="AE236" i="413"/>
  <c r="AQ236" i="413" s="1"/>
  <c r="AO352" i="413"/>
  <c r="AC352" i="413"/>
  <c r="AE110" i="413"/>
  <c r="AQ110" i="413" s="1"/>
  <c r="AQ196" i="413"/>
  <c r="AE196" i="413"/>
  <c r="AE224" i="413"/>
  <c r="AQ224" i="413" s="1"/>
  <c r="AD353" i="413"/>
  <c r="AP353" i="413" s="1"/>
  <c r="AD180" i="413"/>
  <c r="AP180" i="413" s="1"/>
  <c r="AE358" i="413"/>
  <c r="AQ358" i="413" s="1"/>
  <c r="AM94" i="413"/>
  <c r="AA94" i="413"/>
  <c r="AA418" i="413" s="1"/>
  <c r="AC99" i="413"/>
  <c r="AO99" i="413" s="1"/>
  <c r="AD300" i="413"/>
  <c r="AP300" i="413" s="1"/>
  <c r="AC261" i="413"/>
  <c r="AO261" i="413" s="1"/>
  <c r="AE387" i="413"/>
  <c r="AQ387" i="413" s="1"/>
  <c r="AE344" i="413"/>
  <c r="AQ344" i="413" s="1"/>
  <c r="AC396" i="413"/>
  <c r="AO396" i="413" s="1"/>
  <c r="AC355" i="413"/>
  <c r="AO355" i="413" s="1"/>
  <c r="AC189" i="413"/>
  <c r="AO189" i="413" s="1"/>
  <c r="AQ113" i="413"/>
  <c r="AE113" i="413"/>
  <c r="AC237" i="413"/>
  <c r="AO237" i="413" s="1"/>
  <c r="AC98" i="413"/>
  <c r="AO98" i="413" s="1"/>
  <c r="AC403" i="413"/>
  <c r="AO403" i="413" s="1"/>
  <c r="AC193" i="413"/>
  <c r="AO193" i="413" s="1"/>
  <c r="AC363" i="413"/>
  <c r="AO363" i="413" s="1"/>
  <c r="AP345" i="413"/>
  <c r="AD345" i="413"/>
  <c r="AC398" i="413"/>
  <c r="AO398" i="413" s="1"/>
  <c r="AP264" i="413"/>
  <c r="AD264" i="413"/>
  <c r="AC302" i="413"/>
  <c r="AO302" i="413" s="1"/>
  <c r="AC254" i="413"/>
  <c r="AO254" i="413" s="1"/>
  <c r="AC298" i="413"/>
  <c r="AO298" i="413" s="1"/>
  <c r="AD166" i="413"/>
  <c r="AP166" i="413" s="1"/>
  <c r="AD167" i="413"/>
  <c r="AP167" i="413" s="1"/>
  <c r="AC213" i="413"/>
  <c r="AO213" i="413" s="1"/>
  <c r="AD407" i="413"/>
  <c r="AP407" i="413" s="1"/>
  <c r="AO125" i="413"/>
  <c r="AC125" i="413"/>
  <c r="AD146" i="413"/>
  <c r="AP146" i="413" s="1"/>
  <c r="AC351" i="413"/>
  <c r="AO351" i="413" s="1"/>
  <c r="AE382" i="413"/>
  <c r="AQ382" i="413" s="1"/>
  <c r="AC392" i="413"/>
  <c r="AO392" i="413" s="1"/>
  <c r="AD138" i="413"/>
  <c r="AP138" i="413" s="1"/>
  <c r="AC109" i="413"/>
  <c r="AO109" i="413" s="1"/>
  <c r="AC328" i="413"/>
  <c r="AO328" i="413" s="1"/>
  <c r="AD173" i="413"/>
  <c r="AP173" i="413" s="1"/>
  <c r="AC401" i="413"/>
  <c r="AO401" i="413" s="1"/>
  <c r="AC242" i="413"/>
  <c r="AO242" i="413" s="1"/>
  <c r="AC198" i="413"/>
  <c r="AO198" i="413" s="1"/>
  <c r="AD312" i="413"/>
  <c r="AP312" i="413" s="1"/>
  <c r="AE244" i="413"/>
  <c r="AQ244" i="413" s="1"/>
  <c r="AD324" i="413"/>
  <c r="AP324" i="413" s="1"/>
  <c r="AD271" i="413"/>
  <c r="AP271" i="413" s="1"/>
  <c r="AP137" i="413"/>
  <c r="AD137" i="413"/>
  <c r="AD100" i="413"/>
  <c r="AP100" i="413" s="1"/>
  <c r="AP386" i="413"/>
  <c r="AD386" i="413"/>
  <c r="AD320" i="413"/>
  <c r="AP320" i="413" s="1"/>
  <c r="AQ126" i="413"/>
  <c r="AE126" i="413"/>
  <c r="AC322" i="413"/>
  <c r="AO322" i="413" s="1"/>
  <c r="AE188" i="413"/>
  <c r="AQ188" i="413" s="1"/>
  <c r="AP235" i="413"/>
  <c r="AD235" i="413"/>
  <c r="AE321" i="413"/>
  <c r="AQ321" i="413" s="1"/>
  <c r="AO270" i="413"/>
  <c r="AC270" i="413"/>
  <c r="AC373" i="413"/>
  <c r="AO373" i="413" s="1"/>
  <c r="AP243" i="413"/>
  <c r="AD243" i="413"/>
  <c r="AD292" i="413"/>
  <c r="AP292" i="413" s="1"/>
  <c r="AC258" i="413"/>
  <c r="AO258" i="413" s="1"/>
  <c r="AE248" i="413"/>
  <c r="AQ248" i="413" s="1"/>
  <c r="AD129" i="413"/>
  <c r="AP129" i="413" s="1"/>
  <c r="AE371" i="413"/>
  <c r="AQ371" i="413" s="1"/>
  <c r="AE208" i="413"/>
  <c r="AQ208" i="413" s="1"/>
  <c r="AD288" i="413"/>
  <c r="AP288" i="413" s="1"/>
  <c r="AD195" i="413"/>
  <c r="AP195" i="413" s="1"/>
  <c r="AD124" i="413"/>
  <c r="AP124" i="413" s="1"/>
  <c r="AE276" i="413"/>
  <c r="AQ276" i="413" s="1"/>
  <c r="AO127" i="413"/>
  <c r="AC127" i="413"/>
  <c r="AD417" i="413"/>
  <c r="AP417" i="413" s="1"/>
  <c r="AQ145" i="413"/>
  <c r="AE145" i="413"/>
  <c r="AC159" i="413"/>
  <c r="AO159" i="413" s="1"/>
  <c r="AQ395" i="413"/>
  <c r="AE395" i="413"/>
  <c r="AC303" i="413"/>
  <c r="AO303" i="413" s="1"/>
  <c r="AQ383" i="413"/>
  <c r="AE383" i="413"/>
  <c r="AC397" i="413"/>
  <c r="AO397" i="413" s="1"/>
  <c r="AP187" i="413"/>
  <c r="AD187" i="413"/>
  <c r="AE184" i="413"/>
  <c r="AQ184" i="413" s="1"/>
  <c r="AQ134" i="413"/>
  <c r="AE134" i="413"/>
  <c r="AD168" i="413"/>
  <c r="AP168" i="413" s="1"/>
  <c r="AQ313" i="413"/>
  <c r="AE313" i="413"/>
  <c r="AC348" i="413"/>
  <c r="AO348" i="413" s="1"/>
  <c r="AD340" i="413"/>
  <c r="AP340" i="413" s="1"/>
  <c r="AD332" i="413"/>
  <c r="AP332" i="413" s="1"/>
  <c r="AC238" i="413"/>
  <c r="AO238" i="413" s="1"/>
  <c r="AD316" i="413"/>
  <c r="AP316" i="413" s="1"/>
  <c r="AD211" i="413"/>
  <c r="AP211" i="413" s="1"/>
  <c r="AP136" i="413"/>
  <c r="AD136" i="413"/>
  <c r="AD413" i="413"/>
  <c r="AP413" i="413" s="1"/>
  <c r="AO186" i="413"/>
  <c r="AC186" i="413"/>
  <c r="AD279" i="413"/>
  <c r="AP279" i="413" s="1"/>
  <c r="AD219" i="413"/>
  <c r="AP219" i="413" s="1"/>
  <c r="AE280" i="413"/>
  <c r="AQ280" i="413" s="1"/>
  <c r="AC385" i="413"/>
  <c r="AO385" i="413" s="1"/>
  <c r="AE305" i="413"/>
  <c r="AQ305" i="413" s="1"/>
  <c r="AE97" i="413"/>
  <c r="AQ97" i="413" s="1"/>
  <c r="AD227" i="413"/>
  <c r="AP227" i="413" s="1"/>
  <c r="AC266" i="413"/>
  <c r="AO266" i="413" s="1"/>
  <c r="AD170" i="413"/>
  <c r="AP170" i="413" s="1"/>
  <c r="AD255" i="413"/>
  <c r="AP255" i="413" s="1"/>
  <c r="AC356" i="413"/>
  <c r="AO356" i="413" s="1"/>
  <c r="AE102" i="413"/>
  <c r="AQ102" i="413" s="1"/>
  <c r="AE118" i="413"/>
  <c r="AQ118" i="413" s="1"/>
  <c r="AC327" i="413"/>
  <c r="AO327" i="413" s="1"/>
  <c r="AC163" i="413"/>
  <c r="AO163" i="413" s="1"/>
  <c r="AD105" i="413"/>
  <c r="AP105" i="413" s="1"/>
  <c r="AD178" i="413"/>
  <c r="AP178" i="413" s="1"/>
  <c r="AQ212" i="413"/>
  <c r="AE212" i="413"/>
  <c r="AE192" i="413"/>
  <c r="AQ192" i="413" s="1"/>
  <c r="AN522" i="413" l="1"/>
  <c r="AN523" i="413" s="1"/>
  <c r="AB523" i="413"/>
  <c r="AP418" i="413"/>
  <c r="AC522" i="413"/>
  <c r="AO473" i="413"/>
  <c r="AC473" i="413"/>
  <c r="AE486" i="413"/>
  <c r="AQ486" i="413" s="1"/>
  <c r="AO475" i="413"/>
  <c r="AC475" i="413"/>
  <c r="AE504" i="413"/>
  <c r="AQ504" i="413" s="1"/>
  <c r="AO481" i="413"/>
  <c r="AC481" i="413"/>
  <c r="AE505" i="413"/>
  <c r="AQ505" i="413" s="1"/>
  <c r="AQ489" i="413"/>
  <c r="AE489" i="413"/>
  <c r="AD480" i="413"/>
  <c r="AP480" i="413"/>
  <c r="AO483" i="413"/>
  <c r="AC483" i="413"/>
  <c r="AE495" i="413"/>
  <c r="AQ495" i="413" s="1"/>
  <c r="AQ487" i="413"/>
  <c r="AE487" i="413"/>
  <c r="AE485" i="413"/>
  <c r="AQ485" i="413" s="1"/>
  <c r="AD511" i="413"/>
  <c r="AP511" i="413" s="1"/>
  <c r="AE503" i="413"/>
  <c r="AQ503" i="413" s="1"/>
  <c r="AO509" i="413"/>
  <c r="AC509" i="413"/>
  <c r="AD484" i="413"/>
  <c r="AP484" i="413"/>
  <c r="AQ492" i="413"/>
  <c r="AE492" i="413"/>
  <c r="AD506" i="413"/>
  <c r="AP506" i="413"/>
  <c r="AD518" i="413"/>
  <c r="AP518" i="413" s="1"/>
  <c r="AE500" i="413"/>
  <c r="AQ500" i="413" s="1"/>
  <c r="AD515" i="413"/>
  <c r="AP515" i="413" s="1"/>
  <c r="AE501" i="413"/>
  <c r="AQ501" i="413" s="1"/>
  <c r="AO471" i="413"/>
  <c r="AC471" i="413"/>
  <c r="AD519" i="413"/>
  <c r="AP519" i="413" s="1"/>
  <c r="AD478" i="413"/>
  <c r="AP478" i="413" s="1"/>
  <c r="AC479" i="413"/>
  <c r="AO479" i="413" s="1"/>
  <c r="AQ493" i="413"/>
  <c r="AE493" i="413"/>
  <c r="AC477" i="413"/>
  <c r="AO477" i="413" s="1"/>
  <c r="AQ502" i="413"/>
  <c r="AE502" i="413"/>
  <c r="AE488" i="413"/>
  <c r="AQ488" i="413" s="1"/>
  <c r="AQ490" i="413"/>
  <c r="AE490" i="413"/>
  <c r="AE491" i="413"/>
  <c r="AQ491" i="413" s="1"/>
  <c r="AC507" i="413"/>
  <c r="AC520" i="413" s="1"/>
  <c r="AE497" i="413"/>
  <c r="AQ497" i="413" s="1"/>
  <c r="AO510" i="413"/>
  <c r="AC510" i="413"/>
  <c r="AE498" i="413"/>
  <c r="AQ498" i="413" s="1"/>
  <c r="AQ494" i="413"/>
  <c r="AE494" i="413"/>
  <c r="AE499" i="413"/>
  <c r="AQ499" i="413" s="1"/>
  <c r="AQ496" i="413"/>
  <c r="AE496" i="413"/>
  <c r="AC508" i="413"/>
  <c r="AO508" i="413" s="1"/>
  <c r="AD474" i="413"/>
  <c r="AP474" i="413" s="1"/>
  <c r="AD476" i="413"/>
  <c r="AP476" i="413"/>
  <c r="AD514" i="413"/>
  <c r="AP514" i="413" s="1"/>
  <c r="AD517" i="413"/>
  <c r="AP517" i="413" s="1"/>
  <c r="AD482" i="413"/>
  <c r="AP482" i="413" s="1"/>
  <c r="AD516" i="413"/>
  <c r="AP516" i="413"/>
  <c r="AD513" i="413"/>
  <c r="AP513" i="413" s="1"/>
  <c r="AD472" i="413"/>
  <c r="AP472" i="413"/>
  <c r="AD512" i="413"/>
  <c r="AP512" i="413" s="1"/>
  <c r="AM469" i="413"/>
  <c r="AB468" i="413"/>
  <c r="AB469" i="413" s="1"/>
  <c r="AF465" i="413"/>
  <c r="AR465" i="413"/>
  <c r="AD461" i="413"/>
  <c r="AP461" i="413"/>
  <c r="AD462" i="413"/>
  <c r="AP462" i="413"/>
  <c r="AD424" i="413"/>
  <c r="AP424" i="413" s="1"/>
  <c r="AD453" i="413"/>
  <c r="AP453" i="413"/>
  <c r="AC446" i="413"/>
  <c r="AO446" i="413"/>
  <c r="AC458" i="413"/>
  <c r="AO458" i="413"/>
  <c r="AD447" i="413"/>
  <c r="AP447" i="413" s="1"/>
  <c r="AE428" i="413"/>
  <c r="AQ428" i="413" s="1"/>
  <c r="AD448" i="413"/>
  <c r="AP448" i="413" s="1"/>
  <c r="AD432" i="413"/>
  <c r="AP432" i="413" s="1"/>
  <c r="AC454" i="413"/>
  <c r="AO454" i="413"/>
  <c r="AD438" i="413"/>
  <c r="AP438" i="413"/>
  <c r="AD430" i="413"/>
  <c r="AP430" i="413"/>
  <c r="AE429" i="413"/>
  <c r="AQ429" i="413"/>
  <c r="AC449" i="413"/>
  <c r="AO449" i="413" s="1"/>
  <c r="AE452" i="413"/>
  <c r="AQ452" i="413"/>
  <c r="AD457" i="413"/>
  <c r="AP457" i="413"/>
  <c r="AD433" i="413"/>
  <c r="AP433" i="413"/>
  <c r="AD442" i="413"/>
  <c r="AP442" i="413"/>
  <c r="AC420" i="413"/>
  <c r="AO420" i="413" s="1"/>
  <c r="AC436" i="413"/>
  <c r="AO436" i="413" s="1"/>
  <c r="AD426" i="413"/>
  <c r="AP426" i="413"/>
  <c r="AD450" i="413"/>
  <c r="AP450" i="413" s="1"/>
  <c r="AD443" i="413"/>
  <c r="AP443" i="413" s="1"/>
  <c r="AC455" i="413"/>
  <c r="AO455" i="413" s="1"/>
  <c r="AC444" i="413"/>
  <c r="AO444" i="413" s="1"/>
  <c r="AE437" i="413"/>
  <c r="AQ437" i="413"/>
  <c r="AC451" i="413"/>
  <c r="AO451" i="413" s="1"/>
  <c r="AD427" i="413"/>
  <c r="AP427" i="413" s="1"/>
  <c r="AE434" i="413"/>
  <c r="AQ434" i="413" s="1"/>
  <c r="AD445" i="413"/>
  <c r="AP445" i="413"/>
  <c r="AD423" i="413"/>
  <c r="AP423" i="413" s="1"/>
  <c r="AC431" i="413"/>
  <c r="AO431" i="413"/>
  <c r="AE421" i="413"/>
  <c r="AQ421" i="413"/>
  <c r="AC440" i="413"/>
  <c r="AO440" i="413" s="1"/>
  <c r="AE441" i="413"/>
  <c r="AQ441" i="413"/>
  <c r="AC435" i="413"/>
  <c r="AO435" i="413"/>
  <c r="AD439" i="413"/>
  <c r="AP439" i="413" s="1"/>
  <c r="AE425" i="413"/>
  <c r="AQ425" i="413"/>
  <c r="AF456" i="413"/>
  <c r="AR456" i="413" s="1"/>
  <c r="AD422" i="413"/>
  <c r="AP422" i="413"/>
  <c r="AD356" i="413"/>
  <c r="AP356" i="413" s="1"/>
  <c r="AQ178" i="413"/>
  <c r="AE178" i="413"/>
  <c r="AF276" i="413"/>
  <c r="AR276" i="413" s="1"/>
  <c r="AF188" i="413"/>
  <c r="AR188" i="413" s="1"/>
  <c r="AD98" i="413"/>
  <c r="AP98" i="413" s="1"/>
  <c r="AD189" i="413"/>
  <c r="AP189" i="413" s="1"/>
  <c r="AD225" i="413"/>
  <c r="AP225" i="413" s="1"/>
  <c r="AE279" i="413"/>
  <c r="AQ279" i="413" s="1"/>
  <c r="AD348" i="413"/>
  <c r="AP348" i="413" s="1"/>
  <c r="AE292" i="413"/>
  <c r="AQ292" i="413" s="1"/>
  <c r="AD322" i="413"/>
  <c r="AP322" i="413" s="1"/>
  <c r="AD392" i="413"/>
  <c r="AP392" i="413" s="1"/>
  <c r="AQ166" i="413"/>
  <c r="AE166" i="413"/>
  <c r="AD302" i="413"/>
  <c r="AP302" i="413" s="1"/>
  <c r="AD237" i="413"/>
  <c r="AP237" i="413" s="1"/>
  <c r="AD355" i="413"/>
  <c r="AP355" i="413" s="1"/>
  <c r="AF387" i="413"/>
  <c r="AR387" i="413" s="1"/>
  <c r="AD287" i="413"/>
  <c r="AP287" i="413" s="1"/>
  <c r="AE366" i="413"/>
  <c r="AQ366" i="413" s="1"/>
  <c r="AE361" i="413"/>
  <c r="AQ361" i="413" s="1"/>
  <c r="AE354" i="413"/>
  <c r="AQ354" i="413" s="1"/>
  <c r="AD190" i="413"/>
  <c r="AP190" i="413" s="1"/>
  <c r="AE223" i="413"/>
  <c r="AQ223" i="413" s="1"/>
  <c r="AF350" i="413"/>
  <c r="AR350" i="413" s="1"/>
  <c r="AE154" i="413"/>
  <c r="AQ154" i="413" s="1"/>
  <c r="AE121" i="413"/>
  <c r="AQ121" i="413" s="1"/>
  <c r="AQ418" i="413" s="1"/>
  <c r="AD111" i="413"/>
  <c r="AP111" i="413" s="1"/>
  <c r="AE304" i="413"/>
  <c r="AQ304" i="413" s="1"/>
  <c r="AF158" i="413"/>
  <c r="AR158" i="413" s="1"/>
  <c r="AE153" i="413"/>
  <c r="AQ153" i="413" s="1"/>
  <c r="AE362" i="413"/>
  <c r="AQ362" i="413" s="1"/>
  <c r="AD290" i="413"/>
  <c r="AP290" i="413" s="1"/>
  <c r="AP378" i="413"/>
  <c r="AD378" i="413"/>
  <c r="AD259" i="413"/>
  <c r="AP259" i="413" s="1"/>
  <c r="AE207" i="413"/>
  <c r="AQ207" i="413" s="1"/>
  <c r="AE152" i="413"/>
  <c r="AQ152" i="413" s="1"/>
  <c r="AD151" i="413"/>
  <c r="AP151" i="413" s="1"/>
  <c r="AE405" i="413"/>
  <c r="AQ405" i="413" s="1"/>
  <c r="AQ406" i="413"/>
  <c r="AE406" i="413"/>
  <c r="AE181" i="413"/>
  <c r="AQ181" i="413" s="1"/>
  <c r="AD319" i="413"/>
  <c r="AP319" i="413" s="1"/>
  <c r="AD404" i="413"/>
  <c r="AP404" i="413" s="1"/>
  <c r="AE162" i="413"/>
  <c r="AQ162" i="413" s="1"/>
  <c r="AD214" i="413"/>
  <c r="AP214" i="413" s="1"/>
  <c r="AD157" i="413"/>
  <c r="AP157" i="413" s="1"/>
  <c r="AD318" i="413"/>
  <c r="AP318" i="413" s="1"/>
  <c r="AD249" i="413"/>
  <c r="AP249" i="413" s="1"/>
  <c r="AD206" i="413"/>
  <c r="AP206" i="413" s="1"/>
  <c r="AD230" i="413"/>
  <c r="AP230" i="413" s="1"/>
  <c r="AE203" i="413"/>
  <c r="AQ203" i="413" s="1"/>
  <c r="AQ106" i="413"/>
  <c r="AE106" i="413"/>
  <c r="AE131" i="413"/>
  <c r="AQ131" i="413" s="1"/>
  <c r="AE331" i="413"/>
  <c r="AQ331" i="413" s="1"/>
  <c r="AE199" i="413"/>
  <c r="AQ199" i="413" s="1"/>
  <c r="AE376" i="413"/>
  <c r="AQ376" i="413" s="1"/>
  <c r="AD294" i="413"/>
  <c r="AP294" i="413" s="1"/>
  <c r="AE170" i="413"/>
  <c r="AQ170" i="413" s="1"/>
  <c r="AE316" i="413"/>
  <c r="AQ316" i="413" s="1"/>
  <c r="AE324" i="413"/>
  <c r="AQ324" i="413" s="1"/>
  <c r="AF382" i="413"/>
  <c r="AR382" i="413" s="1"/>
  <c r="AD213" i="413"/>
  <c r="AP213" i="413" s="1"/>
  <c r="AD298" i="413"/>
  <c r="AP298" i="413" s="1"/>
  <c r="AD193" i="413"/>
  <c r="AP193" i="413" s="1"/>
  <c r="AD396" i="413"/>
  <c r="AP396" i="413" s="1"/>
  <c r="AD261" i="413"/>
  <c r="AP261" i="413" s="1"/>
  <c r="AE180" i="413"/>
  <c r="AQ180" i="413" s="1"/>
  <c r="AE172" i="413"/>
  <c r="AQ172" i="413" s="1"/>
  <c r="AE338" i="413"/>
  <c r="AQ338" i="413" s="1"/>
  <c r="AF220" i="413"/>
  <c r="AR220" i="413" s="1"/>
  <c r="AD315" i="413"/>
  <c r="AP315" i="413" s="1"/>
  <c r="AE409" i="413"/>
  <c r="AQ409" i="413" s="1"/>
  <c r="AE116" i="413"/>
  <c r="AQ116" i="413" s="1"/>
  <c r="AF391" i="413"/>
  <c r="AR391" i="413" s="1"/>
  <c r="AE161" i="413"/>
  <c r="AQ161" i="413" s="1"/>
  <c r="AE156" i="413"/>
  <c r="AQ156" i="413" s="1"/>
  <c r="AE301" i="413"/>
  <c r="AQ301" i="413" s="1"/>
  <c r="AD194" i="413"/>
  <c r="AP194" i="413" s="1"/>
  <c r="AE267" i="413"/>
  <c r="AQ267" i="413" s="1"/>
  <c r="AE349" i="413"/>
  <c r="AQ349" i="413" s="1"/>
  <c r="AD179" i="413"/>
  <c r="AP179" i="413" s="1"/>
  <c r="AQ176" i="413"/>
  <c r="AE176" i="413"/>
  <c r="AE415" i="413"/>
  <c r="AQ415" i="413" s="1"/>
  <c r="AQ268" i="413"/>
  <c r="AE268" i="413"/>
  <c r="AE175" i="413"/>
  <c r="AQ175" i="413" s="1"/>
  <c r="AE256" i="413"/>
  <c r="AQ256" i="413" s="1"/>
  <c r="AD262" i="413"/>
  <c r="AP262" i="413" s="1"/>
  <c r="AD217" i="413"/>
  <c r="AP217" i="413" s="1"/>
  <c r="AE191" i="413"/>
  <c r="AQ191" i="413" s="1"/>
  <c r="AP335" i="413"/>
  <c r="AD335" i="413"/>
  <c r="AE364" i="413"/>
  <c r="AQ364" i="413" s="1"/>
  <c r="AE283" i="413"/>
  <c r="AQ283" i="413" s="1"/>
  <c r="AD257" i="413"/>
  <c r="AP257" i="413" s="1"/>
  <c r="AE104" i="413"/>
  <c r="AQ104" i="413" s="1"/>
  <c r="AE308" i="413"/>
  <c r="AQ308" i="413" s="1"/>
  <c r="AQ317" i="413"/>
  <c r="AE317" i="413"/>
  <c r="AD416" i="413"/>
  <c r="AP416" i="413" s="1"/>
  <c r="AE182" i="413"/>
  <c r="AQ182" i="413" s="1"/>
  <c r="AE239" i="413"/>
  <c r="AQ239" i="413" s="1"/>
  <c r="AD218" i="413"/>
  <c r="AP218" i="413" s="1"/>
  <c r="AE278" i="413"/>
  <c r="AQ278" i="413" s="1"/>
  <c r="AE165" i="413"/>
  <c r="AQ165" i="413" s="1"/>
  <c r="AD408" i="413"/>
  <c r="AP408" i="413" s="1"/>
  <c r="AE370" i="413"/>
  <c r="AQ370" i="413" s="1"/>
  <c r="AF240" i="413"/>
  <c r="AR240" i="413" s="1"/>
  <c r="AE231" i="413"/>
  <c r="AQ231" i="413" s="1"/>
  <c r="AE411" i="413"/>
  <c r="AQ411" i="413" s="1"/>
  <c r="AD101" i="413"/>
  <c r="AP101" i="413" s="1"/>
  <c r="AD351" i="413"/>
  <c r="AP351" i="413" s="1"/>
  <c r="AD403" i="413"/>
  <c r="AP403" i="413" s="1"/>
  <c r="AE300" i="413"/>
  <c r="AQ300" i="413" s="1"/>
  <c r="AE353" i="413"/>
  <c r="AQ353" i="413" s="1"/>
  <c r="AD229" i="413"/>
  <c r="AP229" i="413" s="1"/>
  <c r="AE164" i="413"/>
  <c r="AQ164" i="413" s="1"/>
  <c r="AD400" i="413"/>
  <c r="AP400" i="413" s="1"/>
  <c r="AE114" i="413"/>
  <c r="AQ114" i="413" s="1"/>
  <c r="AD103" i="413"/>
  <c r="AP103" i="413" s="1"/>
  <c r="AE251" i="413"/>
  <c r="AQ251" i="413" s="1"/>
  <c r="AF232" i="413"/>
  <c r="AR232" i="413" s="1"/>
  <c r="AE263" i="413"/>
  <c r="AQ263" i="413" s="1"/>
  <c r="AQ293" i="413"/>
  <c r="AE293" i="413"/>
  <c r="AE132" i="413"/>
  <c r="AQ132" i="413" s="1"/>
  <c r="AF150" i="413"/>
  <c r="AR150" i="413" s="1"/>
  <c r="AE183" i="413"/>
  <c r="AQ183" i="413" s="1"/>
  <c r="AF204" i="413"/>
  <c r="AR204" i="413" s="1"/>
  <c r="AE122" i="413"/>
  <c r="AQ122" i="413" s="1"/>
  <c r="AD197" i="413"/>
  <c r="AP197" i="413" s="1"/>
  <c r="AE272" i="413"/>
  <c r="AQ272" i="413" s="1"/>
  <c r="AQ380" i="413"/>
  <c r="AE380" i="413"/>
  <c r="AD275" i="413"/>
  <c r="AP275" i="413" s="1"/>
  <c r="AQ330" i="413"/>
  <c r="AE330" i="413"/>
  <c r="AD135" i="413"/>
  <c r="AP135" i="413" s="1"/>
  <c r="AE174" i="413"/>
  <c r="AQ174" i="413" s="1"/>
  <c r="AE309" i="413"/>
  <c r="AQ309" i="413" s="1"/>
  <c r="AF93" i="413"/>
  <c r="AR93" i="413" s="1"/>
  <c r="AQ399" i="413"/>
  <c r="AE399" i="413"/>
  <c r="AE341" i="413"/>
  <c r="AQ341" i="413" s="1"/>
  <c r="AD205" i="413"/>
  <c r="AP205" i="413" s="1"/>
  <c r="AD339" i="413"/>
  <c r="AP339" i="413" s="1"/>
  <c r="AF177" i="413"/>
  <c r="AR177" i="413" s="1"/>
  <c r="AE337" i="413"/>
  <c r="AQ337" i="413" s="1"/>
  <c r="AF379" i="413"/>
  <c r="AR379" i="413" s="1"/>
  <c r="AE215" i="413"/>
  <c r="AQ215" i="413" s="1"/>
  <c r="AD149" i="413"/>
  <c r="AP149" i="413" s="1"/>
  <c r="AE394" i="413"/>
  <c r="AQ394" i="413" s="1"/>
  <c r="AQ333" i="413"/>
  <c r="AE333" i="413"/>
  <c r="AD369" i="413"/>
  <c r="AP369" i="413" s="1"/>
  <c r="AE343" i="413"/>
  <c r="AQ343" i="413" s="1"/>
  <c r="AD412" i="413"/>
  <c r="AP412" i="413" s="1"/>
  <c r="AE130" i="413"/>
  <c r="AQ130" i="413" s="1"/>
  <c r="AF142" i="413"/>
  <c r="AR142" i="413" s="1"/>
  <c r="AD226" i="413"/>
  <c r="AP226" i="413" s="1"/>
  <c r="AE96" i="413"/>
  <c r="AQ96" i="413"/>
  <c r="AE325" i="413"/>
  <c r="AQ325" i="413" s="1"/>
  <c r="AD143" i="413"/>
  <c r="AP143" i="413"/>
  <c r="AD334" i="413"/>
  <c r="AP334" i="413"/>
  <c r="AD210" i="413"/>
  <c r="AP210" i="413"/>
  <c r="AE112" i="413"/>
  <c r="AQ112" i="413"/>
  <c r="AE260" i="413"/>
  <c r="AQ260" i="413" s="1"/>
  <c r="AE144" i="413"/>
  <c r="AQ144" i="413"/>
  <c r="AD402" i="413"/>
  <c r="AP402" i="413" s="1"/>
  <c r="AE160" i="413"/>
  <c r="AQ160" i="413"/>
  <c r="AE155" i="413"/>
  <c r="AQ155" i="413" s="1"/>
  <c r="AE384" i="413"/>
  <c r="AQ384" i="413" s="1"/>
  <c r="AE148" i="413"/>
  <c r="AQ148" i="413"/>
  <c r="AE123" i="413"/>
  <c r="AQ123" i="413" s="1"/>
  <c r="AE375" i="413"/>
  <c r="AQ375" i="413" s="1"/>
  <c r="AE274" i="413"/>
  <c r="AQ274" i="413"/>
  <c r="AE410" i="413"/>
  <c r="AQ410" i="413" s="1"/>
  <c r="AE414" i="413"/>
  <c r="AQ414" i="413" s="1"/>
  <c r="AD133" i="413"/>
  <c r="AP133" i="413" s="1"/>
  <c r="AE329" i="413"/>
  <c r="AQ329" i="413" s="1"/>
  <c r="AE285" i="413"/>
  <c r="AQ285" i="413" s="1"/>
  <c r="AF216" i="413"/>
  <c r="AR216" i="413" s="1"/>
  <c r="AD282" i="413"/>
  <c r="AP282" i="413"/>
  <c r="AD141" i="413"/>
  <c r="AP141" i="413" s="1"/>
  <c r="AE247" i="413"/>
  <c r="AQ247" i="413"/>
  <c r="AD286" i="413"/>
  <c r="AP286" i="413"/>
  <c r="AD246" i="413"/>
  <c r="AP246" i="413"/>
  <c r="AE393" i="413"/>
  <c r="AQ393" i="413"/>
  <c r="AF305" i="413"/>
  <c r="AR305" i="413"/>
  <c r="AE413" i="413"/>
  <c r="AQ413" i="413"/>
  <c r="AE340" i="413"/>
  <c r="AQ340" i="413"/>
  <c r="AE187" i="413"/>
  <c r="AQ187" i="413"/>
  <c r="AF145" i="413"/>
  <c r="AR145" i="413"/>
  <c r="AE288" i="413"/>
  <c r="AQ288" i="413"/>
  <c r="AF371" i="413"/>
  <c r="AR371" i="413"/>
  <c r="AF248" i="413"/>
  <c r="AR248" i="413"/>
  <c r="AF321" i="413"/>
  <c r="AR321" i="413"/>
  <c r="AF126" i="413"/>
  <c r="AR126" i="413" s="1"/>
  <c r="AE386" i="413"/>
  <c r="AQ386" i="413" s="1"/>
  <c r="AE137" i="413"/>
  <c r="AQ137" i="413" s="1"/>
  <c r="AE312" i="413"/>
  <c r="AQ312" i="413"/>
  <c r="AD242" i="413"/>
  <c r="AP242" i="413"/>
  <c r="AE173" i="413"/>
  <c r="AQ173" i="413" s="1"/>
  <c r="AD109" i="413"/>
  <c r="AP109" i="413" s="1"/>
  <c r="AD125" i="413"/>
  <c r="AP125" i="413" s="1"/>
  <c r="AD254" i="413"/>
  <c r="AP254" i="413" s="1"/>
  <c r="AE264" i="413"/>
  <c r="AQ264" i="413" s="1"/>
  <c r="AE345" i="413"/>
  <c r="AQ345" i="413" s="1"/>
  <c r="AF113" i="413"/>
  <c r="AR113" i="413"/>
  <c r="AF344" i="413"/>
  <c r="AR344" i="413" s="1"/>
  <c r="AD99" i="413"/>
  <c r="AP99" i="413"/>
  <c r="AF358" i="413"/>
  <c r="AR358" i="413" s="1"/>
  <c r="AF196" i="413"/>
  <c r="AR196" i="413"/>
  <c r="AD352" i="413"/>
  <c r="AP352" i="413" s="1"/>
  <c r="AD222" i="413"/>
  <c r="AP222" i="413"/>
  <c r="AD234" i="413"/>
  <c r="AP234" i="413" s="1"/>
  <c r="AF297" i="413"/>
  <c r="AR297" i="413"/>
  <c r="AE374" i="413"/>
  <c r="AQ374" i="413" s="1"/>
  <c r="AD250" i="413"/>
  <c r="AP250" i="413"/>
  <c r="AD119" i="413"/>
  <c r="AP119" i="413" s="1"/>
  <c r="AF200" i="413"/>
  <c r="AR200" i="413"/>
  <c r="AF289" i="413"/>
  <c r="AR289" i="413" s="1"/>
  <c r="AF390" i="413"/>
  <c r="AR390" i="413"/>
  <c r="AE342" i="413"/>
  <c r="AQ342" i="413" s="1"/>
  <c r="AE377" i="413"/>
  <c r="AQ377" i="413"/>
  <c r="AD253" i="413"/>
  <c r="AP253" i="413"/>
  <c r="AE115" i="413"/>
  <c r="AQ115" i="413" s="1"/>
  <c r="AE120" i="413"/>
  <c r="AQ120" i="413"/>
  <c r="AD295" i="413"/>
  <c r="AP295" i="413" s="1"/>
  <c r="AD346" i="413"/>
  <c r="AP346" i="413"/>
  <c r="AC92" i="413"/>
  <c r="AD299" i="413"/>
  <c r="AP299" i="413"/>
  <c r="AD291" i="413"/>
  <c r="AP291" i="413"/>
  <c r="AD311" i="413"/>
  <c r="AP311" i="413"/>
  <c r="AD185" i="413"/>
  <c r="AP185" i="413"/>
  <c r="AF367" i="413"/>
  <c r="AR367" i="413"/>
  <c r="AE389" i="413"/>
  <c r="AQ389" i="413"/>
  <c r="AE284" i="413"/>
  <c r="AQ284" i="413"/>
  <c r="AD265" i="413"/>
  <c r="AP265" i="413"/>
  <c r="AE147" i="413"/>
  <c r="AQ147" i="413" s="1"/>
  <c r="AF252" i="413"/>
  <c r="AR252" i="413"/>
  <c r="AE107" i="413"/>
  <c r="AQ107" i="413" s="1"/>
  <c r="AE347" i="413"/>
  <c r="AQ347" i="413"/>
  <c r="AF128" i="413"/>
  <c r="AR128" i="413" s="1"/>
  <c r="AD241" i="413"/>
  <c r="AP241" i="413" s="1"/>
  <c r="AD323" i="413"/>
  <c r="AP323" i="413"/>
  <c r="AE273" i="413"/>
  <c r="AQ273" i="413" s="1"/>
  <c r="AD245" i="413"/>
  <c r="AP245" i="413"/>
  <c r="AE277" i="413"/>
  <c r="AQ277" i="413" s="1"/>
  <c r="AD233" i="413"/>
  <c r="AP233" i="413" s="1"/>
  <c r="AD209" i="413"/>
  <c r="AP209" i="413"/>
  <c r="AE326" i="413"/>
  <c r="AQ326" i="413" s="1"/>
  <c r="AD388" i="413"/>
  <c r="AP388" i="413"/>
  <c r="AE281" i="413"/>
  <c r="AQ281" i="413" s="1"/>
  <c r="AD221" i="413"/>
  <c r="AP221" i="413" s="1"/>
  <c r="AD307" i="413"/>
  <c r="AP307" i="413"/>
  <c r="AE139" i="413"/>
  <c r="AQ139" i="413" s="1"/>
  <c r="AE381" i="413"/>
  <c r="AQ381" i="413"/>
  <c r="AE372" i="413"/>
  <c r="AQ372" i="413" s="1"/>
  <c r="AE365" i="413"/>
  <c r="AQ365" i="413" s="1"/>
  <c r="AE368" i="413"/>
  <c r="AQ368" i="413" s="1"/>
  <c r="AD310" i="413"/>
  <c r="AP310" i="413"/>
  <c r="AD163" i="413"/>
  <c r="AP163" i="413" s="1"/>
  <c r="AD238" i="413"/>
  <c r="AP238" i="413" s="1"/>
  <c r="AF134" i="413"/>
  <c r="AR134" i="413" s="1"/>
  <c r="AF383" i="413"/>
  <c r="AR383" i="413" s="1"/>
  <c r="AD127" i="413"/>
  <c r="AP127" i="413" s="1"/>
  <c r="AF212" i="413"/>
  <c r="AR212" i="413" s="1"/>
  <c r="AQ105" i="413"/>
  <c r="AE105" i="413"/>
  <c r="AD327" i="413"/>
  <c r="AP327" i="413" s="1"/>
  <c r="AF102" i="413"/>
  <c r="AR102" i="413" s="1"/>
  <c r="AE255" i="413"/>
  <c r="AQ255" i="413" s="1"/>
  <c r="AD266" i="413"/>
  <c r="AP266" i="413" s="1"/>
  <c r="AF97" i="413"/>
  <c r="AR97" i="413" s="1"/>
  <c r="AD385" i="413"/>
  <c r="AP385" i="413" s="1"/>
  <c r="AE219" i="413"/>
  <c r="AQ219" i="413" s="1"/>
  <c r="AD186" i="413"/>
  <c r="AP186" i="413" s="1"/>
  <c r="AE136" i="413"/>
  <c r="AQ136" i="413" s="1"/>
  <c r="AQ332" i="413"/>
  <c r="AE332" i="413"/>
  <c r="AE168" i="413"/>
  <c r="AQ168" i="413" s="1"/>
  <c r="AF184" i="413"/>
  <c r="AR184" i="413" s="1"/>
  <c r="AD397" i="413"/>
  <c r="AP397" i="413" s="1"/>
  <c r="AD303" i="413"/>
  <c r="AP303" i="413" s="1"/>
  <c r="AD159" i="413"/>
  <c r="AP159" i="413" s="1"/>
  <c r="AE417" i="413"/>
  <c r="AQ417" i="413" s="1"/>
  <c r="AE195" i="413"/>
  <c r="AQ195" i="413" s="1"/>
  <c r="AF208" i="413"/>
  <c r="AR208" i="413" s="1"/>
  <c r="AE129" i="413"/>
  <c r="AQ129" i="413" s="1"/>
  <c r="AD258" i="413"/>
  <c r="AP258" i="413" s="1"/>
  <c r="AE243" i="413"/>
  <c r="AQ243" i="413" s="1"/>
  <c r="AD270" i="413"/>
  <c r="AP270" i="413" s="1"/>
  <c r="AE235" i="413"/>
  <c r="AQ235" i="413" s="1"/>
  <c r="AE320" i="413"/>
  <c r="AQ320" i="413" s="1"/>
  <c r="AE100" i="413"/>
  <c r="AQ100" i="413" s="1"/>
  <c r="AE271" i="413"/>
  <c r="AQ271" i="413" s="1"/>
  <c r="AF244" i="413"/>
  <c r="AR244" i="413" s="1"/>
  <c r="AD198" i="413"/>
  <c r="AP198" i="413" s="1"/>
  <c r="AD401" i="413"/>
  <c r="AP401" i="413" s="1"/>
  <c r="AD328" i="413"/>
  <c r="AP328" i="413" s="1"/>
  <c r="AE138" i="413"/>
  <c r="AQ138" i="413" s="1"/>
  <c r="AE146" i="413"/>
  <c r="AQ146" i="413" s="1"/>
  <c r="AE407" i="413"/>
  <c r="AQ407" i="413" s="1"/>
  <c r="AE167" i="413"/>
  <c r="AQ167" i="413" s="1"/>
  <c r="AP398" i="413"/>
  <c r="AD398" i="413"/>
  <c r="AD363" i="413"/>
  <c r="AP363" i="413" s="1"/>
  <c r="AB94" i="413"/>
  <c r="AB418" i="413" s="1"/>
  <c r="AF224" i="413"/>
  <c r="AR224" i="413" s="1"/>
  <c r="AF110" i="413"/>
  <c r="AR110" i="413" s="1"/>
  <c r="AF236" i="413"/>
  <c r="AR236" i="413" s="1"/>
  <c r="AD360" i="413"/>
  <c r="AP360" i="413" s="1"/>
  <c r="AE296" i="413"/>
  <c r="AQ296" i="413" s="1"/>
  <c r="AD202" i="413"/>
  <c r="AP202" i="413" s="1"/>
  <c r="AE140" i="413"/>
  <c r="AQ140" i="413" s="1"/>
  <c r="AE108" i="413"/>
  <c r="AQ108" i="413" s="1"/>
  <c r="AD95" i="413"/>
  <c r="AP95" i="413" s="1"/>
  <c r="AD171" i="413"/>
  <c r="AP171" i="413" s="1"/>
  <c r="AF228" i="413"/>
  <c r="AR228" i="413" s="1"/>
  <c r="AD359" i="413"/>
  <c r="AP359" i="413" s="1"/>
  <c r="AD201" i="413"/>
  <c r="AP201" i="413" s="1"/>
  <c r="AD314" i="413"/>
  <c r="AP314" i="413" s="1"/>
  <c r="AE357" i="413"/>
  <c r="AQ357" i="413" s="1"/>
  <c r="AD269" i="413"/>
  <c r="AP269" i="413" s="1"/>
  <c r="AD306" i="413"/>
  <c r="AP306" i="413" s="1"/>
  <c r="AF192" i="413"/>
  <c r="AR192" i="413" s="1"/>
  <c r="AF118" i="413"/>
  <c r="AR118" i="413" s="1"/>
  <c r="AE227" i="413"/>
  <c r="AQ227" i="413" s="1"/>
  <c r="AF280" i="413"/>
  <c r="AR280" i="413" s="1"/>
  <c r="AE211" i="413"/>
  <c r="AQ211" i="413" s="1"/>
  <c r="AF313" i="413"/>
  <c r="AR313" i="413" s="1"/>
  <c r="AF395" i="413"/>
  <c r="AR395" i="413" s="1"/>
  <c r="AE124" i="413"/>
  <c r="AQ124" i="413" s="1"/>
  <c r="AD373" i="413"/>
  <c r="AP373" i="413" s="1"/>
  <c r="AE336" i="413"/>
  <c r="AQ336" i="413" s="1"/>
  <c r="AP117" i="413"/>
  <c r="AD117" i="413"/>
  <c r="AO522" i="413" l="1"/>
  <c r="AO523" i="413" s="1"/>
  <c r="AC523" i="413"/>
  <c r="AO507" i="413"/>
  <c r="AO520" i="413" s="1"/>
  <c r="AP522" i="413"/>
  <c r="AP523" i="413" s="1"/>
  <c r="AD522" i="413"/>
  <c r="AD523" i="413" s="1"/>
  <c r="AD508" i="413"/>
  <c r="AP508" i="413" s="1"/>
  <c r="AE515" i="413"/>
  <c r="AQ515" i="413" s="1"/>
  <c r="AQ511" i="413"/>
  <c r="AE511" i="413"/>
  <c r="AF497" i="413"/>
  <c r="AR497" i="413"/>
  <c r="AF500" i="413"/>
  <c r="AR500" i="413" s="1"/>
  <c r="AF486" i="413"/>
  <c r="AR486" i="413"/>
  <c r="AQ513" i="413"/>
  <c r="AE513" i="413"/>
  <c r="AF498" i="413"/>
  <c r="AR498" i="413"/>
  <c r="AD477" i="413"/>
  <c r="AP477" i="413" s="1"/>
  <c r="AE478" i="413"/>
  <c r="AQ478" i="413" s="1"/>
  <c r="AQ518" i="413"/>
  <c r="AE518" i="413"/>
  <c r="AF504" i="413"/>
  <c r="AR504" i="413"/>
  <c r="AQ514" i="413"/>
  <c r="AE514" i="413"/>
  <c r="AF491" i="413"/>
  <c r="AR491" i="413"/>
  <c r="AF495" i="413"/>
  <c r="AR495" i="413" s="1"/>
  <c r="AE482" i="413"/>
  <c r="AQ482" i="413" s="1"/>
  <c r="AD479" i="413"/>
  <c r="AP479" i="413" s="1"/>
  <c r="AF485" i="413"/>
  <c r="AR485" i="413"/>
  <c r="AQ512" i="413"/>
  <c r="AE512" i="413"/>
  <c r="AE474" i="413"/>
  <c r="AQ474" i="413" s="1"/>
  <c r="AF499" i="413"/>
  <c r="AR499" i="413" s="1"/>
  <c r="AF488" i="413"/>
  <c r="AR488" i="413"/>
  <c r="AF501" i="413"/>
  <c r="AR501" i="413" s="1"/>
  <c r="AF503" i="413"/>
  <c r="AR503" i="413"/>
  <c r="AF505" i="413"/>
  <c r="AR505" i="413" s="1"/>
  <c r="AE516" i="413"/>
  <c r="AQ516" i="413" s="1"/>
  <c r="AQ476" i="413"/>
  <c r="AE476" i="413"/>
  <c r="AE519" i="413"/>
  <c r="AQ519" i="413" s="1"/>
  <c r="AQ484" i="413"/>
  <c r="AE484" i="413"/>
  <c r="AE480" i="413"/>
  <c r="AQ480" i="413" s="1"/>
  <c r="AQ472" i="413"/>
  <c r="AE472" i="413"/>
  <c r="AE517" i="413"/>
  <c r="AQ517" i="413" s="1"/>
  <c r="AQ506" i="413"/>
  <c r="AE506" i="413"/>
  <c r="AF496" i="413"/>
  <c r="AR496" i="413"/>
  <c r="AF494" i="413"/>
  <c r="AR494" i="413" s="1"/>
  <c r="AD510" i="413"/>
  <c r="AP510" i="413"/>
  <c r="AD507" i="413"/>
  <c r="AF490" i="413"/>
  <c r="AR490" i="413"/>
  <c r="AF502" i="413"/>
  <c r="AR502" i="413" s="1"/>
  <c r="AF493" i="413"/>
  <c r="AR493" i="413"/>
  <c r="AD471" i="413"/>
  <c r="AP471" i="413" s="1"/>
  <c r="AF492" i="413"/>
  <c r="AR492" i="413"/>
  <c r="AD509" i="413"/>
  <c r="AP509" i="413" s="1"/>
  <c r="AF487" i="413"/>
  <c r="AR487" i="413"/>
  <c r="AD483" i="413"/>
  <c r="AP483" i="413" s="1"/>
  <c r="AF489" i="413"/>
  <c r="AR489" i="413"/>
  <c r="AD481" i="413"/>
  <c r="AP481" i="413" s="1"/>
  <c r="AD475" i="413"/>
  <c r="AP475" i="413"/>
  <c r="AD473" i="413"/>
  <c r="AP473" i="413" s="1"/>
  <c r="AN468" i="413"/>
  <c r="AE462" i="413"/>
  <c r="AQ462" i="413"/>
  <c r="AQ461" i="413"/>
  <c r="AE461" i="413"/>
  <c r="AE443" i="413"/>
  <c r="AQ443" i="413" s="1"/>
  <c r="AE448" i="413"/>
  <c r="AQ448" i="413"/>
  <c r="AE423" i="413"/>
  <c r="AQ423" i="413" s="1"/>
  <c r="AE427" i="413"/>
  <c r="AQ427" i="413"/>
  <c r="AD444" i="413"/>
  <c r="AP444" i="413" s="1"/>
  <c r="AD449" i="413"/>
  <c r="AP449" i="413"/>
  <c r="AE447" i="413"/>
  <c r="AQ447" i="413"/>
  <c r="AD451" i="413"/>
  <c r="AP451" i="413"/>
  <c r="AD455" i="413"/>
  <c r="AP455" i="413"/>
  <c r="AE432" i="413"/>
  <c r="AQ432" i="413" s="1"/>
  <c r="AE439" i="413"/>
  <c r="AQ439" i="413" s="1"/>
  <c r="AD436" i="413"/>
  <c r="AP436" i="413" s="1"/>
  <c r="AD440" i="413"/>
  <c r="AP440" i="413" s="1"/>
  <c r="AF434" i="413"/>
  <c r="AR434" i="413" s="1"/>
  <c r="AE450" i="413"/>
  <c r="AQ450" i="413"/>
  <c r="AD420" i="413"/>
  <c r="AP420" i="413" s="1"/>
  <c r="AF428" i="413"/>
  <c r="AR428" i="413"/>
  <c r="AE424" i="413"/>
  <c r="AQ424" i="413"/>
  <c r="AF441" i="413"/>
  <c r="AR441" i="413" s="1"/>
  <c r="AF421" i="413"/>
  <c r="AR421" i="413" s="1"/>
  <c r="AE426" i="413"/>
  <c r="AQ426" i="413" s="1"/>
  <c r="AE433" i="413"/>
  <c r="AQ433" i="413"/>
  <c r="AF452" i="413"/>
  <c r="AR452" i="413" s="1"/>
  <c r="AF429" i="413"/>
  <c r="AR429" i="413" s="1"/>
  <c r="AE438" i="413"/>
  <c r="AQ438" i="413" s="1"/>
  <c r="AD458" i="413"/>
  <c r="AP458" i="413" s="1"/>
  <c r="AE453" i="413"/>
  <c r="AQ453" i="413" s="1"/>
  <c r="AE422" i="413"/>
  <c r="AQ422" i="413" s="1"/>
  <c r="AF425" i="413"/>
  <c r="AR425" i="413" s="1"/>
  <c r="AD435" i="413"/>
  <c r="AP435" i="413" s="1"/>
  <c r="AD431" i="413"/>
  <c r="AP431" i="413" s="1"/>
  <c r="AE445" i="413"/>
  <c r="AQ445" i="413" s="1"/>
  <c r="AF437" i="413"/>
  <c r="AR437" i="413" s="1"/>
  <c r="AE442" i="413"/>
  <c r="AQ442" i="413" s="1"/>
  <c r="AE457" i="413"/>
  <c r="AQ457" i="413" s="1"/>
  <c r="AE430" i="413"/>
  <c r="AQ430" i="413" s="1"/>
  <c r="AD454" i="413"/>
  <c r="AP454" i="413" s="1"/>
  <c r="AD446" i="413"/>
  <c r="AP446" i="413" s="1"/>
  <c r="AN94" i="413"/>
  <c r="AF417" i="413"/>
  <c r="AR417" i="413" s="1"/>
  <c r="AE306" i="413"/>
  <c r="AQ306" i="413" s="1"/>
  <c r="AE201" i="413"/>
  <c r="AQ201" i="413" s="1"/>
  <c r="AE202" i="413"/>
  <c r="AQ202" i="413"/>
  <c r="AF167" i="413"/>
  <c r="AR167" i="413" s="1"/>
  <c r="AF271" i="413"/>
  <c r="AR271" i="413"/>
  <c r="AE270" i="413"/>
  <c r="AQ270" i="413" s="1"/>
  <c r="AE159" i="413"/>
  <c r="AQ159" i="413" s="1"/>
  <c r="AF136" i="413"/>
  <c r="AR136" i="413" s="1"/>
  <c r="AE238" i="413"/>
  <c r="AQ238" i="413" s="1"/>
  <c r="AF372" i="413"/>
  <c r="AR372" i="413"/>
  <c r="AF281" i="413"/>
  <c r="AR281" i="413" s="1"/>
  <c r="AF277" i="413"/>
  <c r="AR277" i="413" s="1"/>
  <c r="AF173" i="413"/>
  <c r="AR173" i="413"/>
  <c r="AE269" i="413"/>
  <c r="AQ269" i="413" s="1"/>
  <c r="AE359" i="413"/>
  <c r="AQ359" i="413" s="1"/>
  <c r="AE95" i="413"/>
  <c r="AQ95" i="413"/>
  <c r="AF296" i="413"/>
  <c r="AR296" i="413" s="1"/>
  <c r="AE363" i="413"/>
  <c r="AQ363" i="413" s="1"/>
  <c r="AE401" i="413"/>
  <c r="AQ401" i="413"/>
  <c r="AF100" i="413"/>
  <c r="AR100" i="413" s="1"/>
  <c r="AF243" i="413"/>
  <c r="AR243" i="413"/>
  <c r="AE303" i="413"/>
  <c r="AQ303" i="413" s="1"/>
  <c r="AE186" i="413"/>
  <c r="AQ186" i="413"/>
  <c r="AE266" i="413"/>
  <c r="AQ266" i="413" s="1"/>
  <c r="AE327" i="413"/>
  <c r="AQ327" i="413" s="1"/>
  <c r="AE127" i="413"/>
  <c r="AQ127" i="413" s="1"/>
  <c r="AF368" i="413"/>
  <c r="AR368" i="413" s="1"/>
  <c r="AE125" i="413"/>
  <c r="AQ125" i="413" s="1"/>
  <c r="AF137" i="413"/>
  <c r="AR137" i="413"/>
  <c r="AF329" i="413"/>
  <c r="AR329" i="413" s="1"/>
  <c r="AF130" i="413"/>
  <c r="AR130" i="413" s="1"/>
  <c r="AE369" i="413"/>
  <c r="AQ369" i="413" s="1"/>
  <c r="AE135" i="413"/>
  <c r="AQ135" i="413" s="1"/>
  <c r="AF132" i="413"/>
  <c r="AR132" i="413" s="1"/>
  <c r="AE229" i="413"/>
  <c r="AQ229" i="413" s="1"/>
  <c r="AF370" i="413"/>
  <c r="AR370" i="413" s="1"/>
  <c r="AF278" i="413"/>
  <c r="AR278" i="413" s="1"/>
  <c r="AE416" i="413"/>
  <c r="AQ416" i="413" s="1"/>
  <c r="AF104" i="413"/>
  <c r="AR104" i="413" s="1"/>
  <c r="AE217" i="413"/>
  <c r="AQ217" i="413" s="1"/>
  <c r="AF175" i="413"/>
  <c r="AR175" i="413" s="1"/>
  <c r="AE315" i="413"/>
  <c r="AQ315" i="413" s="1"/>
  <c r="AE261" i="413"/>
  <c r="AQ261" i="413" s="1"/>
  <c r="AE213" i="413"/>
  <c r="AQ213" i="413" s="1"/>
  <c r="AE230" i="413"/>
  <c r="AQ230" i="413"/>
  <c r="AE151" i="413"/>
  <c r="AQ151" i="413" s="1"/>
  <c r="AE302" i="413"/>
  <c r="AQ302" i="413" s="1"/>
  <c r="AE322" i="413"/>
  <c r="AQ322" i="413" s="1"/>
  <c r="AE225" i="413"/>
  <c r="AQ225" i="413" s="1"/>
  <c r="AE373" i="413"/>
  <c r="AQ373" i="413" s="1"/>
  <c r="AF211" i="413"/>
  <c r="AR211" i="413"/>
  <c r="AF357" i="413"/>
  <c r="AR357" i="413" s="1"/>
  <c r="AF108" i="413"/>
  <c r="AR108" i="413" s="1"/>
  <c r="AE360" i="413"/>
  <c r="AQ360" i="413" s="1"/>
  <c r="AE198" i="413"/>
  <c r="AQ198" i="413"/>
  <c r="AF320" i="413"/>
  <c r="AR320" i="413" s="1"/>
  <c r="AE258" i="413"/>
  <c r="AQ258" i="413"/>
  <c r="AF195" i="413"/>
  <c r="AR195" i="413" s="1"/>
  <c r="AE397" i="413"/>
  <c r="AQ397" i="413" s="1"/>
  <c r="AF219" i="413"/>
  <c r="AR219" i="413" s="1"/>
  <c r="AF255" i="413"/>
  <c r="AR255" i="413"/>
  <c r="AF147" i="413"/>
  <c r="AR147" i="413" s="1"/>
  <c r="AF115" i="413"/>
  <c r="AR115" i="413" s="1"/>
  <c r="AF345" i="413"/>
  <c r="AR345" i="413" s="1"/>
  <c r="AE133" i="413"/>
  <c r="AQ133" i="413" s="1"/>
  <c r="AF260" i="413"/>
  <c r="AR260" i="413" s="1"/>
  <c r="AE197" i="413"/>
  <c r="AQ197" i="413" s="1"/>
  <c r="AF183" i="413"/>
  <c r="AR183" i="413" s="1"/>
  <c r="AF251" i="413"/>
  <c r="AR251" i="413" s="1"/>
  <c r="AE400" i="413"/>
  <c r="AQ400" i="413" s="1"/>
  <c r="AF353" i="413"/>
  <c r="AR353" i="413"/>
  <c r="AE351" i="413"/>
  <c r="AQ351" i="413" s="1"/>
  <c r="AE408" i="413"/>
  <c r="AQ408" i="413" s="1"/>
  <c r="AE218" i="413"/>
  <c r="AQ218" i="413" s="1"/>
  <c r="AE257" i="413"/>
  <c r="AQ257" i="413" s="1"/>
  <c r="AE262" i="413"/>
  <c r="AQ262" i="413" s="1"/>
  <c r="AF349" i="413"/>
  <c r="AR349" i="413"/>
  <c r="AE396" i="413"/>
  <c r="AQ396" i="413" s="1"/>
  <c r="AF199" i="413"/>
  <c r="AR199" i="413"/>
  <c r="AE206" i="413"/>
  <c r="AQ206" i="413" s="1"/>
  <c r="AE404" i="413"/>
  <c r="AQ404" i="413" s="1"/>
  <c r="AF152" i="413"/>
  <c r="AR152" i="413" s="1"/>
  <c r="AF223" i="413"/>
  <c r="AR223" i="413"/>
  <c r="AF361" i="413"/>
  <c r="AR361" i="413" s="1"/>
  <c r="AF292" i="413"/>
  <c r="AR292" i="413"/>
  <c r="AE189" i="413"/>
  <c r="AQ189" i="413" s="1"/>
  <c r="AE314" i="413"/>
  <c r="AQ314" i="413" s="1"/>
  <c r="AF140" i="413"/>
  <c r="AR140" i="413" s="1"/>
  <c r="AF235" i="413"/>
  <c r="AR235" i="413"/>
  <c r="AE385" i="413"/>
  <c r="AQ385" i="413" s="1"/>
  <c r="AF139" i="413"/>
  <c r="AR139" i="413" s="1"/>
  <c r="AF326" i="413"/>
  <c r="AR326" i="413" s="1"/>
  <c r="AF273" i="413"/>
  <c r="AR273" i="413" s="1"/>
  <c r="AF107" i="413"/>
  <c r="AR107" i="413" s="1"/>
  <c r="AF342" i="413"/>
  <c r="AR342" i="413" s="1"/>
  <c r="AF264" i="413"/>
  <c r="AR264" i="413" s="1"/>
  <c r="AE141" i="413"/>
  <c r="AQ141" i="413" s="1"/>
  <c r="AF414" i="413"/>
  <c r="AR414" i="413" s="1"/>
  <c r="AF375" i="413"/>
  <c r="AR375" i="413"/>
  <c r="AF384" i="413"/>
  <c r="AR384" i="413" s="1"/>
  <c r="AE402" i="413"/>
  <c r="AQ402" i="413" s="1"/>
  <c r="AF325" i="413"/>
  <c r="AR325" i="413" s="1"/>
  <c r="AE412" i="413"/>
  <c r="AQ412" i="413" s="1"/>
  <c r="AF215" i="413"/>
  <c r="AR215" i="413" s="1"/>
  <c r="AE205" i="413"/>
  <c r="AQ205" i="413" s="1"/>
  <c r="AE103" i="413"/>
  <c r="AQ103" i="413" s="1"/>
  <c r="AF300" i="413"/>
  <c r="AR300" i="413" s="1"/>
  <c r="AF231" i="413"/>
  <c r="AR231" i="413" s="1"/>
  <c r="AF239" i="413"/>
  <c r="AR239" i="413" s="1"/>
  <c r="AF283" i="413"/>
  <c r="AR283" i="413" s="1"/>
  <c r="AF267" i="413"/>
  <c r="AR267" i="413" s="1"/>
  <c r="AF156" i="413"/>
  <c r="AR156" i="413" s="1"/>
  <c r="AR116" i="413"/>
  <c r="AF116" i="413"/>
  <c r="AE193" i="413"/>
  <c r="AQ193" i="413" s="1"/>
  <c r="AF324" i="413"/>
  <c r="AR324" i="413" s="1"/>
  <c r="AE294" i="413"/>
  <c r="AQ294" i="413" s="1"/>
  <c r="AF331" i="413"/>
  <c r="AR331" i="413" s="1"/>
  <c r="AE249" i="413"/>
  <c r="AQ249" i="413" s="1"/>
  <c r="AE214" i="413"/>
  <c r="AQ214" i="413" s="1"/>
  <c r="AE319" i="413"/>
  <c r="AQ319" i="413" s="1"/>
  <c r="AF207" i="413"/>
  <c r="AR207" i="413" s="1"/>
  <c r="AF304" i="413"/>
  <c r="AR304" i="413" s="1"/>
  <c r="AE190" i="413"/>
  <c r="AQ190" i="413" s="1"/>
  <c r="AF366" i="413"/>
  <c r="AR366" i="413" s="1"/>
  <c r="AE355" i="413"/>
  <c r="AQ355" i="413" s="1"/>
  <c r="AE348" i="413"/>
  <c r="AQ348" i="413" s="1"/>
  <c r="AQ98" i="413"/>
  <c r="AE98" i="413"/>
  <c r="AF124" i="413"/>
  <c r="AR124" i="413" s="1"/>
  <c r="AF227" i="413"/>
  <c r="AR227" i="413" s="1"/>
  <c r="AE254" i="413"/>
  <c r="AQ254" i="413" s="1"/>
  <c r="AF285" i="413"/>
  <c r="AR285" i="413" s="1"/>
  <c r="AF410" i="413"/>
  <c r="AR410" i="413" s="1"/>
  <c r="AF123" i="413"/>
  <c r="AR123" i="413" s="1"/>
  <c r="AF155" i="413"/>
  <c r="AR155" i="413" s="1"/>
  <c r="AF343" i="413"/>
  <c r="AR343" i="413" s="1"/>
  <c r="AF394" i="413"/>
  <c r="AR394" i="413" s="1"/>
  <c r="AF263" i="413"/>
  <c r="AR263" i="413" s="1"/>
  <c r="AF182" i="413"/>
  <c r="AR182" i="413" s="1"/>
  <c r="AF308" i="413"/>
  <c r="AR308" i="413" s="1"/>
  <c r="AF191" i="413"/>
  <c r="AR191" i="413" s="1"/>
  <c r="AE194" i="413"/>
  <c r="AQ194" i="413" s="1"/>
  <c r="AF409" i="413"/>
  <c r="AR409" i="413" s="1"/>
  <c r="AQ298" i="413"/>
  <c r="AE298" i="413"/>
  <c r="AF316" i="413"/>
  <c r="AR316" i="413" s="1"/>
  <c r="AF203" i="413"/>
  <c r="AR203" i="413" s="1"/>
  <c r="AQ318" i="413"/>
  <c r="AE318" i="413"/>
  <c r="AF405" i="413"/>
  <c r="AR405" i="413" s="1"/>
  <c r="AQ290" i="413"/>
  <c r="AE290" i="413"/>
  <c r="AE111" i="413"/>
  <c r="AQ111" i="413" s="1"/>
  <c r="AE287" i="413"/>
  <c r="AQ287" i="413" s="1"/>
  <c r="AE237" i="413"/>
  <c r="AQ237" i="413" s="1"/>
  <c r="AE392" i="413"/>
  <c r="AQ392" i="413" s="1"/>
  <c r="AF279" i="413"/>
  <c r="AR279" i="413" s="1"/>
  <c r="AE356" i="413"/>
  <c r="AQ356" i="413" s="1"/>
  <c r="AC94" i="413"/>
  <c r="AO94" i="413" s="1"/>
  <c r="AR381" i="413"/>
  <c r="AF381" i="413"/>
  <c r="AE233" i="413"/>
  <c r="AQ233" i="413" s="1"/>
  <c r="AF284" i="413"/>
  <c r="AR284" i="413" s="1"/>
  <c r="AE346" i="413"/>
  <c r="AQ346" i="413" s="1"/>
  <c r="AF374" i="413"/>
  <c r="AR374" i="413" s="1"/>
  <c r="AQ109" i="413"/>
  <c r="AE109" i="413"/>
  <c r="AF413" i="413"/>
  <c r="AR413" i="413" s="1"/>
  <c r="AR112" i="413"/>
  <c r="AF112" i="413"/>
  <c r="AE339" i="413"/>
  <c r="AQ339" i="413" s="1"/>
  <c r="AF330" i="413"/>
  <c r="AR330" i="413" s="1"/>
  <c r="AF411" i="413"/>
  <c r="AR411" i="413" s="1"/>
  <c r="AF364" i="413"/>
  <c r="AR364" i="413" s="1"/>
  <c r="AF180" i="413"/>
  <c r="AR180" i="413" s="1"/>
  <c r="AF336" i="413"/>
  <c r="AR336" i="413" s="1"/>
  <c r="AF146" i="413"/>
  <c r="AR146" i="413" s="1"/>
  <c r="AF105" i="413"/>
  <c r="AR105" i="413" s="1"/>
  <c r="AE388" i="413"/>
  <c r="AQ388" i="413" s="1"/>
  <c r="AE241" i="413"/>
  <c r="AQ241" i="413" s="1"/>
  <c r="AF389" i="413"/>
  <c r="AR389" i="413" s="1"/>
  <c r="AC418" i="413"/>
  <c r="AE250" i="413"/>
  <c r="AQ250" i="413" s="1"/>
  <c r="AE222" i="413"/>
  <c r="AQ222" i="413"/>
  <c r="AO92" i="413"/>
  <c r="AE171" i="413"/>
  <c r="AQ171" i="413" s="1"/>
  <c r="AF138" i="413"/>
  <c r="AR138" i="413" s="1"/>
  <c r="AR365" i="413"/>
  <c r="AF365" i="413"/>
  <c r="AE311" i="413"/>
  <c r="AQ311" i="413" s="1"/>
  <c r="AF120" i="413"/>
  <c r="AR120" i="413" s="1"/>
  <c r="AE119" i="413"/>
  <c r="AQ119" i="413" s="1"/>
  <c r="AE242" i="413"/>
  <c r="AQ242" i="413" s="1"/>
  <c r="AF288" i="413"/>
  <c r="AR288" i="413" s="1"/>
  <c r="AE286" i="413"/>
  <c r="AQ286" i="413" s="1"/>
  <c r="AF160" i="413"/>
  <c r="AR160" i="413" s="1"/>
  <c r="AF337" i="413"/>
  <c r="AR337" i="413" s="1"/>
  <c r="AF293" i="413"/>
  <c r="AR293" i="413" s="1"/>
  <c r="AE179" i="413"/>
  <c r="AQ179" i="413" s="1"/>
  <c r="AF161" i="413"/>
  <c r="AR161" i="413" s="1"/>
  <c r="AF131" i="413"/>
  <c r="AR131" i="413" s="1"/>
  <c r="AF181" i="413"/>
  <c r="AR181" i="413" s="1"/>
  <c r="AE259" i="413"/>
  <c r="AQ259" i="413" s="1"/>
  <c r="AF153" i="413"/>
  <c r="AR153" i="413" s="1"/>
  <c r="AF121" i="413"/>
  <c r="AR121" i="413" s="1"/>
  <c r="AF178" i="413"/>
  <c r="AR178" i="413" s="1"/>
  <c r="AE117" i="413"/>
  <c r="AQ117" i="413" s="1"/>
  <c r="AE398" i="413"/>
  <c r="AQ398" i="413" s="1"/>
  <c r="AF407" i="413"/>
  <c r="AR407" i="413" s="1"/>
  <c r="AF129" i="413"/>
  <c r="AR129" i="413" s="1"/>
  <c r="AF168" i="413"/>
  <c r="AR168" i="413" s="1"/>
  <c r="AE310" i="413"/>
  <c r="AQ310" i="413" s="1"/>
  <c r="AE307" i="413"/>
  <c r="AQ307" i="413" s="1"/>
  <c r="AE245" i="413"/>
  <c r="AQ245" i="413" s="1"/>
  <c r="AE323" i="413"/>
  <c r="AQ323" i="413" s="1"/>
  <c r="AE299" i="413"/>
  <c r="AQ299" i="413" s="1"/>
  <c r="AE253" i="413"/>
  <c r="AQ253" i="413" s="1"/>
  <c r="AE234" i="413"/>
  <c r="AQ234" i="413" s="1"/>
  <c r="AE352" i="413"/>
  <c r="AQ352" i="413" s="1"/>
  <c r="AF187" i="413"/>
  <c r="AR187" i="413" s="1"/>
  <c r="AF393" i="413"/>
  <c r="AR393" i="413" s="1"/>
  <c r="AF274" i="413"/>
  <c r="AR274" i="413" s="1"/>
  <c r="AF144" i="413"/>
  <c r="AR144" i="413" s="1"/>
  <c r="AE334" i="413"/>
  <c r="AQ334" i="413" s="1"/>
  <c r="AE226" i="413"/>
  <c r="AQ226" i="413" s="1"/>
  <c r="AR341" i="413"/>
  <c r="AF341" i="413"/>
  <c r="AF174" i="413"/>
  <c r="AR174" i="413" s="1"/>
  <c r="AR380" i="413"/>
  <c r="AF380" i="413"/>
  <c r="AF415" i="413"/>
  <c r="AR415" i="413" s="1"/>
  <c r="AF301" i="413"/>
  <c r="AR301" i="413" s="1"/>
  <c r="AR338" i="413"/>
  <c r="AF338" i="413"/>
  <c r="AE328" i="413"/>
  <c r="AQ328" i="413" s="1"/>
  <c r="AF332" i="413"/>
  <c r="AR332" i="413" s="1"/>
  <c r="AE163" i="413"/>
  <c r="AQ163" i="413" s="1"/>
  <c r="AE221" i="413"/>
  <c r="AQ221" i="413" s="1"/>
  <c r="AE209" i="413"/>
  <c r="AQ209" i="413" s="1"/>
  <c r="AF347" i="413"/>
  <c r="AR347" i="413" s="1"/>
  <c r="AE265" i="413"/>
  <c r="AQ265" i="413" s="1"/>
  <c r="AE185" i="413"/>
  <c r="AQ185" i="413" s="1"/>
  <c r="AE291" i="413"/>
  <c r="AQ291" i="413" s="1"/>
  <c r="AE295" i="413"/>
  <c r="AQ295" i="413" s="1"/>
  <c r="AF377" i="413"/>
  <c r="AR377" i="413" s="1"/>
  <c r="AE99" i="413"/>
  <c r="AQ99" i="413" s="1"/>
  <c r="AF312" i="413"/>
  <c r="AR312" i="413" s="1"/>
  <c r="AF386" i="413"/>
  <c r="AR386" i="413" s="1"/>
  <c r="AF340" i="413"/>
  <c r="AR340" i="413" s="1"/>
  <c r="AE246" i="413"/>
  <c r="AQ246" i="413" s="1"/>
  <c r="AF247" i="413"/>
  <c r="AR247" i="413" s="1"/>
  <c r="AE282" i="413"/>
  <c r="AQ282" i="413" s="1"/>
  <c r="AF148" i="413"/>
  <c r="AR148" i="413" s="1"/>
  <c r="AE210" i="413"/>
  <c r="AQ210" i="413" s="1"/>
  <c r="AE143" i="413"/>
  <c r="AQ143" i="413" s="1"/>
  <c r="AF96" i="413"/>
  <c r="AR96" i="413" s="1"/>
  <c r="AF333" i="413"/>
  <c r="AR333" i="413" s="1"/>
  <c r="AE149" i="413"/>
  <c r="AQ149" i="413" s="1"/>
  <c r="AF399" i="413"/>
  <c r="AR399" i="413" s="1"/>
  <c r="AF309" i="413"/>
  <c r="AR309" i="413" s="1"/>
  <c r="AE275" i="413"/>
  <c r="AQ275" i="413" s="1"/>
  <c r="AF272" i="413"/>
  <c r="AR272" i="413" s="1"/>
  <c r="AF122" i="413"/>
  <c r="AR122" i="413" s="1"/>
  <c r="AF114" i="413"/>
  <c r="AR114" i="413" s="1"/>
  <c r="AF164" i="413"/>
  <c r="AR164" i="413" s="1"/>
  <c r="AE403" i="413"/>
  <c r="AQ403" i="413" s="1"/>
  <c r="AE101" i="413"/>
  <c r="AQ101" i="413" s="1"/>
  <c r="AF165" i="413"/>
  <c r="AR165" i="413" s="1"/>
  <c r="AF317" i="413"/>
  <c r="AR317" i="413" s="1"/>
  <c r="AE335" i="413"/>
  <c r="AQ335" i="413" s="1"/>
  <c r="AF256" i="413"/>
  <c r="AR256" i="413" s="1"/>
  <c r="AF268" i="413"/>
  <c r="AR268" i="413" s="1"/>
  <c r="AF176" i="413"/>
  <c r="AR176" i="413" s="1"/>
  <c r="AF172" i="413"/>
  <c r="AR172" i="413" s="1"/>
  <c r="AR170" i="413"/>
  <c r="AF170" i="413"/>
  <c r="AF376" i="413"/>
  <c r="AR376" i="413" s="1"/>
  <c r="AF106" i="413"/>
  <c r="AR106" i="413" s="1"/>
  <c r="AE157" i="413"/>
  <c r="AQ157" i="413" s="1"/>
  <c r="AF162" i="413"/>
  <c r="AR162" i="413" s="1"/>
  <c r="AF406" i="413"/>
  <c r="AR406" i="413" s="1"/>
  <c r="AE378" i="413"/>
  <c r="AQ378" i="413"/>
  <c r="AF362" i="413"/>
  <c r="AR362" i="413" s="1"/>
  <c r="AF154" i="413"/>
  <c r="AR154" i="413" s="1"/>
  <c r="AF354" i="413"/>
  <c r="AR354" i="413" s="1"/>
  <c r="AF166" i="413"/>
  <c r="AR166" i="413" s="1"/>
  <c r="AP507" i="413" l="1"/>
  <c r="AP520" i="413" s="1"/>
  <c r="AD520" i="413"/>
  <c r="AR418" i="413"/>
  <c r="AE522" i="413"/>
  <c r="AE523" i="413" s="1"/>
  <c r="AQ522" i="413"/>
  <c r="AQ523" i="413" s="1"/>
  <c r="AQ483" i="413"/>
  <c r="AE483" i="413"/>
  <c r="AF517" i="413"/>
  <c r="AR517" i="413"/>
  <c r="AF478" i="413"/>
  <c r="AR478" i="413" s="1"/>
  <c r="AE473" i="413"/>
  <c r="AQ473" i="413" s="1"/>
  <c r="AQ471" i="413"/>
  <c r="AE471" i="413"/>
  <c r="AF519" i="413"/>
  <c r="AR519" i="413" s="1"/>
  <c r="AQ479" i="413"/>
  <c r="AE479" i="413"/>
  <c r="AE477" i="413"/>
  <c r="AQ477" i="413" s="1"/>
  <c r="AF515" i="413"/>
  <c r="AR515" i="413" s="1"/>
  <c r="AE507" i="413"/>
  <c r="AQ481" i="413"/>
  <c r="AE481" i="413"/>
  <c r="AF516" i="413"/>
  <c r="AR516" i="413" s="1"/>
  <c r="AF474" i="413"/>
  <c r="AR474" i="413" s="1"/>
  <c r="AE509" i="413"/>
  <c r="AQ509" i="413" s="1"/>
  <c r="AF480" i="413"/>
  <c r="AR480" i="413" s="1"/>
  <c r="AF482" i="413"/>
  <c r="AR482" i="413"/>
  <c r="AQ508" i="413"/>
  <c r="AE508" i="413"/>
  <c r="AE475" i="413"/>
  <c r="AQ475" i="413" s="1"/>
  <c r="AQ510" i="413"/>
  <c r="AE510" i="413"/>
  <c r="AF506" i="413"/>
  <c r="AR506" i="413"/>
  <c r="AF472" i="413"/>
  <c r="AR472" i="413" s="1"/>
  <c r="AF484" i="413"/>
  <c r="AR484" i="413" s="1"/>
  <c r="AF476" i="413"/>
  <c r="AR476" i="413" s="1"/>
  <c r="AF512" i="413"/>
  <c r="AR512" i="413"/>
  <c r="AF514" i="413"/>
  <c r="AR514" i="413" s="1"/>
  <c r="AF518" i="413"/>
  <c r="AR518" i="413" s="1"/>
  <c r="AF513" i="413"/>
  <c r="AR513" i="413" s="1"/>
  <c r="AF511" i="413"/>
  <c r="AR511" i="413"/>
  <c r="AN469" i="413"/>
  <c r="AC468" i="413"/>
  <c r="AC469" i="413" s="1"/>
  <c r="AF461" i="413"/>
  <c r="AR461" i="413"/>
  <c r="AF462" i="413"/>
  <c r="AR462" i="413" s="1"/>
  <c r="AE444" i="413"/>
  <c r="AQ444" i="413"/>
  <c r="AF422" i="413"/>
  <c r="AR422" i="413" s="1"/>
  <c r="AF426" i="413"/>
  <c r="AR426" i="413" s="1"/>
  <c r="AE436" i="413"/>
  <c r="AQ436" i="413" s="1"/>
  <c r="AE446" i="413"/>
  <c r="AQ446" i="413" s="1"/>
  <c r="AF442" i="413"/>
  <c r="AR442" i="413" s="1"/>
  <c r="AE435" i="413"/>
  <c r="AQ435" i="413" s="1"/>
  <c r="AE458" i="413"/>
  <c r="AQ458" i="413"/>
  <c r="AF432" i="413"/>
  <c r="AR432" i="413"/>
  <c r="AF423" i="413"/>
  <c r="AR423" i="413"/>
  <c r="AE454" i="413"/>
  <c r="AQ454" i="413"/>
  <c r="AF438" i="413"/>
  <c r="AR438" i="413" s="1"/>
  <c r="AE420" i="413"/>
  <c r="AQ420" i="413"/>
  <c r="AE440" i="413"/>
  <c r="AQ440" i="413"/>
  <c r="AF430" i="413"/>
  <c r="AR430" i="413" s="1"/>
  <c r="AF445" i="413"/>
  <c r="AR445" i="413" s="1"/>
  <c r="AF457" i="413"/>
  <c r="AR457" i="413"/>
  <c r="AE431" i="413"/>
  <c r="AQ431" i="413" s="1"/>
  <c r="AF453" i="413"/>
  <c r="AR453" i="413"/>
  <c r="AF439" i="413"/>
  <c r="AR439" i="413"/>
  <c r="AF443" i="413"/>
  <c r="AR443" i="413"/>
  <c r="AF433" i="413"/>
  <c r="AR433" i="413" s="1"/>
  <c r="AF424" i="413"/>
  <c r="AR424" i="413"/>
  <c r="AE451" i="413"/>
  <c r="AQ451" i="413" s="1"/>
  <c r="AE449" i="413"/>
  <c r="AQ449" i="413" s="1"/>
  <c r="AF427" i="413"/>
  <c r="AR427" i="413"/>
  <c r="AF448" i="413"/>
  <c r="AR448" i="413" s="1"/>
  <c r="AF450" i="413"/>
  <c r="AR450" i="413" s="1"/>
  <c r="AE455" i="413"/>
  <c r="AQ455" i="413" s="1"/>
  <c r="AF447" i="413"/>
  <c r="AR447" i="413"/>
  <c r="AR210" i="413"/>
  <c r="AF210" i="413"/>
  <c r="AF352" i="413"/>
  <c r="AR352" i="413" s="1"/>
  <c r="AR307" i="413"/>
  <c r="AF307" i="413"/>
  <c r="AF246" i="413"/>
  <c r="AR246" i="413" s="1"/>
  <c r="AR295" i="413"/>
  <c r="AF295" i="413"/>
  <c r="AF163" i="413"/>
  <c r="AR163" i="413" s="1"/>
  <c r="AR234" i="413"/>
  <c r="AF234" i="413"/>
  <c r="AF323" i="413"/>
  <c r="AR323" i="413" s="1"/>
  <c r="AR287" i="413"/>
  <c r="AF287" i="413"/>
  <c r="AF319" i="413"/>
  <c r="AR319" i="413" s="1"/>
  <c r="AF402" i="413"/>
  <c r="AR402" i="413" s="1"/>
  <c r="AF385" i="413"/>
  <c r="AR385" i="413" s="1"/>
  <c r="AR314" i="413"/>
  <c r="AF314" i="413"/>
  <c r="AF396" i="413"/>
  <c r="AR396" i="413" s="1"/>
  <c r="AF335" i="413"/>
  <c r="AR335" i="413" s="1"/>
  <c r="AR291" i="413"/>
  <c r="AF291" i="413"/>
  <c r="AF226" i="413"/>
  <c r="AR226" i="413" s="1"/>
  <c r="AF398" i="413"/>
  <c r="AR398" i="413" s="1"/>
  <c r="AF179" i="413"/>
  <c r="AR179" i="413" s="1"/>
  <c r="AR242" i="413"/>
  <c r="AF242" i="413"/>
  <c r="AD94" i="413"/>
  <c r="AP94" i="413" s="1"/>
  <c r="AF348" i="413"/>
  <c r="AR348" i="413" s="1"/>
  <c r="AR190" i="413"/>
  <c r="AF190" i="413"/>
  <c r="AF214" i="413"/>
  <c r="AR214" i="413" s="1"/>
  <c r="AF141" i="413"/>
  <c r="AR141" i="413" s="1"/>
  <c r="AF189" i="413"/>
  <c r="AR189" i="413" s="1"/>
  <c r="AR206" i="413"/>
  <c r="AF206" i="413"/>
  <c r="AF218" i="413"/>
  <c r="AR218" i="413" s="1"/>
  <c r="AR225" i="413"/>
  <c r="AF225" i="413"/>
  <c r="AF315" i="413"/>
  <c r="AR315" i="413" s="1"/>
  <c r="AR416" i="413"/>
  <c r="AF416" i="413"/>
  <c r="AF266" i="413"/>
  <c r="AR266" i="413" s="1"/>
  <c r="AF275" i="413"/>
  <c r="AR275" i="413" s="1"/>
  <c r="AR282" i="413"/>
  <c r="AF282" i="413"/>
  <c r="AF328" i="413"/>
  <c r="AR328" i="413" s="1"/>
  <c r="AR311" i="413"/>
  <c r="AF311" i="413"/>
  <c r="AF339" i="413"/>
  <c r="AR339" i="413" s="1"/>
  <c r="AR356" i="413"/>
  <c r="AF356" i="413"/>
  <c r="AF412" i="413"/>
  <c r="AR412" i="413" s="1"/>
  <c r="AF408" i="413"/>
  <c r="AR408" i="413" s="1"/>
  <c r="AF400" i="413"/>
  <c r="AR400" i="413"/>
  <c r="AF197" i="413"/>
  <c r="AR197" i="413" s="1"/>
  <c r="AF322" i="413"/>
  <c r="AR322" i="413" s="1"/>
  <c r="AF135" i="413"/>
  <c r="AR135" i="413" s="1"/>
  <c r="AF127" i="413"/>
  <c r="AR127" i="413" s="1"/>
  <c r="AF363" i="413"/>
  <c r="AR363" i="413" s="1"/>
  <c r="AF159" i="413"/>
  <c r="AR159" i="413" s="1"/>
  <c r="AF201" i="413"/>
  <c r="AR201" i="413" s="1"/>
  <c r="AF299" i="413"/>
  <c r="AR299" i="413" s="1"/>
  <c r="AF171" i="413"/>
  <c r="AR171" i="413" s="1"/>
  <c r="AF194" i="413"/>
  <c r="AR194" i="413" s="1"/>
  <c r="AF262" i="413"/>
  <c r="AR262" i="413" s="1"/>
  <c r="AF351" i="413"/>
  <c r="AR351" i="413"/>
  <c r="AF360" i="413"/>
  <c r="AR360" i="413" s="1"/>
  <c r="AF302" i="413"/>
  <c r="AR302" i="413" s="1"/>
  <c r="AF213" i="413"/>
  <c r="AR213" i="413" s="1"/>
  <c r="AF217" i="413"/>
  <c r="AR217" i="413" s="1"/>
  <c r="AF369" i="413"/>
  <c r="AR369" i="413" s="1"/>
  <c r="AF359" i="413"/>
  <c r="AR359" i="413"/>
  <c r="AF306" i="413"/>
  <c r="AR306" i="413" s="1"/>
  <c r="AF259" i="413"/>
  <c r="AR259" i="413" s="1"/>
  <c r="AF404" i="413"/>
  <c r="AR404" i="413" s="1"/>
  <c r="AF257" i="413"/>
  <c r="AR257" i="413" s="1"/>
  <c r="AF133" i="413"/>
  <c r="AR133" i="413"/>
  <c r="AF373" i="413"/>
  <c r="AR373" i="413" s="1"/>
  <c r="AF151" i="413"/>
  <c r="AR151" i="413" s="1"/>
  <c r="AF261" i="413"/>
  <c r="AR261" i="413"/>
  <c r="AF229" i="413"/>
  <c r="AR229" i="413" s="1"/>
  <c r="AF125" i="413"/>
  <c r="AR125" i="413" s="1"/>
  <c r="AF303" i="413"/>
  <c r="AR303" i="413" s="1"/>
  <c r="AF269" i="413"/>
  <c r="AR269" i="413" s="1"/>
  <c r="AF101" i="413"/>
  <c r="AR101" i="413"/>
  <c r="AF143" i="413"/>
  <c r="AR143" i="413" s="1"/>
  <c r="AF265" i="413"/>
  <c r="AR265" i="413" s="1"/>
  <c r="AF209" i="413"/>
  <c r="AR209" i="413" s="1"/>
  <c r="AF334" i="413"/>
  <c r="AR334" i="413" s="1"/>
  <c r="AF245" i="413"/>
  <c r="AR245" i="413" s="1"/>
  <c r="AF310" i="413"/>
  <c r="AR310" i="413" s="1"/>
  <c r="AF119" i="413"/>
  <c r="AR119" i="413" s="1"/>
  <c r="AF222" i="413"/>
  <c r="AR222" i="413" s="1"/>
  <c r="AF241" i="413"/>
  <c r="AR241" i="413" s="1"/>
  <c r="AF109" i="413"/>
  <c r="AR109" i="413"/>
  <c r="AF346" i="413"/>
  <c r="AR346" i="413" s="1"/>
  <c r="AF233" i="413"/>
  <c r="AR233" i="413" s="1"/>
  <c r="AF237" i="413"/>
  <c r="AR237" i="413" s="1"/>
  <c r="AF111" i="413"/>
  <c r="AR111" i="413"/>
  <c r="AF298" i="413"/>
  <c r="AR298" i="413" s="1"/>
  <c r="AF98" i="413"/>
  <c r="AR98" i="413" s="1"/>
  <c r="AF355" i="413"/>
  <c r="AR355" i="413"/>
  <c r="AF205" i="413"/>
  <c r="AR205" i="413" s="1"/>
  <c r="AF397" i="413"/>
  <c r="AR397" i="413" s="1"/>
  <c r="AF258" i="413"/>
  <c r="AR258" i="413" s="1"/>
  <c r="AF198" i="413"/>
  <c r="AR198" i="413" s="1"/>
  <c r="AF230" i="413"/>
  <c r="AR230" i="413" s="1"/>
  <c r="AF327" i="413"/>
  <c r="AR327" i="413" s="1"/>
  <c r="AF186" i="413"/>
  <c r="AR186" i="413" s="1"/>
  <c r="AF401" i="413"/>
  <c r="AR401" i="413" s="1"/>
  <c r="AF238" i="413"/>
  <c r="AR238" i="413" s="1"/>
  <c r="AF202" i="413"/>
  <c r="AR202" i="413" s="1"/>
  <c r="AF157" i="413"/>
  <c r="AR157" i="413"/>
  <c r="AF403" i="413"/>
  <c r="AR403" i="413" s="1"/>
  <c r="AF149" i="413"/>
  <c r="AR149" i="413"/>
  <c r="AF99" i="413"/>
  <c r="AR99" i="413" s="1"/>
  <c r="AF185" i="413"/>
  <c r="AR185" i="413" s="1"/>
  <c r="AF221" i="413"/>
  <c r="AR221" i="413" s="1"/>
  <c r="AF253" i="413"/>
  <c r="AR253" i="413" s="1"/>
  <c r="AF117" i="413"/>
  <c r="AR117" i="413" s="1"/>
  <c r="AF286" i="413"/>
  <c r="AR286" i="413" s="1"/>
  <c r="AF250" i="413"/>
  <c r="AR250" i="413" s="1"/>
  <c r="AF388" i="413"/>
  <c r="AR388" i="413" s="1"/>
  <c r="AF392" i="413"/>
  <c r="AR392" i="413" s="1"/>
  <c r="AF290" i="413"/>
  <c r="AR290" i="413" s="1"/>
  <c r="AF318" i="413"/>
  <c r="AR318" i="413" s="1"/>
  <c r="AF254" i="413"/>
  <c r="AR254" i="413" s="1"/>
  <c r="AF249" i="413"/>
  <c r="AR249" i="413" s="1"/>
  <c r="AF294" i="413"/>
  <c r="AR294" i="413" s="1"/>
  <c r="AF193" i="413"/>
  <c r="AR193" i="413" s="1"/>
  <c r="AF103" i="413"/>
  <c r="AR103" i="413" s="1"/>
  <c r="AF95" i="413"/>
  <c r="AR95" i="413" s="1"/>
  <c r="AF270" i="413"/>
  <c r="AR270" i="413" s="1"/>
  <c r="AF378" i="413"/>
  <c r="AR378" i="413" s="1"/>
  <c r="AD92" i="413"/>
  <c r="AD418" i="413" s="1"/>
  <c r="AQ507" i="413" l="1"/>
  <c r="AQ520" i="413" s="1"/>
  <c r="AE520" i="413"/>
  <c r="AF522" i="413"/>
  <c r="AF475" i="413"/>
  <c r="AR475" i="413"/>
  <c r="AF507" i="413"/>
  <c r="AF473" i="413"/>
  <c r="AR473" i="413"/>
  <c r="AF509" i="413"/>
  <c r="AR509" i="413" s="1"/>
  <c r="AF477" i="413"/>
  <c r="AR477" i="413"/>
  <c r="AF510" i="413"/>
  <c r="AR510" i="413" s="1"/>
  <c r="AF508" i="413"/>
  <c r="AR508" i="413"/>
  <c r="AF481" i="413"/>
  <c r="AR481" i="413" s="1"/>
  <c r="AF479" i="413"/>
  <c r="AR479" i="413"/>
  <c r="AF471" i="413"/>
  <c r="AR471" i="413" s="1"/>
  <c r="AF483" i="413"/>
  <c r="AR483" i="413"/>
  <c r="AO468" i="413"/>
  <c r="AF455" i="413"/>
  <c r="AR455" i="413"/>
  <c r="AF446" i="413"/>
  <c r="AR446" i="413" s="1"/>
  <c r="AF451" i="413"/>
  <c r="AR451" i="413"/>
  <c r="AF435" i="413"/>
  <c r="AR435" i="413" s="1"/>
  <c r="AF431" i="413"/>
  <c r="AR431" i="413" s="1"/>
  <c r="AF449" i="413"/>
  <c r="AR449" i="413" s="1"/>
  <c r="AF436" i="413"/>
  <c r="AR436" i="413"/>
  <c r="AF420" i="413"/>
  <c r="AR420" i="413"/>
  <c r="AF440" i="413"/>
  <c r="AR440" i="413"/>
  <c r="AF458" i="413"/>
  <c r="AR458" i="413" s="1"/>
  <c r="AF454" i="413"/>
  <c r="AR454" i="413" s="1"/>
  <c r="AF444" i="413"/>
  <c r="AR444" i="413" s="1"/>
  <c r="AE94" i="413"/>
  <c r="AQ94" i="413" s="1"/>
  <c r="AP92" i="413"/>
  <c r="AR522" i="413" l="1"/>
  <c r="AR523" i="413" s="1"/>
  <c r="AF523" i="413"/>
  <c r="AR507" i="413"/>
  <c r="AR520" i="413" s="1"/>
  <c r="AF520" i="413"/>
  <c r="AO469" i="413"/>
  <c r="AD468" i="413"/>
  <c r="AD469" i="413" s="1"/>
  <c r="AP468" i="413"/>
  <c r="AF94" i="413"/>
  <c r="AR94" i="413" s="1"/>
  <c r="AE92" i="413"/>
  <c r="AE418" i="413" s="1"/>
  <c r="AE468" i="413" l="1"/>
  <c r="AE469" i="413" s="1"/>
  <c r="AQ468" i="413"/>
  <c r="AP469" i="413"/>
  <c r="AQ92" i="413"/>
  <c r="AF468" i="413" l="1"/>
  <c r="AF469" i="413" s="1"/>
  <c r="AQ469" i="413"/>
  <c r="AF92" i="413"/>
  <c r="AF418" i="413" s="1"/>
  <c r="AR468" i="413" l="1"/>
  <c r="AR469" i="413" s="1"/>
  <c r="AR92" i="413"/>
  <c r="Q90" i="413" l="1"/>
  <c r="R89" i="413"/>
  <c r="R88" i="413"/>
  <c r="R87" i="413"/>
  <c r="R86" i="413"/>
  <c r="R85" i="413"/>
  <c r="R84" i="413"/>
  <c r="N89" i="413"/>
  <c r="S89" i="413" s="1"/>
  <c r="N88" i="413"/>
  <c r="S88" i="413" s="1"/>
  <c r="N87" i="413"/>
  <c r="S87" i="413" s="1"/>
  <c r="N86" i="413"/>
  <c r="S86" i="413" s="1"/>
  <c r="V86" i="413" s="1"/>
  <c r="N85" i="413"/>
  <c r="S85" i="413" s="1"/>
  <c r="V85" i="413" s="1"/>
  <c r="N84" i="413"/>
  <c r="S84" i="413" s="1"/>
  <c r="I89" i="413"/>
  <c r="I88" i="413"/>
  <c r="I87" i="413"/>
  <c r="I86" i="413"/>
  <c r="I85" i="413"/>
  <c r="I84" i="413"/>
  <c r="V87" i="413" l="1"/>
  <c r="V84" i="413"/>
  <c r="V88" i="413"/>
  <c r="V89" i="413"/>
  <c r="T89" i="413"/>
  <c r="T85" i="413"/>
  <c r="T86" i="413"/>
  <c r="T87" i="413"/>
  <c r="AH87" i="413"/>
  <c r="W87" i="413" s="1"/>
  <c r="T84" i="413"/>
  <c r="AH84" i="413"/>
  <c r="W84" i="413" s="1"/>
  <c r="AH88" i="413"/>
  <c r="W88" i="413" s="1"/>
  <c r="T88" i="413"/>
  <c r="AH85" i="413"/>
  <c r="W85" i="413" s="1"/>
  <c r="V90" i="413" l="1"/>
  <c r="AH89" i="413"/>
  <c r="W89" i="413" s="1"/>
  <c r="AH86" i="413"/>
  <c r="W86" i="413" s="1"/>
  <c r="AI88" i="413"/>
  <c r="X88" i="413" s="1"/>
  <c r="AI85" i="413"/>
  <c r="X85" i="413" s="1"/>
  <c r="AH90" i="413"/>
  <c r="AI84" i="413"/>
  <c r="X84" i="413" s="1"/>
  <c r="AI87" i="413"/>
  <c r="AI89" i="413"/>
  <c r="X89" i="413" s="1"/>
  <c r="Q82" i="413"/>
  <c r="X87" i="413" l="1"/>
  <c r="AJ87" i="413" s="1"/>
  <c r="W90" i="413"/>
  <c r="AI86" i="413"/>
  <c r="X86" i="413" s="1"/>
  <c r="X90" i="413" s="1"/>
  <c r="AJ89" i="413"/>
  <c r="Y89" i="413" s="1"/>
  <c r="AJ85" i="413"/>
  <c r="Y85" i="413" s="1"/>
  <c r="AJ88" i="413"/>
  <c r="Y88" i="413" s="1"/>
  <c r="AJ86" i="413" l="1"/>
  <c r="Y86" i="413" s="1"/>
  <c r="AI90" i="413"/>
  <c r="Y87" i="413"/>
  <c r="AK87" i="413" s="1"/>
  <c r="AJ84" i="413"/>
  <c r="Y84" i="413" s="1"/>
  <c r="AK85" i="413"/>
  <c r="Z85" i="413" s="1"/>
  <c r="AK88" i="413"/>
  <c r="Z88" i="413" s="1"/>
  <c r="AK89" i="413"/>
  <c r="Z89" i="413" s="1"/>
  <c r="AK86" i="413"/>
  <c r="Z86" i="413" s="1"/>
  <c r="Z87" i="413" l="1"/>
  <c r="AL87" i="413" s="1"/>
  <c r="AK84" i="413"/>
  <c r="Z84" i="413" s="1"/>
  <c r="AJ90" i="413"/>
  <c r="Y90" i="413"/>
  <c r="AL85" i="413"/>
  <c r="AA85" i="413" s="1"/>
  <c r="AL89" i="413"/>
  <c r="AA89" i="413" s="1"/>
  <c r="AL88" i="413"/>
  <c r="AA88" i="413" s="1"/>
  <c r="AL86" i="413"/>
  <c r="AA86" i="413" s="1"/>
  <c r="AK90" i="413"/>
  <c r="AL84" i="413"/>
  <c r="AA84" i="413" s="1"/>
  <c r="R81" i="413"/>
  <c r="R80" i="413"/>
  <c r="R79" i="413"/>
  <c r="R78" i="413"/>
  <c r="R77" i="413"/>
  <c r="R76" i="413"/>
  <c r="R75" i="413"/>
  <c r="R74" i="413"/>
  <c r="R73" i="413"/>
  <c r="R72" i="413"/>
  <c r="R71" i="413"/>
  <c r="R70" i="413"/>
  <c r="R69" i="413"/>
  <c r="R68" i="413"/>
  <c r="R67" i="413"/>
  <c r="R66" i="413"/>
  <c r="R65" i="413"/>
  <c r="R64" i="413"/>
  <c r="R63" i="413"/>
  <c r="R62" i="413"/>
  <c r="R61" i="413"/>
  <c r="R60" i="413"/>
  <c r="R59" i="413"/>
  <c r="R58" i="413"/>
  <c r="R57" i="413"/>
  <c r="R56" i="413"/>
  <c r="R55" i="413"/>
  <c r="R54" i="413"/>
  <c r="R53" i="413"/>
  <c r="R52" i="413"/>
  <c r="R51" i="413"/>
  <c r="R50" i="413"/>
  <c r="R49" i="413"/>
  <c r="R48" i="413"/>
  <c r="R47" i="413"/>
  <c r="R46" i="413"/>
  <c r="R45" i="413"/>
  <c r="R44" i="413"/>
  <c r="R43" i="413"/>
  <c r="R42" i="413"/>
  <c r="R41" i="413"/>
  <c r="R40" i="413"/>
  <c r="R39" i="413"/>
  <c r="R38" i="413"/>
  <c r="R37" i="413"/>
  <c r="R36" i="413"/>
  <c r="R35" i="413"/>
  <c r="R34" i="413"/>
  <c r="R33" i="413"/>
  <c r="R32" i="413"/>
  <c r="R31" i="413"/>
  <c r="R30" i="413"/>
  <c r="R29" i="413"/>
  <c r="R28" i="413"/>
  <c r="R27" i="413"/>
  <c r="R26" i="413"/>
  <c r="R25" i="413"/>
  <c r="AA87" i="413" l="1"/>
  <c r="AM87" i="413"/>
  <c r="AB87" i="413" s="1"/>
  <c r="AM86" i="413"/>
  <c r="AB86" i="413" s="1"/>
  <c r="Z90" i="413"/>
  <c r="AM89" i="413"/>
  <c r="AB89" i="413" s="1"/>
  <c r="AL90" i="413"/>
  <c r="AM88" i="413"/>
  <c r="AB88" i="413" s="1"/>
  <c r="AM85" i="413"/>
  <c r="AB85" i="413" s="1"/>
  <c r="AN87" i="413"/>
  <c r="AC87" i="413" s="1"/>
  <c r="N81" i="413"/>
  <c r="S81" i="413" s="1"/>
  <c r="N80" i="413"/>
  <c r="S80" i="413" s="1"/>
  <c r="N79" i="413"/>
  <c r="S79" i="413" s="1"/>
  <c r="N78" i="413"/>
  <c r="S78" i="413" s="1"/>
  <c r="N77" i="413"/>
  <c r="S77" i="413" s="1"/>
  <c r="N76" i="413"/>
  <c r="S76" i="413" s="1"/>
  <c r="N75" i="413"/>
  <c r="S75" i="413" s="1"/>
  <c r="N74" i="413"/>
  <c r="S74" i="413" s="1"/>
  <c r="N73" i="413"/>
  <c r="S73" i="413" s="1"/>
  <c r="N72" i="413"/>
  <c r="S72" i="413" s="1"/>
  <c r="N71" i="413"/>
  <c r="S71" i="413" s="1"/>
  <c r="N70" i="413"/>
  <c r="S70" i="413" s="1"/>
  <c r="N69" i="413"/>
  <c r="S69" i="413" s="1"/>
  <c r="N68" i="413"/>
  <c r="S68" i="413" s="1"/>
  <c r="N67" i="413"/>
  <c r="S67" i="413" s="1"/>
  <c r="N66" i="413"/>
  <c r="S66" i="413" s="1"/>
  <c r="N65" i="413"/>
  <c r="S65" i="413" s="1"/>
  <c r="N64" i="413"/>
  <c r="S64" i="413" s="1"/>
  <c r="N63" i="413"/>
  <c r="S63" i="413" s="1"/>
  <c r="N62" i="413"/>
  <c r="S62" i="413" s="1"/>
  <c r="N61" i="413"/>
  <c r="S61" i="413" s="1"/>
  <c r="N60" i="413"/>
  <c r="S60" i="413" s="1"/>
  <c r="N59" i="413"/>
  <c r="S59" i="413" s="1"/>
  <c r="N58" i="413"/>
  <c r="S58" i="413" s="1"/>
  <c r="N57" i="413"/>
  <c r="S57" i="413" s="1"/>
  <c r="N56" i="413"/>
  <c r="S56" i="413" s="1"/>
  <c r="N55" i="413"/>
  <c r="S55" i="413" s="1"/>
  <c r="N54" i="413"/>
  <c r="S54" i="413" s="1"/>
  <c r="N53" i="413"/>
  <c r="S53" i="413" s="1"/>
  <c r="N52" i="413"/>
  <c r="S52" i="413" s="1"/>
  <c r="N51" i="413"/>
  <c r="S51" i="413" s="1"/>
  <c r="N50" i="413"/>
  <c r="S50" i="413" s="1"/>
  <c r="N49" i="413"/>
  <c r="S49" i="413" s="1"/>
  <c r="N48" i="413"/>
  <c r="S48" i="413" s="1"/>
  <c r="N47" i="413"/>
  <c r="S47" i="413" s="1"/>
  <c r="N46" i="413"/>
  <c r="S46" i="413" s="1"/>
  <c r="N45" i="413"/>
  <c r="S45" i="413" s="1"/>
  <c r="N44" i="413"/>
  <c r="S44" i="413" s="1"/>
  <c r="N43" i="413"/>
  <c r="S43" i="413" s="1"/>
  <c r="N42" i="413"/>
  <c r="S42" i="413" s="1"/>
  <c r="N41" i="413"/>
  <c r="S41" i="413" s="1"/>
  <c r="N40" i="413"/>
  <c r="S40" i="413" s="1"/>
  <c r="N39" i="413"/>
  <c r="S39" i="413" s="1"/>
  <c r="N38" i="413"/>
  <c r="S38" i="413" s="1"/>
  <c r="N37" i="413"/>
  <c r="S37" i="413" s="1"/>
  <c r="N36" i="413"/>
  <c r="S36" i="413" s="1"/>
  <c r="N35" i="413"/>
  <c r="S35" i="413" s="1"/>
  <c r="N34" i="413"/>
  <c r="S34" i="413" s="1"/>
  <c r="N33" i="413"/>
  <c r="S33" i="413" s="1"/>
  <c r="N32" i="413"/>
  <c r="S32" i="413" s="1"/>
  <c r="N31" i="413"/>
  <c r="S31" i="413" s="1"/>
  <c r="N30" i="413"/>
  <c r="S30" i="413" s="1"/>
  <c r="N29" i="413"/>
  <c r="S29" i="413" s="1"/>
  <c r="N28" i="413"/>
  <c r="S28" i="413" s="1"/>
  <c r="N27" i="413"/>
  <c r="S27" i="413" s="1"/>
  <c r="N26" i="413"/>
  <c r="S26" i="413" s="1"/>
  <c r="N25" i="413"/>
  <c r="S25" i="413" s="1"/>
  <c r="AN86" i="413" l="1"/>
  <c r="AC86" i="413" s="1"/>
  <c r="AA90" i="413"/>
  <c r="AN85" i="413"/>
  <c r="AC85" i="413" s="1"/>
  <c r="AN88" i="413"/>
  <c r="AC88" i="413" s="1"/>
  <c r="AN89" i="413"/>
  <c r="AC89" i="413" s="1"/>
  <c r="AM84" i="413"/>
  <c r="AB84" i="413" s="1"/>
  <c r="AO86" i="413"/>
  <c r="AD86" i="413" s="1"/>
  <c r="AO87" i="413"/>
  <c r="AD87" i="413" s="1"/>
  <c r="V25" i="413"/>
  <c r="V27" i="413"/>
  <c r="AH27" i="413"/>
  <c r="W27" i="413" s="1"/>
  <c r="V31" i="413"/>
  <c r="AH31" i="413"/>
  <c r="W31" i="413" s="1"/>
  <c r="AH35" i="413"/>
  <c r="W35" i="413" s="1"/>
  <c r="V39" i="413"/>
  <c r="V43" i="413"/>
  <c r="AH43" i="413"/>
  <c r="W43" i="413" s="1"/>
  <c r="V47" i="413"/>
  <c r="AH47" i="413"/>
  <c r="W47" i="413" s="1"/>
  <c r="AH51" i="413"/>
  <c r="W51" i="413" s="1"/>
  <c r="V55" i="413"/>
  <c r="V59" i="413"/>
  <c r="AH59" i="413"/>
  <c r="W59" i="413" s="1"/>
  <c r="V63" i="413"/>
  <c r="AH63" i="413"/>
  <c r="W63" i="413" s="1"/>
  <c r="AH67" i="413"/>
  <c r="W67" i="413" s="1"/>
  <c r="V28" i="413"/>
  <c r="V32" i="413"/>
  <c r="AH32" i="413"/>
  <c r="W32" i="413" s="1"/>
  <c r="V36" i="413"/>
  <c r="V40" i="413"/>
  <c r="V44" i="413"/>
  <c r="V48" i="413"/>
  <c r="V52" i="413"/>
  <c r="V56" i="413"/>
  <c r="AH56" i="413"/>
  <c r="W56" i="413" s="1"/>
  <c r="V60" i="413"/>
  <c r="V64" i="413"/>
  <c r="AH64" i="413"/>
  <c r="W64" i="413" s="1"/>
  <c r="V29" i="413"/>
  <c r="V33" i="413"/>
  <c r="AH33" i="413"/>
  <c r="W33" i="413" s="1"/>
  <c r="V37" i="413"/>
  <c r="V41" i="413"/>
  <c r="AH41" i="413"/>
  <c r="W41" i="413" s="1"/>
  <c r="V45" i="413"/>
  <c r="V49" i="413"/>
  <c r="V53" i="413"/>
  <c r="V57" i="413"/>
  <c r="V61" i="413"/>
  <c r="V65" i="413"/>
  <c r="AH65" i="413"/>
  <c r="W65" i="413" s="1"/>
  <c r="AH26" i="413"/>
  <c r="W26" i="413" s="1"/>
  <c r="AH30" i="413"/>
  <c r="W30" i="413" s="1"/>
  <c r="V34" i="413"/>
  <c r="AH34" i="413"/>
  <c r="W34" i="413" s="1"/>
  <c r="V38" i="413"/>
  <c r="AH38" i="413"/>
  <c r="W38" i="413" s="1"/>
  <c r="AH42" i="413"/>
  <c r="W42" i="413" s="1"/>
  <c r="AH46" i="413"/>
  <c r="W46" i="413" s="1"/>
  <c r="V50" i="413"/>
  <c r="AH50" i="413"/>
  <c r="W50" i="413" s="1"/>
  <c r="V54" i="413"/>
  <c r="AH54" i="413"/>
  <c r="W54" i="413" s="1"/>
  <c r="AH58" i="413"/>
  <c r="W58" i="413" s="1"/>
  <c r="AH62" i="413"/>
  <c r="W62" i="413" s="1"/>
  <c r="V66" i="413"/>
  <c r="AH66" i="413"/>
  <c r="W66" i="413" s="1"/>
  <c r="T75" i="413"/>
  <c r="T67" i="413"/>
  <c r="T59" i="413"/>
  <c r="T53" i="413"/>
  <c r="T51" i="413"/>
  <c r="T43" i="413"/>
  <c r="T37" i="413"/>
  <c r="T35" i="413"/>
  <c r="T27" i="413"/>
  <c r="T81" i="413"/>
  <c r="T80" i="413"/>
  <c r="T79" i="413"/>
  <c r="T78" i="413"/>
  <c r="T76" i="413"/>
  <c r="T74" i="413"/>
  <c r="T72" i="413"/>
  <c r="T71" i="413"/>
  <c r="T70" i="413"/>
  <c r="T68" i="413"/>
  <c r="T66" i="413"/>
  <c r="T65" i="413"/>
  <c r="T64" i="413"/>
  <c r="T63" i="413"/>
  <c r="T62" i="413"/>
  <c r="T60" i="413"/>
  <c r="T58" i="413"/>
  <c r="T57" i="413"/>
  <c r="T56" i="413"/>
  <c r="T55" i="413"/>
  <c r="T54" i="413"/>
  <c r="T52" i="413"/>
  <c r="T50" i="413"/>
  <c r="T49" i="413"/>
  <c r="T48" i="413"/>
  <c r="T47" i="413"/>
  <c r="T44" i="413"/>
  <c r="T42" i="413"/>
  <c r="T41" i="413"/>
  <c r="T40" i="413"/>
  <c r="T39" i="413"/>
  <c r="T38" i="413"/>
  <c r="T36" i="413"/>
  <c r="T34" i="413"/>
  <c r="T33" i="413"/>
  <c r="T32" i="413"/>
  <c r="T31" i="413"/>
  <c r="T30" i="413"/>
  <c r="T28" i="413"/>
  <c r="T26" i="413"/>
  <c r="I81" i="413"/>
  <c r="I80" i="413"/>
  <c r="I79" i="413"/>
  <c r="I78" i="413"/>
  <c r="I77" i="413"/>
  <c r="I76" i="413"/>
  <c r="I75" i="413"/>
  <c r="I74" i="413"/>
  <c r="I73" i="413"/>
  <c r="I72" i="413"/>
  <c r="I71" i="413"/>
  <c r="I70" i="413"/>
  <c r="I69" i="413"/>
  <c r="I68" i="413"/>
  <c r="AH68" i="413" s="1"/>
  <c r="W68" i="413" s="1"/>
  <c r="I67" i="413"/>
  <c r="I66" i="413"/>
  <c r="I65" i="413"/>
  <c r="I64" i="413"/>
  <c r="I63" i="413"/>
  <c r="I62" i="413"/>
  <c r="I61" i="413"/>
  <c r="I60" i="413"/>
  <c r="I59" i="413"/>
  <c r="I58" i="413"/>
  <c r="I57" i="413"/>
  <c r="I56" i="413"/>
  <c r="I55" i="413"/>
  <c r="I54" i="413"/>
  <c r="I53" i="413"/>
  <c r="I52" i="413"/>
  <c r="I51" i="413"/>
  <c r="I50" i="413"/>
  <c r="I49" i="413"/>
  <c r="I48" i="413"/>
  <c r="I47" i="413"/>
  <c r="I46" i="413"/>
  <c r="I45" i="413"/>
  <c r="I44" i="413"/>
  <c r="I43" i="413"/>
  <c r="I42" i="413"/>
  <c r="I41" i="413"/>
  <c r="I40" i="413"/>
  <c r="I39" i="413"/>
  <c r="I38" i="413"/>
  <c r="I37" i="413"/>
  <c r="I36" i="413"/>
  <c r="I35" i="413"/>
  <c r="I34" i="413"/>
  <c r="I33" i="413"/>
  <c r="I32" i="413"/>
  <c r="I31" i="413"/>
  <c r="I30" i="413"/>
  <c r="I29" i="413"/>
  <c r="I28" i="413"/>
  <c r="I27" i="413"/>
  <c r="I26" i="413"/>
  <c r="I25" i="413"/>
  <c r="E4" i="413"/>
  <c r="F518" i="413" l="1"/>
  <c r="F456" i="413"/>
  <c r="F452" i="413"/>
  <c r="F448" i="413"/>
  <c r="F517" i="413"/>
  <c r="F468" i="413"/>
  <c r="F465" i="413"/>
  <c r="F462" i="413"/>
  <c r="F461" i="413"/>
  <c r="F455" i="413"/>
  <c r="F451" i="413"/>
  <c r="F447" i="413"/>
  <c r="F446" i="413"/>
  <c r="F445" i="413"/>
  <c r="F444" i="413"/>
  <c r="F443" i="413"/>
  <c r="F442" i="413"/>
  <c r="F441" i="413"/>
  <c r="F440" i="413"/>
  <c r="F439" i="413"/>
  <c r="F438" i="413"/>
  <c r="F437" i="413"/>
  <c r="F436" i="413"/>
  <c r="F435" i="413"/>
  <c r="F434" i="413"/>
  <c r="F433" i="413"/>
  <c r="F432" i="413"/>
  <c r="F431" i="413"/>
  <c r="F430" i="413"/>
  <c r="F429" i="413"/>
  <c r="F428" i="413"/>
  <c r="F427" i="413"/>
  <c r="F426" i="413"/>
  <c r="F425" i="413"/>
  <c r="F424" i="413"/>
  <c r="F423" i="413"/>
  <c r="F422" i="413"/>
  <c r="F421" i="413"/>
  <c r="F420" i="413"/>
  <c r="F519" i="413"/>
  <c r="F514" i="413"/>
  <c r="F510" i="413"/>
  <c r="F506" i="413"/>
  <c r="F502" i="413"/>
  <c r="F498" i="413"/>
  <c r="F494" i="413"/>
  <c r="F490" i="413"/>
  <c r="F486" i="413"/>
  <c r="F482" i="413"/>
  <c r="F478" i="413"/>
  <c r="F474" i="413"/>
  <c r="F385" i="413"/>
  <c r="F513" i="413"/>
  <c r="F509" i="413"/>
  <c r="F505" i="413"/>
  <c r="F501" i="413"/>
  <c r="F497" i="413"/>
  <c r="F493" i="413"/>
  <c r="F489" i="413"/>
  <c r="F485" i="413"/>
  <c r="F481" i="413"/>
  <c r="F477" i="413"/>
  <c r="F473" i="413"/>
  <c r="F457" i="413"/>
  <c r="F453" i="413"/>
  <c r="F449" i="413"/>
  <c r="F417" i="413"/>
  <c r="F415" i="413"/>
  <c r="F413" i="413"/>
  <c r="F411" i="413"/>
  <c r="F409" i="413"/>
  <c r="F407" i="413"/>
  <c r="F405" i="413"/>
  <c r="F403" i="413"/>
  <c r="F401" i="413"/>
  <c r="F399" i="413"/>
  <c r="F397" i="413"/>
  <c r="F395" i="413"/>
  <c r="F393" i="413"/>
  <c r="F391" i="413"/>
  <c r="F389" i="413"/>
  <c r="F387" i="413"/>
  <c r="F384" i="413"/>
  <c r="F383" i="413"/>
  <c r="F382" i="413"/>
  <c r="F381" i="413"/>
  <c r="F380" i="413"/>
  <c r="F379" i="413"/>
  <c r="F378" i="413"/>
  <c r="F377" i="413"/>
  <c r="F376" i="413"/>
  <c r="F375" i="413"/>
  <c r="F374" i="413"/>
  <c r="F373" i="413"/>
  <c r="F372" i="413"/>
  <c r="F371" i="413"/>
  <c r="F370" i="413"/>
  <c r="F369" i="413"/>
  <c r="F368" i="413"/>
  <c r="F367" i="413"/>
  <c r="F366" i="413"/>
  <c r="F365" i="413"/>
  <c r="F364" i="413"/>
  <c r="F363" i="413"/>
  <c r="F362" i="413"/>
  <c r="F361" i="413"/>
  <c r="F360" i="413"/>
  <c r="F359" i="413"/>
  <c r="F516" i="413"/>
  <c r="F512" i="413"/>
  <c r="F508" i="413"/>
  <c r="F504" i="413"/>
  <c r="F500" i="413"/>
  <c r="F496" i="413"/>
  <c r="F492" i="413"/>
  <c r="F488" i="413"/>
  <c r="F484" i="413"/>
  <c r="F480" i="413"/>
  <c r="F476" i="413"/>
  <c r="F472" i="413"/>
  <c r="F410" i="413"/>
  <c r="F402" i="413"/>
  <c r="F394" i="413"/>
  <c r="F386" i="413"/>
  <c r="F454" i="413"/>
  <c r="F416" i="413"/>
  <c r="F408" i="413"/>
  <c r="F400" i="413"/>
  <c r="F392" i="413"/>
  <c r="F515" i="413"/>
  <c r="F507" i="413"/>
  <c r="F499" i="413"/>
  <c r="F491" i="413"/>
  <c r="F483" i="413"/>
  <c r="F475" i="413"/>
  <c r="F414" i="413"/>
  <c r="F398" i="413"/>
  <c r="F458" i="413"/>
  <c r="F412" i="413"/>
  <c r="F396" i="413"/>
  <c r="F358" i="413"/>
  <c r="F354" i="413"/>
  <c r="F350" i="413"/>
  <c r="F346" i="413"/>
  <c r="F342" i="413"/>
  <c r="F338" i="413"/>
  <c r="F334" i="413"/>
  <c r="F330" i="413"/>
  <c r="F326" i="413"/>
  <c r="F322" i="413"/>
  <c r="F318" i="413"/>
  <c r="F314" i="413"/>
  <c r="F310" i="413"/>
  <c r="F306" i="413"/>
  <c r="F302" i="413"/>
  <c r="F298" i="413"/>
  <c r="F294" i="413"/>
  <c r="F290" i="413"/>
  <c r="F286" i="413"/>
  <c r="F282" i="413"/>
  <c r="F278" i="413"/>
  <c r="F274" i="413"/>
  <c r="F270" i="413"/>
  <c r="F266" i="413"/>
  <c r="F262" i="413"/>
  <c r="F258" i="413"/>
  <c r="F254" i="413"/>
  <c r="F250" i="413"/>
  <c r="F246" i="413"/>
  <c r="F242" i="413"/>
  <c r="F238" i="413"/>
  <c r="F234" i="413"/>
  <c r="F230" i="413"/>
  <c r="F226" i="413"/>
  <c r="F511" i="413"/>
  <c r="F495" i="413"/>
  <c r="F479" i="413"/>
  <c r="F406" i="413"/>
  <c r="F353" i="413"/>
  <c r="F345" i="413"/>
  <c r="F337" i="413"/>
  <c r="F329" i="413"/>
  <c r="F321" i="413"/>
  <c r="F313" i="413"/>
  <c r="F305" i="413"/>
  <c r="F297" i="413"/>
  <c r="F289" i="413"/>
  <c r="F281" i="413"/>
  <c r="F273" i="413"/>
  <c r="F265" i="413"/>
  <c r="F257" i="413"/>
  <c r="F249" i="413"/>
  <c r="F241" i="413"/>
  <c r="F233" i="413"/>
  <c r="F225" i="413"/>
  <c r="F221" i="413"/>
  <c r="F217" i="413"/>
  <c r="F213" i="413"/>
  <c r="F209" i="413"/>
  <c r="F205" i="413"/>
  <c r="F201" i="413"/>
  <c r="F197" i="413"/>
  <c r="F193" i="413"/>
  <c r="F189" i="413"/>
  <c r="F185" i="413"/>
  <c r="F181" i="413"/>
  <c r="F177" i="413"/>
  <c r="F173" i="413"/>
  <c r="F169" i="413"/>
  <c r="F165" i="413"/>
  <c r="F161" i="413"/>
  <c r="F157" i="413"/>
  <c r="F153" i="413"/>
  <c r="F149" i="413"/>
  <c r="F145" i="413"/>
  <c r="F388" i="413"/>
  <c r="F316" i="413"/>
  <c r="F311" i="413"/>
  <c r="F308" i="413"/>
  <c r="F303" i="413"/>
  <c r="F300" i="413"/>
  <c r="F295" i="413"/>
  <c r="F292" i="413"/>
  <c r="F287" i="413"/>
  <c r="F284" i="413"/>
  <c r="F268" i="413"/>
  <c r="F263" i="413"/>
  <c r="F260" i="413"/>
  <c r="F255" i="413"/>
  <c r="F252" i="413"/>
  <c r="F247" i="413"/>
  <c r="F244" i="413"/>
  <c r="F239" i="413"/>
  <c r="F236" i="413"/>
  <c r="F218" i="413"/>
  <c r="F210" i="413"/>
  <c r="F206" i="413"/>
  <c r="F202" i="413"/>
  <c r="F194" i="413"/>
  <c r="F186" i="413"/>
  <c r="F178" i="413"/>
  <c r="F170" i="413"/>
  <c r="F166" i="413"/>
  <c r="F150" i="413"/>
  <c r="F146" i="413"/>
  <c r="F503" i="413"/>
  <c r="F471" i="413"/>
  <c r="F349" i="413"/>
  <c r="F325" i="413"/>
  <c r="F237" i="413"/>
  <c r="F229" i="413"/>
  <c r="F223" i="413"/>
  <c r="F219" i="413"/>
  <c r="F155" i="413"/>
  <c r="F450" i="413"/>
  <c r="F404" i="413"/>
  <c r="F355" i="413"/>
  <c r="F352" i="413"/>
  <c r="F347" i="413"/>
  <c r="F344" i="413"/>
  <c r="F339" i="413"/>
  <c r="F336" i="413"/>
  <c r="F331" i="413"/>
  <c r="F328" i="413"/>
  <c r="F323" i="413"/>
  <c r="F320" i="413"/>
  <c r="F315" i="413"/>
  <c r="F312" i="413"/>
  <c r="F307" i="413"/>
  <c r="F304" i="413"/>
  <c r="F299" i="413"/>
  <c r="F296" i="413"/>
  <c r="F291" i="413"/>
  <c r="F288" i="413"/>
  <c r="F283" i="413"/>
  <c r="F280" i="413"/>
  <c r="F275" i="413"/>
  <c r="F272" i="413"/>
  <c r="F267" i="413"/>
  <c r="F264" i="413"/>
  <c r="F259" i="413"/>
  <c r="F256" i="413"/>
  <c r="F251" i="413"/>
  <c r="F248" i="413"/>
  <c r="F243" i="413"/>
  <c r="F240" i="413"/>
  <c r="F235" i="413"/>
  <c r="F232" i="413"/>
  <c r="F227" i="413"/>
  <c r="F224" i="413"/>
  <c r="F220" i="413"/>
  <c r="F216" i="413"/>
  <c r="F212" i="413"/>
  <c r="F208" i="413"/>
  <c r="F204" i="413"/>
  <c r="F200" i="413"/>
  <c r="F196" i="413"/>
  <c r="F192" i="413"/>
  <c r="F188" i="413"/>
  <c r="F184" i="413"/>
  <c r="F180" i="413"/>
  <c r="F176" i="413"/>
  <c r="F172" i="413"/>
  <c r="F168" i="413"/>
  <c r="F164" i="413"/>
  <c r="F160" i="413"/>
  <c r="F156" i="413"/>
  <c r="F152" i="413"/>
  <c r="F148" i="413"/>
  <c r="F144" i="413"/>
  <c r="F143" i="413"/>
  <c r="F142" i="413"/>
  <c r="F141" i="413"/>
  <c r="F140" i="413"/>
  <c r="F139" i="413"/>
  <c r="F138" i="413"/>
  <c r="F137" i="413"/>
  <c r="F136" i="413"/>
  <c r="F135" i="413"/>
  <c r="F134" i="413"/>
  <c r="F133" i="413"/>
  <c r="F132" i="413"/>
  <c r="F131" i="413"/>
  <c r="F130" i="413"/>
  <c r="F129" i="413"/>
  <c r="F128" i="413"/>
  <c r="F127" i="413"/>
  <c r="F126" i="413"/>
  <c r="F125" i="413"/>
  <c r="F124" i="413"/>
  <c r="F123" i="413"/>
  <c r="F122" i="413"/>
  <c r="F121" i="413"/>
  <c r="F120" i="413"/>
  <c r="F119" i="413"/>
  <c r="F118" i="413"/>
  <c r="F117" i="413"/>
  <c r="F116" i="413"/>
  <c r="F115" i="413"/>
  <c r="F114" i="413"/>
  <c r="F113" i="413"/>
  <c r="F112" i="413"/>
  <c r="F111" i="413"/>
  <c r="F110" i="413"/>
  <c r="F109" i="413"/>
  <c r="F108" i="413"/>
  <c r="F107" i="413"/>
  <c r="F106" i="413"/>
  <c r="F105" i="413"/>
  <c r="F104" i="413"/>
  <c r="F103" i="413"/>
  <c r="F102" i="413"/>
  <c r="F101" i="413"/>
  <c r="F100" i="413"/>
  <c r="F99" i="413"/>
  <c r="F98" i="413"/>
  <c r="F97" i="413"/>
  <c r="F96" i="413"/>
  <c r="F95" i="413"/>
  <c r="F94" i="413"/>
  <c r="F93" i="413"/>
  <c r="F92" i="413"/>
  <c r="F356" i="413"/>
  <c r="F351" i="413"/>
  <c r="F348" i="413"/>
  <c r="F343" i="413"/>
  <c r="F340" i="413"/>
  <c r="F335" i="413"/>
  <c r="F332" i="413"/>
  <c r="F327" i="413"/>
  <c r="F324" i="413"/>
  <c r="F319" i="413"/>
  <c r="F279" i="413"/>
  <c r="F276" i="413"/>
  <c r="F271" i="413"/>
  <c r="F231" i="413"/>
  <c r="F228" i="413"/>
  <c r="F222" i="413"/>
  <c r="F214" i="413"/>
  <c r="F198" i="413"/>
  <c r="F190" i="413"/>
  <c r="F182" i="413"/>
  <c r="F174" i="413"/>
  <c r="F162" i="413"/>
  <c r="F158" i="413"/>
  <c r="F154" i="413"/>
  <c r="F487" i="413"/>
  <c r="F390" i="413"/>
  <c r="F357" i="413"/>
  <c r="F341" i="413"/>
  <c r="F333" i="413"/>
  <c r="F317" i="413"/>
  <c r="F309" i="413"/>
  <c r="F301" i="413"/>
  <c r="F293" i="413"/>
  <c r="F285" i="413"/>
  <c r="F277" i="413"/>
  <c r="F269" i="413"/>
  <c r="F261" i="413"/>
  <c r="F253" i="413"/>
  <c r="F245" i="413"/>
  <c r="F215" i="413"/>
  <c r="F211" i="413"/>
  <c r="F207" i="413"/>
  <c r="F203" i="413"/>
  <c r="F199" i="413"/>
  <c r="F195" i="413"/>
  <c r="F191" i="413"/>
  <c r="F187" i="413"/>
  <c r="F183" i="413"/>
  <c r="F179" i="413"/>
  <c r="F175" i="413"/>
  <c r="F171" i="413"/>
  <c r="F167" i="413"/>
  <c r="F163" i="413"/>
  <c r="F159" i="413"/>
  <c r="F151" i="413"/>
  <c r="F147" i="413"/>
  <c r="AH77" i="413"/>
  <c r="W77" i="413" s="1"/>
  <c r="V76" i="413"/>
  <c r="AH74" i="413"/>
  <c r="W74" i="413" s="1"/>
  <c r="AH69" i="413"/>
  <c r="W69" i="413" s="1"/>
  <c r="AO88" i="413"/>
  <c r="AD88" i="413" s="1"/>
  <c r="AB90" i="413"/>
  <c r="AM90" i="413"/>
  <c r="AO89" i="413"/>
  <c r="AD89" i="413" s="1"/>
  <c r="AO85" i="413"/>
  <c r="AD85" i="413" s="1"/>
  <c r="AP87" i="413"/>
  <c r="AE87" i="413" s="1"/>
  <c r="AP86" i="413"/>
  <c r="AE86" i="413" s="1"/>
  <c r="V26" i="413"/>
  <c r="AH49" i="413"/>
  <c r="W49" i="413" s="1"/>
  <c r="AH40" i="413"/>
  <c r="W40" i="413" s="1"/>
  <c r="AH55" i="413"/>
  <c r="W55" i="413" s="1"/>
  <c r="AH39" i="413"/>
  <c r="W39" i="413" s="1"/>
  <c r="AH25" i="413"/>
  <c r="W25" i="413" s="1"/>
  <c r="V58" i="413"/>
  <c r="V42" i="413"/>
  <c r="AH57" i="413"/>
  <c r="W57" i="413" s="1"/>
  <c r="AH48" i="413"/>
  <c r="W48" i="413" s="1"/>
  <c r="F89" i="413"/>
  <c r="F88" i="413"/>
  <c r="F87" i="413"/>
  <c r="F86" i="413"/>
  <c r="F85" i="413"/>
  <c r="F84" i="413"/>
  <c r="AH79" i="413"/>
  <c r="W79" i="413" s="1"/>
  <c r="V79" i="413"/>
  <c r="AH70" i="413"/>
  <c r="W70" i="413" s="1"/>
  <c r="V70" i="413"/>
  <c r="AH75" i="413"/>
  <c r="W75" i="413" s="1"/>
  <c r="V68" i="413"/>
  <c r="V72" i="413"/>
  <c r="V62" i="413"/>
  <c r="V46" i="413"/>
  <c r="V30" i="413"/>
  <c r="V67" i="413"/>
  <c r="V51" i="413"/>
  <c r="V35" i="413"/>
  <c r="V69" i="413"/>
  <c r="AH81" i="413"/>
  <c r="W81" i="413" s="1"/>
  <c r="AH73" i="413"/>
  <c r="W73" i="413" s="1"/>
  <c r="AH80" i="413"/>
  <c r="W80" i="413" s="1"/>
  <c r="AH72" i="413"/>
  <c r="W72" i="413" s="1"/>
  <c r="AH71" i="413"/>
  <c r="W71" i="413" s="1"/>
  <c r="AH78" i="413"/>
  <c r="W78" i="413" s="1"/>
  <c r="AH61" i="413"/>
  <c r="W61" i="413" s="1"/>
  <c r="AH53" i="413"/>
  <c r="W53" i="413" s="1"/>
  <c r="AH45" i="413"/>
  <c r="W45" i="413" s="1"/>
  <c r="AH37" i="413"/>
  <c r="W37" i="413" s="1"/>
  <c r="AH29" i="413"/>
  <c r="W29" i="413" s="1"/>
  <c r="AH60" i="413"/>
  <c r="W60" i="413" s="1"/>
  <c r="AH52" i="413"/>
  <c r="W52" i="413" s="1"/>
  <c r="AH44" i="413"/>
  <c r="W44" i="413" s="1"/>
  <c r="AH36" i="413"/>
  <c r="W36" i="413" s="1"/>
  <c r="AH28" i="413"/>
  <c r="W28" i="413" s="1"/>
  <c r="F59" i="413"/>
  <c r="AH23" i="413"/>
  <c r="AI23" i="413" s="1"/>
  <c r="AJ23" i="413" s="1"/>
  <c r="AK23" i="413" s="1"/>
  <c r="AL23" i="413" s="1"/>
  <c r="AM23" i="413" s="1"/>
  <c r="AN23" i="413" s="1"/>
  <c r="AO23" i="413" s="1"/>
  <c r="AP23" i="413" s="1"/>
  <c r="AQ23" i="413" s="1"/>
  <c r="AR23" i="413" s="1"/>
  <c r="AI59" i="413"/>
  <c r="X59" i="413" s="1"/>
  <c r="T46" i="413"/>
  <c r="T69" i="413"/>
  <c r="T73" i="413"/>
  <c r="T29" i="413"/>
  <c r="T45" i="413"/>
  <c r="T61" i="413"/>
  <c r="T77" i="413"/>
  <c r="T25" i="413"/>
  <c r="F35" i="413"/>
  <c r="F25" i="413"/>
  <c r="F67" i="413"/>
  <c r="F51" i="413"/>
  <c r="F39" i="413"/>
  <c r="F31" i="413"/>
  <c r="F79" i="413"/>
  <c r="F63" i="413"/>
  <c r="F47" i="413"/>
  <c r="F36" i="413"/>
  <c r="F28" i="413"/>
  <c r="F40" i="413"/>
  <c r="F71" i="413"/>
  <c r="F27" i="413"/>
  <c r="F43" i="413"/>
  <c r="F75" i="413"/>
  <c r="F32" i="413"/>
  <c r="F55" i="413"/>
  <c r="F29" i="413"/>
  <c r="F37" i="413"/>
  <c r="F41" i="413"/>
  <c r="F45" i="413"/>
  <c r="F53" i="413"/>
  <c r="F57" i="413"/>
  <c r="F61" i="413"/>
  <c r="F65" i="413"/>
  <c r="F69" i="413"/>
  <c r="F73" i="413"/>
  <c r="F81" i="413"/>
  <c r="F26" i="413"/>
  <c r="F30" i="413"/>
  <c r="F34" i="413"/>
  <c r="F38" i="413"/>
  <c r="F42" i="413"/>
  <c r="F46" i="413"/>
  <c r="F50" i="413"/>
  <c r="F54" i="413"/>
  <c r="F58" i="413"/>
  <c r="F62" i="413"/>
  <c r="F66" i="413"/>
  <c r="F70" i="413"/>
  <c r="F74" i="413"/>
  <c r="F78" i="413"/>
  <c r="F44" i="413"/>
  <c r="F48" i="413"/>
  <c r="F52" i="413"/>
  <c r="F56" i="413"/>
  <c r="F60" i="413"/>
  <c r="F64" i="413"/>
  <c r="F68" i="413"/>
  <c r="F72" i="413"/>
  <c r="F76" i="413"/>
  <c r="F80" i="413"/>
  <c r="F33" i="413"/>
  <c r="F49" i="413"/>
  <c r="F77" i="413"/>
  <c r="V77" i="413" l="1"/>
  <c r="V74" i="413"/>
  <c r="AI69" i="413"/>
  <c r="X69" i="413" s="1"/>
  <c r="AH76" i="413"/>
  <c r="W76" i="413" s="1"/>
  <c r="AP85" i="413"/>
  <c r="AE85" i="413" s="1"/>
  <c r="AP89" i="413"/>
  <c r="AE89" i="413" s="1"/>
  <c r="AP88" i="413"/>
  <c r="AE88" i="413" s="1"/>
  <c r="AN84" i="413"/>
  <c r="AC84" i="413" s="1"/>
  <c r="AQ87" i="413"/>
  <c r="AF87" i="413" s="1"/>
  <c r="AQ86" i="413"/>
  <c r="AF86" i="413" s="1"/>
  <c r="V78" i="413"/>
  <c r="AI78" i="413" s="1"/>
  <c r="X78" i="413" s="1"/>
  <c r="V81" i="413"/>
  <c r="AI25" i="413"/>
  <c r="X25" i="413" s="1"/>
  <c r="V75" i="413"/>
  <c r="AI75" i="413" s="1"/>
  <c r="X75" i="413" s="1"/>
  <c r="AJ59" i="413"/>
  <c r="Y59" i="413" s="1"/>
  <c r="V73" i="413"/>
  <c r="V80" i="413"/>
  <c r="V71" i="413"/>
  <c r="AI48" i="413"/>
  <c r="X48" i="413" s="1"/>
  <c r="AI38" i="413"/>
  <c r="X38" i="413" s="1"/>
  <c r="AI61" i="413"/>
  <c r="X61" i="413" s="1"/>
  <c r="AI41" i="413"/>
  <c r="X41" i="413" s="1"/>
  <c r="AI39" i="413"/>
  <c r="X39" i="413" s="1"/>
  <c r="AI60" i="413"/>
  <c r="X60" i="413" s="1"/>
  <c r="AI66" i="413"/>
  <c r="X66" i="413" s="1"/>
  <c r="AI34" i="413"/>
  <c r="X34" i="413" s="1"/>
  <c r="AI57" i="413"/>
  <c r="X57" i="413" s="1"/>
  <c r="AI63" i="413"/>
  <c r="X63" i="413" s="1"/>
  <c r="AI33" i="413"/>
  <c r="X33" i="413" s="1"/>
  <c r="AI68" i="413"/>
  <c r="X68" i="413" s="1"/>
  <c r="AI52" i="413"/>
  <c r="X52" i="413" s="1"/>
  <c r="AI58" i="413"/>
  <c r="X58" i="413" s="1"/>
  <c r="AI42" i="413"/>
  <c r="X42" i="413" s="1"/>
  <c r="AI26" i="413"/>
  <c r="X26" i="413" s="1"/>
  <c r="AI65" i="413"/>
  <c r="X65" i="413" s="1"/>
  <c r="AI45" i="413"/>
  <c r="X45" i="413" s="1"/>
  <c r="AI55" i="413"/>
  <c r="X55" i="413" s="1"/>
  <c r="AI27" i="413"/>
  <c r="X27" i="413" s="1"/>
  <c r="AI36" i="413"/>
  <c r="X36" i="413" s="1"/>
  <c r="AI31" i="413"/>
  <c r="X31" i="413" s="1"/>
  <c r="AI64" i="413"/>
  <c r="X64" i="413" s="1"/>
  <c r="AI54" i="413"/>
  <c r="X54" i="413" s="1"/>
  <c r="AI32" i="413"/>
  <c r="X32" i="413" s="1"/>
  <c r="AI47" i="413"/>
  <c r="X47" i="413" s="1"/>
  <c r="AI35" i="413"/>
  <c r="X35" i="413" s="1"/>
  <c r="AI44" i="413"/>
  <c r="X44" i="413" s="1"/>
  <c r="AI50" i="413"/>
  <c r="X50" i="413" s="1"/>
  <c r="AI37" i="413"/>
  <c r="X37" i="413" s="1"/>
  <c r="AI40" i="413"/>
  <c r="X40" i="413" s="1"/>
  <c r="AI51" i="413"/>
  <c r="X51" i="413" s="1"/>
  <c r="AI49" i="413"/>
  <c r="X49" i="413" s="1"/>
  <c r="AI56" i="413"/>
  <c r="X56" i="413" s="1"/>
  <c r="AI62" i="413"/>
  <c r="X62" i="413" s="1"/>
  <c r="AI46" i="413"/>
  <c r="X46" i="413" s="1"/>
  <c r="AI30" i="413"/>
  <c r="X30" i="413" s="1"/>
  <c r="AI53" i="413"/>
  <c r="X53" i="413" s="1"/>
  <c r="AI29" i="413"/>
  <c r="X29" i="413" s="1"/>
  <c r="AI43" i="413"/>
  <c r="X43" i="413" s="1"/>
  <c r="AI28" i="413"/>
  <c r="X28" i="413" s="1"/>
  <c r="AI79" i="413"/>
  <c r="X79" i="413" s="1"/>
  <c r="AI67" i="413"/>
  <c r="X67" i="413" s="1"/>
  <c r="E2" i="413"/>
  <c r="G519" i="413" l="1"/>
  <c r="H519" i="413" s="1"/>
  <c r="H511" i="413"/>
  <c r="H507" i="413"/>
  <c r="H491" i="413"/>
  <c r="H475" i="413"/>
  <c r="G416" i="413"/>
  <c r="H416" i="413" s="1"/>
  <c r="G412" i="413"/>
  <c r="H412" i="413" s="1"/>
  <c r="G408" i="413"/>
  <c r="H408" i="413" s="1"/>
  <c r="G404" i="413"/>
  <c r="H404" i="413" s="1"/>
  <c r="G400" i="413"/>
  <c r="H400" i="413" s="1"/>
  <c r="G396" i="413"/>
  <c r="H396" i="413" s="1"/>
  <c r="G392" i="413"/>
  <c r="H392" i="413" s="1"/>
  <c r="G388" i="413"/>
  <c r="H388" i="413" s="1"/>
  <c r="G450" i="413"/>
  <c r="H450" i="413" s="1"/>
  <c r="G441" i="413"/>
  <c r="G433" i="413"/>
  <c r="G425" i="413"/>
  <c r="G517" i="413"/>
  <c r="H517" i="413" s="1"/>
  <c r="G462" i="413"/>
  <c r="H429" i="413"/>
  <c r="H421" i="413"/>
  <c r="H358" i="413"/>
  <c r="H342" i="413"/>
  <c r="H338" i="413"/>
  <c r="H326" i="413"/>
  <c r="H322" i="413"/>
  <c r="H310" i="413"/>
  <c r="H294" i="413"/>
  <c r="H278" i="413"/>
  <c r="H274" i="413"/>
  <c r="H262" i="413"/>
  <c r="H258" i="413"/>
  <c r="H246" i="413"/>
  <c r="H242" i="413"/>
  <c r="H230" i="413"/>
  <c r="H226" i="413"/>
  <c r="G512" i="413"/>
  <c r="G496" i="413"/>
  <c r="G480" i="413"/>
  <c r="H480" i="413" s="1"/>
  <c r="G438" i="413"/>
  <c r="H438" i="413" s="1"/>
  <c r="G422" i="413"/>
  <c r="H514" i="413"/>
  <c r="H510" i="413"/>
  <c r="H482" i="413"/>
  <c r="H478" i="413"/>
  <c r="G457" i="413"/>
  <c r="H457" i="413" s="1"/>
  <c r="G449" i="413"/>
  <c r="H449" i="413" s="1"/>
  <c r="G415" i="413"/>
  <c r="H415" i="413" s="1"/>
  <c r="G411" i="413"/>
  <c r="H411" i="413" s="1"/>
  <c r="G407" i="413"/>
  <c r="H407" i="413" s="1"/>
  <c r="G403" i="413"/>
  <c r="H403" i="413" s="1"/>
  <c r="G399" i="413"/>
  <c r="H399" i="413" s="1"/>
  <c r="G395" i="413"/>
  <c r="H395" i="413" s="1"/>
  <c r="G391" i="413"/>
  <c r="H391" i="413" s="1"/>
  <c r="G387" i="413"/>
  <c r="H387" i="413" s="1"/>
  <c r="G456" i="413"/>
  <c r="H456" i="413" s="1"/>
  <c r="G448" i="413"/>
  <c r="H448" i="413" s="1"/>
  <c r="G515" i="413"/>
  <c r="H515" i="413" s="1"/>
  <c r="G507" i="413"/>
  <c r="G499" i="413"/>
  <c r="H499" i="413" s="1"/>
  <c r="G491" i="413"/>
  <c r="G483" i="413"/>
  <c r="H483" i="413" s="1"/>
  <c r="G475" i="413"/>
  <c r="G465" i="413"/>
  <c r="H465" i="413" s="1"/>
  <c r="H430" i="413"/>
  <c r="H422" i="413"/>
  <c r="G514" i="413"/>
  <c r="G506" i="413"/>
  <c r="H506" i="413" s="1"/>
  <c r="G498" i="413"/>
  <c r="H498" i="413" s="1"/>
  <c r="G490" i="413"/>
  <c r="H490" i="413" s="1"/>
  <c r="G482" i="413"/>
  <c r="G474" i="413"/>
  <c r="H474" i="413" s="1"/>
  <c r="G444" i="413"/>
  <c r="H444" i="413" s="1"/>
  <c r="G436" i="413"/>
  <c r="H436" i="413" s="1"/>
  <c r="G428" i="413"/>
  <c r="G420" i="413"/>
  <c r="H462" i="413"/>
  <c r="H431" i="413"/>
  <c r="G381" i="413"/>
  <c r="H381" i="413" s="1"/>
  <c r="G373" i="413"/>
  <c r="H373" i="413" s="1"/>
  <c r="G365" i="413"/>
  <c r="H365" i="413" s="1"/>
  <c r="H357" i="413"/>
  <c r="H345" i="413"/>
  <c r="H341" i="413"/>
  <c r="H329" i="413"/>
  <c r="H313" i="413"/>
  <c r="H309" i="413"/>
  <c r="H297" i="413"/>
  <c r="H281" i="413"/>
  <c r="H277" i="413"/>
  <c r="H265" i="413"/>
  <c r="H249" i="413"/>
  <c r="H233" i="413"/>
  <c r="H229" i="413"/>
  <c r="G508" i="413"/>
  <c r="G492" i="413"/>
  <c r="H492" i="413" s="1"/>
  <c r="G476" i="413"/>
  <c r="H476" i="413" s="1"/>
  <c r="G451" i="413"/>
  <c r="H451" i="413" s="1"/>
  <c r="G434" i="413"/>
  <c r="G384" i="413"/>
  <c r="H384" i="413" s="1"/>
  <c r="G376" i="413"/>
  <c r="H376" i="413" s="1"/>
  <c r="G368" i="413"/>
  <c r="G360" i="413"/>
  <c r="G489" i="413"/>
  <c r="H489" i="413" s="1"/>
  <c r="H508" i="413"/>
  <c r="H484" i="413"/>
  <c r="G453" i="413"/>
  <c r="H453" i="413" s="1"/>
  <c r="G414" i="413"/>
  <c r="H414" i="413" s="1"/>
  <c r="G406" i="413"/>
  <c r="H406" i="413" s="1"/>
  <c r="G398" i="413"/>
  <c r="H398" i="413" s="1"/>
  <c r="G390" i="413"/>
  <c r="H390" i="413" s="1"/>
  <c r="G511" i="413"/>
  <c r="G479" i="413"/>
  <c r="H479" i="413" s="1"/>
  <c r="G458" i="413"/>
  <c r="H458" i="413" s="1"/>
  <c r="G437" i="413"/>
  <c r="H437" i="413" s="1"/>
  <c r="G421" i="413"/>
  <c r="G486" i="413"/>
  <c r="H486" i="413" s="1"/>
  <c r="H433" i="413"/>
  <c r="G385" i="413"/>
  <c r="H385" i="413" s="1"/>
  <c r="G377" i="413"/>
  <c r="H377" i="413" s="1"/>
  <c r="G361" i="413"/>
  <c r="H361" i="413" s="1"/>
  <c r="H335" i="413"/>
  <c r="H327" i="413"/>
  <c r="H295" i="413"/>
  <c r="H263" i="413"/>
  <c r="H239" i="413"/>
  <c r="H231" i="413"/>
  <c r="G516" i="413"/>
  <c r="H516" i="413" s="1"/>
  <c r="G484" i="413"/>
  <c r="G446" i="413"/>
  <c r="H446" i="413" s="1"/>
  <c r="G497" i="413"/>
  <c r="G455" i="413"/>
  <c r="H455" i="413" s="1"/>
  <c r="H432" i="413"/>
  <c r="H210" i="413"/>
  <c r="H206" i="413"/>
  <c r="H194" i="413"/>
  <c r="H178" i="413"/>
  <c r="H174" i="413"/>
  <c r="H505" i="413"/>
  <c r="H497" i="413"/>
  <c r="G413" i="413"/>
  <c r="H413" i="413" s="1"/>
  <c r="G405" i="413"/>
  <c r="H405" i="413" s="1"/>
  <c r="G397" i="413"/>
  <c r="H397" i="413" s="1"/>
  <c r="G389" i="413"/>
  <c r="H389" i="413" s="1"/>
  <c r="G487" i="413"/>
  <c r="H487" i="413" s="1"/>
  <c r="G454" i="413"/>
  <c r="H454" i="413" s="1"/>
  <c r="H434" i="413"/>
  <c r="G494" i="413"/>
  <c r="H494" i="413" s="1"/>
  <c r="G432" i="413"/>
  <c r="H348" i="413"/>
  <c r="H340" i="413"/>
  <c r="H316" i="413"/>
  <c r="H308" i="413"/>
  <c r="H284" i="413"/>
  <c r="H276" i="413"/>
  <c r="H252" i="413"/>
  <c r="H244" i="413"/>
  <c r="G504" i="413"/>
  <c r="H504" i="413" s="1"/>
  <c r="G472" i="413"/>
  <c r="G442" i="413"/>
  <c r="G380" i="413"/>
  <c r="H380" i="413" s="1"/>
  <c r="G364" i="413"/>
  <c r="H364" i="413" s="1"/>
  <c r="G481" i="413"/>
  <c r="H481" i="413" s="1"/>
  <c r="G443" i="413"/>
  <c r="G427" i="413"/>
  <c r="H427" i="413" s="1"/>
  <c r="H367" i="413"/>
  <c r="G355" i="413"/>
  <c r="H355" i="413" s="1"/>
  <c r="G347" i="413"/>
  <c r="G339" i="413"/>
  <c r="G331" i="413"/>
  <c r="H331" i="413" s="1"/>
  <c r="G323" i="413"/>
  <c r="G315" i="413"/>
  <c r="G307" i="413"/>
  <c r="G299" i="413"/>
  <c r="H299" i="413" s="1"/>
  <c r="G291" i="413"/>
  <c r="H291" i="413" s="1"/>
  <c r="G283" i="413"/>
  <c r="G275" i="413"/>
  <c r="G267" i="413"/>
  <c r="H267" i="413" s="1"/>
  <c r="G259" i="413"/>
  <c r="G251" i="413"/>
  <c r="G243" i="413"/>
  <c r="G235" i="413"/>
  <c r="H235" i="413" s="1"/>
  <c r="G227" i="413"/>
  <c r="H227" i="413" s="1"/>
  <c r="H213" i="413"/>
  <c r="H209" i="413"/>
  <c r="H197" i="413"/>
  <c r="H181" i="413"/>
  <c r="H177" i="413"/>
  <c r="H165" i="413"/>
  <c r="H149" i="413"/>
  <c r="H501" i="413"/>
  <c r="G410" i="413"/>
  <c r="H410" i="413" s="1"/>
  <c r="G394" i="413"/>
  <c r="H394" i="413" s="1"/>
  <c r="G503" i="413"/>
  <c r="H503" i="413" s="1"/>
  <c r="H442" i="413"/>
  <c r="G502" i="413"/>
  <c r="H502" i="413" s="1"/>
  <c r="H425" i="413"/>
  <c r="H443" i="413"/>
  <c r="H312" i="413"/>
  <c r="H248" i="413"/>
  <c r="G488" i="413"/>
  <c r="G426" i="413"/>
  <c r="H426" i="413" s="1"/>
  <c r="G505" i="413"/>
  <c r="G435" i="413"/>
  <c r="H435" i="413" s="1"/>
  <c r="G335" i="413"/>
  <c r="G303" i="413"/>
  <c r="H303" i="413" s="1"/>
  <c r="G271" i="413"/>
  <c r="H271" i="413" s="1"/>
  <c r="G239" i="413"/>
  <c r="H203" i="413"/>
  <c r="H179" i="413"/>
  <c r="H154" i="413"/>
  <c r="H148" i="413"/>
  <c r="G348" i="413"/>
  <c r="G332" i="413"/>
  <c r="H332" i="413" s="1"/>
  <c r="G316" i="413"/>
  <c r="G300" i="413"/>
  <c r="H300" i="413" s="1"/>
  <c r="G284" i="413"/>
  <c r="G268" i="413"/>
  <c r="H268" i="413" s="1"/>
  <c r="G252" i="413"/>
  <c r="G236" i="413"/>
  <c r="H236" i="413" s="1"/>
  <c r="G222" i="413"/>
  <c r="H222" i="413" s="1"/>
  <c r="G214" i="413"/>
  <c r="H214" i="413" s="1"/>
  <c r="G206" i="413"/>
  <c r="G198" i="413"/>
  <c r="H198" i="413" s="1"/>
  <c r="G190" i="413"/>
  <c r="H190" i="413" s="1"/>
  <c r="G182" i="413"/>
  <c r="H182" i="413" s="1"/>
  <c r="G174" i="413"/>
  <c r="G166" i="413"/>
  <c r="G158" i="413"/>
  <c r="G150" i="413"/>
  <c r="H150" i="413" s="1"/>
  <c r="G501" i="413"/>
  <c r="G439" i="413"/>
  <c r="H439" i="413" s="1"/>
  <c r="G375" i="413"/>
  <c r="H375" i="413" s="1"/>
  <c r="G349" i="413"/>
  <c r="H349" i="413" s="1"/>
  <c r="G333" i="413"/>
  <c r="H333" i="413" s="1"/>
  <c r="G317" i="413"/>
  <c r="H317" i="413" s="1"/>
  <c r="G274" i="413"/>
  <c r="G223" i="413"/>
  <c r="G191" i="413"/>
  <c r="G175" i="413"/>
  <c r="G159" i="413"/>
  <c r="H159" i="413" s="1"/>
  <c r="H142" i="413"/>
  <c r="H116" i="413"/>
  <c r="H108" i="413"/>
  <c r="G336" i="413"/>
  <c r="H336" i="413" s="1"/>
  <c r="G304" i="413"/>
  <c r="G272" i="413"/>
  <c r="G216" i="413"/>
  <c r="G200" i="413"/>
  <c r="G184" i="413"/>
  <c r="H184" i="413" s="1"/>
  <c r="G168" i="413"/>
  <c r="G152" i="413"/>
  <c r="G139" i="413"/>
  <c r="H139" i="413" s="1"/>
  <c r="G131" i="413"/>
  <c r="G122" i="413"/>
  <c r="G115" i="413"/>
  <c r="G107" i="413"/>
  <c r="G98" i="413"/>
  <c r="G509" i="413"/>
  <c r="G447" i="413"/>
  <c r="H447" i="413" s="1"/>
  <c r="G367" i="413"/>
  <c r="G353" i="413"/>
  <c r="H353" i="413" s="1"/>
  <c r="G345" i="413"/>
  <c r="G337" i="413"/>
  <c r="H337" i="413" s="1"/>
  <c r="G329" i="413"/>
  <c r="G321" i="413"/>
  <c r="H321" i="413" s="1"/>
  <c r="G313" i="413"/>
  <c r="G305" i="413"/>
  <c r="H305" i="413" s="1"/>
  <c r="G297" i="413"/>
  <c r="G289" i="413"/>
  <c r="H289" i="413" s="1"/>
  <c r="G281" i="413"/>
  <c r="G273" i="413"/>
  <c r="H273" i="413" s="1"/>
  <c r="G265" i="413"/>
  <c r="G257" i="413"/>
  <c r="H257" i="413" s="1"/>
  <c r="G249" i="413"/>
  <c r="G241" i="413"/>
  <c r="H241" i="413" s="1"/>
  <c r="G233" i="413"/>
  <c r="G225" i="413"/>
  <c r="H225" i="413" s="1"/>
  <c r="G217" i="413"/>
  <c r="H217" i="413" s="1"/>
  <c r="G209" i="413"/>
  <c r="G201" i="413"/>
  <c r="H201" i="413" s="1"/>
  <c r="G193" i="413"/>
  <c r="H193" i="413" s="1"/>
  <c r="G185" i="413"/>
  <c r="H185" i="413" s="1"/>
  <c r="G177" i="413"/>
  <c r="G169" i="413"/>
  <c r="H169" i="413" s="1"/>
  <c r="G161" i="413"/>
  <c r="H161" i="413" s="1"/>
  <c r="G153" i="413"/>
  <c r="H153" i="413" s="1"/>
  <c r="G145" i="413"/>
  <c r="H368" i="413"/>
  <c r="G314" i="413"/>
  <c r="H314" i="413" s="1"/>
  <c r="G298" i="413"/>
  <c r="H298" i="413" s="1"/>
  <c r="G266" i="413"/>
  <c r="H266" i="413" s="1"/>
  <c r="G250" i="413"/>
  <c r="H250" i="413" s="1"/>
  <c r="G234" i="413"/>
  <c r="H234" i="413" s="1"/>
  <c r="G219" i="413"/>
  <c r="H219" i="413" s="1"/>
  <c r="G203" i="413"/>
  <c r="G187" i="413"/>
  <c r="H187" i="413" s="1"/>
  <c r="G171" i="413"/>
  <c r="H171" i="413" s="1"/>
  <c r="H127" i="413"/>
  <c r="G370" i="413"/>
  <c r="H370" i="413" s="1"/>
  <c r="G240" i="413"/>
  <c r="G140" i="413"/>
  <c r="G132" i="413"/>
  <c r="H132" i="413" s="1"/>
  <c r="G125" i="413"/>
  <c r="G116" i="413"/>
  <c r="G108" i="413"/>
  <c r="G100" i="413"/>
  <c r="H100" i="413" s="1"/>
  <c r="G93" i="413"/>
  <c r="H93" i="413" s="1"/>
  <c r="H512" i="413"/>
  <c r="H496" i="413"/>
  <c r="G409" i="413"/>
  <c r="H409" i="413" s="1"/>
  <c r="G393" i="413"/>
  <c r="H393" i="413" s="1"/>
  <c r="G429" i="413"/>
  <c r="G510" i="413"/>
  <c r="G424" i="413"/>
  <c r="H424" i="413" s="1"/>
  <c r="H339" i="413"/>
  <c r="H323" i="413"/>
  <c r="H307" i="413"/>
  <c r="H275" i="413"/>
  <c r="H259" i="413"/>
  <c r="H243" i="413"/>
  <c r="G461" i="413"/>
  <c r="G473" i="413"/>
  <c r="H473" i="413" s="1"/>
  <c r="H509" i="413"/>
  <c r="H493" i="413"/>
  <c r="H477" i="413"/>
  <c r="G402" i="413"/>
  <c r="H402" i="413" s="1"/>
  <c r="G386" i="413"/>
  <c r="H386" i="413" s="1"/>
  <c r="G452" i="413"/>
  <c r="H452" i="413" s="1"/>
  <c r="G471" i="413"/>
  <c r="H471" i="413" s="1"/>
  <c r="H441" i="413"/>
  <c r="H352" i="413"/>
  <c r="H304" i="413"/>
  <c r="H272" i="413"/>
  <c r="H240" i="413"/>
  <c r="H224" i="413"/>
  <c r="G372" i="413"/>
  <c r="H372" i="413" s="1"/>
  <c r="G351" i="413"/>
  <c r="H351" i="413" s="1"/>
  <c r="G319" i="413"/>
  <c r="H319" i="413" s="1"/>
  <c r="G287" i="413"/>
  <c r="H287" i="413" s="1"/>
  <c r="G255" i="413"/>
  <c r="H255" i="413" s="1"/>
  <c r="H223" i="413"/>
  <c r="H215" i="413"/>
  <c r="H191" i="413"/>
  <c r="H175" i="413"/>
  <c r="H162" i="413"/>
  <c r="H156" i="413"/>
  <c r="G378" i="413"/>
  <c r="H378" i="413" s="1"/>
  <c r="G356" i="413"/>
  <c r="H356" i="413" s="1"/>
  <c r="G340" i="413"/>
  <c r="G324" i="413"/>
  <c r="H324" i="413" s="1"/>
  <c r="G308" i="413"/>
  <c r="G292" i="413"/>
  <c r="H292" i="413" s="1"/>
  <c r="G276" i="413"/>
  <c r="G260" i="413"/>
  <c r="H260" i="413" s="1"/>
  <c r="G244" i="413"/>
  <c r="G228" i="413"/>
  <c r="H228" i="413" s="1"/>
  <c r="G218" i="413"/>
  <c r="H218" i="413" s="1"/>
  <c r="G210" i="413"/>
  <c r="G202" i="413"/>
  <c r="H202" i="413" s="1"/>
  <c r="G194" i="413"/>
  <c r="G186" i="413"/>
  <c r="H186" i="413" s="1"/>
  <c r="G178" i="413"/>
  <c r="G170" i="413"/>
  <c r="H170" i="413" s="1"/>
  <c r="G162" i="413"/>
  <c r="G154" i="413"/>
  <c r="G146" i="413"/>
  <c r="H146" i="413" s="1"/>
  <c r="G468" i="413"/>
  <c r="H468" i="413" s="1"/>
  <c r="H420" i="413"/>
  <c r="G357" i="413"/>
  <c r="G341" i="413"/>
  <c r="G325" i="413"/>
  <c r="H325" i="413" s="1"/>
  <c r="G282" i="413"/>
  <c r="H282" i="413" s="1"/>
  <c r="G229" i="413"/>
  <c r="G215" i="413"/>
  <c r="G199" i="413"/>
  <c r="H199" i="413" s="1"/>
  <c r="G183" i="413"/>
  <c r="H183" i="413" s="1"/>
  <c r="H121" i="413"/>
  <c r="G320" i="413"/>
  <c r="H320" i="413" s="1"/>
  <c r="G288" i="413"/>
  <c r="H288" i="413" s="1"/>
  <c r="G256" i="413"/>
  <c r="H256" i="413" s="1"/>
  <c r="G208" i="413"/>
  <c r="G192" i="413"/>
  <c r="G176" i="413"/>
  <c r="H176" i="413" s="1"/>
  <c r="G160" i="413"/>
  <c r="G143" i="413"/>
  <c r="G135" i="413"/>
  <c r="H135" i="413" s="1"/>
  <c r="G126" i="413"/>
  <c r="G118" i="413"/>
  <c r="G111" i="413"/>
  <c r="G103" i="413"/>
  <c r="H103" i="413" s="1"/>
  <c r="G94" i="413"/>
  <c r="H94" i="413" s="1"/>
  <c r="G477" i="413"/>
  <c r="G431" i="413"/>
  <c r="G358" i="413"/>
  <c r="G350" i="413"/>
  <c r="H350" i="413" s="1"/>
  <c r="G342" i="413"/>
  <c r="G334" i="413"/>
  <c r="H334" i="413" s="1"/>
  <c r="G326" i="413"/>
  <c r="G318" i="413"/>
  <c r="H318" i="413" s="1"/>
  <c r="G310" i="413"/>
  <c r="G302" i="413"/>
  <c r="H302" i="413" s="1"/>
  <c r="G294" i="413"/>
  <c r="G286" i="413"/>
  <c r="H286" i="413" s="1"/>
  <c r="G278" i="413"/>
  <c r="G270" i="413"/>
  <c r="H270" i="413" s="1"/>
  <c r="G262" i="413"/>
  <c r="G254" i="413"/>
  <c r="H254" i="413" s="1"/>
  <c r="G246" i="413"/>
  <c r="G238" i="413"/>
  <c r="H238" i="413" s="1"/>
  <c r="G230" i="413"/>
  <c r="G221" i="413"/>
  <c r="H221" i="413" s="1"/>
  <c r="G213" i="413"/>
  <c r="G205" i="413"/>
  <c r="H205" i="413" s="1"/>
  <c r="G197" i="413"/>
  <c r="G189" i="413"/>
  <c r="H189" i="413" s="1"/>
  <c r="G181" i="413"/>
  <c r="G173" i="413"/>
  <c r="H173" i="413" s="1"/>
  <c r="G165" i="413"/>
  <c r="G157" i="413"/>
  <c r="H157" i="413" s="1"/>
  <c r="G149" i="413"/>
  <c r="G306" i="413"/>
  <c r="H306" i="413" s="1"/>
  <c r="G290" i="413"/>
  <c r="H290" i="413" s="1"/>
  <c r="G258" i="413"/>
  <c r="G242" i="413"/>
  <c r="G211" i="413"/>
  <c r="H211" i="413" s="1"/>
  <c r="G195" i="413"/>
  <c r="H195" i="413" s="1"/>
  <c r="G179" i="413"/>
  <c r="G147" i="413"/>
  <c r="H137" i="413"/>
  <c r="H130" i="413"/>
  <c r="H122" i="413"/>
  <c r="H115" i="413"/>
  <c r="H107" i="413"/>
  <c r="G352" i="413"/>
  <c r="G224" i="413"/>
  <c r="G144" i="413"/>
  <c r="H144" i="413" s="1"/>
  <c r="G136" i="413"/>
  <c r="G128" i="413"/>
  <c r="G121" i="413"/>
  <c r="G112" i="413"/>
  <c r="H112" i="413" s="1"/>
  <c r="G104" i="413"/>
  <c r="H104" i="413" s="1"/>
  <c r="G97" i="413"/>
  <c r="H488" i="413"/>
  <c r="H472" i="413"/>
  <c r="G417" i="413"/>
  <c r="H417" i="413" s="1"/>
  <c r="G401" i="413"/>
  <c r="H401" i="413" s="1"/>
  <c r="G518" i="413"/>
  <c r="H518" i="413" s="1"/>
  <c r="G495" i="413"/>
  <c r="H495" i="413" s="1"/>
  <c r="G445" i="413"/>
  <c r="H445" i="413" s="1"/>
  <c r="G478" i="413"/>
  <c r="G440" i="413"/>
  <c r="H440" i="413" s="1"/>
  <c r="G369" i="413"/>
  <c r="H369" i="413" s="1"/>
  <c r="H347" i="413"/>
  <c r="H315" i="413"/>
  <c r="H283" i="413"/>
  <c r="H251" i="413"/>
  <c r="G500" i="413"/>
  <c r="H500" i="413" s="1"/>
  <c r="G430" i="413"/>
  <c r="G513" i="413"/>
  <c r="H513" i="413" s="1"/>
  <c r="G343" i="413"/>
  <c r="H343" i="413" s="1"/>
  <c r="G279" i="413"/>
  <c r="H279" i="413" s="1"/>
  <c r="H212" i="413"/>
  <c r="H166" i="413"/>
  <c r="H155" i="413"/>
  <c r="H145" i="413"/>
  <c r="G338" i="413"/>
  <c r="G277" i="413"/>
  <c r="G163" i="413"/>
  <c r="H163" i="413" s="1"/>
  <c r="H140" i="413"/>
  <c r="H106" i="413"/>
  <c r="G296" i="413"/>
  <c r="H296" i="413" s="1"/>
  <c r="G212" i="413"/>
  <c r="G180" i="413"/>
  <c r="H180" i="413" s="1"/>
  <c r="G148" i="413"/>
  <c r="G129" i="413"/>
  <c r="H129" i="413" s="1"/>
  <c r="G113" i="413"/>
  <c r="G96" i="413"/>
  <c r="H96" i="413" s="1"/>
  <c r="G374" i="413"/>
  <c r="H374" i="413" s="1"/>
  <c r="G382" i="413"/>
  <c r="H382" i="413" s="1"/>
  <c r="G309" i="413"/>
  <c r="G261" i="413"/>
  <c r="H261" i="413" s="1"/>
  <c r="G207" i="413"/>
  <c r="H207" i="413" s="1"/>
  <c r="G232" i="413"/>
  <c r="H232" i="413" s="1"/>
  <c r="G142" i="413"/>
  <c r="G127" i="413"/>
  <c r="G110" i="413"/>
  <c r="H110" i="413" s="1"/>
  <c r="G95" i="413"/>
  <c r="H95" i="413" s="1"/>
  <c r="G327" i="413"/>
  <c r="G263" i="413"/>
  <c r="H208" i="413"/>
  <c r="H192" i="413"/>
  <c r="H152" i="413"/>
  <c r="G485" i="413"/>
  <c r="H485" i="413" s="1"/>
  <c r="G366" i="413"/>
  <c r="H366" i="413" s="1"/>
  <c r="G330" i="413"/>
  <c r="H330" i="413" s="1"/>
  <c r="G155" i="413"/>
  <c r="H136" i="413"/>
  <c r="H118" i="413"/>
  <c r="G344" i="413"/>
  <c r="H344" i="413" s="1"/>
  <c r="G280" i="413"/>
  <c r="H280" i="413" s="1"/>
  <c r="G204" i="413"/>
  <c r="G172" i="413"/>
  <c r="G141" i="413"/>
  <c r="H141" i="413" s="1"/>
  <c r="G109" i="413"/>
  <c r="G92" i="413"/>
  <c r="H92" i="413" s="1"/>
  <c r="H360" i="413"/>
  <c r="G301" i="413"/>
  <c r="H301" i="413" s="1"/>
  <c r="G253" i="413"/>
  <c r="H253" i="413" s="1"/>
  <c r="G167" i="413"/>
  <c r="H167" i="413" s="1"/>
  <c r="H101" i="413"/>
  <c r="G328" i="413"/>
  <c r="H328" i="413" s="1"/>
  <c r="G138" i="413"/>
  <c r="H138" i="413" s="1"/>
  <c r="G106" i="413"/>
  <c r="H220" i="413"/>
  <c r="H188" i="413"/>
  <c r="H160" i="413"/>
  <c r="G371" i="413"/>
  <c r="H371" i="413" s="1"/>
  <c r="H461" i="413"/>
  <c r="G354" i="413"/>
  <c r="H354" i="413" s="1"/>
  <c r="G226" i="413"/>
  <c r="G379" i="413"/>
  <c r="H379" i="413" s="1"/>
  <c r="G264" i="413"/>
  <c r="H264" i="413" s="1"/>
  <c r="G164" i="413"/>
  <c r="H164" i="413" s="1"/>
  <c r="G120" i="413"/>
  <c r="H120" i="413" s="1"/>
  <c r="G493" i="413"/>
  <c r="G245" i="413"/>
  <c r="H245" i="413" s="1"/>
  <c r="H128" i="413"/>
  <c r="H97" i="413"/>
  <c r="G134" i="413"/>
  <c r="H134" i="413" s="1"/>
  <c r="G102" i="413"/>
  <c r="H102" i="413" s="1"/>
  <c r="G295" i="413"/>
  <c r="G231" i="413"/>
  <c r="H216" i="413"/>
  <c r="H200" i="413"/>
  <c r="H168" i="413"/>
  <c r="H158" i="413"/>
  <c r="H147" i="413"/>
  <c r="G362" i="413"/>
  <c r="H362" i="413" s="1"/>
  <c r="G423" i="413"/>
  <c r="H423" i="413" s="1"/>
  <c r="G346" i="413"/>
  <c r="H346" i="413" s="1"/>
  <c r="H126" i="413"/>
  <c r="H111" i="413"/>
  <c r="G363" i="413"/>
  <c r="H363" i="413" s="1"/>
  <c r="G312" i="413"/>
  <c r="G248" i="413"/>
  <c r="G188" i="413"/>
  <c r="G133" i="413"/>
  <c r="H133" i="413" s="1"/>
  <c r="G117" i="413"/>
  <c r="H117" i="413" s="1"/>
  <c r="G101" i="413"/>
  <c r="G383" i="413"/>
  <c r="H383" i="413" s="1"/>
  <c r="G285" i="413"/>
  <c r="H285" i="413" s="1"/>
  <c r="G269" i="413"/>
  <c r="H269" i="413" s="1"/>
  <c r="G237" i="413"/>
  <c r="H237" i="413" s="1"/>
  <c r="H125" i="413"/>
  <c r="H109" i="413"/>
  <c r="G130" i="413"/>
  <c r="G114" i="413"/>
  <c r="H114" i="413" s="1"/>
  <c r="G99" i="413"/>
  <c r="H99" i="413" s="1"/>
  <c r="G124" i="413"/>
  <c r="H124" i="413" s="1"/>
  <c r="H428" i="413"/>
  <c r="G359" i="413"/>
  <c r="H359" i="413" s="1"/>
  <c r="G151" i="413"/>
  <c r="H151" i="413" s="1"/>
  <c r="G220" i="413"/>
  <c r="G156" i="413"/>
  <c r="G123" i="413"/>
  <c r="H123" i="413" s="1"/>
  <c r="G311" i="413"/>
  <c r="H311" i="413" s="1"/>
  <c r="G247" i="413"/>
  <c r="H247" i="413" s="1"/>
  <c r="H204" i="413"/>
  <c r="H172" i="413"/>
  <c r="G322" i="413"/>
  <c r="H131" i="413"/>
  <c r="H98" i="413"/>
  <c r="G196" i="413"/>
  <c r="H196" i="413" s="1"/>
  <c r="G137" i="413"/>
  <c r="G105" i="413"/>
  <c r="H105" i="413" s="1"/>
  <c r="G293" i="413"/>
  <c r="H293" i="413" s="1"/>
  <c r="H143" i="413"/>
  <c r="H113" i="413"/>
  <c r="G119" i="413"/>
  <c r="H119" i="413" s="1"/>
  <c r="V82" i="413"/>
  <c r="AI80" i="413"/>
  <c r="X80" i="413" s="1"/>
  <c r="AH82" i="413"/>
  <c r="AQ89" i="413"/>
  <c r="AF89" i="413" s="1"/>
  <c r="AC90" i="413"/>
  <c r="AN90" i="413"/>
  <c r="AQ88" i="413"/>
  <c r="AF88" i="413" s="1"/>
  <c r="AQ85" i="413"/>
  <c r="AF85" i="413" s="1"/>
  <c r="AR86" i="413"/>
  <c r="AR87" i="413"/>
  <c r="AJ25" i="413"/>
  <c r="Y25" i="413" s="1"/>
  <c r="H86" i="413"/>
  <c r="G88" i="413"/>
  <c r="H88" i="413" s="1"/>
  <c r="G84" i="413"/>
  <c r="H84" i="413" s="1"/>
  <c r="G89" i="413"/>
  <c r="H89" i="413" s="1"/>
  <c r="H85" i="413"/>
  <c r="G87" i="413"/>
  <c r="G86" i="413"/>
  <c r="H87" i="413"/>
  <c r="G85" i="413"/>
  <c r="AK59" i="413"/>
  <c r="Z59" i="413" s="1"/>
  <c r="AJ67" i="413"/>
  <c r="Y67" i="413" s="1"/>
  <c r="AJ50" i="413"/>
  <c r="Y50" i="413" s="1"/>
  <c r="W82" i="413"/>
  <c r="AJ60" i="413"/>
  <c r="Y60" i="413" s="1"/>
  <c r="AJ38" i="413"/>
  <c r="Y38" i="413" s="1"/>
  <c r="AJ35" i="413"/>
  <c r="Y35" i="413" s="1"/>
  <c r="AJ42" i="413"/>
  <c r="Y42" i="413" s="1"/>
  <c r="AJ41" i="413"/>
  <c r="Y41" i="413" s="1"/>
  <c r="AJ43" i="413"/>
  <c r="Y43" i="413" s="1"/>
  <c r="AJ53" i="413"/>
  <c r="Y53" i="413" s="1"/>
  <c r="AJ30" i="413"/>
  <c r="Y30" i="413" s="1"/>
  <c r="AJ62" i="413"/>
  <c r="Y62" i="413" s="1"/>
  <c r="AJ32" i="413"/>
  <c r="Y32" i="413" s="1"/>
  <c r="AJ31" i="413"/>
  <c r="Y31" i="413" s="1"/>
  <c r="AJ45" i="413"/>
  <c r="Y45" i="413" s="1"/>
  <c r="AJ58" i="413"/>
  <c r="Y58" i="413" s="1"/>
  <c r="AJ79" i="413"/>
  <c r="Y79" i="413" s="1"/>
  <c r="AJ34" i="413"/>
  <c r="Y34" i="413" s="1"/>
  <c r="AJ78" i="413"/>
  <c r="Y78" i="413" s="1"/>
  <c r="AJ56" i="413"/>
  <c r="Y56" i="413" s="1"/>
  <c r="AJ37" i="413"/>
  <c r="Y37" i="413" s="1"/>
  <c r="AJ54" i="413"/>
  <c r="Y54" i="413" s="1"/>
  <c r="AJ57" i="413"/>
  <c r="Y57" i="413" s="1"/>
  <c r="AJ66" i="413"/>
  <c r="Y66" i="413" s="1"/>
  <c r="AJ61" i="413"/>
  <c r="Y61" i="413" s="1"/>
  <c r="AJ48" i="413"/>
  <c r="Y48" i="413" s="1"/>
  <c r="AJ75" i="413"/>
  <c r="Y75" i="413" s="1"/>
  <c r="AJ44" i="413"/>
  <c r="Y44" i="413" s="1"/>
  <c r="AJ65" i="413"/>
  <c r="Y65" i="413" s="1"/>
  <c r="AJ52" i="413"/>
  <c r="Y52" i="413" s="1"/>
  <c r="AJ33" i="413"/>
  <c r="Y33" i="413" s="1"/>
  <c r="AJ28" i="413"/>
  <c r="Y28" i="413" s="1"/>
  <c r="AJ29" i="413"/>
  <c r="Y29" i="413" s="1"/>
  <c r="AJ46" i="413"/>
  <c r="Y46" i="413" s="1"/>
  <c r="AI70" i="413"/>
  <c r="X70" i="413" s="1"/>
  <c r="AI74" i="413"/>
  <c r="X74" i="413" s="1"/>
  <c r="AI77" i="413"/>
  <c r="X77" i="413" s="1"/>
  <c r="AJ40" i="413"/>
  <c r="Y40" i="413" s="1"/>
  <c r="AI76" i="413"/>
  <c r="X76" i="413" s="1"/>
  <c r="AJ47" i="413"/>
  <c r="Y47" i="413" s="1"/>
  <c r="AI81" i="413"/>
  <c r="X81" i="413" s="1"/>
  <c r="AJ36" i="413"/>
  <c r="Y36" i="413" s="1"/>
  <c r="AJ27" i="413"/>
  <c r="Y27" i="413" s="1"/>
  <c r="AJ63" i="413"/>
  <c r="Y63" i="413" s="1"/>
  <c r="AJ69" i="413"/>
  <c r="Y69" i="413" s="1"/>
  <c r="AI72" i="413"/>
  <c r="X72" i="413" s="1"/>
  <c r="AJ49" i="413"/>
  <c r="Y49" i="413" s="1"/>
  <c r="AJ51" i="413"/>
  <c r="Y51" i="413" s="1"/>
  <c r="AI73" i="413"/>
  <c r="X73" i="413" s="1"/>
  <c r="AJ64" i="413"/>
  <c r="Y64" i="413" s="1"/>
  <c r="AJ55" i="413"/>
  <c r="Y55" i="413" s="1"/>
  <c r="AJ68" i="413"/>
  <c r="Y68" i="413" s="1"/>
  <c r="AJ39" i="413"/>
  <c r="Y39" i="413" s="1"/>
  <c r="H41" i="413"/>
  <c r="G75" i="413"/>
  <c r="G67" i="413"/>
  <c r="H67" i="413" s="1"/>
  <c r="G59" i="413"/>
  <c r="H59" i="413" s="1"/>
  <c r="G51" i="413"/>
  <c r="H51" i="413" s="1"/>
  <c r="G43" i="413"/>
  <c r="G35" i="413"/>
  <c r="G27" i="413"/>
  <c r="H27" i="413" s="1"/>
  <c r="H35" i="413"/>
  <c r="G77" i="413"/>
  <c r="H77" i="413" s="1"/>
  <c r="G61" i="413"/>
  <c r="G45" i="413"/>
  <c r="G29" i="413"/>
  <c r="H70" i="413"/>
  <c r="G80" i="413"/>
  <c r="H80" i="413" s="1"/>
  <c r="G64" i="413"/>
  <c r="G48" i="413"/>
  <c r="G32" i="413"/>
  <c r="G54" i="413"/>
  <c r="H54" i="413" s="1"/>
  <c r="H28" i="413"/>
  <c r="G55" i="413"/>
  <c r="H29" i="413"/>
  <c r="H61" i="413"/>
  <c r="G26" i="413"/>
  <c r="G58" i="413"/>
  <c r="H32" i="413"/>
  <c r="H64" i="413"/>
  <c r="G73" i="413"/>
  <c r="H73" i="413" s="1"/>
  <c r="G57" i="413"/>
  <c r="H57" i="413" s="1"/>
  <c r="G41" i="413"/>
  <c r="G25" i="413"/>
  <c r="H66" i="413"/>
  <c r="G76" i="413"/>
  <c r="G60" i="413"/>
  <c r="H60" i="413" s="1"/>
  <c r="G44" i="413"/>
  <c r="G28" i="413"/>
  <c r="G30" i="413"/>
  <c r="H30" i="413" s="1"/>
  <c r="G62" i="413"/>
  <c r="H68" i="413"/>
  <c r="G31" i="413"/>
  <c r="H31" i="413" s="1"/>
  <c r="G63" i="413"/>
  <c r="H63" i="413" s="1"/>
  <c r="H72" i="413"/>
  <c r="G34" i="413"/>
  <c r="H34" i="413" s="1"/>
  <c r="G66" i="413"/>
  <c r="H76" i="413"/>
  <c r="H75" i="413"/>
  <c r="H43" i="413"/>
  <c r="G69" i="413"/>
  <c r="H69" i="413" s="1"/>
  <c r="G53" i="413"/>
  <c r="G37" i="413"/>
  <c r="H37" i="413" s="1"/>
  <c r="H62" i="413"/>
  <c r="H46" i="413"/>
  <c r="G72" i="413"/>
  <c r="G56" i="413"/>
  <c r="H56" i="413" s="1"/>
  <c r="G40" i="413"/>
  <c r="H40" i="413" s="1"/>
  <c r="G38" i="413"/>
  <c r="H38" i="413" s="1"/>
  <c r="G70" i="413"/>
  <c r="H44" i="413"/>
  <c r="G39" i="413"/>
  <c r="G71" i="413"/>
  <c r="H45" i="413"/>
  <c r="G42" i="413"/>
  <c r="G74" i="413"/>
  <c r="H74" i="413" s="1"/>
  <c r="H48" i="413"/>
  <c r="H71" i="413"/>
  <c r="H55" i="413"/>
  <c r="H39" i="413"/>
  <c r="G81" i="413"/>
  <c r="H81" i="413" s="1"/>
  <c r="G65" i="413"/>
  <c r="H65" i="413" s="1"/>
  <c r="G49" i="413"/>
  <c r="H49" i="413" s="1"/>
  <c r="G33" i="413"/>
  <c r="H33" i="413" s="1"/>
  <c r="H58" i="413"/>
  <c r="H42" i="413"/>
  <c r="H26" i="413"/>
  <c r="G68" i="413"/>
  <c r="G52" i="413"/>
  <c r="G36" i="413"/>
  <c r="H36" i="413" s="1"/>
  <c r="G46" i="413"/>
  <c r="G78" i="413"/>
  <c r="H78" i="413" s="1"/>
  <c r="H52" i="413"/>
  <c r="G47" i="413"/>
  <c r="H47" i="413" s="1"/>
  <c r="G79" i="413"/>
  <c r="H79" i="413" s="1"/>
  <c r="H53" i="413"/>
  <c r="G50" i="413"/>
  <c r="H50" i="413" s="1"/>
  <c r="H25" i="413"/>
  <c r="V23" i="413"/>
  <c r="W23" i="413" s="1"/>
  <c r="X23" i="413" s="1"/>
  <c r="Y23" i="413" s="1"/>
  <c r="Z23" i="413" s="1"/>
  <c r="AA23" i="413" s="1"/>
  <c r="AB23" i="413" s="1"/>
  <c r="AC23" i="413" s="1"/>
  <c r="AD23" i="413" s="1"/>
  <c r="AE23" i="413" s="1"/>
  <c r="AF23" i="413" s="1"/>
  <c r="AJ80" i="413" l="1"/>
  <c r="Y80" i="413" s="1"/>
  <c r="AK80" i="413" s="1"/>
  <c r="Z80" i="413" s="1"/>
  <c r="AO84" i="413"/>
  <c r="AD84" i="413" s="1"/>
  <c r="AR85" i="413"/>
  <c r="AR88" i="413"/>
  <c r="AR89" i="413"/>
  <c r="AD90" i="413"/>
  <c r="AK68" i="413"/>
  <c r="Z68" i="413" s="1"/>
  <c r="AK42" i="413"/>
  <c r="Z42" i="413" s="1"/>
  <c r="AK58" i="413"/>
  <c r="Z58" i="413" s="1"/>
  <c r="AK38" i="413"/>
  <c r="Z38" i="413" s="1"/>
  <c r="AK67" i="413"/>
  <c r="Z67" i="413" s="1"/>
  <c r="AI71" i="413"/>
  <c r="X71" i="413" s="1"/>
  <c r="AK50" i="413"/>
  <c r="Z50" i="413" s="1"/>
  <c r="AL59" i="413"/>
  <c r="AA59" i="413" s="1"/>
  <c r="AJ73" i="413"/>
  <c r="Y73" i="413" s="1"/>
  <c r="AJ81" i="413"/>
  <c r="Y81" i="413" s="1"/>
  <c r="AJ77" i="413"/>
  <c r="Y77" i="413" s="1"/>
  <c r="AK35" i="413"/>
  <c r="Z35" i="413" s="1"/>
  <c r="AK60" i="413"/>
  <c r="Z60" i="413" s="1"/>
  <c r="AJ26" i="413"/>
  <c r="Y26" i="413" s="1"/>
  <c r="AK33" i="413"/>
  <c r="Z33" i="413" s="1"/>
  <c r="AK25" i="413"/>
  <c r="Z25" i="413" s="1"/>
  <c r="AK41" i="413"/>
  <c r="Z41" i="413" s="1"/>
  <c r="AJ76" i="413"/>
  <c r="Y76" i="413" s="1"/>
  <c r="AJ74" i="413"/>
  <c r="Y74" i="413" s="1"/>
  <c r="AK69" i="413"/>
  <c r="Z69" i="413" s="1"/>
  <c r="AK40" i="413"/>
  <c r="Z40" i="413" s="1"/>
  <c r="AK46" i="413"/>
  <c r="Z46" i="413" s="1"/>
  <c r="AK65" i="413"/>
  <c r="Z65" i="413" s="1"/>
  <c r="AK79" i="413"/>
  <c r="Z79" i="413" s="1"/>
  <c r="AK53" i="413"/>
  <c r="Z53" i="413" s="1"/>
  <c r="AK51" i="413"/>
  <c r="Z51" i="413" s="1"/>
  <c r="AK63" i="413"/>
  <c r="Z63" i="413" s="1"/>
  <c r="AK29" i="413"/>
  <c r="Z29" i="413" s="1"/>
  <c r="AK44" i="413"/>
  <c r="Z44" i="413" s="1"/>
  <c r="AK57" i="413"/>
  <c r="Z57" i="413" s="1"/>
  <c r="AK56" i="413"/>
  <c r="Z56" i="413" s="1"/>
  <c r="AK32" i="413"/>
  <c r="Z32" i="413" s="1"/>
  <c r="AK43" i="413"/>
  <c r="Z43" i="413" s="1"/>
  <c r="AK39" i="413"/>
  <c r="Z39" i="413" s="1"/>
  <c r="AK64" i="413"/>
  <c r="Z64" i="413" s="1"/>
  <c r="AK27" i="413"/>
  <c r="Z27" i="413" s="1"/>
  <c r="AK52" i="413"/>
  <c r="Z52" i="413" s="1"/>
  <c r="AK75" i="413"/>
  <c r="Z75" i="413" s="1"/>
  <c r="AK61" i="413"/>
  <c r="Z61" i="413" s="1"/>
  <c r="AK54" i="413"/>
  <c r="Z54" i="413" s="1"/>
  <c r="AK34" i="413"/>
  <c r="Z34" i="413" s="1"/>
  <c r="AK45" i="413"/>
  <c r="Z45" i="413" s="1"/>
  <c r="AK30" i="413"/>
  <c r="Z30" i="413" s="1"/>
  <c r="AK36" i="413"/>
  <c r="Z36" i="413" s="1"/>
  <c r="AK66" i="413"/>
  <c r="Z66" i="413" s="1"/>
  <c r="AK37" i="413"/>
  <c r="Z37" i="413" s="1"/>
  <c r="AK31" i="413"/>
  <c r="Z31" i="413" s="1"/>
  <c r="AK55" i="413"/>
  <c r="Z55" i="413" s="1"/>
  <c r="AK49" i="413"/>
  <c r="Z49" i="413" s="1"/>
  <c r="AK47" i="413"/>
  <c r="Z47" i="413" s="1"/>
  <c r="AK28" i="413"/>
  <c r="Z28" i="413" s="1"/>
  <c r="AK48" i="413"/>
  <c r="Z48" i="413" s="1"/>
  <c r="AK78" i="413"/>
  <c r="Z78" i="413" s="1"/>
  <c r="AK62" i="413"/>
  <c r="Z62" i="413" s="1"/>
  <c r="AJ72" i="413"/>
  <c r="Y72" i="413" s="1"/>
  <c r="AO90" i="413" l="1"/>
  <c r="AL67" i="413"/>
  <c r="AA67" i="413" s="1"/>
  <c r="AP84" i="413"/>
  <c r="AE84" i="413" s="1"/>
  <c r="AL58" i="413"/>
  <c r="AA58" i="413" s="1"/>
  <c r="AL41" i="413"/>
  <c r="AA41" i="413" s="1"/>
  <c r="AL80" i="413"/>
  <c r="AA80" i="413" s="1"/>
  <c r="AK26" i="413"/>
  <c r="Z26" i="413" s="1"/>
  <c r="AJ71" i="413"/>
  <c r="Y71" i="413" s="1"/>
  <c r="AL42" i="413"/>
  <c r="AA42" i="413" s="1"/>
  <c r="AL60" i="413"/>
  <c r="AA60" i="413" s="1"/>
  <c r="AL33" i="413"/>
  <c r="AA33" i="413" s="1"/>
  <c r="AI82" i="413"/>
  <c r="AL35" i="413"/>
  <c r="AA35" i="413" s="1"/>
  <c r="AM59" i="413"/>
  <c r="AB59" i="413" s="1"/>
  <c r="AK76" i="413"/>
  <c r="Z76" i="413" s="1"/>
  <c r="AK77" i="413"/>
  <c r="Z77" i="413" s="1"/>
  <c r="AL50" i="413"/>
  <c r="AA50" i="413" s="1"/>
  <c r="AK73" i="413"/>
  <c r="Z73" i="413" s="1"/>
  <c r="AL38" i="413"/>
  <c r="AA38" i="413" s="1"/>
  <c r="AK81" i="413"/>
  <c r="Z81" i="413" s="1"/>
  <c r="X82" i="413"/>
  <c r="AJ70" i="413"/>
  <c r="Y70" i="413" s="1"/>
  <c r="AK74" i="413"/>
  <c r="Z74" i="413" s="1"/>
  <c r="AL28" i="413"/>
  <c r="AA28" i="413" s="1"/>
  <c r="AL31" i="413"/>
  <c r="AA31" i="413" s="1"/>
  <c r="AL61" i="413"/>
  <c r="AA61" i="413" s="1"/>
  <c r="AL43" i="413"/>
  <c r="AA43" i="413" s="1"/>
  <c r="AL65" i="413"/>
  <c r="AA65" i="413" s="1"/>
  <c r="AL62" i="413"/>
  <c r="AA62" i="413" s="1"/>
  <c r="AL30" i="413"/>
  <c r="AA30" i="413" s="1"/>
  <c r="AL27" i="413"/>
  <c r="AA27" i="413" s="1"/>
  <c r="AL44" i="413"/>
  <c r="AA44" i="413" s="1"/>
  <c r="AL68" i="413"/>
  <c r="AA68" i="413" s="1"/>
  <c r="AL78" i="413"/>
  <c r="AA78" i="413" s="1"/>
  <c r="AL49" i="413"/>
  <c r="AA49" i="413" s="1"/>
  <c r="AL37" i="413"/>
  <c r="AA37" i="413" s="1"/>
  <c r="AL45" i="413"/>
  <c r="AA45" i="413" s="1"/>
  <c r="AL75" i="413"/>
  <c r="AA75" i="413" s="1"/>
  <c r="AL32" i="413"/>
  <c r="AA32" i="413" s="1"/>
  <c r="AL29" i="413"/>
  <c r="AA29" i="413" s="1"/>
  <c r="AL63" i="413"/>
  <c r="AA63" i="413" s="1"/>
  <c r="AL53" i="413"/>
  <c r="AA53" i="413" s="1"/>
  <c r="AL46" i="413"/>
  <c r="AA46" i="413" s="1"/>
  <c r="AL48" i="413"/>
  <c r="AA48" i="413" s="1"/>
  <c r="AL55" i="413"/>
  <c r="AA55" i="413" s="1"/>
  <c r="AL66" i="413"/>
  <c r="AA66" i="413" s="1"/>
  <c r="AL34" i="413"/>
  <c r="AA34" i="413" s="1"/>
  <c r="AL52" i="413"/>
  <c r="AA52" i="413" s="1"/>
  <c r="AL64" i="413"/>
  <c r="AA64" i="413" s="1"/>
  <c r="AL56" i="413"/>
  <c r="AA56" i="413" s="1"/>
  <c r="AL79" i="413"/>
  <c r="AA79" i="413" s="1"/>
  <c r="AL40" i="413"/>
  <c r="AA40" i="413" s="1"/>
  <c r="AL47" i="413"/>
  <c r="AA47" i="413" s="1"/>
  <c r="AL36" i="413"/>
  <c r="AA36" i="413" s="1"/>
  <c r="AL54" i="413"/>
  <c r="AA54" i="413" s="1"/>
  <c r="AL39" i="413"/>
  <c r="AA39" i="413" s="1"/>
  <c r="AL57" i="413"/>
  <c r="AA57" i="413" s="1"/>
  <c r="AL51" i="413"/>
  <c r="AA51" i="413" s="1"/>
  <c r="AL69" i="413"/>
  <c r="AA69" i="413" s="1"/>
  <c r="AM67" i="413"/>
  <c r="AB67" i="413" s="1"/>
  <c r="AK72" i="413"/>
  <c r="Z72" i="413" s="1"/>
  <c r="AE90" i="413" l="1"/>
  <c r="AP90" i="413"/>
  <c r="AQ84" i="413"/>
  <c r="AF84" i="413" s="1"/>
  <c r="AM41" i="413"/>
  <c r="AB41" i="413" s="1"/>
  <c r="AM58" i="413"/>
  <c r="AB58" i="413" s="1"/>
  <c r="AM80" i="413"/>
  <c r="AB80" i="413" s="1"/>
  <c r="AM69" i="413"/>
  <c r="AB69" i="413" s="1"/>
  <c r="AM68" i="413"/>
  <c r="AB68" i="413" s="1"/>
  <c r="AM33" i="413"/>
  <c r="AB33" i="413" s="1"/>
  <c r="AL26" i="413"/>
  <c r="AA26" i="413" s="1"/>
  <c r="AL73" i="413"/>
  <c r="AA73" i="413" s="1"/>
  <c r="AK71" i="413"/>
  <c r="Z71" i="413" s="1"/>
  <c r="AM50" i="413"/>
  <c r="AB50" i="413" s="1"/>
  <c r="AM35" i="413"/>
  <c r="AB35" i="413" s="1"/>
  <c r="AL81" i="413"/>
  <c r="AA81" i="413" s="1"/>
  <c r="AL77" i="413"/>
  <c r="AA77" i="413" s="1"/>
  <c r="AL76" i="413"/>
  <c r="AA76" i="413" s="1"/>
  <c r="AN59" i="413"/>
  <c r="AC59" i="413" s="1"/>
  <c r="AM60" i="413"/>
  <c r="AB60" i="413" s="1"/>
  <c r="Y82" i="413"/>
  <c r="AM42" i="413"/>
  <c r="AB42" i="413" s="1"/>
  <c r="AM38" i="413"/>
  <c r="AB38" i="413" s="1"/>
  <c r="AL74" i="413"/>
  <c r="AA74" i="413" s="1"/>
  <c r="AL25" i="413"/>
  <c r="AA25" i="413" s="1"/>
  <c r="AJ82" i="413"/>
  <c r="AM39" i="413"/>
  <c r="AB39" i="413" s="1"/>
  <c r="AM36" i="413"/>
  <c r="AB36" i="413" s="1"/>
  <c r="AM40" i="413"/>
  <c r="AB40" i="413" s="1"/>
  <c r="AM34" i="413"/>
  <c r="AB34" i="413" s="1"/>
  <c r="AM48" i="413"/>
  <c r="AB48" i="413" s="1"/>
  <c r="AM29" i="413"/>
  <c r="AB29" i="413" s="1"/>
  <c r="AM44" i="413"/>
  <c r="AB44" i="413" s="1"/>
  <c r="AM43" i="413"/>
  <c r="AB43" i="413" s="1"/>
  <c r="AM51" i="413"/>
  <c r="AB51" i="413" s="1"/>
  <c r="AM79" i="413"/>
  <c r="AB79" i="413" s="1"/>
  <c r="AM56" i="413"/>
  <c r="AB56" i="413" s="1"/>
  <c r="AM66" i="413"/>
  <c r="AB66" i="413" s="1"/>
  <c r="AM46" i="413"/>
  <c r="AB46" i="413" s="1"/>
  <c r="AM32" i="413"/>
  <c r="AB32" i="413" s="1"/>
  <c r="AM45" i="413"/>
  <c r="AB45" i="413" s="1"/>
  <c r="AM78" i="413"/>
  <c r="AB78" i="413" s="1"/>
  <c r="AM27" i="413"/>
  <c r="AB27" i="413" s="1"/>
  <c r="AM61" i="413"/>
  <c r="AB61" i="413" s="1"/>
  <c r="AL72" i="413"/>
  <c r="AA72" i="413" s="1"/>
  <c r="AM47" i="413"/>
  <c r="AB47" i="413" s="1"/>
  <c r="AM64" i="413"/>
  <c r="AB64" i="413" s="1"/>
  <c r="AM55" i="413"/>
  <c r="AB55" i="413" s="1"/>
  <c r="AM53" i="413"/>
  <c r="AB53" i="413" s="1"/>
  <c r="AM37" i="413"/>
  <c r="AB37" i="413" s="1"/>
  <c r="AM30" i="413"/>
  <c r="AB30" i="413" s="1"/>
  <c r="AM65" i="413"/>
  <c r="AB65" i="413" s="1"/>
  <c r="AM31" i="413"/>
  <c r="AB31" i="413" s="1"/>
  <c r="AM57" i="413"/>
  <c r="AB57" i="413" s="1"/>
  <c r="AM54" i="413"/>
  <c r="AB54" i="413" s="1"/>
  <c r="AM52" i="413"/>
  <c r="AB52" i="413" s="1"/>
  <c r="AM63" i="413"/>
  <c r="AB63" i="413" s="1"/>
  <c r="AM49" i="413"/>
  <c r="AB49" i="413" s="1"/>
  <c r="AM28" i="413"/>
  <c r="AB28" i="413" s="1"/>
  <c r="AM62" i="413"/>
  <c r="AB62" i="413" s="1"/>
  <c r="AN67" i="413"/>
  <c r="AC67" i="413" s="1"/>
  <c r="AF90" i="413" l="1"/>
  <c r="AQ90" i="413"/>
  <c r="AN41" i="413"/>
  <c r="AC41" i="413" s="1"/>
  <c r="AN80" i="413"/>
  <c r="AC80" i="413" s="1"/>
  <c r="AN58" i="413"/>
  <c r="AC58" i="413" s="1"/>
  <c r="AN33" i="413"/>
  <c r="AC33" i="413" s="1"/>
  <c r="AM75" i="413"/>
  <c r="AB75" i="413" s="1"/>
  <c r="AN42" i="413"/>
  <c r="AC42" i="413" s="1"/>
  <c r="AM26" i="413"/>
  <c r="AB26" i="413" s="1"/>
  <c r="AM73" i="413"/>
  <c r="AB73" i="413" s="1"/>
  <c r="AL71" i="413"/>
  <c r="AA71" i="413" s="1"/>
  <c r="AN35" i="413"/>
  <c r="AC35" i="413" s="1"/>
  <c r="AM74" i="413"/>
  <c r="AB74" i="413" s="1"/>
  <c r="AO59" i="413"/>
  <c r="AD59" i="413" s="1"/>
  <c r="AN60" i="413"/>
  <c r="AC60" i="413" s="1"/>
  <c r="AN50" i="413"/>
  <c r="AC50" i="413" s="1"/>
  <c r="AM76" i="413"/>
  <c r="AB76" i="413" s="1"/>
  <c r="AN38" i="413"/>
  <c r="AC38" i="413" s="1"/>
  <c r="AK70" i="413"/>
  <c r="Z70" i="413" s="1"/>
  <c r="AM81" i="413"/>
  <c r="AB81" i="413" s="1"/>
  <c r="AM77" i="413"/>
  <c r="AB77" i="413" s="1"/>
  <c r="AO67" i="413"/>
  <c r="AD67" i="413" s="1"/>
  <c r="AN63" i="413"/>
  <c r="AC63" i="413" s="1"/>
  <c r="AN31" i="413"/>
  <c r="AC31" i="413" s="1"/>
  <c r="AN64" i="413"/>
  <c r="AC64" i="413" s="1"/>
  <c r="AN44" i="413"/>
  <c r="AC44" i="413" s="1"/>
  <c r="AN39" i="413"/>
  <c r="AC39" i="413" s="1"/>
  <c r="AN62" i="413"/>
  <c r="AC62" i="413" s="1"/>
  <c r="AN57" i="413"/>
  <c r="AC57" i="413" s="1"/>
  <c r="AN46" i="413"/>
  <c r="AC46" i="413" s="1"/>
  <c r="AN28" i="413"/>
  <c r="AC28" i="413" s="1"/>
  <c r="AN52" i="413"/>
  <c r="AC52" i="413" s="1"/>
  <c r="AN69" i="413"/>
  <c r="AC69" i="413" s="1"/>
  <c r="AN30" i="413"/>
  <c r="AC30" i="413" s="1"/>
  <c r="AN53" i="413"/>
  <c r="AC53" i="413" s="1"/>
  <c r="AN61" i="413"/>
  <c r="AC61" i="413" s="1"/>
  <c r="AN45" i="413"/>
  <c r="AC45" i="413" s="1"/>
  <c r="AN66" i="413"/>
  <c r="AC66" i="413" s="1"/>
  <c r="AN29" i="413"/>
  <c r="AC29" i="413" s="1"/>
  <c r="AN40" i="413"/>
  <c r="AC40" i="413" s="1"/>
  <c r="AN54" i="413"/>
  <c r="AC54" i="413" s="1"/>
  <c r="AN37" i="413"/>
  <c r="AC37" i="413" s="1"/>
  <c r="AN34" i="413"/>
  <c r="AC34" i="413" s="1"/>
  <c r="AN65" i="413"/>
  <c r="AC65" i="413" s="1"/>
  <c r="AN47" i="413"/>
  <c r="AC47" i="413" s="1"/>
  <c r="AM72" i="413"/>
  <c r="AB72" i="413" s="1"/>
  <c r="AN49" i="413"/>
  <c r="AC49" i="413" s="1"/>
  <c r="AN68" i="413"/>
  <c r="AC68" i="413" s="1"/>
  <c r="AN55" i="413"/>
  <c r="AC55" i="413" s="1"/>
  <c r="AN27" i="413"/>
  <c r="AC27" i="413" s="1"/>
  <c r="AN56" i="413"/>
  <c r="AC56" i="413" s="1"/>
  <c r="AN51" i="413"/>
  <c r="AC51" i="413" s="1"/>
  <c r="AN43" i="413"/>
  <c r="AC43" i="413" s="1"/>
  <c r="AN48" i="413"/>
  <c r="AC48" i="413" s="1"/>
  <c r="AN36" i="413"/>
  <c r="AC36" i="413" s="1"/>
  <c r="AN78" i="413"/>
  <c r="AC78" i="413" s="1"/>
  <c r="AN32" i="413"/>
  <c r="AC32" i="413" s="1"/>
  <c r="AN79" i="413"/>
  <c r="AC79" i="413" s="1"/>
  <c r="G30" i="412"/>
  <c r="R17" i="412" s="1"/>
  <c r="Y17" i="412" s="1"/>
  <c r="F30" i="412"/>
  <c r="R16" i="412" s="1"/>
  <c r="Y16" i="412" s="1"/>
  <c r="E30" i="412"/>
  <c r="R15" i="412" s="1"/>
  <c r="Y15" i="412" s="1"/>
  <c r="D30" i="412"/>
  <c r="G29" i="412"/>
  <c r="G31" i="412" s="1"/>
  <c r="F29" i="412"/>
  <c r="F31" i="412" s="1"/>
  <c r="E29" i="412"/>
  <c r="R8" i="412" s="1"/>
  <c r="Y8" i="412" s="1"/>
  <c r="D29" i="412"/>
  <c r="D31" i="412" s="1"/>
  <c r="G24" i="412"/>
  <c r="F24" i="412"/>
  <c r="Q16" i="412" s="1"/>
  <c r="X16" i="412" s="1"/>
  <c r="E24" i="412"/>
  <c r="Q15" i="412" s="1"/>
  <c r="X15" i="412" s="1"/>
  <c r="D24" i="412"/>
  <c r="G23" i="412"/>
  <c r="G25" i="412" s="1"/>
  <c r="F23" i="412"/>
  <c r="F25" i="412" s="1"/>
  <c r="E23" i="412"/>
  <c r="E25" i="412" s="1"/>
  <c r="D23" i="412"/>
  <c r="G18" i="412"/>
  <c r="P17" i="412" s="1"/>
  <c r="W17" i="412" s="1"/>
  <c r="F18" i="412"/>
  <c r="P16" i="412" s="1"/>
  <c r="W16" i="412" s="1"/>
  <c r="E18" i="412"/>
  <c r="D18" i="412"/>
  <c r="G17" i="412"/>
  <c r="G19" i="412" s="1"/>
  <c r="F17" i="412"/>
  <c r="E17" i="412"/>
  <c r="D17" i="412"/>
  <c r="D19" i="412" s="1"/>
  <c r="G12" i="412"/>
  <c r="O17" i="412" s="1"/>
  <c r="V17" i="412" s="1"/>
  <c r="F12" i="412"/>
  <c r="O16" i="412" s="1"/>
  <c r="V16" i="412" s="1"/>
  <c r="E12" i="412"/>
  <c r="D12" i="412"/>
  <c r="G11" i="412"/>
  <c r="F11" i="412"/>
  <c r="F13" i="412" s="1"/>
  <c r="E11" i="412"/>
  <c r="D11" i="412"/>
  <c r="D13" i="412" s="1"/>
  <c r="G6" i="412"/>
  <c r="F6" i="412"/>
  <c r="N16" i="412" s="1"/>
  <c r="U16" i="412" s="1"/>
  <c r="E6" i="412"/>
  <c r="N15" i="412" s="1"/>
  <c r="U15" i="412" s="1"/>
  <c r="D6" i="412"/>
  <c r="G5" i="412"/>
  <c r="N10" i="412" s="1"/>
  <c r="U10" i="412" s="1"/>
  <c r="F5" i="412"/>
  <c r="N9" i="412" s="1"/>
  <c r="U9" i="412" s="1"/>
  <c r="E5" i="412"/>
  <c r="N8" i="412" s="1"/>
  <c r="U8" i="412" s="1"/>
  <c r="D5" i="412"/>
  <c r="E31" i="412"/>
  <c r="E19" i="412"/>
  <c r="Q17" i="412"/>
  <c r="X17" i="412" s="1"/>
  <c r="P15" i="412"/>
  <c r="W15" i="412" s="1"/>
  <c r="O15" i="412"/>
  <c r="V15" i="412" s="1"/>
  <c r="G13" i="412"/>
  <c r="P8" i="412"/>
  <c r="W8" i="412" s="1"/>
  <c r="P7" i="412"/>
  <c r="W7" i="412" s="1"/>
  <c r="E86" i="13" s="1"/>
  <c r="O9" i="412" l="1"/>
  <c r="V9" i="412" s="1"/>
  <c r="I12" i="412"/>
  <c r="J12" i="412" s="1"/>
  <c r="I17" i="412"/>
  <c r="J17" i="412" s="1"/>
  <c r="I18" i="412"/>
  <c r="J18" i="412" s="1"/>
  <c r="I24" i="412"/>
  <c r="J24" i="412" s="1"/>
  <c r="N14" i="412"/>
  <c r="U14" i="412" s="1"/>
  <c r="C200" i="13" s="1"/>
  <c r="I6" i="412"/>
  <c r="J6" i="412" s="1"/>
  <c r="O7" i="412"/>
  <c r="V7" i="412" s="1"/>
  <c r="D86" i="13" s="1"/>
  <c r="E87" i="13" s="1"/>
  <c r="I11" i="412"/>
  <c r="J11" i="412" s="1"/>
  <c r="Q7" i="412"/>
  <c r="X7" i="412" s="1"/>
  <c r="F86" i="13" s="1"/>
  <c r="I23" i="412"/>
  <c r="J23" i="412" s="1"/>
  <c r="R7" i="412"/>
  <c r="Y7" i="412" s="1"/>
  <c r="G86" i="13" s="1"/>
  <c r="I29" i="412"/>
  <c r="J29" i="412" s="1"/>
  <c r="R14" i="412"/>
  <c r="I30" i="412"/>
  <c r="J30" i="412" s="1"/>
  <c r="O14" i="412"/>
  <c r="V14" i="412" s="1"/>
  <c r="D200" i="13" s="1"/>
  <c r="Q8" i="412"/>
  <c r="X8" i="412" s="1"/>
  <c r="P14" i="412"/>
  <c r="D25" i="412"/>
  <c r="N7" i="412"/>
  <c r="U7" i="412" s="1"/>
  <c r="C86" i="13" s="1"/>
  <c r="I5" i="412"/>
  <c r="J5" i="412" s="1"/>
  <c r="Q14" i="412"/>
  <c r="X14" i="412" s="1"/>
  <c r="F200" i="13" s="1"/>
  <c r="G7" i="412"/>
  <c r="R9" i="412"/>
  <c r="Y9" i="412" s="1"/>
  <c r="F7" i="412"/>
  <c r="Q9" i="412"/>
  <c r="X9" i="412" s="1"/>
  <c r="R10" i="412"/>
  <c r="Y10" i="412" s="1"/>
  <c r="P10" i="412"/>
  <c r="W10" i="412" s="1"/>
  <c r="Q10" i="412"/>
  <c r="X10" i="412" s="1"/>
  <c r="AO35" i="413"/>
  <c r="AD35" i="413" s="1"/>
  <c r="AR84" i="413"/>
  <c r="AR90" i="413" s="1"/>
  <c r="AO41" i="413"/>
  <c r="AD41" i="413" s="1"/>
  <c r="AN75" i="413"/>
  <c r="AC75" i="413" s="1"/>
  <c r="AO58" i="413"/>
  <c r="AD58" i="413" s="1"/>
  <c r="AN76" i="413"/>
  <c r="AC76" i="413" s="1"/>
  <c r="AO33" i="413"/>
  <c r="AD33" i="413" s="1"/>
  <c r="AO42" i="413"/>
  <c r="AD42" i="413" s="1"/>
  <c r="AN26" i="413"/>
  <c r="AC26" i="413" s="1"/>
  <c r="AN77" i="413"/>
  <c r="AC77" i="413" s="1"/>
  <c r="AN73" i="413"/>
  <c r="AC73" i="413" s="1"/>
  <c r="AM71" i="413"/>
  <c r="AB71" i="413" s="1"/>
  <c r="AO60" i="413"/>
  <c r="AD60" i="413" s="1"/>
  <c r="AP59" i="413"/>
  <c r="AE59" i="413" s="1"/>
  <c r="AN81" i="413"/>
  <c r="AC81" i="413" s="1"/>
  <c r="AN74" i="413"/>
  <c r="AC74" i="413" s="1"/>
  <c r="AO38" i="413"/>
  <c r="AD38" i="413" s="1"/>
  <c r="AO50" i="413"/>
  <c r="AD50" i="413" s="1"/>
  <c r="Z82" i="413"/>
  <c r="AK82" i="413"/>
  <c r="AM25" i="413"/>
  <c r="AB25" i="413" s="1"/>
  <c r="AO43" i="413"/>
  <c r="AD43" i="413" s="1"/>
  <c r="AO49" i="413"/>
  <c r="AD49" i="413" s="1"/>
  <c r="AO54" i="413"/>
  <c r="AD54" i="413" s="1"/>
  <c r="AO45" i="413"/>
  <c r="AD45" i="413" s="1"/>
  <c r="AO57" i="413"/>
  <c r="AD57" i="413" s="1"/>
  <c r="AO51" i="413"/>
  <c r="AD51" i="413" s="1"/>
  <c r="AO34" i="413"/>
  <c r="AD34" i="413" s="1"/>
  <c r="AO52" i="413"/>
  <c r="AD52" i="413" s="1"/>
  <c r="AO31" i="413"/>
  <c r="AD31" i="413" s="1"/>
  <c r="AO36" i="413"/>
  <c r="AD36" i="413" s="1"/>
  <c r="AO56" i="413"/>
  <c r="AD56" i="413" s="1"/>
  <c r="AO65" i="413"/>
  <c r="AD65" i="413" s="1"/>
  <c r="AO53" i="413"/>
  <c r="AD53" i="413" s="1"/>
  <c r="AO28" i="413"/>
  <c r="AD28" i="413" s="1"/>
  <c r="AO46" i="413"/>
  <c r="AD46" i="413" s="1"/>
  <c r="AO39" i="413"/>
  <c r="AD39" i="413" s="1"/>
  <c r="AO63" i="413"/>
  <c r="AD63" i="413" s="1"/>
  <c r="AO55" i="413"/>
  <c r="AD55" i="413" s="1"/>
  <c r="AN72" i="413"/>
  <c r="AC72" i="413" s="1"/>
  <c r="AO29" i="413"/>
  <c r="AD29" i="413" s="1"/>
  <c r="AO64" i="413"/>
  <c r="AD64" i="413" s="1"/>
  <c r="AO47" i="413"/>
  <c r="AD47" i="413" s="1"/>
  <c r="AP58" i="413"/>
  <c r="AE58" i="413" s="1"/>
  <c r="AO61" i="413"/>
  <c r="AD61" i="413" s="1"/>
  <c r="AO62" i="413"/>
  <c r="AD62" i="413" s="1"/>
  <c r="AO32" i="413"/>
  <c r="AD32" i="413" s="1"/>
  <c r="AO48" i="413"/>
  <c r="AD48" i="413" s="1"/>
  <c r="AO27" i="413"/>
  <c r="AD27" i="413" s="1"/>
  <c r="AO37" i="413"/>
  <c r="AD37" i="413" s="1"/>
  <c r="AO40" i="413"/>
  <c r="AD40" i="413" s="1"/>
  <c r="AO66" i="413"/>
  <c r="AD66" i="413" s="1"/>
  <c r="AO30" i="413"/>
  <c r="AD30" i="413" s="1"/>
  <c r="AP41" i="413"/>
  <c r="AE41" i="413" s="1"/>
  <c r="AO44" i="413"/>
  <c r="AD44" i="413" s="1"/>
  <c r="AP67" i="413"/>
  <c r="AE67" i="413" s="1"/>
  <c r="P9" i="412"/>
  <c r="W9" i="412" s="1"/>
  <c r="F19" i="412"/>
  <c r="N17" i="412"/>
  <c r="U17" i="412" s="1"/>
  <c r="O10" i="412"/>
  <c r="V10" i="412" s="1"/>
  <c r="E7" i="412"/>
  <c r="D7" i="412"/>
  <c r="Q13" i="412"/>
  <c r="E13" i="412"/>
  <c r="O8" i="412"/>
  <c r="V8" i="412" s="1"/>
  <c r="G87" i="13" l="1"/>
  <c r="P13" i="412"/>
  <c r="W13" i="412" s="1"/>
  <c r="W14" i="412"/>
  <c r="E200" i="13" s="1"/>
  <c r="R13" i="412"/>
  <c r="Y13" i="412" s="1"/>
  <c r="Y14" i="412"/>
  <c r="G200" i="13" s="1"/>
  <c r="F33" i="13"/>
  <c r="F87" i="13"/>
  <c r="N6" i="412"/>
  <c r="Q36" i="412"/>
  <c r="X13" i="412"/>
  <c r="C33" i="13"/>
  <c r="D201" i="13"/>
  <c r="D87" i="13"/>
  <c r="D33" i="13"/>
  <c r="D34" i="13" s="1"/>
  <c r="P35" i="412"/>
  <c r="P33" i="412"/>
  <c r="R35" i="412"/>
  <c r="R33" i="412"/>
  <c r="N29" i="412"/>
  <c r="R6" i="412"/>
  <c r="Y6" i="412" s="1"/>
  <c r="Q33" i="412"/>
  <c r="Q35" i="412"/>
  <c r="Q6" i="412"/>
  <c r="X6" i="412" s="1"/>
  <c r="P6" i="412"/>
  <c r="W6" i="412" s="1"/>
  <c r="Q34" i="412"/>
  <c r="AP35" i="413"/>
  <c r="AE35" i="413" s="1"/>
  <c r="AO75" i="413"/>
  <c r="AD75" i="413" s="1"/>
  <c r="AP42" i="413"/>
  <c r="AE42" i="413" s="1"/>
  <c r="AP33" i="413"/>
  <c r="AE33" i="413" s="1"/>
  <c r="AO73" i="413"/>
  <c r="AD73" i="413" s="1"/>
  <c r="AO26" i="413"/>
  <c r="AD26" i="413" s="1"/>
  <c r="AN71" i="413"/>
  <c r="AC71" i="413" s="1"/>
  <c r="AP60" i="413"/>
  <c r="AE60" i="413" s="1"/>
  <c r="AP38" i="413"/>
  <c r="AE38" i="413" s="1"/>
  <c r="AP50" i="413"/>
  <c r="AE50" i="413" s="1"/>
  <c r="AO81" i="413"/>
  <c r="AD81" i="413" s="1"/>
  <c r="AQ59" i="413"/>
  <c r="AF59" i="413" s="1"/>
  <c r="AO74" i="413"/>
  <c r="AD74" i="413" s="1"/>
  <c r="AL70" i="413"/>
  <c r="AA70" i="413" s="1"/>
  <c r="AQ41" i="413"/>
  <c r="AF41" i="413" s="1"/>
  <c r="AQ60" i="413"/>
  <c r="AF60" i="413" s="1"/>
  <c r="AP47" i="413"/>
  <c r="AE47" i="413" s="1"/>
  <c r="AP55" i="413"/>
  <c r="AE55" i="413" s="1"/>
  <c r="AP31" i="413"/>
  <c r="AE31" i="413" s="1"/>
  <c r="AP49" i="413"/>
  <c r="AE49" i="413" s="1"/>
  <c r="AP27" i="413"/>
  <c r="AE27" i="413" s="1"/>
  <c r="AP28" i="413"/>
  <c r="AE28" i="413" s="1"/>
  <c r="AP56" i="413"/>
  <c r="AE56" i="413" s="1"/>
  <c r="AP43" i="413"/>
  <c r="AE43" i="413" s="1"/>
  <c r="AQ67" i="413"/>
  <c r="AF67" i="413" s="1"/>
  <c r="AP30" i="413"/>
  <c r="AE30" i="413" s="1"/>
  <c r="AP48" i="413"/>
  <c r="AE48" i="413" s="1"/>
  <c r="AP61" i="413"/>
  <c r="AE61" i="413" s="1"/>
  <c r="AP63" i="413"/>
  <c r="AE63" i="413" s="1"/>
  <c r="AP53" i="413"/>
  <c r="AE53" i="413" s="1"/>
  <c r="AP65" i="413"/>
  <c r="AE65" i="413" s="1"/>
  <c r="AP36" i="413"/>
  <c r="AE36" i="413" s="1"/>
  <c r="AP52" i="413"/>
  <c r="AE52" i="413" s="1"/>
  <c r="AP51" i="413"/>
  <c r="AE51" i="413" s="1"/>
  <c r="AP45" i="413"/>
  <c r="AE45" i="413" s="1"/>
  <c r="AP40" i="413"/>
  <c r="AE40" i="413" s="1"/>
  <c r="AQ42" i="413"/>
  <c r="AF42" i="413" s="1"/>
  <c r="AP46" i="413"/>
  <c r="AE46" i="413" s="1"/>
  <c r="AP34" i="413"/>
  <c r="AE34" i="413" s="1"/>
  <c r="AP57" i="413"/>
  <c r="AE57" i="413" s="1"/>
  <c r="AP37" i="413"/>
  <c r="AE37" i="413" s="1"/>
  <c r="AP62" i="413"/>
  <c r="AE62" i="413" s="1"/>
  <c r="AP29" i="413"/>
  <c r="AE29" i="413" s="1"/>
  <c r="AP44" i="413"/>
  <c r="AE44" i="413" s="1"/>
  <c r="AP66" i="413"/>
  <c r="AE66" i="413" s="1"/>
  <c r="AP32" i="413"/>
  <c r="AE32" i="413" s="1"/>
  <c r="AQ58" i="413"/>
  <c r="AF58" i="413" s="1"/>
  <c r="AP64" i="413"/>
  <c r="AE64" i="413" s="1"/>
  <c r="AO72" i="413"/>
  <c r="AD72" i="413" s="1"/>
  <c r="AP39" i="413"/>
  <c r="AE39" i="413" s="1"/>
  <c r="AP54" i="413"/>
  <c r="AE54" i="413" s="1"/>
  <c r="O6" i="412"/>
  <c r="V6" i="412" s="1"/>
  <c r="N13" i="412"/>
  <c r="G201" i="13" l="1"/>
  <c r="H201" i="13"/>
  <c r="G33" i="13"/>
  <c r="G34" i="13" s="1"/>
  <c r="C107" i="13"/>
  <c r="C13" i="13"/>
  <c r="N27" i="412"/>
  <c r="U6" i="412"/>
  <c r="N30" i="412"/>
  <c r="R34" i="412"/>
  <c r="P36" i="412"/>
  <c r="E201" i="13"/>
  <c r="E33" i="13"/>
  <c r="E34" i="13" s="1"/>
  <c r="N36" i="412"/>
  <c r="U13" i="412"/>
  <c r="N28" i="412"/>
  <c r="R36" i="412"/>
  <c r="P34" i="412"/>
  <c r="C90" i="13"/>
  <c r="F201" i="13"/>
  <c r="P27" i="412"/>
  <c r="P28" i="412"/>
  <c r="N35" i="412"/>
  <c r="N34" i="412"/>
  <c r="N33" i="412"/>
  <c r="Q27" i="412"/>
  <c r="Q28" i="412"/>
  <c r="R27" i="412"/>
  <c r="R28" i="412"/>
  <c r="O27" i="412"/>
  <c r="O29" i="412"/>
  <c r="R29" i="412"/>
  <c r="P30" i="412"/>
  <c r="O30" i="412"/>
  <c r="P29" i="412"/>
  <c r="Q30" i="412"/>
  <c r="Q29" i="412"/>
  <c r="R30" i="412"/>
  <c r="O28" i="412"/>
  <c r="AQ33" i="413"/>
  <c r="AF33" i="413" s="1"/>
  <c r="AQ35" i="413"/>
  <c r="AF35" i="413" s="1"/>
  <c r="AQ50" i="413"/>
  <c r="AF50" i="413" s="1"/>
  <c r="AP26" i="413"/>
  <c r="AE26" i="413" s="1"/>
  <c r="AQ38" i="413"/>
  <c r="AF38" i="413" s="1"/>
  <c r="AO71" i="413"/>
  <c r="AD71" i="413" s="1"/>
  <c r="AR59" i="413"/>
  <c r="AA82" i="413"/>
  <c r="AM70" i="413"/>
  <c r="AB70" i="413" s="1"/>
  <c r="AL82" i="413"/>
  <c r="AN25" i="413"/>
  <c r="AC25" i="413" s="1"/>
  <c r="AQ39" i="413"/>
  <c r="AF39" i="413" s="1"/>
  <c r="AQ29" i="413"/>
  <c r="AF29" i="413" s="1"/>
  <c r="AR42" i="413"/>
  <c r="AQ63" i="413"/>
  <c r="AF63" i="413" s="1"/>
  <c r="AR35" i="413"/>
  <c r="AQ49" i="413"/>
  <c r="AF49" i="413" s="1"/>
  <c r="AQ62" i="413"/>
  <c r="AF62" i="413" s="1"/>
  <c r="AQ40" i="413"/>
  <c r="AF40" i="413" s="1"/>
  <c r="AQ43" i="413"/>
  <c r="AF43" i="413" s="1"/>
  <c r="AQ31" i="413"/>
  <c r="AF31" i="413" s="1"/>
  <c r="AR60" i="413"/>
  <c r="AQ54" i="413"/>
  <c r="AF54" i="413" s="1"/>
  <c r="AQ64" i="413"/>
  <c r="AF64" i="413" s="1"/>
  <c r="AQ66" i="413"/>
  <c r="AF66" i="413" s="1"/>
  <c r="AQ37" i="413"/>
  <c r="AF37" i="413" s="1"/>
  <c r="AQ46" i="413"/>
  <c r="AF46" i="413" s="1"/>
  <c r="AQ45" i="413"/>
  <c r="AF45" i="413" s="1"/>
  <c r="AQ65" i="413"/>
  <c r="AF65" i="413" s="1"/>
  <c r="AR33" i="413"/>
  <c r="AR50" i="413"/>
  <c r="AQ27" i="413"/>
  <c r="AF27" i="413" s="1"/>
  <c r="AR38" i="413"/>
  <c r="AQ32" i="413"/>
  <c r="AF32" i="413" s="1"/>
  <c r="AQ34" i="413"/>
  <c r="AF34" i="413" s="1"/>
  <c r="AQ52" i="413"/>
  <c r="AF52" i="413" s="1"/>
  <c r="AR67" i="413"/>
  <c r="AQ47" i="413"/>
  <c r="AF47" i="413" s="1"/>
  <c r="AQ36" i="413"/>
  <c r="AF36" i="413" s="1"/>
  <c r="AR58" i="413"/>
  <c r="AQ44" i="413"/>
  <c r="AF44" i="413" s="1"/>
  <c r="AQ57" i="413"/>
  <c r="AF57" i="413" s="1"/>
  <c r="AQ51" i="413"/>
  <c r="AF51" i="413" s="1"/>
  <c r="AQ53" i="413"/>
  <c r="AF53" i="413" s="1"/>
  <c r="AQ61" i="413"/>
  <c r="AF61" i="413" s="1"/>
  <c r="AQ30" i="413"/>
  <c r="AF30" i="413" s="1"/>
  <c r="AQ28" i="413"/>
  <c r="AF28" i="413" s="1"/>
  <c r="AQ55" i="413"/>
  <c r="AF55" i="413" s="1"/>
  <c r="AQ48" i="413"/>
  <c r="AF48" i="413" s="1"/>
  <c r="AQ56" i="413"/>
  <c r="AF56" i="413" s="1"/>
  <c r="AR41" i="413"/>
  <c r="O13" i="412"/>
  <c r="V13" i="412" s="1"/>
  <c r="F34" i="13" l="1"/>
  <c r="C170" i="13"/>
  <c r="C142" i="13"/>
  <c r="C186" i="13"/>
  <c r="C174" i="13"/>
  <c r="C158" i="13"/>
  <c r="C130" i="13"/>
  <c r="C178" i="13"/>
  <c r="C162" i="13"/>
  <c r="C134" i="13"/>
  <c r="C182" i="13"/>
  <c r="C166" i="13"/>
  <c r="C154" i="13"/>
  <c r="C138" i="13"/>
  <c r="C146" i="13"/>
  <c r="C190" i="13"/>
  <c r="C150" i="13"/>
  <c r="O36" i="412"/>
  <c r="O35" i="412"/>
  <c r="O33" i="412"/>
  <c r="O34" i="412"/>
  <c r="AQ26" i="413"/>
  <c r="AF26" i="413" s="1"/>
  <c r="AO80" i="413"/>
  <c r="AD80" i="413" s="1"/>
  <c r="AO69" i="413"/>
  <c r="AD69" i="413" s="1"/>
  <c r="AO79" i="413"/>
  <c r="AD79" i="413" s="1"/>
  <c r="AO78" i="413"/>
  <c r="AD78" i="413" s="1"/>
  <c r="AO68" i="413"/>
  <c r="AD68" i="413" s="1"/>
  <c r="AO76" i="413"/>
  <c r="AD76" i="413" s="1"/>
  <c r="AO77" i="413"/>
  <c r="AD77" i="413" s="1"/>
  <c r="AB82" i="413"/>
  <c r="AM82" i="413"/>
  <c r="AR61" i="413"/>
  <c r="AR52" i="413"/>
  <c r="AR54" i="413"/>
  <c r="AR56" i="413"/>
  <c r="AR53" i="413"/>
  <c r="AR36" i="413"/>
  <c r="AR34" i="413"/>
  <c r="AR65" i="413"/>
  <c r="AR48" i="413"/>
  <c r="AR51" i="413"/>
  <c r="AR32" i="413"/>
  <c r="AR45" i="413"/>
  <c r="AR64" i="413"/>
  <c r="AR31" i="413"/>
  <c r="AR40" i="413"/>
  <c r="AR49" i="413"/>
  <c r="AR29" i="413"/>
  <c r="AR57" i="413"/>
  <c r="AR37" i="413"/>
  <c r="AR43" i="413"/>
  <c r="AR63" i="413"/>
  <c r="AR28" i="413"/>
  <c r="AR44" i="413"/>
  <c r="AR47" i="413"/>
  <c r="AR27" i="413"/>
  <c r="AR66" i="413"/>
  <c r="AR55" i="413"/>
  <c r="AR30" i="413"/>
  <c r="AR46" i="413"/>
  <c r="AR62" i="413"/>
  <c r="AR39" i="413"/>
  <c r="B169" i="12"/>
  <c r="B70" i="12"/>
  <c r="AR26" i="413" l="1"/>
  <c r="AP77" i="413"/>
  <c r="AE77" i="413" s="1"/>
  <c r="AP79" i="413"/>
  <c r="AE79" i="413" s="1"/>
  <c r="AP76" i="413"/>
  <c r="AE76" i="413" s="1"/>
  <c r="AP69" i="413"/>
  <c r="AE69" i="413" s="1"/>
  <c r="AP68" i="413"/>
  <c r="AE68" i="413" s="1"/>
  <c r="AP80" i="413"/>
  <c r="AE80" i="413" s="1"/>
  <c r="AP78" i="413"/>
  <c r="AE78" i="413" s="1"/>
  <c r="AN70" i="413"/>
  <c r="AC70" i="413" s="1"/>
  <c r="AO25" i="413"/>
  <c r="AD25" i="413" s="1"/>
  <c r="O40" i="411"/>
  <c r="N40" i="411"/>
  <c r="G40" i="411"/>
  <c r="F40" i="411"/>
  <c r="E40" i="411"/>
  <c r="P17" i="411"/>
  <c r="O17" i="411"/>
  <c r="N17" i="411"/>
  <c r="M17" i="411"/>
  <c r="L17" i="411"/>
  <c r="K17" i="411"/>
  <c r="O14" i="411"/>
  <c r="N14" i="411"/>
  <c r="M14" i="411"/>
  <c r="L14" i="411"/>
  <c r="K14" i="411"/>
  <c r="P8" i="411"/>
  <c r="O8" i="411"/>
  <c r="N8" i="411"/>
  <c r="M8" i="411"/>
  <c r="M40" i="411" s="1"/>
  <c r="L8" i="411"/>
  <c r="K8" i="411"/>
  <c r="P5" i="411"/>
  <c r="O5" i="411"/>
  <c r="N5" i="411"/>
  <c r="M5" i="411"/>
  <c r="L5" i="411"/>
  <c r="K5" i="411"/>
  <c r="G17" i="411"/>
  <c r="F17" i="411"/>
  <c r="E17" i="411"/>
  <c r="D17" i="411"/>
  <c r="C17" i="411"/>
  <c r="G14" i="411"/>
  <c r="F14" i="411"/>
  <c r="E14" i="411"/>
  <c r="D14" i="411"/>
  <c r="C14" i="411"/>
  <c r="H8" i="411"/>
  <c r="G8" i="411"/>
  <c r="F8" i="411"/>
  <c r="E8" i="411"/>
  <c r="D8" i="411"/>
  <c r="C8" i="411"/>
  <c r="H5" i="411"/>
  <c r="G5" i="411"/>
  <c r="F5" i="411"/>
  <c r="E5" i="411"/>
  <c r="D5" i="411"/>
  <c r="C5" i="411"/>
  <c r="H1" i="411"/>
  <c r="B1" i="411"/>
  <c r="P40" i="411" l="1"/>
  <c r="AQ77" i="413"/>
  <c r="AF77" i="413" s="1"/>
  <c r="AQ76" i="413"/>
  <c r="AF76" i="413" s="1"/>
  <c r="AQ78" i="413"/>
  <c r="AF78" i="413" s="1"/>
  <c r="AP75" i="413"/>
  <c r="AE75" i="413" s="1"/>
  <c r="AP73" i="413"/>
  <c r="AE73" i="413" s="1"/>
  <c r="AP74" i="413"/>
  <c r="AE74" i="413" s="1"/>
  <c r="AP81" i="413"/>
  <c r="AE81" i="413" s="1"/>
  <c r="AP72" i="413"/>
  <c r="AE72" i="413" s="1"/>
  <c r="AP71" i="413"/>
  <c r="AE71" i="413" s="1"/>
  <c r="AQ80" i="413"/>
  <c r="AF80" i="413" s="1"/>
  <c r="AQ79" i="413"/>
  <c r="AF79" i="413" s="1"/>
  <c r="AC82" i="413"/>
  <c r="AN82" i="413"/>
  <c r="K40" i="411"/>
  <c r="C40" i="411"/>
  <c r="L40" i="411"/>
  <c r="D40" i="411"/>
  <c r="AR77" i="413" l="1"/>
  <c r="AR79" i="413"/>
  <c r="AR80" i="413"/>
  <c r="AQ81" i="413"/>
  <c r="AF81" i="413" s="1"/>
  <c r="AQ74" i="413"/>
  <c r="AF74" i="413" s="1"/>
  <c r="AR78" i="413"/>
  <c r="AR76" i="413"/>
  <c r="AQ71" i="413"/>
  <c r="AF71" i="413" s="1"/>
  <c r="AQ73" i="413"/>
  <c r="AF73" i="413" s="1"/>
  <c r="AQ72" i="413"/>
  <c r="AF72" i="413" s="1"/>
  <c r="AQ75" i="413"/>
  <c r="AF75" i="413" s="1"/>
  <c r="AO70" i="413"/>
  <c r="AD70" i="413" s="1"/>
  <c r="AP25" i="413"/>
  <c r="AE25" i="413" s="1"/>
  <c r="H74" i="405"/>
  <c r="H77" i="405" s="1"/>
  <c r="H68" i="405"/>
  <c r="H64" i="405"/>
  <c r="H58" i="405"/>
  <c r="H51" i="405"/>
  <c r="H50" i="405"/>
  <c r="H36" i="405"/>
  <c r="H33" i="405"/>
  <c r="H29" i="405"/>
  <c r="H22" i="405"/>
  <c r="H19" i="405"/>
  <c r="H14" i="405"/>
  <c r="H11" i="405"/>
  <c r="O53" i="405"/>
  <c r="O52" i="405"/>
  <c r="O51" i="405"/>
  <c r="O49" i="405"/>
  <c r="O48" i="405"/>
  <c r="O47" i="405"/>
  <c r="O46" i="405"/>
  <c r="O45" i="405"/>
  <c r="O44" i="405"/>
  <c r="O43" i="405"/>
  <c r="O42" i="405"/>
  <c r="O41" i="405"/>
  <c r="O40" i="405"/>
  <c r="O39" i="405"/>
  <c r="O38" i="405"/>
  <c r="O37" i="405"/>
  <c r="O35" i="405"/>
  <c r="O34" i="405"/>
  <c r="O32" i="405"/>
  <c r="O31" i="405"/>
  <c r="O30" i="405"/>
  <c r="C12" i="17" s="1"/>
  <c r="O27" i="405"/>
  <c r="O26" i="405"/>
  <c r="O24" i="405"/>
  <c r="O23" i="405"/>
  <c r="O21" i="405"/>
  <c r="O20" i="405"/>
  <c r="O18" i="405"/>
  <c r="O17" i="405"/>
  <c r="O16" i="405"/>
  <c r="O15" i="405"/>
  <c r="O13" i="405"/>
  <c r="O12" i="405"/>
  <c r="G6" i="414" s="1"/>
  <c r="O10" i="405"/>
  <c r="C8" i="17" s="1"/>
  <c r="E8" i="17" s="1"/>
  <c r="O9" i="405"/>
  <c r="H55" i="404"/>
  <c r="H46" i="404"/>
  <c r="O19" i="404"/>
  <c r="G38" i="414" s="1"/>
  <c r="O11" i="404"/>
  <c r="H26" i="16" s="1"/>
  <c r="H7" i="404"/>
  <c r="O7" i="404" s="1"/>
  <c r="O67" i="404"/>
  <c r="O65" i="404"/>
  <c r="O63" i="404"/>
  <c r="O62" i="404"/>
  <c r="O61" i="404"/>
  <c r="O60" i="404"/>
  <c r="O59" i="404"/>
  <c r="O58" i="404"/>
  <c r="O57" i="404"/>
  <c r="O56" i="404"/>
  <c r="O54" i="404"/>
  <c r="O53" i="404"/>
  <c r="O52" i="404"/>
  <c r="O51" i="404"/>
  <c r="O50" i="404"/>
  <c r="O49" i="404"/>
  <c r="O48" i="404"/>
  <c r="O47" i="404"/>
  <c r="O44" i="404"/>
  <c r="O43" i="404"/>
  <c r="O42" i="404"/>
  <c r="O41" i="404"/>
  <c r="O40" i="404"/>
  <c r="O39" i="404"/>
  <c r="O38" i="404"/>
  <c r="O37" i="404"/>
  <c r="O36" i="404"/>
  <c r="O35" i="404"/>
  <c r="O34" i="404"/>
  <c r="O33" i="404"/>
  <c r="O32" i="404"/>
  <c r="O31" i="404"/>
  <c r="O30" i="404"/>
  <c r="O29" i="404"/>
  <c r="O28" i="404"/>
  <c r="O27" i="404"/>
  <c r="O26" i="404"/>
  <c r="O25" i="404"/>
  <c r="O24" i="404"/>
  <c r="O23" i="404"/>
  <c r="O17" i="404"/>
  <c r="G34" i="414" s="1"/>
  <c r="O16" i="404"/>
  <c r="G33" i="414" s="1"/>
  <c r="O15" i="404"/>
  <c r="O14" i="404"/>
  <c r="H28" i="16" s="1"/>
  <c r="O13" i="404"/>
  <c r="O12" i="404"/>
  <c r="O10" i="404"/>
  <c r="O9" i="404"/>
  <c r="O8" i="404"/>
  <c r="O22" i="405" l="1"/>
  <c r="O14" i="405"/>
  <c r="C7" i="17"/>
  <c r="G5" i="414"/>
  <c r="G91" i="414"/>
  <c r="H103" i="14"/>
  <c r="G84" i="414"/>
  <c r="H83" i="14"/>
  <c r="G77" i="414"/>
  <c r="H48" i="14"/>
  <c r="G81" i="414"/>
  <c r="H77" i="14"/>
  <c r="G85" i="414"/>
  <c r="H86" i="14"/>
  <c r="G89" i="414"/>
  <c r="H97" i="14"/>
  <c r="G86" i="414"/>
  <c r="H155" i="15"/>
  <c r="H119" i="14"/>
  <c r="G80" i="414"/>
  <c r="H74" i="14"/>
  <c r="G78" i="414"/>
  <c r="H68" i="14"/>
  <c r="G82" i="414"/>
  <c r="H180" i="415"/>
  <c r="H182" i="415" s="1"/>
  <c r="G90" i="414"/>
  <c r="H100" i="14"/>
  <c r="G79" i="414"/>
  <c r="H71" i="14"/>
  <c r="G83" i="414"/>
  <c r="H80" i="14"/>
  <c r="G87" i="414"/>
  <c r="H89" i="14"/>
  <c r="H92" i="14"/>
  <c r="J92" i="14" s="1"/>
  <c r="K92" i="14" s="1"/>
  <c r="L92" i="14" s="1"/>
  <c r="M92" i="14" s="1"/>
  <c r="N92" i="14" s="1"/>
  <c r="O92" i="14" s="1"/>
  <c r="G88" i="414"/>
  <c r="H94" i="14"/>
  <c r="G76" i="414"/>
  <c r="H46" i="14"/>
  <c r="G75" i="414"/>
  <c r="H184" i="415"/>
  <c r="G74" i="414"/>
  <c r="H154" i="15"/>
  <c r="H152" i="15" s="1"/>
  <c r="H115" i="14"/>
  <c r="H110" i="14" s="1"/>
  <c r="G73" i="414"/>
  <c r="H62" i="14"/>
  <c r="G72" i="414"/>
  <c r="H59" i="14"/>
  <c r="G71" i="414"/>
  <c r="H176" i="415"/>
  <c r="G70" i="414"/>
  <c r="H172" i="415"/>
  <c r="H173" i="415" s="1"/>
  <c r="G35" i="414"/>
  <c r="G32" i="414" s="1"/>
  <c r="H27" i="16"/>
  <c r="G29" i="414"/>
  <c r="G28" i="414" s="1"/>
  <c r="H63" i="13"/>
  <c r="H213" i="13" s="1"/>
  <c r="G30" i="414"/>
  <c r="G31" i="414"/>
  <c r="H9" i="12"/>
  <c r="G68" i="414"/>
  <c r="AR73" i="413"/>
  <c r="AR75" i="413"/>
  <c r="AR74" i="413"/>
  <c r="AQ69" i="413"/>
  <c r="AF69" i="413" s="1"/>
  <c r="AQ68" i="413"/>
  <c r="AF68" i="413" s="1"/>
  <c r="AR72" i="413"/>
  <c r="AR71" i="413"/>
  <c r="AR81" i="413"/>
  <c r="AD82" i="413"/>
  <c r="AO82" i="413"/>
  <c r="H56" i="405"/>
  <c r="H71" i="405" s="1"/>
  <c r="O50" i="405"/>
  <c r="O36" i="405"/>
  <c r="H28" i="405"/>
  <c r="O33" i="405"/>
  <c r="O29" i="405"/>
  <c r="O19" i="405"/>
  <c r="H8" i="405"/>
  <c r="O11" i="405"/>
  <c r="O55" i="404"/>
  <c r="H18" i="404"/>
  <c r="O18" i="404" s="1"/>
  <c r="O46" i="404"/>
  <c r="H185" i="415" l="1"/>
  <c r="H186" i="415"/>
  <c r="K186" i="415" s="1"/>
  <c r="L186" i="415" s="1"/>
  <c r="M186" i="415" s="1"/>
  <c r="N186" i="415" s="1"/>
  <c r="O186" i="415" s="1"/>
  <c r="H178" i="415"/>
  <c r="K178" i="415" s="1"/>
  <c r="L178" i="415" s="1"/>
  <c r="M178" i="415" s="1"/>
  <c r="N178" i="415" s="1"/>
  <c r="O178" i="415" s="1"/>
  <c r="H177" i="415"/>
  <c r="K182" i="415"/>
  <c r="H181" i="415"/>
  <c r="H99" i="13"/>
  <c r="H112" i="13"/>
  <c r="H116" i="13"/>
  <c r="G53" i="414"/>
  <c r="G10" i="414"/>
  <c r="G60" i="414"/>
  <c r="H10" i="16"/>
  <c r="H11" i="16" s="1"/>
  <c r="G7" i="414"/>
  <c r="G59" i="414"/>
  <c r="H7" i="16"/>
  <c r="O8" i="405"/>
  <c r="G4" i="414" s="1"/>
  <c r="G8" i="414" s="1"/>
  <c r="H54" i="405"/>
  <c r="E7" i="17"/>
  <c r="E13" i="17" s="1"/>
  <c r="S36" i="422" s="1"/>
  <c r="S40" i="422" s="1"/>
  <c r="C13" i="17"/>
  <c r="J103" i="14"/>
  <c r="J100" i="14"/>
  <c r="J86" i="14"/>
  <c r="J48" i="14"/>
  <c r="H26" i="415"/>
  <c r="H27" i="415" s="1"/>
  <c r="J89" i="14"/>
  <c r="K89" i="14" s="1"/>
  <c r="L89" i="14" s="1"/>
  <c r="M89" i="14" s="1"/>
  <c r="N89" i="14" s="1"/>
  <c r="O89" i="14" s="1"/>
  <c r="J71" i="14"/>
  <c r="J74" i="14"/>
  <c r="J94" i="14"/>
  <c r="J97" i="14"/>
  <c r="J77" i="14"/>
  <c r="J83" i="14"/>
  <c r="J80" i="14"/>
  <c r="J68" i="14"/>
  <c r="I42" i="14"/>
  <c r="H42" i="14"/>
  <c r="J184" i="415"/>
  <c r="J186" i="415" s="1"/>
  <c r="H30" i="415"/>
  <c r="H31" i="415" s="1"/>
  <c r="J62" i="14"/>
  <c r="H55" i="14"/>
  <c r="J176" i="415"/>
  <c r="J178" i="415" s="1"/>
  <c r="H22" i="415"/>
  <c r="H23" i="415" s="1"/>
  <c r="J172" i="415"/>
  <c r="J174" i="415" s="1"/>
  <c r="H174" i="415"/>
  <c r="K174" i="415" s="1"/>
  <c r="L174" i="415" s="1"/>
  <c r="M174" i="415" s="1"/>
  <c r="N174" i="415" s="1"/>
  <c r="O174" i="415" s="1"/>
  <c r="H18" i="415"/>
  <c r="H19" i="415" s="1"/>
  <c r="H152" i="415"/>
  <c r="H153" i="415" s="1"/>
  <c r="H29" i="13"/>
  <c r="H30" i="13" s="1"/>
  <c r="J74" i="13"/>
  <c r="H9" i="13"/>
  <c r="H189" i="13"/>
  <c r="H185" i="13"/>
  <c r="H177" i="13"/>
  <c r="H181" i="13"/>
  <c r="H169" i="13"/>
  <c r="H173" i="13"/>
  <c r="H161" i="13"/>
  <c r="H165" i="13"/>
  <c r="H157" i="13"/>
  <c r="H149" i="13"/>
  <c r="H153" i="13"/>
  <c r="H141" i="13"/>
  <c r="H145" i="13"/>
  <c r="H137" i="13"/>
  <c r="H129" i="13"/>
  <c r="H133" i="13"/>
  <c r="H62" i="13"/>
  <c r="H76" i="13" s="1"/>
  <c r="H208" i="13"/>
  <c r="H94" i="13"/>
  <c r="H17" i="12"/>
  <c r="H23" i="16"/>
  <c r="H24" i="16"/>
  <c r="G41" i="414"/>
  <c r="H45" i="415"/>
  <c r="H46" i="415"/>
  <c r="G36" i="414"/>
  <c r="AR69" i="413"/>
  <c r="AR68" i="413"/>
  <c r="AP70" i="413"/>
  <c r="AE70" i="413" s="1"/>
  <c r="AQ25" i="413"/>
  <c r="AF25" i="413" s="1"/>
  <c r="O28" i="405"/>
  <c r="G9" i="414" s="1"/>
  <c r="G11" i="414" s="1"/>
  <c r="H45" i="404"/>
  <c r="H68" i="404" s="1"/>
  <c r="O68" i="404" s="1"/>
  <c r="G45" i="414" s="1"/>
  <c r="G46" i="414" s="1"/>
  <c r="C57" i="383"/>
  <c r="C54" i="383"/>
  <c r="C53" i="383"/>
  <c r="L182" i="415" l="1"/>
  <c r="H90" i="415"/>
  <c r="H84" i="415"/>
  <c r="H6" i="415"/>
  <c r="O54" i="405"/>
  <c r="G3" i="414"/>
  <c r="I55" i="14"/>
  <c r="J180" i="415"/>
  <c r="J182" i="415" s="1"/>
  <c r="J46" i="14"/>
  <c r="J42" i="14" s="1"/>
  <c r="J185" i="415"/>
  <c r="J30" i="415"/>
  <c r="J31" i="415" s="1"/>
  <c r="J22" i="415"/>
  <c r="J177" i="415"/>
  <c r="J173" i="415"/>
  <c r="H67" i="14"/>
  <c r="H53" i="415"/>
  <c r="J29" i="13"/>
  <c r="J30" i="13" s="1"/>
  <c r="J9" i="13"/>
  <c r="J75" i="13"/>
  <c r="I27" i="16"/>
  <c r="H82" i="415"/>
  <c r="H66" i="415"/>
  <c r="H11" i="12"/>
  <c r="H64" i="13"/>
  <c r="H300" i="13" s="1"/>
  <c r="H47" i="415"/>
  <c r="H25" i="16"/>
  <c r="H6" i="12"/>
  <c r="J23" i="16"/>
  <c r="I24" i="16"/>
  <c r="I23" i="16"/>
  <c r="G37" i="414"/>
  <c r="G39" i="414"/>
  <c r="G67" i="414" s="1"/>
  <c r="AE82" i="413"/>
  <c r="AQ70" i="413"/>
  <c r="AF70" i="413" s="1"/>
  <c r="AP82" i="413"/>
  <c r="O45" i="404"/>
  <c r="H64" i="404"/>
  <c r="O100" i="15"/>
  <c r="O54" i="15"/>
  <c r="O1" i="15"/>
  <c r="O30" i="14"/>
  <c r="O29" i="14"/>
  <c r="O1" i="14"/>
  <c r="O1" i="13"/>
  <c r="M182" i="415" l="1"/>
  <c r="J152" i="415"/>
  <c r="J153" i="415" s="1"/>
  <c r="H129" i="415"/>
  <c r="H121" i="415"/>
  <c r="H127" i="415"/>
  <c r="H226" i="13"/>
  <c r="H305" i="13"/>
  <c r="H231" i="13"/>
  <c r="H309" i="13"/>
  <c r="H283" i="13"/>
  <c r="H267" i="13"/>
  <c r="H287" i="13"/>
  <c r="H275" i="13"/>
  <c r="H279" i="13"/>
  <c r="H251" i="13"/>
  <c r="H239" i="13"/>
  <c r="H291" i="13"/>
  <c r="H202" i="13"/>
  <c r="H255" i="13"/>
  <c r="H243" i="13"/>
  <c r="H247" i="13"/>
  <c r="H271" i="13"/>
  <c r="H259" i="13"/>
  <c r="H263" i="13"/>
  <c r="H235" i="13"/>
  <c r="J181" i="415"/>
  <c r="I67" i="14"/>
  <c r="J67" i="14"/>
  <c r="H14" i="14"/>
  <c r="H51" i="415"/>
  <c r="J27" i="16"/>
  <c r="J10" i="13"/>
  <c r="H49" i="12"/>
  <c r="H40" i="12"/>
  <c r="H52" i="12"/>
  <c r="J63" i="13"/>
  <c r="J213" i="13" s="1"/>
  <c r="K14" i="12"/>
  <c r="J45" i="415"/>
  <c r="K10" i="12"/>
  <c r="H192" i="12"/>
  <c r="H186" i="12"/>
  <c r="H180" i="12"/>
  <c r="H147" i="12"/>
  <c r="H196" i="12"/>
  <c r="H189" i="12"/>
  <c r="H153" i="12"/>
  <c r="H183" i="12"/>
  <c r="H176" i="12"/>
  <c r="H172" i="12"/>
  <c r="H144" i="12"/>
  <c r="H156" i="12"/>
  <c r="H150" i="12"/>
  <c r="H138" i="12"/>
  <c r="H141" i="12"/>
  <c r="J62" i="13"/>
  <c r="J76" i="13" s="1"/>
  <c r="K76" i="13" s="1"/>
  <c r="J46" i="415"/>
  <c r="J24" i="16"/>
  <c r="J11" i="12"/>
  <c r="H119" i="415"/>
  <c r="H69" i="415"/>
  <c r="H131" i="12"/>
  <c r="H125" i="12"/>
  <c r="H119" i="12"/>
  <c r="H135" i="12"/>
  <c r="H128" i="12"/>
  <c r="H122" i="12"/>
  <c r="H111" i="12"/>
  <c r="H44" i="415"/>
  <c r="I25" i="16"/>
  <c r="H15" i="12"/>
  <c r="H19" i="12"/>
  <c r="G40" i="414"/>
  <c r="G42" i="414"/>
  <c r="AR70" i="413"/>
  <c r="AQ82" i="413"/>
  <c r="AR25" i="413"/>
  <c r="AF82" i="413"/>
  <c r="O64" i="404"/>
  <c r="H66" i="404"/>
  <c r="O66" i="404" s="1"/>
  <c r="G43" i="414" s="1"/>
  <c r="G44" i="414" s="1"/>
  <c r="J263" i="410"/>
  <c r="I263" i="410"/>
  <c r="H263" i="410"/>
  <c r="G263" i="410"/>
  <c r="F263" i="410"/>
  <c r="E263" i="410"/>
  <c r="D263" i="410"/>
  <c r="J262" i="410"/>
  <c r="I262" i="410"/>
  <c r="H262" i="410"/>
  <c r="G262" i="410"/>
  <c r="F262" i="410"/>
  <c r="E262" i="410"/>
  <c r="D262" i="410"/>
  <c r="J131" i="410"/>
  <c r="I131" i="410"/>
  <c r="H131" i="410"/>
  <c r="G131" i="410"/>
  <c r="F131" i="410"/>
  <c r="E131" i="410"/>
  <c r="D131" i="410"/>
  <c r="J130" i="410"/>
  <c r="I130" i="410"/>
  <c r="H130" i="410"/>
  <c r="G130" i="410"/>
  <c r="F130" i="410"/>
  <c r="E130" i="410"/>
  <c r="D130" i="410"/>
  <c r="J264" i="410"/>
  <c r="I264" i="410"/>
  <c r="H264" i="410"/>
  <c r="G264" i="410"/>
  <c r="F264" i="410"/>
  <c r="E264" i="410"/>
  <c r="D264" i="410"/>
  <c r="J230" i="410"/>
  <c r="I230" i="410"/>
  <c r="H230" i="410"/>
  <c r="G230" i="410"/>
  <c r="F230" i="410"/>
  <c r="E230" i="410"/>
  <c r="D230" i="410"/>
  <c r="J261" i="410"/>
  <c r="J260" i="410"/>
  <c r="J259" i="410"/>
  <c r="J258" i="410"/>
  <c r="J257" i="410"/>
  <c r="J256" i="410"/>
  <c r="J255" i="410"/>
  <c r="J254" i="410"/>
  <c r="J253" i="410"/>
  <c r="J252" i="410"/>
  <c r="J251" i="410"/>
  <c r="J250" i="410"/>
  <c r="J249" i="410"/>
  <c r="J248" i="410"/>
  <c r="J247" i="410"/>
  <c r="J246" i="410"/>
  <c r="J245" i="410"/>
  <c r="J244" i="410"/>
  <c r="J243" i="410"/>
  <c r="J242" i="410"/>
  <c r="J241" i="410"/>
  <c r="J240" i="410"/>
  <c r="J239" i="410"/>
  <c r="J238" i="410"/>
  <c r="M228" i="410"/>
  <c r="L228" i="410"/>
  <c r="M162" i="410"/>
  <c r="L162" i="410"/>
  <c r="M96" i="410"/>
  <c r="L96" i="410"/>
  <c r="M62" i="410"/>
  <c r="L62" i="410"/>
  <c r="M227" i="410"/>
  <c r="L227" i="410"/>
  <c r="M226" i="410"/>
  <c r="L226" i="410"/>
  <c r="M225" i="410"/>
  <c r="L225" i="410"/>
  <c r="M224" i="410"/>
  <c r="L224" i="410"/>
  <c r="M223" i="410"/>
  <c r="L223" i="410"/>
  <c r="M222" i="410"/>
  <c r="L222" i="410"/>
  <c r="M221" i="410"/>
  <c r="L221" i="410"/>
  <c r="M220" i="410"/>
  <c r="L220" i="410"/>
  <c r="M219" i="410"/>
  <c r="L219" i="410"/>
  <c r="M218" i="410"/>
  <c r="L218" i="410"/>
  <c r="M217" i="410"/>
  <c r="L217" i="410"/>
  <c r="M216" i="410"/>
  <c r="L216" i="410"/>
  <c r="M215" i="410"/>
  <c r="L215" i="410"/>
  <c r="M214" i="410"/>
  <c r="L214" i="410"/>
  <c r="M213" i="410"/>
  <c r="L213" i="410"/>
  <c r="M212" i="410"/>
  <c r="L212" i="410"/>
  <c r="M211" i="410"/>
  <c r="L211" i="410"/>
  <c r="M210" i="410"/>
  <c r="L210" i="410"/>
  <c r="M209" i="410"/>
  <c r="L209" i="410"/>
  <c r="M208" i="410"/>
  <c r="L208" i="410"/>
  <c r="M207" i="410"/>
  <c r="L207" i="410"/>
  <c r="M206" i="410"/>
  <c r="L206" i="410"/>
  <c r="M205" i="410"/>
  <c r="L205" i="410"/>
  <c r="M204" i="410"/>
  <c r="L204" i="410"/>
  <c r="J198" i="410"/>
  <c r="I198" i="410"/>
  <c r="H198" i="410"/>
  <c r="G198" i="410"/>
  <c r="F198" i="410"/>
  <c r="E198" i="410"/>
  <c r="D198" i="410"/>
  <c r="J195" i="410"/>
  <c r="J194" i="410"/>
  <c r="J193" i="410"/>
  <c r="J192" i="410"/>
  <c r="J191" i="410"/>
  <c r="J190" i="410"/>
  <c r="J189" i="410"/>
  <c r="J188" i="410"/>
  <c r="J187" i="410"/>
  <c r="J186" i="410"/>
  <c r="J185" i="410"/>
  <c r="J184" i="410"/>
  <c r="J183" i="410"/>
  <c r="J182" i="410"/>
  <c r="J181" i="410"/>
  <c r="J180" i="410"/>
  <c r="J179" i="410"/>
  <c r="J178" i="410"/>
  <c r="J177" i="410"/>
  <c r="J176" i="410"/>
  <c r="J175" i="410"/>
  <c r="J174" i="410"/>
  <c r="J173" i="410"/>
  <c r="J172" i="410"/>
  <c r="J164" i="410"/>
  <c r="I164" i="410"/>
  <c r="H164" i="410"/>
  <c r="G164" i="410"/>
  <c r="F164" i="410"/>
  <c r="E164" i="410"/>
  <c r="D164" i="410"/>
  <c r="M161" i="410"/>
  <c r="L161" i="410"/>
  <c r="M160" i="410"/>
  <c r="L160" i="410"/>
  <c r="M159" i="410"/>
  <c r="L159" i="410"/>
  <c r="M158" i="410"/>
  <c r="L158" i="410"/>
  <c r="M157" i="410"/>
  <c r="L157" i="410"/>
  <c r="M156" i="410"/>
  <c r="L156" i="410"/>
  <c r="M155" i="410"/>
  <c r="L155" i="410"/>
  <c r="M154" i="410"/>
  <c r="L154" i="410"/>
  <c r="M153" i="410"/>
  <c r="L153" i="410"/>
  <c r="M152" i="410"/>
  <c r="L152" i="410"/>
  <c r="M151" i="410"/>
  <c r="L151" i="410"/>
  <c r="M150" i="410"/>
  <c r="L150" i="410"/>
  <c r="M149" i="410"/>
  <c r="L149" i="410"/>
  <c r="M148" i="410"/>
  <c r="L148" i="410"/>
  <c r="M147" i="410"/>
  <c r="L147" i="410"/>
  <c r="M146" i="410"/>
  <c r="L146" i="410"/>
  <c r="M145" i="410"/>
  <c r="L145" i="410"/>
  <c r="M144" i="410"/>
  <c r="L144" i="410"/>
  <c r="M143" i="410"/>
  <c r="L143" i="410"/>
  <c r="M142" i="410"/>
  <c r="L142" i="410"/>
  <c r="M141" i="410"/>
  <c r="L141" i="410"/>
  <c r="M140" i="410"/>
  <c r="L140" i="410"/>
  <c r="M139" i="410"/>
  <c r="L139" i="410"/>
  <c r="M138" i="410"/>
  <c r="L138" i="410"/>
  <c r="J129" i="410"/>
  <c r="J128" i="410"/>
  <c r="J127" i="410"/>
  <c r="J126" i="410"/>
  <c r="J125" i="410"/>
  <c r="J124" i="410"/>
  <c r="J123" i="410"/>
  <c r="J122" i="410"/>
  <c r="J121" i="410"/>
  <c r="J120" i="410"/>
  <c r="J132" i="410" s="1"/>
  <c r="J119" i="410"/>
  <c r="J118" i="410"/>
  <c r="J117" i="410"/>
  <c r="J116" i="410"/>
  <c r="J115" i="410"/>
  <c r="J114" i="410"/>
  <c r="J113" i="410"/>
  <c r="J112" i="410"/>
  <c r="J111" i="410"/>
  <c r="J110" i="410"/>
  <c r="J109" i="410"/>
  <c r="J108" i="410"/>
  <c r="J107" i="410"/>
  <c r="J106" i="410"/>
  <c r="I132" i="410"/>
  <c r="H132" i="410"/>
  <c r="G132" i="410"/>
  <c r="F132" i="410"/>
  <c r="E132" i="410"/>
  <c r="D132" i="410"/>
  <c r="M95" i="410"/>
  <c r="M94" i="410"/>
  <c r="M93" i="410"/>
  <c r="M92" i="410"/>
  <c r="M91" i="410"/>
  <c r="M90" i="410"/>
  <c r="M89" i="410"/>
  <c r="M88" i="410"/>
  <c r="M87" i="410"/>
  <c r="M86" i="410"/>
  <c r="M85" i="410"/>
  <c r="M84" i="410"/>
  <c r="M83" i="410"/>
  <c r="M82" i="410"/>
  <c r="M81" i="410"/>
  <c r="M80" i="410"/>
  <c r="M79" i="410"/>
  <c r="M78" i="410"/>
  <c r="M77" i="410"/>
  <c r="M76" i="410"/>
  <c r="M75" i="410"/>
  <c r="M74" i="410"/>
  <c r="M73" i="410"/>
  <c r="M72" i="410"/>
  <c r="L95" i="410"/>
  <c r="L94" i="410"/>
  <c r="L93" i="410"/>
  <c r="L92" i="410"/>
  <c r="L91" i="410"/>
  <c r="L90" i="410"/>
  <c r="L89" i="410"/>
  <c r="L88" i="410"/>
  <c r="L87" i="410"/>
  <c r="L86" i="410"/>
  <c r="L85" i="410"/>
  <c r="L84" i="410"/>
  <c r="L83" i="410"/>
  <c r="L82" i="410"/>
  <c r="L81" i="410"/>
  <c r="L80" i="410"/>
  <c r="L79" i="410"/>
  <c r="L78" i="410"/>
  <c r="L77" i="410"/>
  <c r="L76" i="410"/>
  <c r="L75" i="410"/>
  <c r="L74" i="410"/>
  <c r="L73" i="410"/>
  <c r="L72" i="410"/>
  <c r="J98" i="410"/>
  <c r="I98" i="410"/>
  <c r="H98" i="410"/>
  <c r="G98" i="410"/>
  <c r="F98" i="410"/>
  <c r="E98" i="410"/>
  <c r="D98" i="410"/>
  <c r="J64" i="410"/>
  <c r="I64" i="410"/>
  <c r="H64" i="410"/>
  <c r="G64" i="410"/>
  <c r="F64" i="410"/>
  <c r="E64" i="410"/>
  <c r="D64" i="410"/>
  <c r="M61" i="410"/>
  <c r="M60" i="410"/>
  <c r="M59" i="410"/>
  <c r="M58" i="410"/>
  <c r="M57" i="410"/>
  <c r="M56" i="410"/>
  <c r="M55" i="410"/>
  <c r="M54" i="410"/>
  <c r="M53" i="410"/>
  <c r="M52" i="410"/>
  <c r="M51" i="410"/>
  <c r="M50" i="410"/>
  <c r="M49" i="410"/>
  <c r="M48" i="410"/>
  <c r="M47" i="410"/>
  <c r="M46" i="410"/>
  <c r="M45" i="410"/>
  <c r="M44" i="410"/>
  <c r="M43" i="410"/>
  <c r="M42" i="410"/>
  <c r="M41" i="410"/>
  <c r="M40" i="410"/>
  <c r="M39" i="410"/>
  <c r="M38" i="410"/>
  <c r="L61" i="410"/>
  <c r="L60" i="410"/>
  <c r="L59" i="410"/>
  <c r="L58" i="410"/>
  <c r="L57" i="410"/>
  <c r="L56" i="410"/>
  <c r="L55" i="410"/>
  <c r="L54" i="410"/>
  <c r="L53" i="410"/>
  <c r="L52" i="410"/>
  <c r="L51" i="410"/>
  <c r="L50" i="410"/>
  <c r="L49" i="410"/>
  <c r="L48" i="410"/>
  <c r="L47" i="410"/>
  <c r="L46" i="410"/>
  <c r="L45" i="410"/>
  <c r="L44" i="410"/>
  <c r="L43" i="410"/>
  <c r="L42" i="410"/>
  <c r="L41" i="410"/>
  <c r="L40" i="410"/>
  <c r="L39" i="410"/>
  <c r="L38" i="410"/>
  <c r="J31" i="410"/>
  <c r="I31" i="410"/>
  <c r="H31" i="410"/>
  <c r="G31" i="410"/>
  <c r="F31" i="410"/>
  <c r="E31" i="410"/>
  <c r="D31" i="410"/>
  <c r="J29" i="410"/>
  <c r="J53" i="415" l="1"/>
  <c r="J14" i="14" s="1"/>
  <c r="N182" i="415"/>
  <c r="H160" i="415"/>
  <c r="H168" i="415"/>
  <c r="H166" i="415"/>
  <c r="J90" i="415"/>
  <c r="J84" i="415"/>
  <c r="J99" i="13"/>
  <c r="J112" i="13"/>
  <c r="J116" i="13"/>
  <c r="I14" i="14"/>
  <c r="J185" i="13"/>
  <c r="J189" i="13"/>
  <c r="J181" i="13"/>
  <c r="J173" i="13"/>
  <c r="J177" i="13"/>
  <c r="J165" i="13"/>
  <c r="J169" i="13"/>
  <c r="J157" i="13"/>
  <c r="J161" i="13"/>
  <c r="J153" i="13"/>
  <c r="J145" i="13"/>
  <c r="J149" i="13"/>
  <c r="J137" i="13"/>
  <c r="J141" i="13"/>
  <c r="J133" i="13"/>
  <c r="J129" i="13"/>
  <c r="H158" i="415"/>
  <c r="H32" i="415"/>
  <c r="J208" i="13"/>
  <c r="J94" i="13"/>
  <c r="J25" i="16"/>
  <c r="J6" i="12"/>
  <c r="J64" i="13"/>
  <c r="J300" i="13" s="1"/>
  <c r="J47" i="415"/>
  <c r="J82" i="415"/>
  <c r="H20" i="415"/>
  <c r="H8" i="415"/>
  <c r="H63" i="415"/>
  <c r="H115" i="415"/>
  <c r="H59" i="415"/>
  <c r="H24" i="415"/>
  <c r="H78" i="415"/>
  <c r="H12" i="415"/>
  <c r="H28" i="415"/>
  <c r="H154" i="415"/>
  <c r="H16" i="415"/>
  <c r="AR82" i="413"/>
  <c r="B1" i="402"/>
  <c r="O182" i="415" l="1"/>
  <c r="J129" i="415"/>
  <c r="K129" i="415" s="1"/>
  <c r="L129" i="415" s="1"/>
  <c r="M129" i="415" s="1"/>
  <c r="N129" i="415" s="1"/>
  <c r="O129" i="415" s="1"/>
  <c r="J121" i="415"/>
  <c r="K121" i="415" s="1"/>
  <c r="J127" i="415"/>
  <c r="J226" i="13"/>
  <c r="J305" i="13"/>
  <c r="J309" i="13"/>
  <c r="J291" i="13"/>
  <c r="J287" i="13"/>
  <c r="J283" i="13"/>
  <c r="J279" i="13"/>
  <c r="J275" i="13"/>
  <c r="J271" i="13"/>
  <c r="J267" i="13"/>
  <c r="J263" i="13"/>
  <c r="J259" i="13"/>
  <c r="J255" i="13"/>
  <c r="J251" i="13"/>
  <c r="J247" i="13"/>
  <c r="J243" i="13"/>
  <c r="J239" i="13"/>
  <c r="J235" i="13"/>
  <c r="J231" i="13"/>
  <c r="K84" i="415"/>
  <c r="J49" i="12"/>
  <c r="J40" i="12"/>
  <c r="J52" i="12"/>
  <c r="K7" i="12"/>
  <c r="J196" i="12"/>
  <c r="J189" i="12"/>
  <c r="J183" i="12"/>
  <c r="J172" i="12"/>
  <c r="J192" i="12"/>
  <c r="J186" i="12"/>
  <c r="J180" i="12"/>
  <c r="J153" i="12"/>
  <c r="J147" i="12"/>
  <c r="J176" i="12"/>
  <c r="J144" i="12"/>
  <c r="J150" i="12"/>
  <c r="J156" i="12"/>
  <c r="J141" i="12"/>
  <c r="J138" i="12"/>
  <c r="J135" i="12"/>
  <c r="J125" i="12"/>
  <c r="J44" i="415"/>
  <c r="J15" i="12"/>
  <c r="J122" i="12"/>
  <c r="J128" i="12"/>
  <c r="J119" i="12"/>
  <c r="J131" i="12"/>
  <c r="J111" i="12"/>
  <c r="J119" i="415"/>
  <c r="J19" i="12"/>
  <c r="J237" i="410"/>
  <c r="J228" i="410"/>
  <c r="J203" i="410"/>
  <c r="J197" i="410"/>
  <c r="J171" i="410"/>
  <c r="J162" i="410"/>
  <c r="J137" i="410"/>
  <c r="J105" i="410"/>
  <c r="J96" i="410"/>
  <c r="J71" i="410"/>
  <c r="BK5" i="409"/>
  <c r="BN46" i="409"/>
  <c r="BN40" i="409"/>
  <c r="BN20" i="409"/>
  <c r="BK6" i="409" s="1"/>
  <c r="BN19" i="409"/>
  <c r="BN18" i="409"/>
  <c r="BN17" i="409"/>
  <c r="BN16" i="409"/>
  <c r="BN15" i="409"/>
  <c r="BN14" i="409"/>
  <c r="BN13" i="409"/>
  <c r="BK4" i="409" s="1"/>
  <c r="BN12" i="409"/>
  <c r="BN11" i="409"/>
  <c r="BN10" i="409"/>
  <c r="BN9" i="409"/>
  <c r="BK3" i="409" s="1"/>
  <c r="BB51" i="409"/>
  <c r="BB50" i="409"/>
  <c r="AY5" i="409" s="1"/>
  <c r="AY3" i="409"/>
  <c r="BB23" i="409"/>
  <c r="AY6" i="409" s="1"/>
  <c r="BB22" i="409"/>
  <c r="BB21" i="409"/>
  <c r="BB20" i="409"/>
  <c r="BB19" i="409"/>
  <c r="BB18" i="409"/>
  <c r="BB17" i="409"/>
  <c r="BB16" i="409"/>
  <c r="BB15" i="409"/>
  <c r="BB14" i="409"/>
  <c r="BB13" i="409"/>
  <c r="AY4" i="409" s="1"/>
  <c r="BB12" i="409"/>
  <c r="BB11" i="409"/>
  <c r="BB10" i="409"/>
  <c r="BB9" i="409"/>
  <c r="AP40" i="409"/>
  <c r="AM5" i="409" s="1"/>
  <c r="AP39" i="409"/>
  <c r="AP21" i="409"/>
  <c r="AM6" i="409" s="1"/>
  <c r="AP20" i="409"/>
  <c r="AP19" i="409"/>
  <c r="AP18" i="409"/>
  <c r="AP17" i="409"/>
  <c r="AP16" i="409"/>
  <c r="AP15" i="409"/>
  <c r="AP14" i="409"/>
  <c r="AP13" i="409"/>
  <c r="AM4" i="409" s="1"/>
  <c r="AP12" i="409"/>
  <c r="AP11" i="409"/>
  <c r="AP10" i="409"/>
  <c r="AP9" i="409"/>
  <c r="AM3" i="409" s="1"/>
  <c r="J62" i="410"/>
  <c r="J37" i="410"/>
  <c r="J32" i="410"/>
  <c r="J4" i="410"/>
  <c r="AD45" i="409"/>
  <c r="AD44" i="409"/>
  <c r="AA4" i="409"/>
  <c r="AD9" i="409"/>
  <c r="AA3" i="409" s="1"/>
  <c r="AD10" i="409"/>
  <c r="AD11" i="409"/>
  <c r="AD12" i="409"/>
  <c r="AD13" i="409"/>
  <c r="AD14" i="409"/>
  <c r="AD15" i="409"/>
  <c r="AD16" i="409"/>
  <c r="AD17" i="409"/>
  <c r="AD18" i="409"/>
  <c r="AD19" i="409"/>
  <c r="AD20" i="409"/>
  <c r="AD21" i="409"/>
  <c r="AD22" i="409"/>
  <c r="AD23" i="409"/>
  <c r="AD24" i="409"/>
  <c r="M290" i="410"/>
  <c r="L290" i="410"/>
  <c r="L291" i="410" s="1"/>
  <c r="K290" i="410"/>
  <c r="I290" i="410"/>
  <c r="H290" i="410"/>
  <c r="G290" i="410"/>
  <c r="G291" i="410" s="1"/>
  <c r="F290" i="410"/>
  <c r="E290" i="410"/>
  <c r="E291" i="410" s="1"/>
  <c r="D290" i="410"/>
  <c r="M289" i="410"/>
  <c r="L289" i="410"/>
  <c r="K289" i="410"/>
  <c r="I289" i="410"/>
  <c r="H289" i="410"/>
  <c r="G289" i="410"/>
  <c r="F289" i="410"/>
  <c r="E289" i="410"/>
  <c r="M287" i="410"/>
  <c r="L287" i="410"/>
  <c r="K287" i="410"/>
  <c r="I287" i="410"/>
  <c r="H287" i="410"/>
  <c r="G287" i="410"/>
  <c r="F287" i="410"/>
  <c r="E287" i="410"/>
  <c r="M285" i="410"/>
  <c r="L285" i="410"/>
  <c r="K285" i="410"/>
  <c r="I285" i="410"/>
  <c r="H285" i="410"/>
  <c r="G285" i="410"/>
  <c r="F285" i="410"/>
  <c r="E285" i="410"/>
  <c r="H276" i="410"/>
  <c r="G276" i="410"/>
  <c r="F276" i="410"/>
  <c r="E276" i="410"/>
  <c r="D276" i="410"/>
  <c r="H274" i="410"/>
  <c r="G274" i="410"/>
  <c r="F274" i="410"/>
  <c r="E274" i="410"/>
  <c r="D274" i="410"/>
  <c r="H272" i="410"/>
  <c r="G272" i="410"/>
  <c r="F272" i="410"/>
  <c r="E272" i="410"/>
  <c r="D272" i="410"/>
  <c r="I261" i="410"/>
  <c r="H261" i="410"/>
  <c r="G261" i="410"/>
  <c r="F261" i="410"/>
  <c r="E261" i="410"/>
  <c r="D261" i="410"/>
  <c r="I260" i="410"/>
  <c r="H260" i="410"/>
  <c r="G260" i="410"/>
  <c r="F260" i="410"/>
  <c r="E260" i="410"/>
  <c r="D260" i="410"/>
  <c r="I259" i="410"/>
  <c r="H259" i="410"/>
  <c r="G259" i="410"/>
  <c r="F259" i="410"/>
  <c r="E259" i="410"/>
  <c r="D259" i="410"/>
  <c r="I258" i="410"/>
  <c r="H258" i="410"/>
  <c r="G258" i="410"/>
  <c r="F258" i="410"/>
  <c r="E258" i="410"/>
  <c r="D258" i="410"/>
  <c r="I257" i="410"/>
  <c r="H257" i="410"/>
  <c r="G257" i="410"/>
  <c r="F257" i="410"/>
  <c r="E257" i="410"/>
  <c r="D257" i="410"/>
  <c r="I256" i="410"/>
  <c r="H256" i="410"/>
  <c r="G256" i="410"/>
  <c r="F256" i="410"/>
  <c r="E256" i="410"/>
  <c r="D256" i="410"/>
  <c r="I255" i="410"/>
  <c r="H255" i="410"/>
  <c r="G255" i="410"/>
  <c r="F255" i="410"/>
  <c r="E255" i="410"/>
  <c r="D255" i="410"/>
  <c r="I254" i="410"/>
  <c r="H254" i="410"/>
  <c r="G254" i="410"/>
  <c r="F254" i="410"/>
  <c r="E254" i="410"/>
  <c r="D254" i="410"/>
  <c r="I253" i="410"/>
  <c r="H253" i="410"/>
  <c r="G253" i="410"/>
  <c r="F253" i="410"/>
  <c r="E253" i="410"/>
  <c r="D253" i="410"/>
  <c r="I252" i="410"/>
  <c r="H252" i="410"/>
  <c r="G252" i="410"/>
  <c r="F252" i="410"/>
  <c r="E252" i="410"/>
  <c r="D252" i="410"/>
  <c r="I251" i="410"/>
  <c r="H251" i="410"/>
  <c r="G251" i="410"/>
  <c r="F251" i="410"/>
  <c r="E251" i="410"/>
  <c r="D251" i="410"/>
  <c r="I250" i="410"/>
  <c r="H250" i="410"/>
  <c r="G250" i="410"/>
  <c r="F250" i="410"/>
  <c r="E250" i="410"/>
  <c r="D250" i="410"/>
  <c r="I249" i="410"/>
  <c r="H249" i="410"/>
  <c r="G249" i="410"/>
  <c r="F249" i="410"/>
  <c r="E249" i="410"/>
  <c r="D249" i="410"/>
  <c r="I248" i="410"/>
  <c r="H248" i="410"/>
  <c r="G248" i="410"/>
  <c r="F248" i="410"/>
  <c r="E248" i="410"/>
  <c r="D248" i="410"/>
  <c r="I247" i="410"/>
  <c r="H247" i="410"/>
  <c r="G247" i="410"/>
  <c r="F247" i="410"/>
  <c r="E247" i="410"/>
  <c r="D247" i="410"/>
  <c r="I246" i="410"/>
  <c r="H246" i="410"/>
  <c r="G246" i="410"/>
  <c r="F246" i="410"/>
  <c r="E246" i="410"/>
  <c r="D246" i="410"/>
  <c r="I245" i="410"/>
  <c r="H245" i="410"/>
  <c r="G245" i="410"/>
  <c r="F245" i="410"/>
  <c r="E245" i="410"/>
  <c r="D245" i="410"/>
  <c r="I244" i="410"/>
  <c r="H244" i="410"/>
  <c r="G244" i="410"/>
  <c r="F244" i="410"/>
  <c r="E244" i="410"/>
  <c r="D244" i="410"/>
  <c r="I243" i="410"/>
  <c r="H243" i="410"/>
  <c r="G243" i="410"/>
  <c r="F243" i="410"/>
  <c r="E243" i="410"/>
  <c r="D243" i="410"/>
  <c r="I242" i="410"/>
  <c r="H242" i="410"/>
  <c r="G242" i="410"/>
  <c r="F242" i="410"/>
  <c r="E242" i="410"/>
  <c r="D242" i="410"/>
  <c r="I241" i="410"/>
  <c r="H241" i="410"/>
  <c r="G241" i="410"/>
  <c r="F241" i="410"/>
  <c r="E241" i="410"/>
  <c r="D241" i="410"/>
  <c r="I240" i="410"/>
  <c r="H240" i="410"/>
  <c r="G240" i="410"/>
  <c r="F240" i="410"/>
  <c r="E240" i="410"/>
  <c r="D240" i="410"/>
  <c r="I239" i="410"/>
  <c r="H239" i="410"/>
  <c r="G239" i="410"/>
  <c r="F239" i="410"/>
  <c r="E239" i="410"/>
  <c r="D239" i="410"/>
  <c r="I238" i="410"/>
  <c r="H238" i="410"/>
  <c r="G238" i="410"/>
  <c r="F238" i="410"/>
  <c r="E238" i="410"/>
  <c r="D238" i="410"/>
  <c r="E237" i="410"/>
  <c r="F237" i="410" s="1"/>
  <c r="G237" i="410" s="1"/>
  <c r="H237" i="410" s="1"/>
  <c r="I237" i="410" s="1"/>
  <c r="I228" i="410"/>
  <c r="H228" i="410"/>
  <c r="G228" i="410"/>
  <c r="F228" i="410"/>
  <c r="E228" i="410"/>
  <c r="D228" i="410"/>
  <c r="E203" i="410"/>
  <c r="F203" i="410" s="1"/>
  <c r="G203" i="410" s="1"/>
  <c r="H203" i="410" s="1"/>
  <c r="I203" i="410" s="1"/>
  <c r="I195" i="410"/>
  <c r="H195" i="410"/>
  <c r="G195" i="410"/>
  <c r="F195" i="410"/>
  <c r="E195" i="410"/>
  <c r="D195" i="410"/>
  <c r="I194" i="410"/>
  <c r="H194" i="410"/>
  <c r="G194" i="410"/>
  <c r="F194" i="410"/>
  <c r="E194" i="410"/>
  <c r="D194" i="410"/>
  <c r="I193" i="410"/>
  <c r="H193" i="410"/>
  <c r="G193" i="410"/>
  <c r="F193" i="410"/>
  <c r="E193" i="410"/>
  <c r="D193" i="410"/>
  <c r="I192" i="410"/>
  <c r="H192" i="410"/>
  <c r="G192" i="410"/>
  <c r="F192" i="410"/>
  <c r="E192" i="410"/>
  <c r="D192" i="410"/>
  <c r="I191" i="410"/>
  <c r="H191" i="410"/>
  <c r="G191" i="410"/>
  <c r="F191" i="410"/>
  <c r="E191" i="410"/>
  <c r="D191" i="410"/>
  <c r="I190" i="410"/>
  <c r="H190" i="410"/>
  <c r="G190" i="410"/>
  <c r="F190" i="410"/>
  <c r="E190" i="410"/>
  <c r="D190" i="410"/>
  <c r="I189" i="410"/>
  <c r="H189" i="410"/>
  <c r="G189" i="410"/>
  <c r="F189" i="410"/>
  <c r="E189" i="410"/>
  <c r="D189" i="410"/>
  <c r="I188" i="410"/>
  <c r="H188" i="410"/>
  <c r="G188" i="410"/>
  <c r="F188" i="410"/>
  <c r="E188" i="410"/>
  <c r="D188" i="410"/>
  <c r="I187" i="410"/>
  <c r="H187" i="410"/>
  <c r="G187" i="410"/>
  <c r="F187" i="410"/>
  <c r="E187" i="410"/>
  <c r="D187" i="410"/>
  <c r="I186" i="410"/>
  <c r="H186" i="410"/>
  <c r="G186" i="410"/>
  <c r="F186" i="410"/>
  <c r="E186" i="410"/>
  <c r="D186" i="410"/>
  <c r="I185" i="410"/>
  <c r="H185" i="410"/>
  <c r="G185" i="410"/>
  <c r="F185" i="410"/>
  <c r="E185" i="410"/>
  <c r="D185" i="410"/>
  <c r="I184" i="410"/>
  <c r="H184" i="410"/>
  <c r="G184" i="410"/>
  <c r="F184" i="410"/>
  <c r="E184" i="410"/>
  <c r="D184" i="410"/>
  <c r="I183" i="410"/>
  <c r="H183" i="410"/>
  <c r="G183" i="410"/>
  <c r="F183" i="410"/>
  <c r="E183" i="410"/>
  <c r="D183" i="410"/>
  <c r="I182" i="410"/>
  <c r="H182" i="410"/>
  <c r="G182" i="410"/>
  <c r="F182" i="410"/>
  <c r="E182" i="410"/>
  <c r="D182" i="410"/>
  <c r="I181" i="410"/>
  <c r="H181" i="410"/>
  <c r="G181" i="410"/>
  <c r="F181" i="410"/>
  <c r="E181" i="410"/>
  <c r="D181" i="410"/>
  <c r="I180" i="410"/>
  <c r="H180" i="410"/>
  <c r="G180" i="410"/>
  <c r="F180" i="410"/>
  <c r="E180" i="410"/>
  <c r="D180" i="410"/>
  <c r="I179" i="410"/>
  <c r="H179" i="410"/>
  <c r="G179" i="410"/>
  <c r="F179" i="410"/>
  <c r="E179" i="410"/>
  <c r="D179" i="410"/>
  <c r="I178" i="410"/>
  <c r="H178" i="410"/>
  <c r="G178" i="410"/>
  <c r="F178" i="410"/>
  <c r="E178" i="410"/>
  <c r="D178" i="410"/>
  <c r="I177" i="410"/>
  <c r="H177" i="410"/>
  <c r="G177" i="410"/>
  <c r="F177" i="410"/>
  <c r="E177" i="410"/>
  <c r="D177" i="410"/>
  <c r="I176" i="410"/>
  <c r="H176" i="410"/>
  <c r="G176" i="410"/>
  <c r="F176" i="410"/>
  <c r="E176" i="410"/>
  <c r="D176" i="410"/>
  <c r="I175" i="410"/>
  <c r="H175" i="410"/>
  <c r="G175" i="410"/>
  <c r="F175" i="410"/>
  <c r="E175" i="410"/>
  <c r="D175" i="410"/>
  <c r="I174" i="410"/>
  <c r="H174" i="410"/>
  <c r="G174" i="410"/>
  <c r="F174" i="410"/>
  <c r="E174" i="410"/>
  <c r="D174" i="410"/>
  <c r="I173" i="410"/>
  <c r="H173" i="410"/>
  <c r="G173" i="410"/>
  <c r="F173" i="410"/>
  <c r="E173" i="410"/>
  <c r="D173" i="410"/>
  <c r="I172" i="410"/>
  <c r="H172" i="410"/>
  <c r="G172" i="410"/>
  <c r="F172" i="410"/>
  <c r="E172" i="410"/>
  <c r="D172" i="410"/>
  <c r="E171" i="410"/>
  <c r="F171" i="410" s="1"/>
  <c r="G171" i="410" s="1"/>
  <c r="H171" i="410" s="1"/>
  <c r="I171" i="410" s="1"/>
  <c r="I162" i="410"/>
  <c r="H162" i="410"/>
  <c r="G162" i="410"/>
  <c r="F162" i="410"/>
  <c r="E162" i="410"/>
  <c r="E166" i="410" s="1"/>
  <c r="D162" i="410"/>
  <c r="F137" i="410"/>
  <c r="G137" i="410" s="1"/>
  <c r="H137" i="410" s="1"/>
  <c r="I137" i="410" s="1"/>
  <c r="E137" i="410"/>
  <c r="I129" i="410"/>
  <c r="H129" i="410"/>
  <c r="G129" i="410"/>
  <c r="F129" i="410"/>
  <c r="E129" i="410"/>
  <c r="D129" i="410"/>
  <c r="I128" i="410"/>
  <c r="H128" i="410"/>
  <c r="G128" i="410"/>
  <c r="F128" i="410"/>
  <c r="E128" i="410"/>
  <c r="D128" i="410"/>
  <c r="I127" i="410"/>
  <c r="H127" i="410"/>
  <c r="G127" i="410"/>
  <c r="F127" i="410"/>
  <c r="E127" i="410"/>
  <c r="D127" i="410"/>
  <c r="I126" i="410"/>
  <c r="H126" i="410"/>
  <c r="G126" i="410"/>
  <c r="F126" i="410"/>
  <c r="E126" i="410"/>
  <c r="D126" i="410"/>
  <c r="I125" i="410"/>
  <c r="H125" i="410"/>
  <c r="G125" i="410"/>
  <c r="F125" i="410"/>
  <c r="E125" i="410"/>
  <c r="D125" i="410"/>
  <c r="I124" i="410"/>
  <c r="H124" i="410"/>
  <c r="G124" i="410"/>
  <c r="F124" i="410"/>
  <c r="E124" i="410"/>
  <c r="D124" i="410"/>
  <c r="I123" i="410"/>
  <c r="H123" i="410"/>
  <c r="G123" i="410"/>
  <c r="F123" i="410"/>
  <c r="E123" i="410"/>
  <c r="D123" i="410"/>
  <c r="I122" i="410"/>
  <c r="H122" i="410"/>
  <c r="G122" i="410"/>
  <c r="F122" i="410"/>
  <c r="E122" i="410"/>
  <c r="D122" i="410"/>
  <c r="I121" i="410"/>
  <c r="H121" i="410"/>
  <c r="G121" i="410"/>
  <c r="F121" i="410"/>
  <c r="E121" i="410"/>
  <c r="D121" i="410"/>
  <c r="I120" i="410"/>
  <c r="H120" i="410"/>
  <c r="G120" i="410"/>
  <c r="F120" i="410"/>
  <c r="E120" i="410"/>
  <c r="D120" i="410"/>
  <c r="I119" i="410"/>
  <c r="H119" i="410"/>
  <c r="G119" i="410"/>
  <c r="F119" i="410"/>
  <c r="E119" i="410"/>
  <c r="D119" i="410"/>
  <c r="I118" i="410"/>
  <c r="H118" i="410"/>
  <c r="G118" i="410"/>
  <c r="F118" i="410"/>
  <c r="E118" i="410"/>
  <c r="D118" i="410"/>
  <c r="I117" i="410"/>
  <c r="H117" i="410"/>
  <c r="G117" i="410"/>
  <c r="F117" i="410"/>
  <c r="E117" i="410"/>
  <c r="D117" i="410"/>
  <c r="I116" i="410"/>
  <c r="H116" i="410"/>
  <c r="G116" i="410"/>
  <c r="F116" i="410"/>
  <c r="E116" i="410"/>
  <c r="D116" i="410"/>
  <c r="I115" i="410"/>
  <c r="H115" i="410"/>
  <c r="G115" i="410"/>
  <c r="F115" i="410"/>
  <c r="E115" i="410"/>
  <c r="D115" i="410"/>
  <c r="I114" i="410"/>
  <c r="H114" i="410"/>
  <c r="G114" i="410"/>
  <c r="F114" i="410"/>
  <c r="E114" i="410"/>
  <c r="D114" i="410"/>
  <c r="I113" i="410"/>
  <c r="H113" i="410"/>
  <c r="G113" i="410"/>
  <c r="F113" i="410"/>
  <c r="E113" i="410"/>
  <c r="D113" i="410"/>
  <c r="I112" i="410"/>
  <c r="H112" i="410"/>
  <c r="G112" i="410"/>
  <c r="F112" i="410"/>
  <c r="E112" i="410"/>
  <c r="D112" i="410"/>
  <c r="I111" i="410"/>
  <c r="H111" i="410"/>
  <c r="G111" i="410"/>
  <c r="F111" i="410"/>
  <c r="E111" i="410"/>
  <c r="D111" i="410"/>
  <c r="I110" i="410"/>
  <c r="H110" i="410"/>
  <c r="G110" i="410"/>
  <c r="F110" i="410"/>
  <c r="E110" i="410"/>
  <c r="D110" i="410"/>
  <c r="I109" i="410"/>
  <c r="H109" i="410"/>
  <c r="G109" i="410"/>
  <c r="F109" i="410"/>
  <c r="E109" i="410"/>
  <c r="D109" i="410"/>
  <c r="I108" i="410"/>
  <c r="H108" i="410"/>
  <c r="G108" i="410"/>
  <c r="F108" i="410"/>
  <c r="E108" i="410"/>
  <c r="D108" i="410"/>
  <c r="I107" i="410"/>
  <c r="H107" i="410"/>
  <c r="G107" i="410"/>
  <c r="F107" i="410"/>
  <c r="E107" i="410"/>
  <c r="D107" i="410"/>
  <c r="I106" i="410"/>
  <c r="H106" i="410"/>
  <c r="G106" i="410"/>
  <c r="F106" i="410"/>
  <c r="E106" i="410"/>
  <c r="D106" i="410"/>
  <c r="I105" i="410"/>
  <c r="E105" i="410"/>
  <c r="F105" i="410" s="1"/>
  <c r="G105" i="410" s="1"/>
  <c r="H105" i="410" s="1"/>
  <c r="I96" i="410"/>
  <c r="H96" i="410"/>
  <c r="G96" i="410"/>
  <c r="F96" i="410"/>
  <c r="E96" i="410"/>
  <c r="D96" i="410"/>
  <c r="E71" i="410"/>
  <c r="F71" i="410" s="1"/>
  <c r="G71" i="410" s="1"/>
  <c r="H71" i="410" s="1"/>
  <c r="I71" i="410" s="1"/>
  <c r="I62" i="410"/>
  <c r="H62" i="410"/>
  <c r="G62" i="410"/>
  <c r="F62" i="410"/>
  <c r="F66" i="410" s="1"/>
  <c r="E62" i="410"/>
  <c r="D62" i="410"/>
  <c r="G37" i="410"/>
  <c r="H37" i="410" s="1"/>
  <c r="I37" i="410" s="1"/>
  <c r="F37" i="410"/>
  <c r="E37" i="410"/>
  <c r="H32" i="410"/>
  <c r="G32" i="410"/>
  <c r="I29" i="410"/>
  <c r="J30" i="410" s="1"/>
  <c r="H29" i="410"/>
  <c r="G29" i="410"/>
  <c r="F29" i="410"/>
  <c r="E29" i="410"/>
  <c r="D29" i="410"/>
  <c r="F4" i="410"/>
  <c r="G4" i="410" s="1"/>
  <c r="H4" i="410" s="1"/>
  <c r="I4" i="410" s="1"/>
  <c r="E4" i="410"/>
  <c r="J168" i="415" l="1"/>
  <c r="J160" i="415"/>
  <c r="J166" i="415"/>
  <c r="J32" i="415"/>
  <c r="L121" i="415"/>
  <c r="L84" i="415"/>
  <c r="M84" i="415" s="1"/>
  <c r="N84" i="415" s="1"/>
  <c r="O84" i="415" s="1"/>
  <c r="J158" i="415"/>
  <c r="J154" i="415"/>
  <c r="J12" i="415"/>
  <c r="G273" i="410"/>
  <c r="F275" i="410"/>
  <c r="E277" i="410"/>
  <c r="E232" i="410"/>
  <c r="J232" i="410"/>
  <c r="I232" i="410"/>
  <c r="D232" i="410"/>
  <c r="H232" i="410"/>
  <c r="J229" i="410"/>
  <c r="F229" i="410"/>
  <c r="G231" i="410"/>
  <c r="D166" i="410"/>
  <c r="E165" i="410"/>
  <c r="I165" i="410"/>
  <c r="J163" i="410"/>
  <c r="J100" i="410"/>
  <c r="D100" i="410"/>
  <c r="H100" i="410"/>
  <c r="G100" i="410"/>
  <c r="J97" i="410"/>
  <c r="H196" i="410"/>
  <c r="D196" i="410"/>
  <c r="E196" i="410"/>
  <c r="J63" i="410"/>
  <c r="E197" i="410"/>
  <c r="D66" i="410"/>
  <c r="G197" i="410"/>
  <c r="E63" i="410"/>
  <c r="G66" i="410"/>
  <c r="F30" i="410"/>
  <c r="J231" i="410"/>
  <c r="J196" i="410"/>
  <c r="J166" i="410"/>
  <c r="J165" i="410"/>
  <c r="J99" i="410"/>
  <c r="AA5" i="409"/>
  <c r="AA6" i="409"/>
  <c r="J66" i="410"/>
  <c r="J65" i="410"/>
  <c r="G30" i="410"/>
  <c r="F278" i="410"/>
  <c r="E163" i="410"/>
  <c r="F166" i="410"/>
  <c r="F165" i="410"/>
  <c r="G232" i="410"/>
  <c r="H273" i="410"/>
  <c r="G275" i="410"/>
  <c r="F277" i="410"/>
  <c r="H291" i="410"/>
  <c r="M291" i="410"/>
  <c r="H30" i="410"/>
  <c r="E32" i="410"/>
  <c r="I32" i="410"/>
  <c r="E65" i="410"/>
  <c r="I65" i="410"/>
  <c r="E97" i="410"/>
  <c r="I97" i="410"/>
  <c r="H99" i="410"/>
  <c r="G163" i="410"/>
  <c r="I163" i="410"/>
  <c r="F197" i="410"/>
  <c r="D197" i="410"/>
  <c r="H197" i="410"/>
  <c r="E278" i="410"/>
  <c r="D278" i="410"/>
  <c r="H278" i="410"/>
  <c r="G278" i="410"/>
  <c r="I291" i="410"/>
  <c r="E30" i="410"/>
  <c r="I30" i="410"/>
  <c r="F32" i="410"/>
  <c r="H63" i="410"/>
  <c r="F65" i="410"/>
  <c r="G65" i="410"/>
  <c r="F97" i="410"/>
  <c r="G99" i="410"/>
  <c r="H163" i="410"/>
  <c r="G196" i="410"/>
  <c r="E229" i="410"/>
  <c r="I229" i="410"/>
  <c r="F231" i="410"/>
  <c r="H231" i="410"/>
  <c r="F273" i="410"/>
  <c r="E275" i="410"/>
  <c r="H277" i="410"/>
  <c r="F291" i="410"/>
  <c r="K291" i="410"/>
  <c r="E100" i="410"/>
  <c r="E99" i="410"/>
  <c r="I100" i="410"/>
  <c r="I99" i="410"/>
  <c r="I63" i="410"/>
  <c r="F99" i="410"/>
  <c r="F63" i="410"/>
  <c r="E66" i="410"/>
  <c r="G97" i="410"/>
  <c r="F100" i="410"/>
  <c r="G166" i="410"/>
  <c r="G165" i="410"/>
  <c r="H66" i="410"/>
  <c r="H65" i="410"/>
  <c r="I66" i="410"/>
  <c r="H165" i="410"/>
  <c r="H166" i="410"/>
  <c r="I196" i="410"/>
  <c r="I197" i="410"/>
  <c r="F232" i="410"/>
  <c r="H275" i="410"/>
  <c r="G277" i="410"/>
  <c r="F163" i="410"/>
  <c r="I166" i="410"/>
  <c r="I231" i="410"/>
  <c r="G229" i="410"/>
  <c r="E273" i="410"/>
  <c r="G63" i="410"/>
  <c r="H97" i="410"/>
  <c r="F196" i="410"/>
  <c r="H229" i="410"/>
  <c r="E231" i="410"/>
  <c r="K168" i="415" l="1"/>
  <c r="L168" i="415" s="1"/>
  <c r="M168" i="415" s="1"/>
  <c r="N168" i="415" s="1"/>
  <c r="O168" i="415" s="1"/>
  <c r="F279" i="410"/>
  <c r="K160" i="415"/>
  <c r="L160" i="415" s="1"/>
  <c r="M160" i="415" s="1"/>
  <c r="N160" i="415" s="1"/>
  <c r="O160" i="415" s="1"/>
  <c r="M121" i="415"/>
  <c r="N121" i="415" s="1"/>
  <c r="O121" i="415" s="1"/>
  <c r="K64" i="415"/>
  <c r="K65" i="415" s="1"/>
  <c r="K117" i="415"/>
  <c r="K145" i="415" s="1"/>
  <c r="K67" i="415"/>
  <c r="K68" i="415" s="1"/>
  <c r="G279" i="410"/>
  <c r="E279" i="410"/>
  <c r="H279" i="410"/>
  <c r="K137" i="415" l="1"/>
  <c r="K141" i="415"/>
  <c r="K61" i="415"/>
  <c r="K62" i="415" s="1"/>
  <c r="L117" i="415"/>
  <c r="L145" i="415" s="1"/>
  <c r="L67" i="415"/>
  <c r="L68" i="415" s="1"/>
  <c r="K133" i="415"/>
  <c r="K118" i="415"/>
  <c r="K119" i="415"/>
  <c r="R57" i="409"/>
  <c r="R56" i="409"/>
  <c r="R55" i="409"/>
  <c r="O5" i="409" s="1"/>
  <c r="L137" i="415" l="1"/>
  <c r="L141" i="415"/>
  <c r="K142" i="415"/>
  <c r="K134" i="415"/>
  <c r="K138" i="415"/>
  <c r="K146" i="415"/>
  <c r="M117" i="415"/>
  <c r="M145" i="415" s="1"/>
  <c r="M67" i="415"/>
  <c r="M68" i="415" s="1"/>
  <c r="L119" i="415"/>
  <c r="L133" i="415"/>
  <c r="L118" i="415"/>
  <c r="R24" i="409"/>
  <c r="O6" i="409" s="1"/>
  <c r="R23" i="409"/>
  <c r="R22" i="409"/>
  <c r="R21" i="409"/>
  <c r="R20" i="409"/>
  <c r="R19" i="409"/>
  <c r="R18" i="409"/>
  <c r="R17" i="409"/>
  <c r="R16" i="409"/>
  <c r="R15" i="409"/>
  <c r="R14" i="409"/>
  <c r="O4" i="409" s="1"/>
  <c r="R13" i="409"/>
  <c r="R12" i="409"/>
  <c r="R11" i="409"/>
  <c r="R10" i="409"/>
  <c r="R9" i="409"/>
  <c r="O3" i="409" s="1"/>
  <c r="F9" i="409"/>
  <c r="F10" i="409"/>
  <c r="F11" i="409"/>
  <c r="F12" i="409"/>
  <c r="F13" i="409"/>
  <c r="C4" i="409" s="1"/>
  <c r="F14" i="409"/>
  <c r="F15" i="409"/>
  <c r="F16" i="409"/>
  <c r="F17" i="409"/>
  <c r="F18" i="409"/>
  <c r="F19" i="409"/>
  <c r="F20" i="409"/>
  <c r="F21" i="409"/>
  <c r="F22" i="409"/>
  <c r="F23" i="409"/>
  <c r="F24" i="409"/>
  <c r="F25" i="409"/>
  <c r="F26" i="409"/>
  <c r="F27" i="409"/>
  <c r="F28" i="409"/>
  <c r="F31" i="409"/>
  <c r="F34" i="409"/>
  <c r="C5" i="409" s="1"/>
  <c r="F35" i="409"/>
  <c r="C3" i="409"/>
  <c r="M137" i="415" l="1"/>
  <c r="M141" i="415"/>
  <c r="L142" i="415"/>
  <c r="L134" i="415"/>
  <c r="L146" i="415"/>
  <c r="L138" i="415"/>
  <c r="N117" i="415"/>
  <c r="N145" i="415" s="1"/>
  <c r="N67" i="415"/>
  <c r="N68" i="415" s="1"/>
  <c r="M133" i="415"/>
  <c r="M119" i="415"/>
  <c r="M118" i="415"/>
  <c r="O117" i="415"/>
  <c r="O145" i="415" s="1"/>
  <c r="O67" i="415"/>
  <c r="C6" i="409"/>
  <c r="O137" i="415" l="1"/>
  <c r="O141" i="415"/>
  <c r="N137" i="415"/>
  <c r="N141" i="415"/>
  <c r="M142" i="415"/>
  <c r="M134" i="415"/>
  <c r="N119" i="415"/>
  <c r="N133" i="415"/>
  <c r="N118" i="415"/>
  <c r="O119" i="415"/>
  <c r="O133" i="415"/>
  <c r="O118" i="415"/>
  <c r="M146" i="415"/>
  <c r="O68" i="415"/>
  <c r="M138" i="415"/>
  <c r="AQ6" i="408"/>
  <c r="AQ5" i="408"/>
  <c r="AQ4" i="408"/>
  <c r="AQ3" i="408"/>
  <c r="AI6" i="408"/>
  <c r="AI5" i="408"/>
  <c r="AI4" i="408"/>
  <c r="AI3" i="408"/>
  <c r="AA6" i="408"/>
  <c r="AA5" i="408"/>
  <c r="AA4" i="408"/>
  <c r="AA3" i="408"/>
  <c r="S5" i="408"/>
  <c r="S4" i="408"/>
  <c r="S3" i="408"/>
  <c r="S6" i="408"/>
  <c r="N142" i="415" l="1"/>
  <c r="N134" i="415"/>
  <c r="O142" i="415"/>
  <c r="O134" i="415"/>
  <c r="O146" i="415"/>
  <c r="N146" i="415"/>
  <c r="N138" i="415"/>
  <c r="O138" i="415"/>
  <c r="K3" i="408"/>
  <c r="K6" i="408"/>
  <c r="K5" i="408"/>
  <c r="K4" i="408"/>
  <c r="C6" i="408"/>
  <c r="C5" i="408"/>
  <c r="C4" i="408"/>
  <c r="C3" i="408"/>
  <c r="O77" i="406" l="1"/>
  <c r="N77" i="406"/>
  <c r="M77" i="406"/>
  <c r="L77" i="406"/>
  <c r="K77" i="406"/>
  <c r="J77" i="406"/>
  <c r="O76" i="406"/>
  <c r="N76" i="406"/>
  <c r="M76" i="406"/>
  <c r="L76" i="406"/>
  <c r="K76" i="406"/>
  <c r="J76" i="406"/>
  <c r="O75" i="406"/>
  <c r="N75" i="406"/>
  <c r="M75" i="406"/>
  <c r="L75" i="406"/>
  <c r="K75" i="406"/>
  <c r="J75" i="406"/>
  <c r="G77" i="406"/>
  <c r="F77" i="406"/>
  <c r="E77" i="406"/>
  <c r="D77" i="406"/>
  <c r="C77" i="406"/>
  <c r="G76" i="406"/>
  <c r="F76" i="406"/>
  <c r="E76" i="406"/>
  <c r="D76" i="406"/>
  <c r="C76" i="406"/>
  <c r="G75" i="406"/>
  <c r="F75" i="406"/>
  <c r="E75" i="406"/>
  <c r="D75" i="406"/>
  <c r="C75" i="406"/>
  <c r="O74" i="406"/>
  <c r="N74" i="406"/>
  <c r="M74" i="406"/>
  <c r="M72" i="406" s="1"/>
  <c r="L74" i="406"/>
  <c r="L72" i="406" s="1"/>
  <c r="K74" i="406"/>
  <c r="J74" i="406"/>
  <c r="O73" i="406"/>
  <c r="N73" i="406"/>
  <c r="N72" i="406" s="1"/>
  <c r="N69" i="406" s="1"/>
  <c r="M73" i="406"/>
  <c r="L73" i="406"/>
  <c r="K73" i="406"/>
  <c r="J73" i="406"/>
  <c r="J72" i="406" s="1"/>
  <c r="J69" i="406" s="1"/>
  <c r="O72" i="406"/>
  <c r="K72" i="406"/>
  <c r="O71" i="406"/>
  <c r="N71" i="406"/>
  <c r="M71" i="406"/>
  <c r="L71" i="406"/>
  <c r="L70" i="406" s="1"/>
  <c r="K71" i="406"/>
  <c r="J71" i="406"/>
  <c r="O70" i="406"/>
  <c r="O69" i="406" s="1"/>
  <c r="N70" i="406"/>
  <c r="M70" i="406"/>
  <c r="K70" i="406"/>
  <c r="J70" i="406"/>
  <c r="O68" i="406"/>
  <c r="N68" i="406"/>
  <c r="M68" i="406"/>
  <c r="L68" i="406"/>
  <c r="K68" i="406"/>
  <c r="J68" i="406"/>
  <c r="O67" i="406"/>
  <c r="N67" i="406"/>
  <c r="M67" i="406"/>
  <c r="L67" i="406"/>
  <c r="K67" i="406"/>
  <c r="J67" i="406"/>
  <c r="O66" i="406"/>
  <c r="N66" i="406"/>
  <c r="M66" i="406"/>
  <c r="L66" i="406"/>
  <c r="K66" i="406"/>
  <c r="J66" i="406"/>
  <c r="O65" i="406"/>
  <c r="N65" i="406"/>
  <c r="M65" i="406"/>
  <c r="L65" i="406"/>
  <c r="K65" i="406"/>
  <c r="J65" i="406"/>
  <c r="O64" i="406"/>
  <c r="N64" i="406"/>
  <c r="M64" i="406"/>
  <c r="L64" i="406"/>
  <c r="K64" i="406"/>
  <c r="J64" i="406"/>
  <c r="O63" i="406"/>
  <c r="N63" i="406"/>
  <c r="M63" i="406"/>
  <c r="L63" i="406"/>
  <c r="K63" i="406"/>
  <c r="J63" i="406"/>
  <c r="O62" i="406"/>
  <c r="N62" i="406"/>
  <c r="M62" i="406"/>
  <c r="L62" i="406"/>
  <c r="K62" i="406"/>
  <c r="J62" i="406"/>
  <c r="O61" i="406"/>
  <c r="N61" i="406"/>
  <c r="M61" i="406"/>
  <c r="L61" i="406"/>
  <c r="K61" i="406"/>
  <c r="J61" i="406"/>
  <c r="O60" i="406"/>
  <c r="N60" i="406"/>
  <c r="M60" i="406"/>
  <c r="L60" i="406"/>
  <c r="K60" i="406"/>
  <c r="J60" i="406"/>
  <c r="O59" i="406"/>
  <c r="N59" i="406"/>
  <c r="M59" i="406"/>
  <c r="L59" i="406"/>
  <c r="K59" i="406"/>
  <c r="J59" i="406"/>
  <c r="O58" i="406"/>
  <c r="N58" i="406"/>
  <c r="M58" i="406"/>
  <c r="L58" i="406"/>
  <c r="K58" i="406"/>
  <c r="J58" i="406"/>
  <c r="O57" i="406"/>
  <c r="N57" i="406"/>
  <c r="M57" i="406"/>
  <c r="L57" i="406"/>
  <c r="K57" i="406"/>
  <c r="J57" i="406"/>
  <c r="O56" i="406"/>
  <c r="N56" i="406"/>
  <c r="M56" i="406"/>
  <c r="L56" i="406"/>
  <c r="K56" i="406"/>
  <c r="J56" i="406"/>
  <c r="O55" i="406"/>
  <c r="N55" i="406"/>
  <c r="M55" i="406"/>
  <c r="L55" i="406"/>
  <c r="K55" i="406"/>
  <c r="O53" i="406"/>
  <c r="N53" i="406"/>
  <c r="M53" i="406"/>
  <c r="L53" i="406"/>
  <c r="K53" i="406"/>
  <c r="J53" i="406"/>
  <c r="O52" i="406"/>
  <c r="N52" i="406"/>
  <c r="M52" i="406"/>
  <c r="L52" i="406"/>
  <c r="K52" i="406"/>
  <c r="J52" i="406"/>
  <c r="O51" i="406"/>
  <c r="N51" i="406"/>
  <c r="M51" i="406"/>
  <c r="L51" i="406"/>
  <c r="K51" i="406"/>
  <c r="J51" i="406"/>
  <c r="O50" i="406"/>
  <c r="N50" i="406"/>
  <c r="M50" i="406"/>
  <c r="L50" i="406"/>
  <c r="K50" i="406"/>
  <c r="J50" i="406"/>
  <c r="O49" i="406"/>
  <c r="N49" i="406"/>
  <c r="M49" i="406"/>
  <c r="L49" i="406"/>
  <c r="L47" i="406" s="1"/>
  <c r="K49" i="406"/>
  <c r="O48" i="406"/>
  <c r="N48" i="406"/>
  <c r="M48" i="406"/>
  <c r="M47" i="406" s="1"/>
  <c r="L48" i="406"/>
  <c r="K48" i="406"/>
  <c r="J48" i="406"/>
  <c r="O47" i="406"/>
  <c r="N47" i="406"/>
  <c r="K47" i="406"/>
  <c r="J47" i="406"/>
  <c r="H46" i="406"/>
  <c r="G46" i="406"/>
  <c r="F46" i="406"/>
  <c r="E46" i="406"/>
  <c r="D46" i="406"/>
  <c r="H54" i="406"/>
  <c r="G54" i="406"/>
  <c r="F54" i="406"/>
  <c r="E54" i="406"/>
  <c r="D54" i="406"/>
  <c r="C54" i="406"/>
  <c r="C46" i="406"/>
  <c r="H69" i="406"/>
  <c r="G69" i="406"/>
  <c r="F69" i="406"/>
  <c r="E69" i="406"/>
  <c r="D69" i="406"/>
  <c r="C69" i="406"/>
  <c r="G74" i="406"/>
  <c r="G73" i="406"/>
  <c r="G72" i="406"/>
  <c r="F74" i="406"/>
  <c r="F73" i="406"/>
  <c r="E74" i="406"/>
  <c r="E73" i="406"/>
  <c r="E72" i="406"/>
  <c r="D74" i="406"/>
  <c r="D73" i="406"/>
  <c r="D72" i="406" s="1"/>
  <c r="C74" i="406"/>
  <c r="C73" i="406"/>
  <c r="C72" i="406" s="1"/>
  <c r="H72" i="406"/>
  <c r="F72" i="406"/>
  <c r="G71" i="406"/>
  <c r="F71" i="406"/>
  <c r="E71" i="406"/>
  <c r="D71" i="406"/>
  <c r="D70" i="406"/>
  <c r="C71" i="406"/>
  <c r="H70" i="406"/>
  <c r="G70" i="406"/>
  <c r="F70" i="406"/>
  <c r="E70" i="406"/>
  <c r="C70" i="406"/>
  <c r="G68" i="406"/>
  <c r="G67" i="406"/>
  <c r="G66" i="406"/>
  <c r="G65" i="406"/>
  <c r="G64" i="406"/>
  <c r="G63" i="406"/>
  <c r="G62" i="406"/>
  <c r="G61" i="406"/>
  <c r="G60" i="406"/>
  <c r="G59" i="406"/>
  <c r="G58" i="406"/>
  <c r="G57" i="406"/>
  <c r="G56" i="406"/>
  <c r="G55" i="406"/>
  <c r="F68" i="406"/>
  <c r="F67" i="406"/>
  <c r="F66" i="406"/>
  <c r="F65" i="406"/>
  <c r="F64" i="406"/>
  <c r="F63" i="406"/>
  <c r="F62" i="406"/>
  <c r="F61" i="406"/>
  <c r="F60" i="406"/>
  <c r="F59" i="406"/>
  <c r="F58" i="406"/>
  <c r="F57" i="406"/>
  <c r="F56" i="406"/>
  <c r="F55" i="406"/>
  <c r="E68" i="406"/>
  <c r="E67" i="406"/>
  <c r="E66" i="406"/>
  <c r="E65" i="406"/>
  <c r="E64" i="406"/>
  <c r="E63" i="406"/>
  <c r="E62" i="406"/>
  <c r="E61" i="406"/>
  <c r="E60" i="406"/>
  <c r="E59" i="406"/>
  <c r="E58" i="406"/>
  <c r="E57" i="406"/>
  <c r="E56" i="406"/>
  <c r="E55" i="406"/>
  <c r="D68" i="406"/>
  <c r="D67" i="406"/>
  <c r="D66" i="406"/>
  <c r="D65" i="406"/>
  <c r="D64" i="406"/>
  <c r="D63" i="406"/>
  <c r="D62" i="406"/>
  <c r="D61" i="406"/>
  <c r="D60" i="406"/>
  <c r="D59" i="406"/>
  <c r="D58" i="406"/>
  <c r="D57" i="406"/>
  <c r="D56" i="406"/>
  <c r="D55" i="406"/>
  <c r="C68" i="406"/>
  <c r="C67" i="406"/>
  <c r="C66" i="406"/>
  <c r="C65" i="406"/>
  <c r="C64" i="406"/>
  <c r="C63" i="406"/>
  <c r="C62" i="406"/>
  <c r="C61" i="406"/>
  <c r="C60" i="406"/>
  <c r="C59" i="406"/>
  <c r="C58" i="406"/>
  <c r="C57" i="406"/>
  <c r="C56" i="406"/>
  <c r="C55" i="406"/>
  <c r="G53" i="406"/>
  <c r="G52" i="406"/>
  <c r="G51" i="406"/>
  <c r="G50" i="406"/>
  <c r="G49" i="406"/>
  <c r="G48" i="406"/>
  <c r="F53" i="406"/>
  <c r="F52" i="406"/>
  <c r="F51" i="406"/>
  <c r="F50" i="406"/>
  <c r="F49" i="406"/>
  <c r="F48" i="406"/>
  <c r="E53" i="406"/>
  <c r="E52" i="406"/>
  <c r="E51" i="406"/>
  <c r="E50" i="406"/>
  <c r="E49" i="406"/>
  <c r="E48" i="406"/>
  <c r="E47" i="406" s="1"/>
  <c r="D53" i="406"/>
  <c r="D52" i="406"/>
  <c r="D51" i="406"/>
  <c r="D50" i="406"/>
  <c r="D49" i="406"/>
  <c r="D48" i="406"/>
  <c r="C53" i="406"/>
  <c r="C52" i="406"/>
  <c r="C51" i="406"/>
  <c r="C50" i="406"/>
  <c r="C49" i="406"/>
  <c r="C48" i="406"/>
  <c r="G45" i="406"/>
  <c r="N45" i="406" s="1"/>
  <c r="G44" i="406"/>
  <c r="N44" i="406" s="1"/>
  <c r="G43" i="406"/>
  <c r="N43" i="406" s="1"/>
  <c r="G42" i="406"/>
  <c r="N42" i="406" s="1"/>
  <c r="G41" i="406"/>
  <c r="N41" i="406" s="1"/>
  <c r="G40" i="406"/>
  <c r="N40" i="406" s="1"/>
  <c r="G39" i="406"/>
  <c r="N39" i="406" s="1"/>
  <c r="G38" i="406"/>
  <c r="N38" i="406" s="1"/>
  <c r="G37" i="406"/>
  <c r="N37" i="406" s="1"/>
  <c r="G36" i="406"/>
  <c r="N36" i="406" s="1"/>
  <c r="G35" i="406"/>
  <c r="N35" i="406" s="1"/>
  <c r="G34" i="406"/>
  <c r="N34" i="406" s="1"/>
  <c r="G33" i="406"/>
  <c r="N33" i="406" s="1"/>
  <c r="G32" i="406"/>
  <c r="N32" i="406" s="1"/>
  <c r="G31" i="406"/>
  <c r="N31" i="406" s="1"/>
  <c r="G30" i="406"/>
  <c r="N30" i="406" s="1"/>
  <c r="G29" i="406"/>
  <c r="N29" i="406" s="1"/>
  <c r="G28" i="406"/>
  <c r="G27" i="406"/>
  <c r="N27" i="406" s="1"/>
  <c r="F45" i="406"/>
  <c r="M45" i="406" s="1"/>
  <c r="F44" i="406"/>
  <c r="M44" i="406" s="1"/>
  <c r="F43" i="406"/>
  <c r="M43" i="406" s="1"/>
  <c r="F42" i="406"/>
  <c r="M42" i="406" s="1"/>
  <c r="F41" i="406"/>
  <c r="M41" i="406" s="1"/>
  <c r="F40" i="406"/>
  <c r="M40" i="406" s="1"/>
  <c r="F39" i="406"/>
  <c r="M39" i="406" s="1"/>
  <c r="F38" i="406"/>
  <c r="M38" i="406" s="1"/>
  <c r="F37" i="406"/>
  <c r="M37" i="406" s="1"/>
  <c r="F36" i="406"/>
  <c r="M36" i="406" s="1"/>
  <c r="F35" i="406"/>
  <c r="M35" i="406" s="1"/>
  <c r="F34" i="406"/>
  <c r="M34" i="406" s="1"/>
  <c r="F33" i="406"/>
  <c r="M33" i="406" s="1"/>
  <c r="F32" i="406"/>
  <c r="M32" i="406" s="1"/>
  <c r="F31" i="406"/>
  <c r="M31" i="406" s="1"/>
  <c r="F30" i="406"/>
  <c r="M30" i="406" s="1"/>
  <c r="F29" i="406"/>
  <c r="F28" i="406"/>
  <c r="M28" i="406" s="1"/>
  <c r="F27" i="406"/>
  <c r="M27" i="406" s="1"/>
  <c r="E45" i="406"/>
  <c r="L45" i="406" s="1"/>
  <c r="E44" i="406"/>
  <c r="L44" i="406" s="1"/>
  <c r="E43" i="406"/>
  <c r="L43" i="406" s="1"/>
  <c r="E42" i="406"/>
  <c r="L42" i="406" s="1"/>
  <c r="E41" i="406"/>
  <c r="L41" i="406" s="1"/>
  <c r="E40" i="406"/>
  <c r="L40" i="406" s="1"/>
  <c r="E39" i="406"/>
  <c r="L39" i="406" s="1"/>
  <c r="E38" i="406"/>
  <c r="L38" i="406" s="1"/>
  <c r="E37" i="406"/>
  <c r="L37" i="406" s="1"/>
  <c r="E36" i="406"/>
  <c r="L36" i="406" s="1"/>
  <c r="E35" i="406"/>
  <c r="L35" i="406" s="1"/>
  <c r="E34" i="406"/>
  <c r="L34" i="406" s="1"/>
  <c r="E33" i="406"/>
  <c r="L33" i="406" s="1"/>
  <c r="E32" i="406"/>
  <c r="L32" i="406" s="1"/>
  <c r="E31" i="406"/>
  <c r="L31" i="406" s="1"/>
  <c r="E30" i="406"/>
  <c r="L30" i="406" s="1"/>
  <c r="E29" i="406"/>
  <c r="L29" i="406" s="1"/>
  <c r="E28" i="406"/>
  <c r="L28" i="406" s="1"/>
  <c r="E27" i="406"/>
  <c r="L27" i="406" s="1"/>
  <c r="D45" i="406"/>
  <c r="K45" i="406" s="1"/>
  <c r="D44" i="406"/>
  <c r="K44" i="406" s="1"/>
  <c r="D43" i="406"/>
  <c r="K43" i="406" s="1"/>
  <c r="D42" i="406"/>
  <c r="K42" i="406" s="1"/>
  <c r="D41" i="406"/>
  <c r="K41" i="406" s="1"/>
  <c r="D40" i="406"/>
  <c r="K40" i="406" s="1"/>
  <c r="D39" i="406"/>
  <c r="K39" i="406" s="1"/>
  <c r="D38" i="406"/>
  <c r="K38" i="406" s="1"/>
  <c r="D37" i="406"/>
  <c r="K37" i="406" s="1"/>
  <c r="D36" i="406"/>
  <c r="K36" i="406" s="1"/>
  <c r="D35" i="406"/>
  <c r="K35" i="406" s="1"/>
  <c r="D34" i="406"/>
  <c r="K34" i="406" s="1"/>
  <c r="D33" i="406"/>
  <c r="K33" i="406" s="1"/>
  <c r="D32" i="406"/>
  <c r="K32" i="406" s="1"/>
  <c r="D31" i="406"/>
  <c r="K31" i="406" s="1"/>
  <c r="D30" i="406"/>
  <c r="K30" i="406" s="1"/>
  <c r="D29" i="406"/>
  <c r="K29" i="406" s="1"/>
  <c r="D28" i="406"/>
  <c r="K28" i="406" s="1"/>
  <c r="D27" i="406"/>
  <c r="K27" i="406" s="1"/>
  <c r="C45" i="406"/>
  <c r="J45" i="406" s="1"/>
  <c r="C44" i="406"/>
  <c r="J44" i="406" s="1"/>
  <c r="C43" i="406"/>
  <c r="J43" i="406" s="1"/>
  <c r="C42" i="406"/>
  <c r="J42" i="406" s="1"/>
  <c r="C41" i="406"/>
  <c r="J41" i="406" s="1"/>
  <c r="C40" i="406"/>
  <c r="J40" i="406" s="1"/>
  <c r="C39" i="406"/>
  <c r="J39" i="406" s="1"/>
  <c r="C38" i="406"/>
  <c r="J38" i="406" s="1"/>
  <c r="C37" i="406"/>
  <c r="J37" i="406" s="1"/>
  <c r="C36" i="406"/>
  <c r="J36" i="406" s="1"/>
  <c r="C35" i="406"/>
  <c r="J35" i="406" s="1"/>
  <c r="C34" i="406"/>
  <c r="J34" i="406" s="1"/>
  <c r="C33" i="406"/>
  <c r="J33" i="406" s="1"/>
  <c r="C32" i="406"/>
  <c r="J32" i="406" s="1"/>
  <c r="C31" i="406"/>
  <c r="J31" i="406" s="1"/>
  <c r="C30" i="406"/>
  <c r="J30" i="406" s="1"/>
  <c r="C29" i="406"/>
  <c r="J29" i="406" s="1"/>
  <c r="C28" i="406"/>
  <c r="J28" i="406" s="1"/>
  <c r="C27" i="406"/>
  <c r="H26" i="406"/>
  <c r="G25" i="406"/>
  <c r="G24" i="406"/>
  <c r="G23" i="406"/>
  <c r="G22" i="406"/>
  <c r="N22" i="406" s="1"/>
  <c r="F25" i="406"/>
  <c r="F24" i="406"/>
  <c r="F23" i="406"/>
  <c r="F22" i="406"/>
  <c r="M22" i="406" s="1"/>
  <c r="E25" i="406"/>
  <c r="E24" i="406"/>
  <c r="E23" i="406"/>
  <c r="E22" i="406"/>
  <c r="D25" i="406"/>
  <c r="D24" i="406"/>
  <c r="D23" i="406"/>
  <c r="D22" i="406"/>
  <c r="H21" i="406"/>
  <c r="C25" i="406"/>
  <c r="C24" i="406"/>
  <c r="C23" i="406"/>
  <c r="C22" i="406"/>
  <c r="H10" i="406"/>
  <c r="G20" i="406"/>
  <c r="G19" i="406"/>
  <c r="G18" i="406"/>
  <c r="G17" i="406"/>
  <c r="G16" i="406"/>
  <c r="G15" i="406"/>
  <c r="G14" i="406"/>
  <c r="G13" i="406"/>
  <c r="G12" i="406"/>
  <c r="G11" i="406"/>
  <c r="F20" i="406"/>
  <c r="F19" i="406"/>
  <c r="F18" i="406"/>
  <c r="F17" i="406"/>
  <c r="F16" i="406"/>
  <c r="F15" i="406"/>
  <c r="F14" i="406"/>
  <c r="F13" i="406"/>
  <c r="F12" i="406"/>
  <c r="F11" i="406"/>
  <c r="E20" i="406"/>
  <c r="E19" i="406"/>
  <c r="E18" i="406"/>
  <c r="E17" i="406"/>
  <c r="E16" i="406"/>
  <c r="E15" i="406"/>
  <c r="E14" i="406"/>
  <c r="E13" i="406"/>
  <c r="E12" i="406"/>
  <c r="E11" i="406"/>
  <c r="D20" i="406"/>
  <c r="D19" i="406"/>
  <c r="D18" i="406"/>
  <c r="D17" i="406"/>
  <c r="D16" i="406"/>
  <c r="D15" i="406"/>
  <c r="D14" i="406"/>
  <c r="D13" i="406"/>
  <c r="D12" i="406"/>
  <c r="D11" i="406"/>
  <c r="C20" i="406"/>
  <c r="C19" i="406"/>
  <c r="C18" i="406"/>
  <c r="C17" i="406"/>
  <c r="C16" i="406"/>
  <c r="C15" i="406"/>
  <c r="C14" i="406"/>
  <c r="C13" i="406"/>
  <c r="C12" i="406"/>
  <c r="C11" i="406"/>
  <c r="G9" i="406"/>
  <c r="F9" i="406"/>
  <c r="E9" i="406"/>
  <c r="D9" i="406"/>
  <c r="C9" i="406"/>
  <c r="K69" i="406" l="1"/>
  <c r="M69" i="406"/>
  <c r="L69" i="406"/>
  <c r="C47" i="406"/>
  <c r="D21" i="406"/>
  <c r="C26" i="406"/>
  <c r="H8" i="406"/>
  <c r="H7" i="406" s="1"/>
  <c r="F47" i="406"/>
  <c r="E21" i="406"/>
  <c r="G47" i="406"/>
  <c r="D47" i="406"/>
  <c r="L26" i="406"/>
  <c r="K26" i="406"/>
  <c r="K22" i="406"/>
  <c r="C21" i="406"/>
  <c r="G26" i="406"/>
  <c r="L22" i="406"/>
  <c r="F26" i="406"/>
  <c r="J22" i="406"/>
  <c r="N28" i="406"/>
  <c r="N26" i="406" s="1"/>
  <c r="M29" i="406"/>
  <c r="M26" i="406" s="1"/>
  <c r="E26" i="406"/>
  <c r="D26" i="406"/>
  <c r="C10" i="406"/>
  <c r="C8" i="406" s="1"/>
  <c r="C7" i="406" s="1"/>
  <c r="F21" i="406"/>
  <c r="G21" i="406"/>
  <c r="D10" i="406"/>
  <c r="D8" i="406" s="1"/>
  <c r="D7" i="406" s="1"/>
  <c r="G10" i="406"/>
  <c r="G8" i="406" s="1"/>
  <c r="G7" i="406" s="1"/>
  <c r="E10" i="406"/>
  <c r="E8" i="406" s="1"/>
  <c r="E7" i="406" s="1"/>
  <c r="F10" i="406"/>
  <c r="F8" i="406" l="1"/>
  <c r="F7" i="406" s="1"/>
  <c r="J55" i="406" l="1"/>
  <c r="J49" i="406"/>
  <c r="J27" i="406"/>
  <c r="J26" i="406" s="1"/>
  <c r="N25" i="406"/>
  <c r="L25" i="406"/>
  <c r="K25" i="406"/>
  <c r="J25" i="406"/>
  <c r="L24" i="406"/>
  <c r="M24" i="406"/>
  <c r="K24" i="406"/>
  <c r="M20" i="406"/>
  <c r="L20" i="406"/>
  <c r="K20" i="406"/>
  <c r="N19" i="406"/>
  <c r="M19" i="406"/>
  <c r="K19" i="406"/>
  <c r="J19" i="406"/>
  <c r="N17" i="406"/>
  <c r="M17" i="406"/>
  <c r="K17" i="406"/>
  <c r="J17" i="406"/>
  <c r="N16" i="406"/>
  <c r="M16" i="406"/>
  <c r="L16" i="406"/>
  <c r="K16" i="406"/>
  <c r="J16" i="406"/>
  <c r="N15" i="406"/>
  <c r="M15" i="406"/>
  <c r="L15" i="406"/>
  <c r="K15" i="406"/>
  <c r="J15" i="406"/>
  <c r="M14" i="406"/>
  <c r="L14" i="406"/>
  <c r="K14" i="406"/>
  <c r="J14" i="406"/>
  <c r="N12" i="406"/>
  <c r="M12" i="406"/>
  <c r="L12" i="406"/>
  <c r="J12" i="406"/>
  <c r="M11" i="406"/>
  <c r="K11" i="406"/>
  <c r="J11" i="406"/>
  <c r="N9" i="406"/>
  <c r="L9" i="406"/>
  <c r="K9" i="406"/>
  <c r="J9" i="406"/>
  <c r="O3" i="406"/>
  <c r="O1" i="406"/>
  <c r="H1" i="406"/>
  <c r="B1" i="406"/>
  <c r="M13" i="406" l="1"/>
  <c r="K23" i="406"/>
  <c r="K21" i="406" s="1"/>
  <c r="K13" i="406"/>
  <c r="N11" i="406"/>
  <c r="J13" i="406"/>
  <c r="K18" i="406"/>
  <c r="L23" i="406"/>
  <c r="L21" i="406" s="1"/>
  <c r="M18" i="406"/>
  <c r="L17" i="406"/>
  <c r="L13" i="406" s="1"/>
  <c r="J20" i="406"/>
  <c r="J18" i="406" s="1"/>
  <c r="K12" i="406"/>
  <c r="J24" i="406"/>
  <c r="J23" i="406" s="1"/>
  <c r="J21" i="406" s="1"/>
  <c r="N24" i="406"/>
  <c r="N23" i="406" s="1"/>
  <c r="N21" i="406" s="1"/>
  <c r="L11" i="406"/>
  <c r="N20" i="406"/>
  <c r="N18" i="406" s="1"/>
  <c r="M9" i="406"/>
  <c r="L19" i="406"/>
  <c r="L18" i="406" s="1"/>
  <c r="N14" i="406"/>
  <c r="N13" i="406" s="1"/>
  <c r="M25" i="406"/>
  <c r="M23" i="406" s="1"/>
  <c r="M21" i="406" s="1"/>
  <c r="M10" i="406" l="1"/>
  <c r="K10" i="406"/>
  <c r="K8" i="406" s="1"/>
  <c r="K7" i="406" s="1"/>
  <c r="J10" i="406"/>
  <c r="J8" i="406" s="1"/>
  <c r="J7" i="406" s="1"/>
  <c r="N10" i="406"/>
  <c r="N8" i="406" s="1"/>
  <c r="N7" i="406" s="1"/>
  <c r="L10" i="406"/>
  <c r="L8" i="406" s="1"/>
  <c r="L7" i="406" s="1"/>
  <c r="M8" i="406"/>
  <c r="M7" i="406" s="1"/>
  <c r="G103" i="15" l="1"/>
  <c r="F103" i="15"/>
  <c r="E103" i="15"/>
  <c r="D103" i="15"/>
  <c r="G102" i="15"/>
  <c r="F102" i="15"/>
  <c r="F100" i="15" s="1"/>
  <c r="F99" i="15" s="1"/>
  <c r="F120" i="14" s="1"/>
  <c r="E102" i="15"/>
  <c r="E100" i="15" s="1"/>
  <c r="E99" i="15" s="1"/>
  <c r="E127" i="15" s="1"/>
  <c r="D102" i="15"/>
  <c r="C103" i="15"/>
  <c r="C102" i="15"/>
  <c r="N100" i="15"/>
  <c r="M100" i="15"/>
  <c r="L100" i="15"/>
  <c r="K100" i="15"/>
  <c r="J100" i="15"/>
  <c r="J99" i="15" s="1"/>
  <c r="I100" i="15"/>
  <c r="I99" i="15" s="1"/>
  <c r="H100" i="15"/>
  <c r="H99" i="15" s="1"/>
  <c r="H120" i="14" s="1"/>
  <c r="H121" i="14" s="1"/>
  <c r="D101" i="15"/>
  <c r="C101" i="15"/>
  <c r="G61" i="15"/>
  <c r="F61" i="15"/>
  <c r="E61" i="15"/>
  <c r="D61" i="15"/>
  <c r="C61" i="15"/>
  <c r="G60" i="15"/>
  <c r="F60" i="15"/>
  <c r="E60" i="15"/>
  <c r="D60" i="15"/>
  <c r="C60" i="15"/>
  <c r="G59" i="15"/>
  <c r="F59" i="15"/>
  <c r="E59" i="15"/>
  <c r="D59" i="15"/>
  <c r="C59" i="15"/>
  <c r="G58" i="15"/>
  <c r="F58" i="15"/>
  <c r="E58" i="15"/>
  <c r="D58" i="15"/>
  <c r="C58" i="15"/>
  <c r="G57" i="15"/>
  <c r="F57" i="15"/>
  <c r="E57" i="15"/>
  <c r="D57" i="15"/>
  <c r="C57" i="15"/>
  <c r="G56" i="15"/>
  <c r="F56" i="15"/>
  <c r="E56" i="15"/>
  <c r="D56" i="15"/>
  <c r="C56" i="15"/>
  <c r="F55" i="15"/>
  <c r="E55" i="15"/>
  <c r="G55" i="15"/>
  <c r="D55" i="15"/>
  <c r="C55" i="15"/>
  <c r="N54" i="15"/>
  <c r="M54" i="15"/>
  <c r="L54" i="15"/>
  <c r="K54" i="15"/>
  <c r="J54" i="15"/>
  <c r="J53" i="15" s="1"/>
  <c r="I54" i="15"/>
  <c r="I53" i="15" s="1"/>
  <c r="H54" i="15"/>
  <c r="H53" i="15" s="1"/>
  <c r="H116" i="14" s="1"/>
  <c r="H117" i="14" s="1"/>
  <c r="G45" i="15"/>
  <c r="F45" i="15"/>
  <c r="E45" i="15"/>
  <c r="D45" i="15"/>
  <c r="C45" i="15"/>
  <c r="G43" i="15"/>
  <c r="F43" i="15"/>
  <c r="E43" i="15"/>
  <c r="D43" i="15"/>
  <c r="C43" i="15"/>
  <c r="D41" i="15"/>
  <c r="C41" i="15"/>
  <c r="G37" i="15"/>
  <c r="F37" i="15"/>
  <c r="E37" i="15"/>
  <c r="D37" i="15"/>
  <c r="C37" i="15"/>
  <c r="G35" i="15"/>
  <c r="F35" i="15"/>
  <c r="E35" i="15"/>
  <c r="D35" i="15"/>
  <c r="C35" i="15"/>
  <c r="G33" i="15"/>
  <c r="C25" i="15"/>
  <c r="D25" i="15"/>
  <c r="E25" i="15"/>
  <c r="F25" i="15"/>
  <c r="G25" i="15"/>
  <c r="F33" i="15"/>
  <c r="E33" i="15"/>
  <c r="D33" i="15"/>
  <c r="C33" i="15"/>
  <c r="J21" i="15"/>
  <c r="J19" i="15" s="1"/>
  <c r="J6" i="15" s="1"/>
  <c r="I6" i="15"/>
  <c r="H21" i="15"/>
  <c r="G31" i="15"/>
  <c r="F31" i="15"/>
  <c r="E31" i="15"/>
  <c r="D31" i="15"/>
  <c r="C31" i="15"/>
  <c r="G29" i="15"/>
  <c r="F29" i="15"/>
  <c r="E29" i="15"/>
  <c r="D29" i="15"/>
  <c r="C29" i="15"/>
  <c r="G27" i="15"/>
  <c r="F27" i="15"/>
  <c r="E27" i="15"/>
  <c r="D27" i="15"/>
  <c r="C27" i="15"/>
  <c r="G23" i="15"/>
  <c r="F23" i="15"/>
  <c r="E23" i="15"/>
  <c r="D23" i="15"/>
  <c r="C23" i="15"/>
  <c r="J155" i="15" l="1"/>
  <c r="J119" i="14" s="1"/>
  <c r="J120" i="14"/>
  <c r="I155" i="15"/>
  <c r="I119" i="14" s="1"/>
  <c r="I120" i="14"/>
  <c r="J154" i="15"/>
  <c r="J115" i="14" s="1"/>
  <c r="J116" i="14"/>
  <c r="I154" i="15"/>
  <c r="I115" i="14" s="1"/>
  <c r="I116" i="14"/>
  <c r="G100" i="15"/>
  <c r="G99" i="15" s="1"/>
  <c r="G127" i="15" s="1"/>
  <c r="I51" i="15"/>
  <c r="I7" i="15" s="1"/>
  <c r="I8" i="15" s="1"/>
  <c r="F127" i="15"/>
  <c r="H19" i="15"/>
  <c r="H6" i="15" s="1"/>
  <c r="J51" i="15"/>
  <c r="H51" i="15"/>
  <c r="H7" i="15" s="1"/>
  <c r="H113" i="14" s="1"/>
  <c r="C100" i="15"/>
  <c r="C99" i="15" s="1"/>
  <c r="D100" i="15"/>
  <c r="D99" i="15" s="1"/>
  <c r="E120" i="14"/>
  <c r="E54" i="15"/>
  <c r="C54" i="15"/>
  <c r="D54" i="15"/>
  <c r="F54" i="15"/>
  <c r="G54" i="15"/>
  <c r="C21" i="15"/>
  <c r="C124" i="15" s="1"/>
  <c r="E39" i="15"/>
  <c r="E126" i="15" s="1"/>
  <c r="E21" i="15"/>
  <c r="E124" i="15" s="1"/>
  <c r="C39" i="15"/>
  <c r="C126" i="15" s="1"/>
  <c r="F21" i="15"/>
  <c r="F124" i="15" s="1"/>
  <c r="G21" i="15"/>
  <c r="G124" i="15" s="1"/>
  <c r="F39" i="15"/>
  <c r="F126" i="15" s="1"/>
  <c r="G39" i="15"/>
  <c r="G126" i="15" s="1"/>
  <c r="D39" i="15"/>
  <c r="D126" i="15" s="1"/>
  <c r="D21" i="15"/>
  <c r="D124" i="15" s="1"/>
  <c r="AO39" i="407"/>
  <c r="AO38" i="407"/>
  <c r="AO37" i="407"/>
  <c r="AO36" i="407"/>
  <c r="AH39" i="407"/>
  <c r="AH38" i="407"/>
  <c r="AH37" i="407"/>
  <c r="AH36" i="407"/>
  <c r="Y38" i="407"/>
  <c r="Y37" i="407"/>
  <c r="Y36" i="407"/>
  <c r="Q38" i="407"/>
  <c r="Q37" i="407"/>
  <c r="Q36" i="407"/>
  <c r="H38" i="407"/>
  <c r="H37" i="407"/>
  <c r="H36" i="407"/>
  <c r="J30" i="407"/>
  <c r="J29" i="407"/>
  <c r="J28" i="407"/>
  <c r="J27" i="407"/>
  <c r="J26" i="407"/>
  <c r="J25" i="407"/>
  <c r="J24" i="407"/>
  <c r="J23" i="407"/>
  <c r="J152" i="15" l="1"/>
  <c r="J121" i="14"/>
  <c r="I121" i="14"/>
  <c r="I110" i="14"/>
  <c r="I117" i="14"/>
  <c r="J110" i="14"/>
  <c r="J117" i="14"/>
  <c r="I152" i="15"/>
  <c r="G120" i="14"/>
  <c r="H8" i="15"/>
  <c r="J7" i="15"/>
  <c r="J8" i="15" s="1"/>
  <c r="C53" i="15"/>
  <c r="C125" i="15"/>
  <c r="C127" i="15"/>
  <c r="C120" i="14"/>
  <c r="G53" i="15"/>
  <c r="G125" i="15"/>
  <c r="E53" i="15"/>
  <c r="E125" i="15"/>
  <c r="F53" i="15"/>
  <c r="F125" i="15"/>
  <c r="D53" i="15"/>
  <c r="D125" i="15"/>
  <c r="D127" i="15"/>
  <c r="D120" i="14"/>
  <c r="F19" i="15"/>
  <c r="F6" i="15" s="1"/>
  <c r="C19" i="15"/>
  <c r="C6" i="15" s="1"/>
  <c r="E19" i="15"/>
  <c r="E6" i="15" s="1"/>
  <c r="D19" i="15"/>
  <c r="G19" i="15"/>
  <c r="J31" i="407"/>
  <c r="J11" i="383"/>
  <c r="J10" i="383"/>
  <c r="J9" i="383"/>
  <c r="J8" i="383"/>
  <c r="J7" i="383"/>
  <c r="J6" i="383"/>
  <c r="I11" i="383"/>
  <c r="F11" i="422" s="1"/>
  <c r="I10" i="383"/>
  <c r="F10" i="422" s="1"/>
  <c r="I9" i="383"/>
  <c r="F9" i="422" s="1"/>
  <c r="I8" i="383"/>
  <c r="F8" i="422" s="1"/>
  <c r="I7" i="383"/>
  <c r="F7" i="422" s="1"/>
  <c r="I6" i="383"/>
  <c r="F6" i="422" s="1"/>
  <c r="G11" i="383"/>
  <c r="G10" i="383"/>
  <c r="G9" i="383"/>
  <c r="G8" i="383"/>
  <c r="G7" i="383"/>
  <c r="G6" i="383"/>
  <c r="AD9" i="422" l="1"/>
  <c r="AM9" i="422"/>
  <c r="I9" i="422"/>
  <c r="P9" i="422"/>
  <c r="T9" i="422"/>
  <c r="AD6" i="422"/>
  <c r="AM6" i="422"/>
  <c r="P6" i="422"/>
  <c r="T6" i="422"/>
  <c r="I6" i="422"/>
  <c r="I7" i="422"/>
  <c r="AD7" i="422"/>
  <c r="AM7" i="422"/>
  <c r="T7" i="422"/>
  <c r="P7" i="422"/>
  <c r="P11" i="422"/>
  <c r="I11" i="422"/>
  <c r="T11" i="422"/>
  <c r="I10" i="422"/>
  <c r="T10" i="422"/>
  <c r="P10" i="422"/>
  <c r="I8" i="422"/>
  <c r="T8" i="422"/>
  <c r="P8" i="422"/>
  <c r="I113" i="14"/>
  <c r="J111" i="14"/>
  <c r="J113" i="14"/>
  <c r="F51" i="15"/>
  <c r="F7" i="15" s="1"/>
  <c r="F116" i="14"/>
  <c r="G51" i="15"/>
  <c r="G7" i="15" s="1"/>
  <c r="G157" i="15" s="1"/>
  <c r="G116" i="14"/>
  <c r="C51" i="15"/>
  <c r="C7" i="15" s="1"/>
  <c r="C8" i="15" s="1"/>
  <c r="C116" i="14"/>
  <c r="D51" i="15"/>
  <c r="D7" i="15" s="1"/>
  <c r="D157" i="15" s="1"/>
  <c r="D116" i="14"/>
  <c r="E51" i="15"/>
  <c r="E7" i="15" s="1"/>
  <c r="E116" i="14"/>
  <c r="G6" i="15"/>
  <c r="D6" i="15"/>
  <c r="B136" i="383"/>
  <c r="B135" i="383"/>
  <c r="B134" i="383"/>
  <c r="B133" i="383"/>
  <c r="B132" i="383"/>
  <c r="B131" i="383"/>
  <c r="P27" i="422" l="1"/>
  <c r="P44" i="422" s="1"/>
  <c r="P26" i="422"/>
  <c r="P43" i="422" s="1"/>
  <c r="Q10" i="422"/>
  <c r="S10" i="422"/>
  <c r="R10" i="422"/>
  <c r="AJ7" i="422"/>
  <c r="AC7" i="422"/>
  <c r="AL7" i="422"/>
  <c r="AA7" i="422"/>
  <c r="S7" i="422"/>
  <c r="R7" i="422"/>
  <c r="Q7" i="422"/>
  <c r="AL9" i="422"/>
  <c r="AA9" i="422"/>
  <c r="AK9" i="422"/>
  <c r="AB9" i="422"/>
  <c r="AC9" i="422"/>
  <c r="AJ9" i="422"/>
  <c r="Q9" i="422"/>
  <c r="R9" i="422"/>
  <c r="S9" i="422"/>
  <c r="Q8" i="422"/>
  <c r="R8" i="422"/>
  <c r="S8" i="422"/>
  <c r="AJ6" i="422"/>
  <c r="AL6" i="422"/>
  <c r="AC6" i="422"/>
  <c r="AK6" i="422"/>
  <c r="AA6" i="422"/>
  <c r="AB6" i="422"/>
  <c r="S6" i="422"/>
  <c r="Q6" i="422"/>
  <c r="R6" i="422"/>
  <c r="AD27" i="422"/>
  <c r="AD44" i="422" s="1"/>
  <c r="AD26" i="422"/>
  <c r="AD43" i="422" s="1"/>
  <c r="AM26" i="422"/>
  <c r="AM43" i="422" s="1"/>
  <c r="AM27" i="422"/>
  <c r="AM44" i="422" s="1"/>
  <c r="Q11" i="422"/>
  <c r="S11" i="422"/>
  <c r="R11" i="422"/>
  <c r="T26" i="422"/>
  <c r="T43" i="422" s="1"/>
  <c r="T27" i="422"/>
  <c r="T44" i="422" s="1"/>
  <c r="E8" i="15"/>
  <c r="E157" i="15"/>
  <c r="F8" i="15"/>
  <c r="F157" i="15"/>
  <c r="D8" i="15"/>
  <c r="G8" i="15"/>
  <c r="B107" i="383"/>
  <c r="B106" i="383"/>
  <c r="B105" i="383"/>
  <c r="B104" i="383"/>
  <c r="B103" i="383"/>
  <c r="B102" i="383"/>
  <c r="B79" i="383"/>
  <c r="B78" i="383"/>
  <c r="B77" i="383"/>
  <c r="B76" i="383"/>
  <c r="B75" i="383"/>
  <c r="B74" i="383"/>
  <c r="AA26" i="422" l="1"/>
  <c r="AA33" i="422" s="1"/>
  <c r="AA43" i="422" s="1"/>
  <c r="R26" i="422"/>
  <c r="R33" i="422" s="1"/>
  <c r="R43" i="422" s="1"/>
  <c r="R27" i="422"/>
  <c r="R34" i="422" s="1"/>
  <c r="R44" i="422" s="1"/>
  <c r="Q27" i="422"/>
  <c r="Q34" i="422" s="1"/>
  <c r="Q44" i="422" s="1"/>
  <c r="Q26" i="422"/>
  <c r="Q33" i="422" s="1"/>
  <c r="Q43" i="422" s="1"/>
  <c r="AA27" i="422"/>
  <c r="AA34" i="422" s="1"/>
  <c r="AA44" i="422" s="1"/>
  <c r="S27" i="422"/>
  <c r="S34" i="422" s="1"/>
  <c r="S44" i="422" s="1"/>
  <c r="S26" i="422"/>
  <c r="S33" i="422" s="1"/>
  <c r="S43" i="422" s="1"/>
  <c r="AC26" i="422"/>
  <c r="AC33" i="422" s="1"/>
  <c r="AC43" i="422" s="1"/>
  <c r="AC27" i="422"/>
  <c r="AC34" i="422" s="1"/>
  <c r="AC44" i="422" s="1"/>
  <c r="AB26" i="422"/>
  <c r="AB33" i="422" s="1"/>
  <c r="AB43" i="422" s="1"/>
  <c r="AB27" i="422"/>
  <c r="AB34" i="422" s="1"/>
  <c r="AB44" i="422" s="1"/>
  <c r="AJ27" i="422"/>
  <c r="AJ34" i="422" s="1"/>
  <c r="AJ44" i="422" s="1"/>
  <c r="AJ26" i="422"/>
  <c r="AJ33" i="422" s="1"/>
  <c r="AJ43" i="422" s="1"/>
  <c r="AL27" i="422"/>
  <c r="AL34" i="422" s="1"/>
  <c r="AL44" i="422" s="1"/>
  <c r="AL26" i="422"/>
  <c r="AL33" i="422" s="1"/>
  <c r="AL43" i="422" s="1"/>
  <c r="AK26" i="422"/>
  <c r="AK33" i="422" s="1"/>
  <c r="AK43" i="422" s="1"/>
  <c r="AK27" i="422"/>
  <c r="AK34" i="422" s="1"/>
  <c r="AK44" i="422" s="1"/>
  <c r="G185" i="383"/>
  <c r="G184" i="383"/>
  <c r="G183" i="383"/>
  <c r="G182" i="383"/>
  <c r="B47" i="383" s="1"/>
  <c r="G181" i="383"/>
  <c r="G180" i="383"/>
  <c r="G179" i="383"/>
  <c r="G178" i="383"/>
  <c r="G177" i="383"/>
  <c r="G176" i="383"/>
  <c r="N30" i="14" l="1"/>
  <c r="M30" i="14"/>
  <c r="L30" i="14"/>
  <c r="K30" i="14"/>
  <c r="J30" i="14"/>
  <c r="G30" i="14"/>
  <c r="F30" i="14"/>
  <c r="E30" i="14"/>
  <c r="D30" i="14"/>
  <c r="C30" i="14"/>
  <c r="N29" i="14"/>
  <c r="M29" i="14"/>
  <c r="L29" i="14"/>
  <c r="K29" i="14"/>
  <c r="J29" i="14"/>
  <c r="G29" i="14"/>
  <c r="F29" i="14"/>
  <c r="E29" i="14"/>
  <c r="D29" i="14"/>
  <c r="C29" i="14"/>
  <c r="M37" i="14"/>
  <c r="L37" i="14"/>
  <c r="K37" i="14"/>
  <c r="J37" i="14"/>
  <c r="I37" i="14"/>
  <c r="H37" i="14"/>
  <c r="K36" i="14"/>
  <c r="J36" i="14"/>
  <c r="I36" i="14"/>
  <c r="H36" i="14"/>
  <c r="K35" i="14"/>
  <c r="J35" i="14"/>
  <c r="I35" i="14"/>
  <c r="H35" i="14"/>
  <c r="B54" i="14" l="1"/>
  <c r="F97" i="12" l="1"/>
  <c r="C67" i="404"/>
  <c r="J67" i="404" s="1"/>
  <c r="C65" i="404"/>
  <c r="J65" i="404" s="1"/>
  <c r="C63" i="404"/>
  <c r="J63" i="404" s="1"/>
  <c r="C62" i="404"/>
  <c r="J62" i="404" s="1"/>
  <c r="C61" i="404"/>
  <c r="J61" i="404" s="1"/>
  <c r="C60" i="404"/>
  <c r="J60" i="404" s="1"/>
  <c r="C59" i="404"/>
  <c r="J59" i="404" s="1"/>
  <c r="C58" i="404"/>
  <c r="J58" i="404" s="1"/>
  <c r="C57" i="404"/>
  <c r="C56" i="404"/>
  <c r="J56" i="404" s="1"/>
  <c r="C54" i="404"/>
  <c r="J54" i="404" s="1"/>
  <c r="C53" i="404"/>
  <c r="J53" i="404" s="1"/>
  <c r="C52" i="404"/>
  <c r="J52" i="404" s="1"/>
  <c r="C51" i="404"/>
  <c r="C50" i="404"/>
  <c r="J50" i="404" s="1"/>
  <c r="C49" i="404"/>
  <c r="J49" i="404" s="1"/>
  <c r="C48" i="404"/>
  <c r="J48" i="404" s="1"/>
  <c r="C47" i="404"/>
  <c r="J47" i="404" s="1"/>
  <c r="C44" i="404"/>
  <c r="J44" i="404" s="1"/>
  <c r="C43" i="404"/>
  <c r="J43" i="404" s="1"/>
  <c r="C42" i="404"/>
  <c r="J42" i="404" s="1"/>
  <c r="C41" i="404"/>
  <c r="J41" i="404" s="1"/>
  <c r="C40" i="404"/>
  <c r="J40" i="404" s="1"/>
  <c r="C39" i="404"/>
  <c r="J39" i="404" s="1"/>
  <c r="C38" i="404"/>
  <c r="J38" i="404" s="1"/>
  <c r="C37" i="404"/>
  <c r="J37" i="404" s="1"/>
  <c r="C36" i="404"/>
  <c r="J36" i="404" s="1"/>
  <c r="C35" i="404"/>
  <c r="J35" i="404" s="1"/>
  <c r="C34" i="404"/>
  <c r="J34" i="404" s="1"/>
  <c r="C33" i="404"/>
  <c r="J33" i="404" s="1"/>
  <c r="C32" i="404"/>
  <c r="J32" i="404" s="1"/>
  <c r="C31" i="404"/>
  <c r="J31" i="404" s="1"/>
  <c r="C30" i="404"/>
  <c r="J30" i="404" s="1"/>
  <c r="C29" i="404"/>
  <c r="J29" i="404" s="1"/>
  <c r="C28" i="404"/>
  <c r="J28" i="404" s="1"/>
  <c r="C27" i="404"/>
  <c r="J27" i="404" s="1"/>
  <c r="C26" i="404"/>
  <c r="J26" i="404" s="1"/>
  <c r="C25" i="404"/>
  <c r="J25" i="404" s="1"/>
  <c r="C24" i="404"/>
  <c r="J24" i="404" s="1"/>
  <c r="C23" i="404"/>
  <c r="J23" i="404" s="1"/>
  <c r="C17" i="404"/>
  <c r="J17" i="404" s="1"/>
  <c r="C16" i="404"/>
  <c r="J16" i="404" s="1"/>
  <c r="C15" i="404"/>
  <c r="J15" i="404" s="1"/>
  <c r="C14" i="404"/>
  <c r="J14" i="404" s="1"/>
  <c r="C13" i="404"/>
  <c r="J13" i="404" s="1"/>
  <c r="C10" i="404"/>
  <c r="C9" i="404"/>
  <c r="C8" i="404"/>
  <c r="C76" i="405"/>
  <c r="J76" i="405" s="1"/>
  <c r="J74" i="405" s="1"/>
  <c r="C75" i="405"/>
  <c r="C73" i="405"/>
  <c r="C74" i="405"/>
  <c r="C77" i="405" s="1"/>
  <c r="C70" i="405"/>
  <c r="C69" i="405"/>
  <c r="J69" i="405" s="1"/>
  <c r="J68" i="405" s="1"/>
  <c r="C67" i="405"/>
  <c r="C66" i="405"/>
  <c r="C64" i="405" s="1"/>
  <c r="C65" i="405"/>
  <c r="C63" i="405"/>
  <c r="C62" i="405"/>
  <c r="J62" i="405" s="1"/>
  <c r="J81" i="405" s="1"/>
  <c r="C61" i="405"/>
  <c r="J61" i="405" s="1"/>
  <c r="C60" i="405"/>
  <c r="C59" i="405"/>
  <c r="C57" i="405"/>
  <c r="J57" i="405" s="1"/>
  <c r="C15" i="16" s="1"/>
  <c r="C14" i="16" s="1"/>
  <c r="C68" i="405"/>
  <c r="C58" i="405"/>
  <c r="C53" i="405"/>
  <c r="J53" i="405" s="1"/>
  <c r="C52" i="405"/>
  <c r="C51" i="405"/>
  <c r="C49" i="405"/>
  <c r="J49" i="405" s="1"/>
  <c r="C48" i="405"/>
  <c r="C47" i="405"/>
  <c r="C46" i="405"/>
  <c r="C45" i="405"/>
  <c r="C44" i="405"/>
  <c r="C43" i="405"/>
  <c r="J43" i="405" s="1"/>
  <c r="C42" i="405"/>
  <c r="J42" i="405" s="1"/>
  <c r="C41" i="405"/>
  <c r="J41" i="405" s="1"/>
  <c r="C40" i="405"/>
  <c r="C38" i="405"/>
  <c r="J38" i="405" s="1"/>
  <c r="C39" i="405"/>
  <c r="C37" i="405"/>
  <c r="J37" i="405" s="1"/>
  <c r="C35" i="405"/>
  <c r="C34" i="405"/>
  <c r="C32" i="405"/>
  <c r="C31" i="405"/>
  <c r="J31" i="405" s="1"/>
  <c r="C30" i="405"/>
  <c r="C27" i="405"/>
  <c r="C26" i="405"/>
  <c r="J26" i="405" s="1"/>
  <c r="C24" i="405"/>
  <c r="J24" i="405" s="1"/>
  <c r="C23" i="405"/>
  <c r="C21" i="405"/>
  <c r="C20" i="405"/>
  <c r="C19" i="405" s="1"/>
  <c r="C18" i="405"/>
  <c r="J18" i="405" s="1"/>
  <c r="C17" i="405"/>
  <c r="C16" i="405"/>
  <c r="C15" i="405"/>
  <c r="C13" i="405"/>
  <c r="J13" i="405" s="1"/>
  <c r="C12" i="405"/>
  <c r="C10" i="405"/>
  <c r="C9" i="405"/>
  <c r="C80" i="405" s="1"/>
  <c r="J48" i="405"/>
  <c r="J44" i="405"/>
  <c r="J40" i="405"/>
  <c r="C33" i="405"/>
  <c r="J23" i="405"/>
  <c r="C11" i="405"/>
  <c r="D51" i="405"/>
  <c r="J75" i="405"/>
  <c r="J73" i="405"/>
  <c r="J70" i="405"/>
  <c r="J67" i="405"/>
  <c r="J66" i="405"/>
  <c r="J65" i="405"/>
  <c r="J63" i="405"/>
  <c r="J59" i="405"/>
  <c r="J51" i="405"/>
  <c r="J47" i="405"/>
  <c r="J46" i="405"/>
  <c r="J45" i="405"/>
  <c r="J39" i="405"/>
  <c r="J35" i="405"/>
  <c r="J34" i="405"/>
  <c r="J33" i="405" s="1"/>
  <c r="J30" i="405"/>
  <c r="J27" i="405"/>
  <c r="J21" i="405"/>
  <c r="J20" i="405"/>
  <c r="J17" i="405"/>
  <c r="J16" i="405"/>
  <c r="J15" i="405"/>
  <c r="J12" i="405"/>
  <c r="J10" i="405"/>
  <c r="J9" i="405"/>
  <c r="J80" i="405" s="1"/>
  <c r="G51" i="405"/>
  <c r="F51" i="405"/>
  <c r="E51" i="405"/>
  <c r="C115" i="14" l="1"/>
  <c r="C117" i="14" s="1"/>
  <c r="C67" i="14"/>
  <c r="C71" i="14"/>
  <c r="C80" i="14"/>
  <c r="C103" i="14"/>
  <c r="C119" i="14"/>
  <c r="C121" i="14" s="1"/>
  <c r="C59" i="14"/>
  <c r="C46" i="14"/>
  <c r="C74" i="14"/>
  <c r="C83" i="14"/>
  <c r="C94" i="14"/>
  <c r="C68" i="14"/>
  <c r="C100" i="14"/>
  <c r="C62" i="14"/>
  <c r="C48" i="14"/>
  <c r="C77" i="14"/>
  <c r="C86" i="14"/>
  <c r="C97" i="14"/>
  <c r="J10" i="404"/>
  <c r="C170" i="12" s="1"/>
  <c r="C17" i="12" s="1"/>
  <c r="C6" i="412"/>
  <c r="J9" i="404"/>
  <c r="C5" i="412"/>
  <c r="J8" i="404"/>
  <c r="C71" i="12" s="1"/>
  <c r="N19" i="412"/>
  <c r="C56" i="405"/>
  <c r="C71" i="405" s="1"/>
  <c r="C14" i="405"/>
  <c r="C36" i="405"/>
  <c r="C29" i="405"/>
  <c r="C81" i="405"/>
  <c r="J32" i="405"/>
  <c r="C12" i="404"/>
  <c r="C46" i="404"/>
  <c r="C55" i="404"/>
  <c r="J57" i="404"/>
  <c r="J55" i="404" s="1"/>
  <c r="J19" i="404"/>
  <c r="J12" i="404"/>
  <c r="J51" i="404"/>
  <c r="J46" i="404" s="1"/>
  <c r="E97" i="12"/>
  <c r="C7" i="404"/>
  <c r="J77" i="405"/>
  <c r="J60" i="405"/>
  <c r="J58" i="405" s="1"/>
  <c r="J64" i="405"/>
  <c r="C50" i="405"/>
  <c r="C28" i="405" s="1"/>
  <c r="J36" i="405"/>
  <c r="J11" i="405"/>
  <c r="C7" i="16" s="1"/>
  <c r="C22" i="405"/>
  <c r="C8" i="405" s="1"/>
  <c r="J22" i="405"/>
  <c r="J19" i="405"/>
  <c r="C10" i="16" s="1"/>
  <c r="J14" i="405"/>
  <c r="J29" i="405"/>
  <c r="J52" i="405"/>
  <c r="J50" i="405" s="1"/>
  <c r="K51" i="405"/>
  <c r="L51" i="405"/>
  <c r="M51" i="405"/>
  <c r="N51" i="405"/>
  <c r="C9" i="12" l="1"/>
  <c r="C62" i="13" s="1"/>
  <c r="C76" i="13" s="1"/>
  <c r="C31" i="12"/>
  <c r="C25" i="16"/>
  <c r="C64" i="13"/>
  <c r="C24" i="16"/>
  <c r="C63" i="13"/>
  <c r="C42" i="14"/>
  <c r="C10" i="14" s="1"/>
  <c r="C110" i="14"/>
  <c r="C113" i="14" s="1"/>
  <c r="C37" i="14"/>
  <c r="C47" i="415"/>
  <c r="C36" i="14"/>
  <c r="C46" i="415"/>
  <c r="N5" i="412"/>
  <c r="U5" i="412" s="1"/>
  <c r="H5" i="412"/>
  <c r="C7" i="412"/>
  <c r="C11" i="404"/>
  <c r="J11" i="404" s="1"/>
  <c r="C26" i="16" s="1"/>
  <c r="N20" i="412"/>
  <c r="N12" i="412"/>
  <c r="H6" i="412"/>
  <c r="J7" i="404"/>
  <c r="J56" i="405"/>
  <c r="J71" i="405" s="1"/>
  <c r="J28" i="405"/>
  <c r="J8" i="405"/>
  <c r="C54" i="405"/>
  <c r="C78" i="405" s="1"/>
  <c r="C90" i="415" l="1"/>
  <c r="C127" i="415"/>
  <c r="C99" i="13"/>
  <c r="C116" i="13"/>
  <c r="C112" i="13"/>
  <c r="N18" i="412"/>
  <c r="U18" i="412" s="1"/>
  <c r="U12" i="412"/>
  <c r="C104" i="13"/>
  <c r="C94" i="13"/>
  <c r="C88" i="13"/>
  <c r="C35" i="14"/>
  <c r="C6" i="12"/>
  <c r="C44" i="415" s="1"/>
  <c r="C45" i="415"/>
  <c r="C23" i="16"/>
  <c r="C11" i="12"/>
  <c r="C82" i="415"/>
  <c r="C66" i="415"/>
  <c r="C69" i="415"/>
  <c r="C119" i="415"/>
  <c r="C15" i="12"/>
  <c r="C22" i="14"/>
  <c r="H7" i="412"/>
  <c r="C18" i="404"/>
  <c r="N22" i="412"/>
  <c r="N21" i="412"/>
  <c r="N11" i="412"/>
  <c r="U11" i="412" s="1"/>
  <c r="C45" i="404"/>
  <c r="C68" i="404" s="1"/>
  <c r="J18" i="404"/>
  <c r="J54" i="405"/>
  <c r="J78" i="405" s="1"/>
  <c r="C166" i="415" l="1"/>
  <c r="C158" i="415"/>
  <c r="C32" i="415"/>
  <c r="C20" i="415"/>
  <c r="C154" i="415"/>
  <c r="C59" i="415"/>
  <c r="C28" i="415"/>
  <c r="C24" i="415"/>
  <c r="C78" i="415"/>
  <c r="C115" i="415"/>
  <c r="C16" i="415"/>
  <c r="C63" i="415"/>
  <c r="C19" i="12"/>
  <c r="C6" i="415"/>
  <c r="C8" i="415" s="1"/>
  <c r="C12" i="415"/>
  <c r="C64" i="404"/>
  <c r="J45" i="404"/>
  <c r="J68" i="404" l="1"/>
  <c r="C66" i="404"/>
  <c r="J66" i="404" s="1"/>
  <c r="J64" i="404"/>
  <c r="J73" i="12"/>
  <c r="K73" i="12" l="1"/>
  <c r="K72" i="12"/>
  <c r="H81" i="405" l="1"/>
  <c r="G76" i="405"/>
  <c r="F76" i="405"/>
  <c r="M76" i="405" s="1"/>
  <c r="E76" i="405"/>
  <c r="L76" i="405" s="1"/>
  <c r="D76" i="405"/>
  <c r="K76" i="405" s="1"/>
  <c r="G75" i="405"/>
  <c r="N75" i="405" s="1"/>
  <c r="F75" i="405"/>
  <c r="E75" i="405"/>
  <c r="L75" i="405" s="1"/>
  <c r="D75" i="405"/>
  <c r="G73" i="405"/>
  <c r="N73" i="405" s="1"/>
  <c r="F73" i="405"/>
  <c r="M73" i="405" s="1"/>
  <c r="E73" i="405"/>
  <c r="L73" i="405" s="1"/>
  <c r="D73" i="405"/>
  <c r="K73" i="405" s="1"/>
  <c r="G70" i="405"/>
  <c r="N70" i="405" s="1"/>
  <c r="F70" i="405"/>
  <c r="M70" i="405" s="1"/>
  <c r="E70" i="405"/>
  <c r="L70" i="405" s="1"/>
  <c r="D70" i="405"/>
  <c r="K70" i="405" s="1"/>
  <c r="O70" i="405"/>
  <c r="G69" i="405"/>
  <c r="F69" i="405"/>
  <c r="M69" i="405" s="1"/>
  <c r="E69" i="405"/>
  <c r="L69" i="405" s="1"/>
  <c r="D69" i="405"/>
  <c r="K69" i="405" s="1"/>
  <c r="G67" i="405"/>
  <c r="N67" i="405" s="1"/>
  <c r="G66" i="405"/>
  <c r="N66" i="405" s="1"/>
  <c r="F67" i="405"/>
  <c r="M67" i="405" s="1"/>
  <c r="F66" i="405"/>
  <c r="M66" i="405" s="1"/>
  <c r="E67" i="405"/>
  <c r="L67" i="405" s="1"/>
  <c r="E66" i="405"/>
  <c r="L66" i="405" s="1"/>
  <c r="D67" i="405"/>
  <c r="K67" i="405" s="1"/>
  <c r="D66" i="405"/>
  <c r="K66" i="405" s="1"/>
  <c r="G65" i="405"/>
  <c r="F65" i="405"/>
  <c r="M65" i="405" s="1"/>
  <c r="E65" i="405"/>
  <c r="L65" i="405" s="1"/>
  <c r="D65" i="405"/>
  <c r="G63" i="405"/>
  <c r="N63" i="405" s="1"/>
  <c r="F63" i="405"/>
  <c r="M63" i="405" s="1"/>
  <c r="E63" i="405"/>
  <c r="L63" i="405" s="1"/>
  <c r="D63" i="405"/>
  <c r="K63" i="405" s="1"/>
  <c r="G62" i="405"/>
  <c r="N62" i="405" s="1"/>
  <c r="N81" i="405" s="1"/>
  <c r="F62" i="405"/>
  <c r="M62" i="405" s="1"/>
  <c r="M81" i="405" s="1"/>
  <c r="E62" i="405"/>
  <c r="L62" i="405" s="1"/>
  <c r="L81" i="405" s="1"/>
  <c r="D62" i="405"/>
  <c r="K62" i="405" s="1"/>
  <c r="K81" i="405" s="1"/>
  <c r="G61" i="405"/>
  <c r="N61" i="405" s="1"/>
  <c r="F61" i="405"/>
  <c r="M61" i="405" s="1"/>
  <c r="E61" i="405"/>
  <c r="L61" i="405" s="1"/>
  <c r="D61" i="405"/>
  <c r="K61" i="405" s="1"/>
  <c r="G60" i="405"/>
  <c r="N60" i="405" s="1"/>
  <c r="F60" i="405"/>
  <c r="M60" i="405" s="1"/>
  <c r="E60" i="405"/>
  <c r="L60" i="405" s="1"/>
  <c r="D60" i="405"/>
  <c r="K60" i="405" s="1"/>
  <c r="G59" i="405"/>
  <c r="N59" i="405" s="1"/>
  <c r="F59" i="405"/>
  <c r="E59" i="405"/>
  <c r="D59" i="405"/>
  <c r="K59" i="405" s="1"/>
  <c r="G57" i="405"/>
  <c r="N57" i="405" s="1"/>
  <c r="G15" i="16" s="1"/>
  <c r="F57" i="405"/>
  <c r="M57" i="405" s="1"/>
  <c r="F15" i="16" s="1"/>
  <c r="F14" i="16" s="1"/>
  <c r="E57" i="405"/>
  <c r="L57" i="405" s="1"/>
  <c r="E15" i="16" s="1"/>
  <c r="E14" i="16" s="1"/>
  <c r="D57" i="405"/>
  <c r="K57" i="405" s="1"/>
  <c r="D15" i="16" s="1"/>
  <c r="D14" i="16" s="1"/>
  <c r="G53" i="405"/>
  <c r="N53" i="405" s="1"/>
  <c r="G52" i="405"/>
  <c r="F53" i="405"/>
  <c r="F52" i="405"/>
  <c r="E53" i="405"/>
  <c r="L53" i="405" s="1"/>
  <c r="E52" i="405"/>
  <c r="D53" i="405"/>
  <c r="K53" i="405" s="1"/>
  <c r="D52" i="405"/>
  <c r="G49" i="405"/>
  <c r="N49" i="405" s="1"/>
  <c r="F49" i="405"/>
  <c r="M49" i="405" s="1"/>
  <c r="E49" i="405"/>
  <c r="L49" i="405" s="1"/>
  <c r="G48" i="405"/>
  <c r="N48" i="405" s="1"/>
  <c r="G47" i="405"/>
  <c r="N47" i="405" s="1"/>
  <c r="G46" i="405"/>
  <c r="N46" i="405" s="1"/>
  <c r="G45" i="405"/>
  <c r="N45" i="405" s="1"/>
  <c r="G44" i="405"/>
  <c r="N44" i="405" s="1"/>
  <c r="G43" i="405"/>
  <c r="N43" i="405" s="1"/>
  <c r="G42" i="405"/>
  <c r="N42" i="405" s="1"/>
  <c r="G41" i="405"/>
  <c r="N41" i="405" s="1"/>
  <c r="G40" i="405"/>
  <c r="N40" i="405" s="1"/>
  <c r="G39" i="405"/>
  <c r="F48" i="405"/>
  <c r="M48" i="405" s="1"/>
  <c r="F47" i="405"/>
  <c r="M47" i="405" s="1"/>
  <c r="F46" i="405"/>
  <c r="M46" i="405" s="1"/>
  <c r="F45" i="405"/>
  <c r="M45" i="405" s="1"/>
  <c r="F44" i="405"/>
  <c r="M44" i="405" s="1"/>
  <c r="F43" i="405"/>
  <c r="M43" i="405" s="1"/>
  <c r="F42" i="405"/>
  <c r="M42" i="405" s="1"/>
  <c r="F41" i="405"/>
  <c r="F40" i="405"/>
  <c r="M40" i="405" s="1"/>
  <c r="F39" i="405"/>
  <c r="M39" i="405" s="1"/>
  <c r="E48" i="405"/>
  <c r="L48" i="405" s="1"/>
  <c r="E47" i="405"/>
  <c r="L47" i="405" s="1"/>
  <c r="E46" i="405"/>
  <c r="L46" i="405" s="1"/>
  <c r="E45" i="405"/>
  <c r="L45" i="405" s="1"/>
  <c r="E44" i="405"/>
  <c r="L44" i="405" s="1"/>
  <c r="E43" i="405"/>
  <c r="L43" i="405" s="1"/>
  <c r="E42" i="405"/>
  <c r="L42" i="405" s="1"/>
  <c r="E41" i="405"/>
  <c r="L41" i="405" s="1"/>
  <c r="E40" i="405"/>
  <c r="L40" i="405" s="1"/>
  <c r="E39" i="405"/>
  <c r="L39" i="405" s="1"/>
  <c r="D49" i="405"/>
  <c r="K49" i="405" s="1"/>
  <c r="D48" i="405"/>
  <c r="K48" i="405" s="1"/>
  <c r="D47" i="405"/>
  <c r="K47" i="405" s="1"/>
  <c r="D46" i="405"/>
  <c r="K46" i="405" s="1"/>
  <c r="D45" i="405"/>
  <c r="K45" i="405" s="1"/>
  <c r="D44" i="405"/>
  <c r="K44" i="405" s="1"/>
  <c r="D43" i="405"/>
  <c r="K43" i="405" s="1"/>
  <c r="D42" i="405"/>
  <c r="K42" i="405" s="1"/>
  <c r="D41" i="405"/>
  <c r="K41" i="405" s="1"/>
  <c r="D40" i="405"/>
  <c r="K40" i="405" s="1"/>
  <c r="D39" i="405"/>
  <c r="K39" i="405" s="1"/>
  <c r="G38" i="405"/>
  <c r="N38" i="405" s="1"/>
  <c r="F38" i="405"/>
  <c r="E38" i="405"/>
  <c r="L38" i="405" s="1"/>
  <c r="D38" i="405"/>
  <c r="G37" i="405"/>
  <c r="N37" i="405" s="1"/>
  <c r="F37" i="405"/>
  <c r="M37" i="405" s="1"/>
  <c r="E37" i="405"/>
  <c r="L37" i="405" s="1"/>
  <c r="D37" i="405"/>
  <c r="K37" i="405" s="1"/>
  <c r="G34" i="405"/>
  <c r="F34" i="405"/>
  <c r="M34" i="405" s="1"/>
  <c r="E34" i="405"/>
  <c r="L34" i="405" s="1"/>
  <c r="D34" i="405"/>
  <c r="G35" i="405"/>
  <c r="N35" i="405" s="1"/>
  <c r="F35" i="405"/>
  <c r="M35" i="405" s="1"/>
  <c r="E35" i="405"/>
  <c r="L35" i="405" s="1"/>
  <c r="D35" i="405"/>
  <c r="K35" i="405" s="1"/>
  <c r="G32" i="405"/>
  <c r="N32" i="405" s="1"/>
  <c r="F32" i="405"/>
  <c r="M32" i="405" s="1"/>
  <c r="E32" i="405"/>
  <c r="L32" i="405" s="1"/>
  <c r="D32" i="405"/>
  <c r="K32" i="405" s="1"/>
  <c r="G31" i="405"/>
  <c r="N31" i="405" s="1"/>
  <c r="F31" i="405"/>
  <c r="M31" i="405" s="1"/>
  <c r="E31" i="405"/>
  <c r="L31" i="405" s="1"/>
  <c r="D31" i="405"/>
  <c r="K31" i="405" s="1"/>
  <c r="G30" i="405"/>
  <c r="N30" i="405" s="1"/>
  <c r="F30" i="405"/>
  <c r="M30" i="405" s="1"/>
  <c r="E30" i="405"/>
  <c r="E29" i="405" s="1"/>
  <c r="D30" i="405"/>
  <c r="K30" i="405" s="1"/>
  <c r="G27" i="405"/>
  <c r="N27" i="405" s="1"/>
  <c r="F27" i="405"/>
  <c r="M27" i="405" s="1"/>
  <c r="E27" i="405"/>
  <c r="L27" i="405" s="1"/>
  <c r="D27" i="405"/>
  <c r="K27" i="405" s="1"/>
  <c r="G26" i="405"/>
  <c r="N26" i="405" s="1"/>
  <c r="F26" i="405"/>
  <c r="M26" i="405" s="1"/>
  <c r="E26" i="405"/>
  <c r="L26" i="405" s="1"/>
  <c r="D26" i="405"/>
  <c r="K26" i="405" s="1"/>
  <c r="G24" i="405"/>
  <c r="N24" i="405" s="1"/>
  <c r="G23" i="405"/>
  <c r="N23" i="405" s="1"/>
  <c r="F24" i="405"/>
  <c r="M24" i="405" s="1"/>
  <c r="F23" i="405"/>
  <c r="M23" i="405" s="1"/>
  <c r="E24" i="405"/>
  <c r="L24" i="405" s="1"/>
  <c r="E23" i="405"/>
  <c r="D24" i="405"/>
  <c r="K24" i="405" s="1"/>
  <c r="D23" i="405"/>
  <c r="K23" i="405" s="1"/>
  <c r="G21" i="405"/>
  <c r="N21" i="405" s="1"/>
  <c r="G20" i="405"/>
  <c r="F21" i="405"/>
  <c r="F20" i="405"/>
  <c r="M20" i="405" s="1"/>
  <c r="E21" i="405"/>
  <c r="L21" i="405" s="1"/>
  <c r="E20" i="405"/>
  <c r="L20" i="405" s="1"/>
  <c r="D21" i="405"/>
  <c r="K21" i="405" s="1"/>
  <c r="D20" i="405"/>
  <c r="K20" i="405" s="1"/>
  <c r="G12" i="405"/>
  <c r="F12" i="405"/>
  <c r="E12" i="405"/>
  <c r="D12" i="405"/>
  <c r="G18" i="405"/>
  <c r="N18" i="405" s="1"/>
  <c r="F18" i="405"/>
  <c r="M18" i="405" s="1"/>
  <c r="E18" i="405"/>
  <c r="L18" i="405" s="1"/>
  <c r="D18" i="405"/>
  <c r="K18" i="405" s="1"/>
  <c r="G17" i="405"/>
  <c r="N17" i="405" s="1"/>
  <c r="F17" i="405"/>
  <c r="M17" i="405" s="1"/>
  <c r="E17" i="405"/>
  <c r="L17" i="405" s="1"/>
  <c r="D17" i="405"/>
  <c r="K17" i="405" s="1"/>
  <c r="G16" i="405"/>
  <c r="N16" i="405" s="1"/>
  <c r="F16" i="405"/>
  <c r="M16" i="405" s="1"/>
  <c r="E16" i="405"/>
  <c r="L16" i="405" s="1"/>
  <c r="D16" i="405"/>
  <c r="K16" i="405" s="1"/>
  <c r="G15" i="405"/>
  <c r="N15" i="405" s="1"/>
  <c r="F15" i="405"/>
  <c r="M15" i="405" s="1"/>
  <c r="E15" i="405"/>
  <c r="L15" i="405" s="1"/>
  <c r="D15" i="405"/>
  <c r="K15" i="405" s="1"/>
  <c r="G13" i="405"/>
  <c r="N13" i="405" s="1"/>
  <c r="F13" i="405"/>
  <c r="M13" i="405" s="1"/>
  <c r="E13" i="405"/>
  <c r="L13" i="405" s="1"/>
  <c r="D13" i="405"/>
  <c r="K13" i="405" s="1"/>
  <c r="N12" i="405"/>
  <c r="M12" i="405"/>
  <c r="L12" i="405"/>
  <c r="K12" i="405"/>
  <c r="G10" i="405"/>
  <c r="N10" i="405" s="1"/>
  <c r="F10" i="405"/>
  <c r="M10" i="405" s="1"/>
  <c r="E10" i="405"/>
  <c r="L10" i="405" s="1"/>
  <c r="D10" i="405"/>
  <c r="G9" i="405"/>
  <c r="N9" i="405" s="1"/>
  <c r="F9" i="405"/>
  <c r="M9" i="405" s="1"/>
  <c r="E9" i="405"/>
  <c r="L9" i="405" s="1"/>
  <c r="D9" i="405"/>
  <c r="K9" i="405" s="1"/>
  <c r="B1" i="405"/>
  <c r="O76" i="405"/>
  <c r="O75" i="405"/>
  <c r="O73" i="405"/>
  <c r="O69" i="405"/>
  <c r="O68" i="405" s="1"/>
  <c r="G16" i="414" s="1"/>
  <c r="O67" i="405"/>
  <c r="O66" i="405"/>
  <c r="O63" i="405"/>
  <c r="O62" i="405"/>
  <c r="O81" i="405" s="1"/>
  <c r="O61" i="405"/>
  <c r="O59" i="405"/>
  <c r="G62" i="414" s="1"/>
  <c r="O57" i="405"/>
  <c r="O3" i="405"/>
  <c r="N3" i="405"/>
  <c r="O1" i="405"/>
  <c r="H1" i="405"/>
  <c r="G61" i="414" l="1"/>
  <c r="G63" i="414" s="1"/>
  <c r="H15" i="16"/>
  <c r="H14" i="16" s="1"/>
  <c r="G14" i="414"/>
  <c r="H16" i="16"/>
  <c r="G14" i="16"/>
  <c r="D50" i="405"/>
  <c r="F50" i="405"/>
  <c r="L52" i="405"/>
  <c r="L50" i="405" s="1"/>
  <c r="E50" i="405"/>
  <c r="N52" i="405"/>
  <c r="N50" i="405" s="1"/>
  <c r="G50" i="405"/>
  <c r="D74" i="405"/>
  <c r="D77" i="405" s="1"/>
  <c r="G68" i="405"/>
  <c r="N69" i="405"/>
  <c r="N68" i="405" s="1"/>
  <c r="G81" i="405"/>
  <c r="M68" i="405"/>
  <c r="F81" i="405"/>
  <c r="K68" i="405"/>
  <c r="D81" i="405"/>
  <c r="E81" i="405"/>
  <c r="L74" i="405"/>
  <c r="L77" i="405" s="1"/>
  <c r="L68" i="405"/>
  <c r="E68" i="405"/>
  <c r="F68" i="405"/>
  <c r="D68" i="405"/>
  <c r="D33" i="405"/>
  <c r="L36" i="405"/>
  <c r="E36" i="405"/>
  <c r="M53" i="405"/>
  <c r="F36" i="405"/>
  <c r="D36" i="405"/>
  <c r="G36" i="405"/>
  <c r="M41" i="405"/>
  <c r="M33" i="405"/>
  <c r="K19" i="405"/>
  <c r="D10" i="16" s="1"/>
  <c r="N29" i="405"/>
  <c r="M29" i="405"/>
  <c r="K29" i="405"/>
  <c r="G22" i="405"/>
  <c r="F22" i="405"/>
  <c r="N22" i="405"/>
  <c r="M22" i="405"/>
  <c r="K22" i="405"/>
  <c r="E22" i="405"/>
  <c r="L14" i="405"/>
  <c r="E11" i="405"/>
  <c r="F11" i="405"/>
  <c r="D11" i="405"/>
  <c r="G11" i="405"/>
  <c r="N11" i="405"/>
  <c r="G7" i="16" s="1"/>
  <c r="L11" i="405"/>
  <c r="E7" i="16" s="1"/>
  <c r="M11" i="405"/>
  <c r="F7" i="16" s="1"/>
  <c r="D29" i="405"/>
  <c r="F29" i="405"/>
  <c r="D14" i="405"/>
  <c r="E64" i="405"/>
  <c r="K10" i="405"/>
  <c r="K80" i="405" s="1"/>
  <c r="M38" i="405"/>
  <c r="L80" i="405"/>
  <c r="O80" i="405"/>
  <c r="E33" i="405"/>
  <c r="O58" i="405"/>
  <c r="F64" i="405"/>
  <c r="G74" i="405"/>
  <c r="G77" i="405" s="1"/>
  <c r="F14" i="405"/>
  <c r="L59" i="405"/>
  <c r="L58" i="405" s="1"/>
  <c r="E58" i="405"/>
  <c r="L23" i="405"/>
  <c r="L22" i="405" s="1"/>
  <c r="L30" i="405"/>
  <c r="L29" i="405" s="1"/>
  <c r="N34" i="405"/>
  <c r="N33" i="405" s="1"/>
  <c r="G33" i="405"/>
  <c r="O74" i="405"/>
  <c r="O77" i="405" s="1"/>
  <c r="K34" i="405"/>
  <c r="K33" i="405" s="1"/>
  <c r="L64" i="405"/>
  <c r="K75" i="405"/>
  <c r="K74" i="405" s="1"/>
  <c r="K77" i="405" s="1"/>
  <c r="G14" i="405"/>
  <c r="G29" i="405"/>
  <c r="M52" i="405"/>
  <c r="E74" i="405"/>
  <c r="E77" i="405" s="1"/>
  <c r="N14" i="405"/>
  <c r="M80" i="405"/>
  <c r="N80" i="405"/>
  <c r="K11" i="405"/>
  <c r="D7" i="16" s="1"/>
  <c r="M14" i="405"/>
  <c r="F80" i="405"/>
  <c r="L19" i="405"/>
  <c r="E10" i="16" s="1"/>
  <c r="N76" i="405"/>
  <c r="N74" i="405" s="1"/>
  <c r="N77" i="405" s="1"/>
  <c r="H80" i="405"/>
  <c r="D80" i="405"/>
  <c r="E14" i="405"/>
  <c r="K14" i="405"/>
  <c r="D19" i="405"/>
  <c r="D22" i="405"/>
  <c r="F33" i="405"/>
  <c r="K52" i="405"/>
  <c r="K50" i="405" s="1"/>
  <c r="D58" i="405"/>
  <c r="F74" i="405"/>
  <c r="F77" i="405" s="1"/>
  <c r="M75" i="405"/>
  <c r="M74" i="405" s="1"/>
  <c r="M77" i="405" s="1"/>
  <c r="N39" i="405"/>
  <c r="N36" i="405" s="1"/>
  <c r="G80" i="405"/>
  <c r="G58" i="405"/>
  <c r="E80" i="405"/>
  <c r="E19" i="405"/>
  <c r="G19" i="405"/>
  <c r="N20" i="405"/>
  <c r="N19" i="405" s="1"/>
  <c r="G10" i="16" s="1"/>
  <c r="M21" i="405"/>
  <c r="M19" i="405" s="1"/>
  <c r="F10" i="16" s="1"/>
  <c r="F19" i="405"/>
  <c r="L33" i="405"/>
  <c r="K38" i="405"/>
  <c r="K36" i="405" s="1"/>
  <c r="D64" i="405"/>
  <c r="K65" i="405"/>
  <c r="K64" i="405" s="1"/>
  <c r="O65" i="405"/>
  <c r="O64" i="405" s="1"/>
  <c r="K58" i="405"/>
  <c r="M64" i="405"/>
  <c r="M59" i="405"/>
  <c r="M58" i="405" s="1"/>
  <c r="F58" i="405"/>
  <c r="N65" i="405"/>
  <c r="N64" i="405" s="1"/>
  <c r="G64" i="405"/>
  <c r="N58" i="405"/>
  <c r="G55" i="414" l="1"/>
  <c r="G17" i="414"/>
  <c r="M50" i="405"/>
  <c r="E56" i="405"/>
  <c r="K56" i="405"/>
  <c r="G56" i="405"/>
  <c r="L56" i="405"/>
  <c r="N56" i="405"/>
  <c r="M56" i="405"/>
  <c r="D56" i="405"/>
  <c r="O56" i="405"/>
  <c r="G13" i="414" s="1"/>
  <c r="F56" i="405"/>
  <c r="E28" i="405"/>
  <c r="G28" i="405"/>
  <c r="M36" i="405"/>
  <c r="N28" i="405"/>
  <c r="L28" i="405"/>
  <c r="D28" i="405"/>
  <c r="F28" i="405"/>
  <c r="N8" i="405"/>
  <c r="K28" i="405"/>
  <c r="D8" i="405"/>
  <c r="L8" i="405"/>
  <c r="F8" i="405"/>
  <c r="M8" i="405"/>
  <c r="E8" i="405"/>
  <c r="G8" i="405"/>
  <c r="K8" i="405"/>
  <c r="M71" i="405"/>
  <c r="G19" i="414" l="1"/>
  <c r="G23" i="414"/>
  <c r="G15" i="414"/>
  <c r="G22" i="414"/>
  <c r="G12" i="414"/>
  <c r="G20" i="414" s="1"/>
  <c r="G71" i="405"/>
  <c r="M28" i="405"/>
  <c r="M54" i="405" s="1"/>
  <c r="M78" i="405" s="1"/>
  <c r="K54" i="405"/>
  <c r="E54" i="405"/>
  <c r="D71" i="405"/>
  <c r="N54" i="405"/>
  <c r="O71" i="405"/>
  <c r="O78" i="405" s="1"/>
  <c r="L54" i="405"/>
  <c r="F54" i="405"/>
  <c r="E71" i="405"/>
  <c r="G54" i="405"/>
  <c r="F71" i="405"/>
  <c r="D54" i="405"/>
  <c r="K71" i="405"/>
  <c r="K78" i="405" s="1"/>
  <c r="H78" i="405"/>
  <c r="N71" i="405"/>
  <c r="L71" i="405"/>
  <c r="G78" i="405" l="1"/>
  <c r="E78" i="405"/>
  <c r="N78" i="405"/>
  <c r="D78" i="405"/>
  <c r="L78" i="405"/>
  <c r="F78" i="405"/>
  <c r="G67" i="404" l="1"/>
  <c r="N67" i="404" s="1"/>
  <c r="F67" i="404"/>
  <c r="M67" i="404" s="1"/>
  <c r="E67" i="404"/>
  <c r="L67" i="404" s="1"/>
  <c r="D67" i="404"/>
  <c r="K67" i="404" s="1"/>
  <c r="G65" i="404"/>
  <c r="N65" i="404" s="1"/>
  <c r="F65" i="404"/>
  <c r="M65" i="404" s="1"/>
  <c r="E65" i="404"/>
  <c r="L65" i="404" s="1"/>
  <c r="D65" i="404"/>
  <c r="K65" i="404" s="1"/>
  <c r="G63" i="404"/>
  <c r="N63" i="404" s="1"/>
  <c r="F63" i="404"/>
  <c r="M63" i="404" s="1"/>
  <c r="E63" i="404"/>
  <c r="L63" i="404" s="1"/>
  <c r="D63" i="404"/>
  <c r="K63" i="404" s="1"/>
  <c r="G62" i="404"/>
  <c r="N62" i="404" s="1"/>
  <c r="F62" i="404"/>
  <c r="M62" i="404" s="1"/>
  <c r="E62" i="404"/>
  <c r="L62" i="404" s="1"/>
  <c r="D62" i="404"/>
  <c r="K62" i="404" s="1"/>
  <c r="G61" i="404"/>
  <c r="N61" i="404" s="1"/>
  <c r="F61" i="404"/>
  <c r="M61" i="404" s="1"/>
  <c r="E61" i="404"/>
  <c r="L61" i="404" s="1"/>
  <c r="D61" i="404"/>
  <c r="K61" i="404" s="1"/>
  <c r="G60" i="404"/>
  <c r="N60" i="404" s="1"/>
  <c r="F60" i="404"/>
  <c r="M60" i="404" s="1"/>
  <c r="E60" i="404"/>
  <c r="L60" i="404" s="1"/>
  <c r="D60" i="404"/>
  <c r="K60" i="404" s="1"/>
  <c r="G59" i="404"/>
  <c r="N59" i="404" s="1"/>
  <c r="F59" i="404"/>
  <c r="M59" i="404" s="1"/>
  <c r="E59" i="404"/>
  <c r="L59" i="404" s="1"/>
  <c r="D59" i="404"/>
  <c r="K59" i="404" s="1"/>
  <c r="G58" i="404"/>
  <c r="N58" i="404" s="1"/>
  <c r="F58" i="404"/>
  <c r="M58" i="404" s="1"/>
  <c r="E58" i="404"/>
  <c r="L58" i="404" s="1"/>
  <c r="D58" i="404"/>
  <c r="K58" i="404" s="1"/>
  <c r="G57" i="404"/>
  <c r="N57" i="404" s="1"/>
  <c r="F57" i="404"/>
  <c r="M57" i="404" s="1"/>
  <c r="E57" i="404"/>
  <c r="L57" i="404" s="1"/>
  <c r="D57" i="404"/>
  <c r="K57" i="404" s="1"/>
  <c r="G56" i="404"/>
  <c r="N56" i="404" s="1"/>
  <c r="F56" i="404"/>
  <c r="M56" i="404" s="1"/>
  <c r="E56" i="404"/>
  <c r="L56" i="404" s="1"/>
  <c r="L55" i="404" s="1"/>
  <c r="D56" i="404"/>
  <c r="K56" i="404" s="1"/>
  <c r="K55" i="404" s="1"/>
  <c r="G54" i="404"/>
  <c r="N54" i="404" s="1"/>
  <c r="F54" i="404"/>
  <c r="M54" i="404" s="1"/>
  <c r="E54" i="404"/>
  <c r="L54" i="404" s="1"/>
  <c r="D54" i="404"/>
  <c r="K54" i="404" s="1"/>
  <c r="G53" i="404"/>
  <c r="N53" i="404" s="1"/>
  <c r="F53" i="404"/>
  <c r="M53" i="404" s="1"/>
  <c r="E53" i="404"/>
  <c r="L53" i="404" s="1"/>
  <c r="D53" i="404"/>
  <c r="K53" i="404" s="1"/>
  <c r="G52" i="404"/>
  <c r="N52" i="404" s="1"/>
  <c r="F52" i="404"/>
  <c r="M52" i="404" s="1"/>
  <c r="E52" i="404"/>
  <c r="L52" i="404" s="1"/>
  <c r="D52" i="404"/>
  <c r="K52" i="404" s="1"/>
  <c r="G51" i="404"/>
  <c r="N51" i="404" s="1"/>
  <c r="F51" i="404"/>
  <c r="M51" i="404" s="1"/>
  <c r="E51" i="404"/>
  <c r="L51" i="404" s="1"/>
  <c r="D51" i="404"/>
  <c r="K51" i="404" s="1"/>
  <c r="G50" i="404"/>
  <c r="N50" i="404" s="1"/>
  <c r="F50" i="404"/>
  <c r="M50" i="404" s="1"/>
  <c r="E50" i="404"/>
  <c r="L50" i="404" s="1"/>
  <c r="D50" i="404"/>
  <c r="K50" i="404" s="1"/>
  <c r="G49" i="404"/>
  <c r="N49" i="404" s="1"/>
  <c r="F49" i="404"/>
  <c r="M49" i="404" s="1"/>
  <c r="E49" i="404"/>
  <c r="L49" i="404" s="1"/>
  <c r="D49" i="404"/>
  <c r="K49" i="404" s="1"/>
  <c r="G48" i="404"/>
  <c r="N48" i="404" s="1"/>
  <c r="F48" i="404"/>
  <c r="M48" i="404" s="1"/>
  <c r="E48" i="404"/>
  <c r="L48" i="404" s="1"/>
  <c r="D48" i="404"/>
  <c r="K48" i="404" s="1"/>
  <c r="G47" i="404"/>
  <c r="N47" i="404" s="1"/>
  <c r="F47" i="404"/>
  <c r="M47" i="404" s="1"/>
  <c r="M46" i="404" s="1"/>
  <c r="E47" i="404"/>
  <c r="L47" i="404" s="1"/>
  <c r="D47" i="404"/>
  <c r="K47" i="404" s="1"/>
  <c r="K46" i="404" s="1"/>
  <c r="C41" i="414" s="1"/>
  <c r="G44" i="404"/>
  <c r="N44" i="404" s="1"/>
  <c r="F44" i="404"/>
  <c r="M44" i="404" s="1"/>
  <c r="E44" i="404"/>
  <c r="L44" i="404" s="1"/>
  <c r="D44" i="404"/>
  <c r="K44" i="404" s="1"/>
  <c r="G43" i="404"/>
  <c r="N43" i="404" s="1"/>
  <c r="F43" i="404"/>
  <c r="M43" i="404" s="1"/>
  <c r="E43" i="404"/>
  <c r="L43" i="404" s="1"/>
  <c r="D43" i="404"/>
  <c r="K43" i="404" s="1"/>
  <c r="G42" i="404"/>
  <c r="N42" i="404" s="1"/>
  <c r="F42" i="404"/>
  <c r="M42" i="404" s="1"/>
  <c r="E42" i="404"/>
  <c r="L42" i="404" s="1"/>
  <c r="D42" i="404"/>
  <c r="K42" i="404" s="1"/>
  <c r="G41" i="404"/>
  <c r="N41" i="404" s="1"/>
  <c r="F41" i="404"/>
  <c r="M41" i="404" s="1"/>
  <c r="E41" i="404"/>
  <c r="L41" i="404" s="1"/>
  <c r="D41" i="404"/>
  <c r="K41" i="404" s="1"/>
  <c r="G40" i="404"/>
  <c r="N40" i="404" s="1"/>
  <c r="F40" i="404"/>
  <c r="M40" i="404" s="1"/>
  <c r="E40" i="404"/>
  <c r="L40" i="404" s="1"/>
  <c r="D40" i="404"/>
  <c r="K40" i="404" s="1"/>
  <c r="G39" i="404"/>
  <c r="N39" i="404" s="1"/>
  <c r="F39" i="404"/>
  <c r="M39" i="404" s="1"/>
  <c r="E39" i="404"/>
  <c r="L39" i="404" s="1"/>
  <c r="D39" i="404"/>
  <c r="K39" i="404" s="1"/>
  <c r="G38" i="404"/>
  <c r="N38" i="404" s="1"/>
  <c r="F38" i="404"/>
  <c r="M38" i="404" s="1"/>
  <c r="E38" i="404"/>
  <c r="L38" i="404" s="1"/>
  <c r="D38" i="404"/>
  <c r="K38" i="404" s="1"/>
  <c r="G37" i="404"/>
  <c r="N37" i="404" s="1"/>
  <c r="F37" i="404"/>
  <c r="M37" i="404" s="1"/>
  <c r="E37" i="404"/>
  <c r="L37" i="404" s="1"/>
  <c r="D37" i="404"/>
  <c r="K37" i="404" s="1"/>
  <c r="G36" i="404"/>
  <c r="N36" i="404" s="1"/>
  <c r="F36" i="404"/>
  <c r="M36" i="404" s="1"/>
  <c r="E36" i="404"/>
  <c r="L36" i="404" s="1"/>
  <c r="D36" i="404"/>
  <c r="K36" i="404" s="1"/>
  <c r="G35" i="404"/>
  <c r="N35" i="404" s="1"/>
  <c r="F35" i="404"/>
  <c r="M35" i="404" s="1"/>
  <c r="E35" i="404"/>
  <c r="L35" i="404" s="1"/>
  <c r="D35" i="404"/>
  <c r="K35" i="404" s="1"/>
  <c r="G34" i="404"/>
  <c r="N34" i="404" s="1"/>
  <c r="F34" i="404"/>
  <c r="M34" i="404" s="1"/>
  <c r="E34" i="404"/>
  <c r="L34" i="404" s="1"/>
  <c r="D34" i="404"/>
  <c r="K34" i="404" s="1"/>
  <c r="G33" i="404"/>
  <c r="N33" i="404" s="1"/>
  <c r="F33" i="404"/>
  <c r="M33" i="404" s="1"/>
  <c r="E33" i="404"/>
  <c r="L33" i="404" s="1"/>
  <c r="D33" i="404"/>
  <c r="K33" i="404" s="1"/>
  <c r="G32" i="404"/>
  <c r="N32" i="404" s="1"/>
  <c r="F32" i="404"/>
  <c r="M32" i="404" s="1"/>
  <c r="E32" i="404"/>
  <c r="L32" i="404" s="1"/>
  <c r="D32" i="404"/>
  <c r="K32" i="404" s="1"/>
  <c r="G31" i="404"/>
  <c r="N31" i="404" s="1"/>
  <c r="F31" i="404"/>
  <c r="M31" i="404" s="1"/>
  <c r="E31" i="404"/>
  <c r="L31" i="404" s="1"/>
  <c r="D31" i="404"/>
  <c r="K31" i="404" s="1"/>
  <c r="G30" i="404"/>
  <c r="N30" i="404" s="1"/>
  <c r="F30" i="404"/>
  <c r="M30" i="404" s="1"/>
  <c r="E30" i="404"/>
  <c r="L30" i="404" s="1"/>
  <c r="D30" i="404"/>
  <c r="K30" i="404" s="1"/>
  <c r="G29" i="404"/>
  <c r="N29" i="404" s="1"/>
  <c r="F29" i="404"/>
  <c r="M29" i="404" s="1"/>
  <c r="E29" i="404"/>
  <c r="L29" i="404" s="1"/>
  <c r="D29" i="404"/>
  <c r="K29" i="404" s="1"/>
  <c r="G28" i="404"/>
  <c r="N28" i="404" s="1"/>
  <c r="F28" i="404"/>
  <c r="M28" i="404" s="1"/>
  <c r="E28" i="404"/>
  <c r="L28" i="404" s="1"/>
  <c r="D28" i="404"/>
  <c r="K28" i="404" s="1"/>
  <c r="G27" i="404"/>
  <c r="N27" i="404" s="1"/>
  <c r="F27" i="404"/>
  <c r="M27" i="404" s="1"/>
  <c r="E27" i="404"/>
  <c r="L27" i="404" s="1"/>
  <c r="D27" i="404"/>
  <c r="K27" i="404" s="1"/>
  <c r="G26" i="404"/>
  <c r="N26" i="404" s="1"/>
  <c r="F26" i="404"/>
  <c r="M26" i="404" s="1"/>
  <c r="E26" i="404"/>
  <c r="L26" i="404" s="1"/>
  <c r="D26" i="404"/>
  <c r="K26" i="404" s="1"/>
  <c r="G25" i="404"/>
  <c r="N25" i="404" s="1"/>
  <c r="F25" i="404"/>
  <c r="M25" i="404" s="1"/>
  <c r="E25" i="404"/>
  <c r="L25" i="404" s="1"/>
  <c r="D25" i="404"/>
  <c r="K25" i="404" s="1"/>
  <c r="G24" i="404"/>
  <c r="N24" i="404" s="1"/>
  <c r="F24" i="404"/>
  <c r="M24" i="404" s="1"/>
  <c r="E24" i="404"/>
  <c r="L24" i="404" s="1"/>
  <c r="D24" i="404"/>
  <c r="K24" i="404" s="1"/>
  <c r="G23" i="404"/>
  <c r="N23" i="404" s="1"/>
  <c r="F23" i="404"/>
  <c r="M23" i="404" s="1"/>
  <c r="E23" i="404"/>
  <c r="L23" i="404" s="1"/>
  <c r="D23" i="404"/>
  <c r="K23" i="404" s="1"/>
  <c r="G17" i="404"/>
  <c r="N17" i="404" s="1"/>
  <c r="F34" i="414" s="1"/>
  <c r="F17" i="404"/>
  <c r="M17" i="404" s="1"/>
  <c r="E34" i="414" s="1"/>
  <c r="E17" i="404"/>
  <c r="L17" i="404" s="1"/>
  <c r="D34" i="414" s="1"/>
  <c r="D17" i="404"/>
  <c r="K17" i="404" s="1"/>
  <c r="C34" i="414" s="1"/>
  <c r="G16" i="404"/>
  <c r="N16" i="404" s="1"/>
  <c r="F33" i="414" s="1"/>
  <c r="F16" i="404"/>
  <c r="M16" i="404" s="1"/>
  <c r="E33" i="414" s="1"/>
  <c r="E16" i="404"/>
  <c r="L16" i="404" s="1"/>
  <c r="D33" i="414" s="1"/>
  <c r="D16" i="404"/>
  <c r="K16" i="404" s="1"/>
  <c r="C33" i="414" s="1"/>
  <c r="G15" i="404"/>
  <c r="N15" i="404" s="1"/>
  <c r="F15" i="404"/>
  <c r="M15" i="404" s="1"/>
  <c r="E15" i="404"/>
  <c r="L15" i="404" s="1"/>
  <c r="D15" i="404"/>
  <c r="K15" i="404" s="1"/>
  <c r="G14" i="404"/>
  <c r="N14" i="404" s="1"/>
  <c r="F14" i="404"/>
  <c r="M14" i="404" s="1"/>
  <c r="E14" i="404"/>
  <c r="L14" i="404" s="1"/>
  <c r="D14" i="404"/>
  <c r="K14" i="404" s="1"/>
  <c r="G13" i="404"/>
  <c r="G12" i="404" s="1"/>
  <c r="F13" i="404"/>
  <c r="M13" i="404" s="1"/>
  <c r="E13" i="404"/>
  <c r="L13" i="404" s="1"/>
  <c r="D13" i="404"/>
  <c r="K13" i="404" s="1"/>
  <c r="G10" i="404"/>
  <c r="F10" i="404"/>
  <c r="E10" i="404"/>
  <c r="D10" i="404"/>
  <c r="G9" i="404"/>
  <c r="F9" i="404"/>
  <c r="E9" i="404"/>
  <c r="D9" i="404"/>
  <c r="G8" i="404"/>
  <c r="F8" i="404"/>
  <c r="E8" i="404"/>
  <c r="D8" i="404"/>
  <c r="G55" i="404"/>
  <c r="F55" i="404"/>
  <c r="E55" i="404"/>
  <c r="D55" i="404"/>
  <c r="G46" i="404"/>
  <c r="F46" i="404"/>
  <c r="E46" i="404"/>
  <c r="D46" i="404"/>
  <c r="N19" i="404"/>
  <c r="F38" i="414" s="1"/>
  <c r="M19" i="404"/>
  <c r="E38" i="414" s="1"/>
  <c r="E68" i="414" s="1"/>
  <c r="L19" i="404"/>
  <c r="D38" i="414" s="1"/>
  <c r="D68" i="414" s="1"/>
  <c r="K19" i="404"/>
  <c r="C38" i="414" s="1"/>
  <c r="C68" i="414" s="1"/>
  <c r="B1" i="404"/>
  <c r="D59" i="14" l="1"/>
  <c r="C72" i="414"/>
  <c r="D67" i="14"/>
  <c r="C75" i="414"/>
  <c r="D68" i="14"/>
  <c r="C78" i="414"/>
  <c r="D77" i="14"/>
  <c r="C81" i="414"/>
  <c r="D83" i="14"/>
  <c r="C84" i="414"/>
  <c r="C87" i="414"/>
  <c r="D94" i="14"/>
  <c r="C88" i="414"/>
  <c r="D100" i="14"/>
  <c r="C90" i="414"/>
  <c r="D70" i="414"/>
  <c r="D71" i="414"/>
  <c r="E59" i="14"/>
  <c r="D72" i="414"/>
  <c r="E62" i="14"/>
  <c r="D73" i="414"/>
  <c r="E115" i="14"/>
  <c r="E117" i="14" s="1"/>
  <c r="D74" i="414"/>
  <c r="E67" i="14"/>
  <c r="D75" i="414"/>
  <c r="E46" i="14"/>
  <c r="D76" i="414"/>
  <c r="E48" i="14"/>
  <c r="D77" i="414"/>
  <c r="E68" i="14"/>
  <c r="D78" i="414"/>
  <c r="E71" i="14"/>
  <c r="D79" i="414"/>
  <c r="E74" i="14"/>
  <c r="D80" i="414"/>
  <c r="E77" i="14"/>
  <c r="D81" i="414"/>
  <c r="D82" i="414"/>
  <c r="E80" i="14"/>
  <c r="D83" i="414"/>
  <c r="E83" i="14"/>
  <c r="D84" i="414"/>
  <c r="E86" i="14"/>
  <c r="D85" i="414"/>
  <c r="E119" i="14"/>
  <c r="E121" i="14" s="1"/>
  <c r="D86" i="414"/>
  <c r="D87" i="414"/>
  <c r="E94" i="14"/>
  <c r="D88" i="414"/>
  <c r="E97" i="14"/>
  <c r="D89" i="414"/>
  <c r="E100" i="14"/>
  <c r="D90" i="414"/>
  <c r="E103" i="14"/>
  <c r="D91" i="414"/>
  <c r="C71" i="414"/>
  <c r="D46" i="14"/>
  <c r="C76" i="414"/>
  <c r="D71" i="14"/>
  <c r="C79" i="414"/>
  <c r="D80" i="14"/>
  <c r="C83" i="414"/>
  <c r="D86" i="14"/>
  <c r="C85" i="414"/>
  <c r="D97" i="14"/>
  <c r="C89" i="414"/>
  <c r="D103" i="14"/>
  <c r="C91" i="414"/>
  <c r="E70" i="414"/>
  <c r="E71" i="414"/>
  <c r="F59" i="14"/>
  <c r="E72" i="414"/>
  <c r="F62" i="14"/>
  <c r="E73" i="414"/>
  <c r="F115" i="14"/>
  <c r="F117" i="14" s="1"/>
  <c r="E74" i="414"/>
  <c r="F67" i="14"/>
  <c r="E75" i="414"/>
  <c r="F46" i="14"/>
  <c r="E76" i="414"/>
  <c r="F48" i="14"/>
  <c r="E77" i="414"/>
  <c r="F68" i="14"/>
  <c r="E78" i="414"/>
  <c r="F71" i="14"/>
  <c r="E79" i="414"/>
  <c r="F74" i="14"/>
  <c r="E80" i="414"/>
  <c r="F77" i="14"/>
  <c r="E81" i="414"/>
  <c r="E82" i="414"/>
  <c r="F80" i="14"/>
  <c r="E83" i="414"/>
  <c r="F83" i="14"/>
  <c r="E84" i="414"/>
  <c r="F86" i="14"/>
  <c r="E85" i="414"/>
  <c r="F119" i="14"/>
  <c r="F121" i="14" s="1"/>
  <c r="E86" i="414"/>
  <c r="E87" i="414"/>
  <c r="F94" i="14"/>
  <c r="E88" i="414"/>
  <c r="F97" i="14"/>
  <c r="E89" i="414"/>
  <c r="F100" i="14"/>
  <c r="E90" i="414"/>
  <c r="F103" i="14"/>
  <c r="E91" i="414"/>
  <c r="C70" i="414"/>
  <c r="D62" i="14"/>
  <c r="C73" i="414"/>
  <c r="D115" i="14"/>
  <c r="D117" i="14" s="1"/>
  <c r="C74" i="414"/>
  <c r="D48" i="14"/>
  <c r="C77" i="414"/>
  <c r="D74" i="14"/>
  <c r="C80" i="414"/>
  <c r="C82" i="414"/>
  <c r="D119" i="14"/>
  <c r="D121" i="14" s="1"/>
  <c r="C86" i="414"/>
  <c r="F68" i="414"/>
  <c r="N29" i="414"/>
  <c r="O29" i="414"/>
  <c r="F70" i="414"/>
  <c r="F71" i="414"/>
  <c r="G59" i="14"/>
  <c r="F72" i="414"/>
  <c r="G62" i="14"/>
  <c r="F73" i="414"/>
  <c r="G115" i="14"/>
  <c r="G117" i="14" s="1"/>
  <c r="F74" i="414"/>
  <c r="G67" i="14"/>
  <c r="F75" i="414"/>
  <c r="G46" i="14"/>
  <c r="F76" i="414"/>
  <c r="G48" i="14"/>
  <c r="F77" i="414"/>
  <c r="G68" i="14"/>
  <c r="F78" i="414"/>
  <c r="G71" i="14"/>
  <c r="F79" i="414"/>
  <c r="G74" i="14"/>
  <c r="F80" i="414"/>
  <c r="G77" i="14"/>
  <c r="F81" i="414"/>
  <c r="F82" i="414"/>
  <c r="G80" i="14"/>
  <c r="F83" i="414"/>
  <c r="G83" i="14"/>
  <c r="F84" i="414"/>
  <c r="G86" i="14"/>
  <c r="F85" i="414"/>
  <c r="G119" i="14"/>
  <c r="G121" i="14" s="1"/>
  <c r="F86" i="414"/>
  <c r="F87" i="414"/>
  <c r="G94" i="14"/>
  <c r="F88" i="414"/>
  <c r="G97" i="14"/>
  <c r="F89" i="414"/>
  <c r="G100" i="14"/>
  <c r="F90" i="414"/>
  <c r="G103" i="14"/>
  <c r="F91" i="414"/>
  <c r="M8" i="404"/>
  <c r="Q19" i="412"/>
  <c r="K8" i="404"/>
  <c r="O19" i="412"/>
  <c r="K9" i="404"/>
  <c r="C11" i="412"/>
  <c r="K10" i="404"/>
  <c r="C12" i="412"/>
  <c r="L8" i="404"/>
  <c r="P19" i="412"/>
  <c r="L9" i="404"/>
  <c r="C17" i="412"/>
  <c r="L10" i="404"/>
  <c r="C18" i="412"/>
  <c r="M9" i="404"/>
  <c r="C23" i="412"/>
  <c r="M10" i="404"/>
  <c r="C24" i="412"/>
  <c r="G7" i="404"/>
  <c r="N7" i="404" s="1"/>
  <c r="R19" i="412"/>
  <c r="N9" i="404"/>
  <c r="C29" i="412"/>
  <c r="N10" i="404"/>
  <c r="C30" i="412"/>
  <c r="G11" i="404"/>
  <c r="N11" i="404" s="1"/>
  <c r="G26" i="16" s="1"/>
  <c r="R20" i="412"/>
  <c r="K71" i="14"/>
  <c r="K80" i="14"/>
  <c r="K103" i="14"/>
  <c r="E7" i="404"/>
  <c r="L7" i="404" s="1"/>
  <c r="E12" i="404"/>
  <c r="L12" i="404" s="1"/>
  <c r="D35" i="414" s="1"/>
  <c r="D32" i="414" s="1"/>
  <c r="F7" i="404"/>
  <c r="M7" i="404" s="1"/>
  <c r="F12" i="404"/>
  <c r="F11" i="404" s="1"/>
  <c r="M11" i="404" s="1"/>
  <c r="F26" i="16" s="1"/>
  <c r="N46" i="404"/>
  <c r="N55" i="404"/>
  <c r="M55" i="404"/>
  <c r="E41" i="414" s="1"/>
  <c r="D7" i="404"/>
  <c r="D12" i="404"/>
  <c r="O20" i="412" s="1"/>
  <c r="L46" i="404"/>
  <c r="D41" i="414" s="1"/>
  <c r="N8" i="404"/>
  <c r="N12" i="404"/>
  <c r="F35" i="414" s="1"/>
  <c r="F32" i="414" s="1"/>
  <c r="N13" i="404"/>
  <c r="D66" i="14" l="1"/>
  <c r="G66" i="14"/>
  <c r="J66" i="14"/>
  <c r="E66" i="14"/>
  <c r="F66" i="14"/>
  <c r="D63" i="14"/>
  <c r="K62" i="14"/>
  <c r="G63" i="14"/>
  <c r="J63" i="14"/>
  <c r="E63" i="14"/>
  <c r="F63" i="14"/>
  <c r="D60" i="14"/>
  <c r="G60" i="14"/>
  <c r="D42" i="14"/>
  <c r="D43" i="14" s="1"/>
  <c r="F60" i="14"/>
  <c r="E60" i="14"/>
  <c r="D104" i="14"/>
  <c r="L103" i="14"/>
  <c r="K104" i="14"/>
  <c r="G104" i="14"/>
  <c r="J104" i="14"/>
  <c r="E104" i="14"/>
  <c r="F104" i="14"/>
  <c r="K100" i="14"/>
  <c r="G101" i="14"/>
  <c r="J101" i="14"/>
  <c r="E101" i="14"/>
  <c r="D101" i="14"/>
  <c r="F101" i="14"/>
  <c r="G98" i="14"/>
  <c r="J98" i="14"/>
  <c r="E98" i="14"/>
  <c r="F98" i="14"/>
  <c r="D98" i="14"/>
  <c r="F95" i="14"/>
  <c r="K94" i="14"/>
  <c r="G95" i="14"/>
  <c r="J95" i="14"/>
  <c r="E95" i="14"/>
  <c r="D95" i="14"/>
  <c r="D90" i="14"/>
  <c r="G90" i="14"/>
  <c r="J90" i="14"/>
  <c r="E90" i="14"/>
  <c r="K90" i="14"/>
  <c r="F90" i="14"/>
  <c r="D87" i="14"/>
  <c r="K86" i="14"/>
  <c r="G87" i="14"/>
  <c r="J87" i="14"/>
  <c r="E87" i="14"/>
  <c r="F87" i="14"/>
  <c r="G84" i="14"/>
  <c r="J84" i="14"/>
  <c r="E84" i="14"/>
  <c r="D84" i="14"/>
  <c r="F84" i="14"/>
  <c r="L80" i="14"/>
  <c r="K81" i="14"/>
  <c r="G81" i="14"/>
  <c r="J81" i="14"/>
  <c r="E81" i="14"/>
  <c r="F81" i="14"/>
  <c r="D81" i="14"/>
  <c r="K77" i="14"/>
  <c r="G78" i="14"/>
  <c r="J78" i="14"/>
  <c r="E78" i="14"/>
  <c r="F78" i="14"/>
  <c r="D78" i="14"/>
  <c r="K74" i="14"/>
  <c r="G75" i="14"/>
  <c r="J75" i="14"/>
  <c r="F75" i="14"/>
  <c r="D75" i="14"/>
  <c r="E75" i="14"/>
  <c r="E42" i="14"/>
  <c r="L71" i="14"/>
  <c r="K72" i="14"/>
  <c r="G72" i="14"/>
  <c r="J72" i="14"/>
  <c r="D72" i="14"/>
  <c r="F72" i="14"/>
  <c r="E72" i="14"/>
  <c r="F69" i="14"/>
  <c r="D69" i="14"/>
  <c r="K68" i="14"/>
  <c r="G69" i="14"/>
  <c r="J69" i="14"/>
  <c r="E69" i="14"/>
  <c r="D110" i="14"/>
  <c r="D113" i="14" s="1"/>
  <c r="G42" i="14"/>
  <c r="J43" i="14" s="1"/>
  <c r="F42" i="14"/>
  <c r="F43" i="14" s="1"/>
  <c r="D15" i="14"/>
  <c r="G110" i="14"/>
  <c r="K83" i="14"/>
  <c r="E110" i="14"/>
  <c r="E113" i="14" s="1"/>
  <c r="G18" i="404"/>
  <c r="N18" i="404" s="1"/>
  <c r="R22" i="412"/>
  <c r="J75" i="414"/>
  <c r="K75" i="414"/>
  <c r="J71" i="414"/>
  <c r="K71" i="414"/>
  <c r="F41" i="414"/>
  <c r="F110" i="14"/>
  <c r="J88" i="414"/>
  <c r="K88" i="414"/>
  <c r="J84" i="414"/>
  <c r="K84" i="414"/>
  <c r="J80" i="414"/>
  <c r="K80" i="414"/>
  <c r="J76" i="414"/>
  <c r="K76" i="414"/>
  <c r="J72" i="414"/>
  <c r="K72" i="414"/>
  <c r="J91" i="414"/>
  <c r="K91" i="414"/>
  <c r="J87" i="414"/>
  <c r="K87" i="414"/>
  <c r="F16" i="16"/>
  <c r="J89" i="414"/>
  <c r="K89" i="414"/>
  <c r="J85" i="414"/>
  <c r="K85" i="414"/>
  <c r="J81" i="414"/>
  <c r="K81" i="414"/>
  <c r="J77" i="414"/>
  <c r="K77" i="414"/>
  <c r="J73" i="414"/>
  <c r="K73" i="414"/>
  <c r="J69" i="414"/>
  <c r="K69" i="414"/>
  <c r="J83" i="414"/>
  <c r="K83" i="414"/>
  <c r="J79" i="414"/>
  <c r="K79" i="414"/>
  <c r="K97" i="14"/>
  <c r="G16" i="16"/>
  <c r="G12" i="16"/>
  <c r="J90" i="414"/>
  <c r="K90" i="414"/>
  <c r="J86" i="414"/>
  <c r="K86" i="414"/>
  <c r="J82" i="414"/>
  <c r="K82" i="414"/>
  <c r="J78" i="414"/>
  <c r="K78" i="414"/>
  <c r="J74" i="414"/>
  <c r="K74" i="414"/>
  <c r="J70" i="414"/>
  <c r="K70" i="414"/>
  <c r="R12" i="412"/>
  <c r="H30" i="412"/>
  <c r="Q5" i="412"/>
  <c r="X5" i="412" s="1"/>
  <c r="C25" i="412"/>
  <c r="H23" i="412"/>
  <c r="P5" i="412"/>
  <c r="W5" i="412" s="1"/>
  <c r="C19" i="412"/>
  <c r="H17" i="412"/>
  <c r="O12" i="412"/>
  <c r="H12" i="412"/>
  <c r="M12" i="404"/>
  <c r="E35" i="414" s="1"/>
  <c r="E32" i="414" s="1"/>
  <c r="Q20" i="412"/>
  <c r="Q22" i="412" s="1"/>
  <c r="G170" i="12"/>
  <c r="F30" i="414"/>
  <c r="E29" i="414"/>
  <c r="D29" i="414"/>
  <c r="D170" i="12"/>
  <c r="C30" i="414"/>
  <c r="D71" i="12"/>
  <c r="C31" i="414"/>
  <c r="G71" i="12"/>
  <c r="F31" i="414"/>
  <c r="R5" i="412"/>
  <c r="Y5" i="412" s="1"/>
  <c r="C31" i="412"/>
  <c r="H29" i="412"/>
  <c r="Q12" i="412"/>
  <c r="H24" i="412"/>
  <c r="H18" i="412"/>
  <c r="P12" i="412"/>
  <c r="C13" i="412"/>
  <c r="O5" i="412"/>
  <c r="V5" i="412" s="1"/>
  <c r="H11" i="412"/>
  <c r="H13" i="412" s="1"/>
  <c r="E11" i="404"/>
  <c r="L11" i="404" s="1"/>
  <c r="E26" i="16" s="1"/>
  <c r="P20" i="412"/>
  <c r="F29" i="414"/>
  <c r="F170" i="12"/>
  <c r="E30" i="414"/>
  <c r="E170" i="12"/>
  <c r="D30" i="414"/>
  <c r="E71" i="12"/>
  <c r="D31" i="414"/>
  <c r="C29" i="414"/>
  <c r="F71" i="12"/>
  <c r="E31" i="414"/>
  <c r="H73" i="12"/>
  <c r="D10" i="14"/>
  <c r="D11" i="14" s="1"/>
  <c r="F18" i="404"/>
  <c r="M18" i="404" s="1"/>
  <c r="K12" i="404"/>
  <c r="C35" i="414" s="1"/>
  <c r="C32" i="414" s="1"/>
  <c r="D11" i="404"/>
  <c r="K11" i="404" s="1"/>
  <c r="D26" i="16" s="1"/>
  <c r="K7" i="404"/>
  <c r="G45" i="404"/>
  <c r="G68" i="404" s="1"/>
  <c r="P18" i="412" l="1"/>
  <c r="W18" i="412" s="1"/>
  <c r="W12" i="412"/>
  <c r="O18" i="412"/>
  <c r="V18" i="412" s="1"/>
  <c r="V12" i="412"/>
  <c r="R18" i="412"/>
  <c r="Y18" i="412" s="1"/>
  <c r="Y12" i="412"/>
  <c r="Q18" i="412"/>
  <c r="X18" i="412" s="1"/>
  <c r="X12" i="412"/>
  <c r="F31" i="12"/>
  <c r="F98" i="12"/>
  <c r="F77" i="12"/>
  <c r="D31" i="12"/>
  <c r="D98" i="12"/>
  <c r="D77" i="12"/>
  <c r="E31" i="12"/>
  <c r="E98" i="12"/>
  <c r="E77" i="12"/>
  <c r="G98" i="12"/>
  <c r="G31" i="12"/>
  <c r="G77" i="12"/>
  <c r="F171" i="12"/>
  <c r="E171" i="12"/>
  <c r="D171" i="12"/>
  <c r="J171" i="12"/>
  <c r="G9" i="12"/>
  <c r="J72" i="12"/>
  <c r="L62" i="14"/>
  <c r="K63" i="14"/>
  <c r="E43" i="14"/>
  <c r="M103" i="14"/>
  <c r="L104" i="14"/>
  <c r="L100" i="14"/>
  <c r="K101" i="14"/>
  <c r="L97" i="14"/>
  <c r="K98" i="14"/>
  <c r="L94" i="14"/>
  <c r="K95" i="14"/>
  <c r="L90" i="14"/>
  <c r="L86" i="14"/>
  <c r="K87" i="14"/>
  <c r="L83" i="14"/>
  <c r="K84" i="14"/>
  <c r="M80" i="14"/>
  <c r="L81" i="14"/>
  <c r="L77" i="14"/>
  <c r="K78" i="14"/>
  <c r="L74" i="14"/>
  <c r="K75" i="14"/>
  <c r="M71" i="14"/>
  <c r="L72" i="14"/>
  <c r="G43" i="14"/>
  <c r="L68" i="14"/>
  <c r="K69" i="14"/>
  <c r="F111" i="14"/>
  <c r="D22" i="14"/>
  <c r="D23" i="14" s="1"/>
  <c r="D111" i="14"/>
  <c r="E111" i="14"/>
  <c r="G111" i="14"/>
  <c r="G113" i="14"/>
  <c r="F113" i="14"/>
  <c r="E16" i="16"/>
  <c r="H31" i="412"/>
  <c r="D16" i="16"/>
  <c r="C28" i="414"/>
  <c r="C36" i="414" s="1"/>
  <c r="K31" i="414"/>
  <c r="L31" i="414"/>
  <c r="F28" i="414"/>
  <c r="K29" i="414"/>
  <c r="L29" i="414"/>
  <c r="K30" i="414"/>
  <c r="L30" i="414"/>
  <c r="F9" i="12"/>
  <c r="F72" i="12"/>
  <c r="E9" i="12"/>
  <c r="E72" i="12"/>
  <c r="F17" i="12"/>
  <c r="D17" i="12"/>
  <c r="Q21" i="412"/>
  <c r="Q11" i="412"/>
  <c r="X11" i="412" s="1"/>
  <c r="D28" i="414"/>
  <c r="P21" i="412"/>
  <c r="P11" i="412"/>
  <c r="W11" i="412" s="1"/>
  <c r="E17" i="12"/>
  <c r="G63" i="13"/>
  <c r="G213" i="13" s="1"/>
  <c r="O21" i="412"/>
  <c r="O11" i="412"/>
  <c r="V11" i="412" s="1"/>
  <c r="R21" i="412"/>
  <c r="R11" i="412"/>
  <c r="Y11" i="412" s="1"/>
  <c r="D72" i="12"/>
  <c r="D9" i="12"/>
  <c r="G17" i="12"/>
  <c r="G64" i="13" s="1"/>
  <c r="G300" i="13" s="1"/>
  <c r="H25" i="412"/>
  <c r="E18" i="404"/>
  <c r="E45" i="404" s="1"/>
  <c r="E68" i="404" s="1"/>
  <c r="P22" i="412"/>
  <c r="E28" i="414"/>
  <c r="H19" i="412"/>
  <c r="O22" i="412"/>
  <c r="F45" i="404"/>
  <c r="D18" i="404"/>
  <c r="K18" i="404" s="1"/>
  <c r="N45" i="404"/>
  <c r="G64" i="404"/>
  <c r="B1" i="316"/>
  <c r="G226" i="13" l="1"/>
  <c r="G305" i="13"/>
  <c r="G116" i="13"/>
  <c r="G112" i="13"/>
  <c r="G149" i="13"/>
  <c r="G99" i="13"/>
  <c r="G309" i="13"/>
  <c r="G235" i="13"/>
  <c r="G267" i="13"/>
  <c r="G251" i="13"/>
  <c r="G287" i="13"/>
  <c r="G283" i="13"/>
  <c r="G239" i="13"/>
  <c r="G275" i="13"/>
  <c r="G231" i="13"/>
  <c r="G243" i="13"/>
  <c r="G291" i="13"/>
  <c r="G247" i="13"/>
  <c r="G271" i="13"/>
  <c r="G259" i="13"/>
  <c r="G279" i="13"/>
  <c r="G263" i="13"/>
  <c r="G255" i="13"/>
  <c r="G202" i="13"/>
  <c r="G189" i="13"/>
  <c r="G185" i="13"/>
  <c r="G177" i="13"/>
  <c r="G181" i="13"/>
  <c r="G169" i="13"/>
  <c r="G173" i="13"/>
  <c r="G161" i="13"/>
  <c r="G165" i="13"/>
  <c r="G157" i="13"/>
  <c r="G153" i="13"/>
  <c r="G141" i="13"/>
  <c r="G145" i="13"/>
  <c r="G137" i="13"/>
  <c r="G129" i="13"/>
  <c r="G133" i="13"/>
  <c r="F62" i="13"/>
  <c r="F76" i="13" s="1"/>
  <c r="D62" i="13"/>
  <c r="D76" i="13" s="1"/>
  <c r="E62" i="13"/>
  <c r="E76" i="13" s="1"/>
  <c r="G62" i="13"/>
  <c r="G76" i="13" s="1"/>
  <c r="F46" i="415"/>
  <c r="F63" i="13"/>
  <c r="F213" i="13" s="1"/>
  <c r="E47" i="415"/>
  <c r="E64" i="13"/>
  <c r="E300" i="13" s="1"/>
  <c r="D47" i="415"/>
  <c r="D64" i="13"/>
  <c r="D300" i="13" s="1"/>
  <c r="E46" i="415"/>
  <c r="E63" i="13"/>
  <c r="E213" i="13" s="1"/>
  <c r="D46" i="415"/>
  <c r="D63" i="13"/>
  <c r="D213" i="13" s="1"/>
  <c r="G208" i="13"/>
  <c r="G88" i="13"/>
  <c r="G94" i="13"/>
  <c r="F47" i="415"/>
  <c r="F64" i="13"/>
  <c r="F300" i="13" s="1"/>
  <c r="G46" i="415"/>
  <c r="J14" i="12"/>
  <c r="E45" i="415"/>
  <c r="E11" i="12"/>
  <c r="G45" i="415"/>
  <c r="G11" i="12"/>
  <c r="J10" i="12"/>
  <c r="G10" i="12"/>
  <c r="G23" i="16"/>
  <c r="D45" i="415"/>
  <c r="D11" i="12"/>
  <c r="F45" i="415"/>
  <c r="F11" i="12"/>
  <c r="G35" i="14"/>
  <c r="G47" i="415"/>
  <c r="J18" i="12"/>
  <c r="M62" i="14"/>
  <c r="L63" i="14"/>
  <c r="N103" i="14"/>
  <c r="M104" i="14"/>
  <c r="M100" i="14"/>
  <c r="L101" i="14"/>
  <c r="M97" i="14"/>
  <c r="L98" i="14"/>
  <c r="M94" i="14"/>
  <c r="L95" i="14"/>
  <c r="M90" i="14"/>
  <c r="M86" i="14"/>
  <c r="L87" i="14"/>
  <c r="M83" i="14"/>
  <c r="L84" i="14"/>
  <c r="N80" i="14"/>
  <c r="M81" i="14"/>
  <c r="M77" i="14"/>
  <c r="L78" i="14"/>
  <c r="M74" i="14"/>
  <c r="L75" i="14"/>
  <c r="N71" i="14"/>
  <c r="M72" i="14"/>
  <c r="M68" i="14"/>
  <c r="L69" i="14"/>
  <c r="G11" i="415"/>
  <c r="G6" i="415"/>
  <c r="H7" i="415" s="1"/>
  <c r="J11" i="415"/>
  <c r="D23" i="415"/>
  <c r="F23" i="415"/>
  <c r="E23" i="415"/>
  <c r="F11" i="415"/>
  <c r="F6" i="415"/>
  <c r="G23" i="415"/>
  <c r="E11" i="415"/>
  <c r="E6" i="415"/>
  <c r="D11" i="415"/>
  <c r="D6" i="415"/>
  <c r="F19" i="415"/>
  <c r="E64" i="404"/>
  <c r="L64" i="404" s="1"/>
  <c r="D15" i="415"/>
  <c r="G19" i="415"/>
  <c r="E19" i="415"/>
  <c r="E15" i="415"/>
  <c r="D19" i="415"/>
  <c r="F15" i="415"/>
  <c r="G15" i="415"/>
  <c r="C39" i="414"/>
  <c r="C67" i="414" s="1"/>
  <c r="C37" i="414"/>
  <c r="E36" i="414"/>
  <c r="D36" i="414"/>
  <c r="F36" i="414"/>
  <c r="G14" i="12"/>
  <c r="G36" i="14"/>
  <c r="G24" i="16"/>
  <c r="F18" i="12"/>
  <c r="F37" i="14"/>
  <c r="F25" i="16"/>
  <c r="E35" i="14"/>
  <c r="E23" i="16"/>
  <c r="E10" i="12"/>
  <c r="E6" i="12"/>
  <c r="E52" i="12" s="1"/>
  <c r="G6" i="12"/>
  <c r="G52" i="12" s="1"/>
  <c r="E24" i="16"/>
  <c r="E36" i="14"/>
  <c r="E14" i="12"/>
  <c r="D24" i="16"/>
  <c r="D36" i="14"/>
  <c r="D14" i="12"/>
  <c r="F14" i="12"/>
  <c r="F36" i="14"/>
  <c r="F24" i="16"/>
  <c r="M45" i="404"/>
  <c r="F68" i="404"/>
  <c r="M68" i="404" s="1"/>
  <c r="E45" i="414" s="1"/>
  <c r="E46" i="414" s="1"/>
  <c r="D10" i="12"/>
  <c r="D23" i="16"/>
  <c r="D6" i="12"/>
  <c r="D52" i="12" s="1"/>
  <c r="D35" i="14"/>
  <c r="L45" i="404"/>
  <c r="L18" i="404"/>
  <c r="G25" i="16"/>
  <c r="G18" i="12"/>
  <c r="G37" i="14"/>
  <c r="E18" i="12"/>
  <c r="E37" i="14"/>
  <c r="E25" i="16"/>
  <c r="D37" i="14"/>
  <c r="D25" i="16"/>
  <c r="D18" i="12"/>
  <c r="F6" i="12"/>
  <c r="F52" i="12" s="1"/>
  <c r="F10" i="12"/>
  <c r="F35" i="14"/>
  <c r="F23" i="16"/>
  <c r="F64" i="404"/>
  <c r="M64" i="404" s="1"/>
  <c r="D45" i="404"/>
  <c r="L68" i="404"/>
  <c r="D45" i="414" s="1"/>
  <c r="D46" i="414" s="1"/>
  <c r="G66" i="404"/>
  <c r="N66" i="404" s="1"/>
  <c r="F43" i="414" s="1"/>
  <c r="F44" i="414" s="1"/>
  <c r="N64" i="404"/>
  <c r="N68" i="404"/>
  <c r="F45" i="414" s="1"/>
  <c r="F46" i="414" s="1"/>
  <c r="E90" i="415" l="1"/>
  <c r="D90" i="415"/>
  <c r="F90" i="415"/>
  <c r="G90" i="415"/>
  <c r="E129" i="415"/>
  <c r="D84" i="415"/>
  <c r="D129" i="415"/>
  <c r="F84" i="415"/>
  <c r="G84" i="415"/>
  <c r="H85" i="415" s="1"/>
  <c r="E84" i="415"/>
  <c r="G129" i="415"/>
  <c r="H130" i="415" s="1"/>
  <c r="F129" i="415"/>
  <c r="E121" i="415"/>
  <c r="E127" i="415"/>
  <c r="D121" i="415"/>
  <c r="D127" i="415"/>
  <c r="G121" i="415"/>
  <c r="G127" i="415"/>
  <c r="F121" i="415"/>
  <c r="F127" i="415"/>
  <c r="E226" i="13"/>
  <c r="E305" i="13"/>
  <c r="F226" i="13"/>
  <c r="F305" i="13"/>
  <c r="D226" i="13"/>
  <c r="D305" i="13"/>
  <c r="E99" i="13"/>
  <c r="E116" i="13"/>
  <c r="E112" i="13"/>
  <c r="D99" i="13"/>
  <c r="D116" i="13"/>
  <c r="D112" i="13"/>
  <c r="F99" i="13"/>
  <c r="F116" i="13"/>
  <c r="F112" i="13"/>
  <c r="F309" i="13"/>
  <c r="F267" i="13"/>
  <c r="F235" i="13"/>
  <c r="F283" i="13"/>
  <c r="F259" i="13"/>
  <c r="F247" i="13"/>
  <c r="F275" i="13"/>
  <c r="F239" i="13"/>
  <c r="F231" i="13"/>
  <c r="F279" i="13"/>
  <c r="F271" i="13"/>
  <c r="F287" i="13"/>
  <c r="F243" i="13"/>
  <c r="F251" i="13"/>
  <c r="F255" i="13"/>
  <c r="F263" i="13"/>
  <c r="F291" i="13"/>
  <c r="F202" i="13"/>
  <c r="D309" i="13"/>
  <c r="D271" i="13"/>
  <c r="D231" i="13"/>
  <c r="D235" i="13"/>
  <c r="D243" i="13"/>
  <c r="D251" i="13"/>
  <c r="D259" i="13"/>
  <c r="D263" i="13"/>
  <c r="D255" i="13"/>
  <c r="D283" i="13"/>
  <c r="D275" i="13"/>
  <c r="D247" i="13"/>
  <c r="D287" i="13"/>
  <c r="D291" i="13"/>
  <c r="D279" i="13"/>
  <c r="D239" i="13"/>
  <c r="D267" i="13"/>
  <c r="D202" i="13"/>
  <c r="E309" i="13"/>
  <c r="E287" i="13"/>
  <c r="E283" i="13"/>
  <c r="E255" i="13"/>
  <c r="E275" i="13"/>
  <c r="E291" i="13"/>
  <c r="E247" i="13"/>
  <c r="E251" i="13"/>
  <c r="E279" i="13"/>
  <c r="E267" i="13"/>
  <c r="E271" i="13"/>
  <c r="E243" i="13"/>
  <c r="E235" i="13"/>
  <c r="E239" i="13"/>
  <c r="E263" i="13"/>
  <c r="E259" i="13"/>
  <c r="E231" i="13"/>
  <c r="E202" i="13"/>
  <c r="E189" i="13"/>
  <c r="D189" i="13"/>
  <c r="F189" i="13"/>
  <c r="D185" i="13"/>
  <c r="F185" i="13"/>
  <c r="E185" i="13"/>
  <c r="D177" i="13"/>
  <c r="D181" i="13"/>
  <c r="F177" i="13"/>
  <c r="F181" i="13"/>
  <c r="E177" i="13"/>
  <c r="E181" i="13"/>
  <c r="E169" i="13"/>
  <c r="E173" i="13"/>
  <c r="D169" i="13"/>
  <c r="D173" i="13"/>
  <c r="F169" i="13"/>
  <c r="F173" i="13"/>
  <c r="E161" i="13"/>
  <c r="E165" i="13"/>
  <c r="D161" i="13"/>
  <c r="D165" i="13"/>
  <c r="F161" i="13"/>
  <c r="F165" i="13"/>
  <c r="D157" i="13"/>
  <c r="F157" i="13"/>
  <c r="E157" i="13"/>
  <c r="D149" i="13"/>
  <c r="D153" i="13"/>
  <c r="F149" i="13"/>
  <c r="F153" i="13"/>
  <c r="E149" i="13"/>
  <c r="E153" i="13"/>
  <c r="D141" i="13"/>
  <c r="D145" i="13"/>
  <c r="F141" i="13"/>
  <c r="F145" i="13"/>
  <c r="E141" i="13"/>
  <c r="E145" i="13"/>
  <c r="D137" i="13"/>
  <c r="F137" i="13"/>
  <c r="E137" i="13"/>
  <c r="D129" i="13"/>
  <c r="D133" i="13"/>
  <c r="F129" i="13"/>
  <c r="F133" i="13"/>
  <c r="E129" i="13"/>
  <c r="E133" i="13"/>
  <c r="K74" i="13"/>
  <c r="K29" i="13" s="1"/>
  <c r="G49" i="12"/>
  <c r="E49" i="12"/>
  <c r="D49" i="12"/>
  <c r="F49" i="12"/>
  <c r="E40" i="12"/>
  <c r="D40" i="12"/>
  <c r="F40" i="12"/>
  <c r="J7" i="12"/>
  <c r="G40" i="12"/>
  <c r="G153" i="12"/>
  <c r="G192" i="12"/>
  <c r="G186" i="12"/>
  <c r="G180" i="12"/>
  <c r="G147" i="12"/>
  <c r="G196" i="12"/>
  <c r="G189" i="12"/>
  <c r="G183" i="12"/>
  <c r="G176" i="12"/>
  <c r="G172" i="12"/>
  <c r="E196" i="12"/>
  <c r="E189" i="12"/>
  <c r="E183" i="12"/>
  <c r="E186" i="12"/>
  <c r="E180" i="12"/>
  <c r="E192" i="12"/>
  <c r="E153" i="12"/>
  <c r="E147" i="12"/>
  <c r="E176" i="12"/>
  <c r="E172" i="12"/>
  <c r="D192" i="12"/>
  <c r="D186" i="12"/>
  <c r="D180" i="12"/>
  <c r="D147" i="12"/>
  <c r="D196" i="12"/>
  <c r="D189" i="12"/>
  <c r="D183" i="12"/>
  <c r="D153" i="12"/>
  <c r="D176" i="12"/>
  <c r="D172" i="12"/>
  <c r="F196" i="12"/>
  <c r="F189" i="12"/>
  <c r="F183" i="12"/>
  <c r="F153" i="12"/>
  <c r="F192" i="12"/>
  <c r="F147" i="12"/>
  <c r="F186" i="12"/>
  <c r="F180" i="12"/>
  <c r="F176" i="12"/>
  <c r="F172" i="12"/>
  <c r="G144" i="12"/>
  <c r="G156" i="12"/>
  <c r="G150" i="12"/>
  <c r="F144" i="12"/>
  <c r="F150" i="12"/>
  <c r="F156" i="12"/>
  <c r="D144" i="12"/>
  <c r="D156" i="12"/>
  <c r="D150" i="12"/>
  <c r="E144" i="12"/>
  <c r="E150" i="12"/>
  <c r="E156" i="12"/>
  <c r="F141" i="12"/>
  <c r="F138" i="12"/>
  <c r="E141" i="12"/>
  <c r="E138" i="12"/>
  <c r="G141" i="12"/>
  <c r="G138" i="12"/>
  <c r="D138" i="12"/>
  <c r="D141" i="12"/>
  <c r="G66" i="415"/>
  <c r="G82" i="415"/>
  <c r="E82" i="415"/>
  <c r="E66" i="415"/>
  <c r="E69" i="415"/>
  <c r="E119" i="415"/>
  <c r="E88" i="13"/>
  <c r="E208" i="13"/>
  <c r="E94" i="13"/>
  <c r="D88" i="13"/>
  <c r="D208" i="13"/>
  <c r="D94" i="13"/>
  <c r="F88" i="13"/>
  <c r="F208" i="13"/>
  <c r="F94" i="13"/>
  <c r="G119" i="415"/>
  <c r="G69" i="415"/>
  <c r="F119" i="415"/>
  <c r="F69" i="415"/>
  <c r="D66" i="415"/>
  <c r="D82" i="415"/>
  <c r="D119" i="415"/>
  <c r="D69" i="415"/>
  <c r="F66" i="415"/>
  <c r="F82" i="415"/>
  <c r="F135" i="12"/>
  <c r="F128" i="12"/>
  <c r="F122" i="12"/>
  <c r="F131" i="12"/>
  <c r="F125" i="12"/>
  <c r="F119" i="12"/>
  <c r="F111" i="12"/>
  <c r="D131" i="12"/>
  <c r="D125" i="12"/>
  <c r="D119" i="12"/>
  <c r="D135" i="12"/>
  <c r="D128" i="12"/>
  <c r="D122" i="12"/>
  <c r="D111" i="12"/>
  <c r="E131" i="12"/>
  <c r="E125" i="12"/>
  <c r="E119" i="12"/>
  <c r="E135" i="12"/>
  <c r="E128" i="12"/>
  <c r="E122" i="12"/>
  <c r="E111" i="12"/>
  <c r="G135" i="12"/>
  <c r="G128" i="12"/>
  <c r="G122" i="12"/>
  <c r="G131" i="12"/>
  <c r="G125" i="12"/>
  <c r="G119" i="12"/>
  <c r="G111" i="12"/>
  <c r="G44" i="415"/>
  <c r="G7" i="12"/>
  <c r="F44" i="415"/>
  <c r="F7" i="12"/>
  <c r="E44" i="415"/>
  <c r="E7" i="12"/>
  <c r="D44" i="415"/>
  <c r="D7" i="12"/>
  <c r="F66" i="404"/>
  <c r="M66" i="404" s="1"/>
  <c r="E43" i="414" s="1"/>
  <c r="E44" i="414" s="1"/>
  <c r="N62" i="14"/>
  <c r="M63" i="14"/>
  <c r="O103" i="14"/>
  <c r="N104" i="14"/>
  <c r="N100" i="14"/>
  <c r="M101" i="14"/>
  <c r="N97" i="14"/>
  <c r="M98" i="14"/>
  <c r="N94" i="14"/>
  <c r="M95" i="14"/>
  <c r="N90" i="14"/>
  <c r="N86" i="14"/>
  <c r="M87" i="14"/>
  <c r="N83" i="14"/>
  <c r="M84" i="14"/>
  <c r="O80" i="14"/>
  <c r="N81" i="14"/>
  <c r="N77" i="14"/>
  <c r="M78" i="14"/>
  <c r="N74" i="14"/>
  <c r="M75" i="14"/>
  <c r="O71" i="14"/>
  <c r="N72" i="14"/>
  <c r="N68" i="14"/>
  <c r="M69" i="14"/>
  <c r="E66" i="404"/>
  <c r="L66" i="404" s="1"/>
  <c r="D43" i="414" s="1"/>
  <c r="D44" i="414" s="1"/>
  <c r="G15" i="12"/>
  <c r="G73" i="12"/>
  <c r="G19" i="12"/>
  <c r="D7" i="415"/>
  <c r="G7" i="415"/>
  <c r="F7" i="415"/>
  <c r="C42" i="414"/>
  <c r="C40" i="414"/>
  <c r="E37" i="414"/>
  <c r="E39" i="414"/>
  <c r="E67" i="414" s="1"/>
  <c r="N28" i="414"/>
  <c r="F39" i="414"/>
  <c r="F67" i="414" s="1"/>
  <c r="F37" i="414"/>
  <c r="O28" i="414"/>
  <c r="D37" i="414"/>
  <c r="D39" i="414"/>
  <c r="D67" i="414" s="1"/>
  <c r="D15" i="12"/>
  <c r="D19" i="12"/>
  <c r="D73" i="12"/>
  <c r="E15" i="12"/>
  <c r="E73" i="12"/>
  <c r="D64" i="404"/>
  <c r="D66" i="404" s="1"/>
  <c r="K66" i="404" s="1"/>
  <c r="C43" i="414" s="1"/>
  <c r="C44" i="414" s="1"/>
  <c r="D68" i="404"/>
  <c r="K68" i="404" s="1"/>
  <c r="C45" i="414" s="1"/>
  <c r="C46" i="414" s="1"/>
  <c r="F73" i="12"/>
  <c r="E19" i="12"/>
  <c r="F15" i="12"/>
  <c r="F19" i="12"/>
  <c r="K45" i="404"/>
  <c r="C61" i="13"/>
  <c r="D61" i="13"/>
  <c r="E61" i="13"/>
  <c r="F61" i="13"/>
  <c r="G61" i="13"/>
  <c r="H61" i="13"/>
  <c r="J61" i="13"/>
  <c r="K61" i="13"/>
  <c r="C61" i="395"/>
  <c r="C60" i="395"/>
  <c r="C59" i="395"/>
  <c r="C57" i="395"/>
  <c r="C56" i="395"/>
  <c r="C53" i="395"/>
  <c r="E70" i="402"/>
  <c r="E67" i="402"/>
  <c r="J122" i="415" l="1"/>
  <c r="H122" i="415"/>
  <c r="D160" i="415"/>
  <c r="D168" i="415"/>
  <c r="D166" i="415"/>
  <c r="F168" i="415"/>
  <c r="F160" i="415"/>
  <c r="F166" i="415"/>
  <c r="E160" i="415"/>
  <c r="E168" i="415"/>
  <c r="E166" i="415"/>
  <c r="G160" i="415"/>
  <c r="G168" i="415"/>
  <c r="G166" i="415"/>
  <c r="F122" i="415"/>
  <c r="E122" i="415"/>
  <c r="G122" i="415"/>
  <c r="F85" i="415"/>
  <c r="K30" i="13"/>
  <c r="G85" i="415"/>
  <c r="J85" i="415"/>
  <c r="E85" i="415"/>
  <c r="D158" i="415"/>
  <c r="D32" i="415"/>
  <c r="F158" i="415"/>
  <c r="F32" i="415"/>
  <c r="E158" i="415"/>
  <c r="E32" i="415"/>
  <c r="G158" i="415"/>
  <c r="G32" i="415"/>
  <c r="G20" i="415"/>
  <c r="E154" i="415"/>
  <c r="D63" i="415"/>
  <c r="G115" i="415"/>
  <c r="D20" i="415"/>
  <c r="F28" i="415"/>
  <c r="F12" i="415"/>
  <c r="F115" i="415"/>
  <c r="F8" i="415"/>
  <c r="F78" i="415"/>
  <c r="F16" i="415"/>
  <c r="F20" i="415"/>
  <c r="D154" i="415"/>
  <c r="F63" i="415"/>
  <c r="D115" i="415"/>
  <c r="E8" i="415"/>
  <c r="E16" i="415"/>
  <c r="F59" i="415"/>
  <c r="D16" i="415"/>
  <c r="D12" i="415"/>
  <c r="D78" i="415"/>
  <c r="D51" i="415" s="1"/>
  <c r="D24" i="415"/>
  <c r="F154" i="415"/>
  <c r="E24" i="415"/>
  <c r="E20" i="415"/>
  <c r="G12" i="415"/>
  <c r="E59" i="415"/>
  <c r="G78" i="415"/>
  <c r="G51" i="415" s="1"/>
  <c r="E28" i="415"/>
  <c r="E12" i="415"/>
  <c r="G16" i="415"/>
  <c r="E63" i="415"/>
  <c r="G59" i="415"/>
  <c r="G8" i="415"/>
  <c r="D8" i="415"/>
  <c r="G24" i="415"/>
  <c r="F24" i="415"/>
  <c r="D59" i="415"/>
  <c r="E78" i="415"/>
  <c r="G154" i="415"/>
  <c r="G63" i="415"/>
  <c r="E115" i="415"/>
  <c r="D28" i="415"/>
  <c r="G28" i="415"/>
  <c r="N63" i="14"/>
  <c r="O62" i="14"/>
  <c r="O104" i="14"/>
  <c r="O100" i="14"/>
  <c r="N101" i="14"/>
  <c r="O97" i="14"/>
  <c r="N98" i="14"/>
  <c r="O94" i="14"/>
  <c r="N95" i="14"/>
  <c r="O90" i="14"/>
  <c r="O86" i="14"/>
  <c r="N87" i="14"/>
  <c r="O83" i="14"/>
  <c r="N84" i="14"/>
  <c r="O81" i="14"/>
  <c r="O77" i="14"/>
  <c r="N78" i="14"/>
  <c r="O74" i="14"/>
  <c r="N75" i="14"/>
  <c r="O72" i="14"/>
  <c r="O68" i="14"/>
  <c r="N69" i="14"/>
  <c r="K64" i="404"/>
  <c r="E42" i="414"/>
  <c r="E40" i="414"/>
  <c r="D42" i="414"/>
  <c r="D40" i="414"/>
  <c r="F42" i="414"/>
  <c r="F40" i="414"/>
  <c r="C1" i="6"/>
  <c r="E161" i="415" l="1"/>
  <c r="J161" i="415"/>
  <c r="G161" i="415"/>
  <c r="H161" i="415"/>
  <c r="F161" i="415"/>
  <c r="E169" i="415"/>
  <c r="F169" i="415"/>
  <c r="G169" i="415"/>
  <c r="J169" i="415"/>
  <c r="L202" i="13"/>
  <c r="M202" i="13" s="1"/>
  <c r="N202" i="13" s="1"/>
  <c r="O202" i="13" s="1"/>
  <c r="K200" i="13"/>
  <c r="L76" i="13"/>
  <c r="O63" i="14"/>
  <c r="O101" i="14"/>
  <c r="O98" i="14"/>
  <c r="O95" i="14"/>
  <c r="O87" i="14"/>
  <c r="O84" i="14"/>
  <c r="O78" i="14"/>
  <c r="O75" i="14"/>
  <c r="O69" i="14"/>
  <c r="G19" i="379"/>
  <c r="F19" i="379"/>
  <c r="J16" i="379"/>
  <c r="I18" i="379"/>
  <c r="E19" i="379"/>
  <c r="K17" i="379"/>
  <c r="G6" i="395"/>
  <c r="G7" i="395"/>
  <c r="G8" i="395"/>
  <c r="G9" i="395"/>
  <c r="G10" i="395"/>
  <c r="G11" i="395"/>
  <c r="G12" i="395"/>
  <c r="G13" i="395"/>
  <c r="G14" i="395"/>
  <c r="G15" i="395"/>
  <c r="G16" i="395"/>
  <c r="G17" i="395"/>
  <c r="G18" i="395"/>
  <c r="G19" i="395"/>
  <c r="G20" i="395"/>
  <c r="G21" i="395"/>
  <c r="G22" i="395"/>
  <c r="G23" i="395"/>
  <c r="G24" i="395"/>
  <c r="G25" i="395"/>
  <c r="G26" i="395"/>
  <c r="G27" i="395"/>
  <c r="G28" i="395"/>
  <c r="G29" i="395"/>
  <c r="G30" i="395"/>
  <c r="D6" i="395"/>
  <c r="D7" i="395"/>
  <c r="D8" i="395"/>
  <c r="D9" i="395"/>
  <c r="D10" i="395"/>
  <c r="D11" i="395"/>
  <c r="D12" i="395"/>
  <c r="D13" i="395"/>
  <c r="D14" i="395"/>
  <c r="D15" i="395"/>
  <c r="D16" i="395"/>
  <c r="D17" i="395"/>
  <c r="D18" i="395"/>
  <c r="D19" i="395"/>
  <c r="D20" i="395"/>
  <c r="D21" i="395"/>
  <c r="D22" i="395"/>
  <c r="D23" i="395"/>
  <c r="D24" i="395"/>
  <c r="D25" i="395"/>
  <c r="D26" i="395"/>
  <c r="D27" i="395"/>
  <c r="D28" i="395"/>
  <c r="D29" i="395"/>
  <c r="D30" i="395"/>
  <c r="B6" i="395"/>
  <c r="B7" i="395"/>
  <c r="B8" i="395"/>
  <c r="B9" i="395"/>
  <c r="B10" i="395"/>
  <c r="B11" i="395"/>
  <c r="B12" i="395"/>
  <c r="B13" i="395"/>
  <c r="B14" i="395"/>
  <c r="B15" i="395"/>
  <c r="B16" i="395"/>
  <c r="B17" i="395"/>
  <c r="B18" i="395"/>
  <c r="B19" i="395"/>
  <c r="B20" i="395"/>
  <c r="B21" i="395"/>
  <c r="B22" i="395"/>
  <c r="B23" i="395"/>
  <c r="B24" i="395"/>
  <c r="B25" i="395"/>
  <c r="B26" i="395"/>
  <c r="B27" i="395"/>
  <c r="B28" i="395"/>
  <c r="B29" i="395"/>
  <c r="B30" i="395"/>
  <c r="S3" i="395"/>
  <c r="O1" i="395"/>
  <c r="K75" i="13" l="1"/>
  <c r="K9" i="13"/>
  <c r="K27" i="16" s="1"/>
  <c r="M76" i="13"/>
  <c r="F16" i="379"/>
  <c r="K16" i="379"/>
  <c r="I16" i="379"/>
  <c r="I34" i="379"/>
  <c r="K34" i="379"/>
  <c r="G17" i="379"/>
  <c r="I19" i="379"/>
  <c r="G16" i="379"/>
  <c r="E18" i="379"/>
  <c r="J19" i="379"/>
  <c r="E17" i="379"/>
  <c r="I17" i="379"/>
  <c r="F18" i="379"/>
  <c r="J18" i="379"/>
  <c r="K19" i="379"/>
  <c r="E16" i="379"/>
  <c r="F17" i="379"/>
  <c r="J17" i="379"/>
  <c r="G18" i="379"/>
  <c r="K18" i="379"/>
  <c r="K10" i="13" l="1"/>
  <c r="N76" i="13"/>
  <c r="K35" i="379"/>
  <c r="K33" i="379"/>
  <c r="I35" i="379"/>
  <c r="I33" i="379"/>
  <c r="K36" i="379"/>
  <c r="I36" i="379"/>
  <c r="J35" i="379"/>
  <c r="J34" i="379"/>
  <c r="J36" i="379"/>
  <c r="J33" i="379"/>
  <c r="O76" i="13" l="1"/>
  <c r="Q29" i="391"/>
  <c r="Q33" i="391" l="1"/>
  <c r="O33" i="391"/>
  <c r="K30" i="235" l="1"/>
  <c r="L30" i="235" l="1"/>
  <c r="M30" i="235" s="1"/>
  <c r="J30" i="235"/>
  <c r="I30" i="235" s="1"/>
  <c r="B47" i="395" l="1"/>
  <c r="M102" i="383"/>
  <c r="G101" i="383" s="1"/>
  <c r="F14" i="395"/>
  <c r="F19" i="395"/>
  <c r="F13" i="395"/>
  <c r="F12" i="395"/>
  <c r="F10" i="395"/>
  <c r="F17" i="395"/>
  <c r="F16" i="395"/>
  <c r="F15" i="395"/>
  <c r="F30" i="395"/>
  <c r="F18" i="395"/>
  <c r="F23" i="395"/>
  <c r="F22" i="395"/>
  <c r="F21" i="395"/>
  <c r="F20" i="395"/>
  <c r="F7" i="395"/>
  <c r="F6" i="395"/>
  <c r="F29" i="395"/>
  <c r="F11" i="395"/>
  <c r="F28" i="395"/>
  <c r="F27" i="395"/>
  <c r="F26" i="395"/>
  <c r="F9" i="395"/>
  <c r="F25" i="395"/>
  <c r="F24" i="395"/>
  <c r="F8" i="395"/>
  <c r="M30" i="395"/>
  <c r="M29" i="395"/>
  <c r="M28" i="395"/>
  <c r="M26" i="395"/>
  <c r="M25" i="395"/>
  <c r="M24" i="395"/>
  <c r="M14" i="395"/>
  <c r="M19" i="395"/>
  <c r="M13" i="395"/>
  <c r="M18" i="395"/>
  <c r="M11" i="395"/>
  <c r="M12" i="395"/>
  <c r="M27" i="395"/>
  <c r="M10" i="395"/>
  <c r="M9" i="395"/>
  <c r="M17" i="395"/>
  <c r="M16" i="395"/>
  <c r="M15" i="395"/>
  <c r="M8" i="395"/>
  <c r="Q1" i="383"/>
  <c r="I14" i="395"/>
  <c r="I19" i="395"/>
  <c r="I13" i="395"/>
  <c r="I12" i="395"/>
  <c r="I10" i="395"/>
  <c r="I17" i="395"/>
  <c r="I16" i="395"/>
  <c r="I15" i="395"/>
  <c r="I30" i="395"/>
  <c r="I18" i="395"/>
  <c r="I23" i="395"/>
  <c r="I22" i="395"/>
  <c r="I21" i="395"/>
  <c r="I20" i="395"/>
  <c r="I7" i="395"/>
  <c r="I6" i="395"/>
  <c r="I29" i="395"/>
  <c r="I11" i="395"/>
  <c r="I28" i="395"/>
  <c r="I27" i="395"/>
  <c r="I26" i="395"/>
  <c r="I9" i="395"/>
  <c r="I25" i="395"/>
  <c r="I24" i="395"/>
  <c r="I8" i="395"/>
  <c r="G169" i="383"/>
  <c r="G72" i="383"/>
  <c r="C58" i="395"/>
  <c r="C55" i="395"/>
  <c r="C54" i="395"/>
  <c r="Y47" i="383"/>
  <c r="M23" i="395"/>
  <c r="M22" i="395"/>
  <c r="M21" i="395"/>
  <c r="M20" i="395"/>
  <c r="M7" i="395"/>
  <c r="M6" i="395"/>
  <c r="U3" i="383"/>
  <c r="E47" i="383" s="1"/>
  <c r="D47" i="395" s="1"/>
  <c r="F35" i="395" l="1"/>
  <c r="F34" i="395"/>
  <c r="F32" i="395"/>
  <c r="F33" i="395"/>
  <c r="G32" i="383"/>
  <c r="G33" i="383"/>
  <c r="G35" i="383"/>
  <c r="G34" i="383"/>
  <c r="B159" i="383"/>
  <c r="G47" i="383"/>
  <c r="O47" i="383" s="1"/>
  <c r="G174" i="383"/>
  <c r="K12" i="395" l="1"/>
  <c r="H12" i="395"/>
  <c r="J17" i="395"/>
  <c r="H17" i="395"/>
  <c r="N16" i="395"/>
  <c r="H16" i="395"/>
  <c r="J19" i="395"/>
  <c r="H19" i="395"/>
  <c r="J28" i="395"/>
  <c r="H28" i="395"/>
  <c r="K14" i="395"/>
  <c r="H14" i="395"/>
  <c r="K29" i="395"/>
  <c r="H29" i="395"/>
  <c r="M9" i="383"/>
  <c r="K9" i="395" s="1"/>
  <c r="H9" i="395"/>
  <c r="K15" i="395"/>
  <c r="H15" i="395"/>
  <c r="J24" i="395"/>
  <c r="H24" i="395"/>
  <c r="N18" i="395"/>
  <c r="H18" i="395"/>
  <c r="K8" i="383"/>
  <c r="H8" i="395"/>
  <c r="K7" i="383"/>
  <c r="H7" i="395"/>
  <c r="J30" i="395"/>
  <c r="H30" i="395"/>
  <c r="K23" i="395"/>
  <c r="H23" i="395"/>
  <c r="K10" i="383"/>
  <c r="H10" i="395"/>
  <c r="K22" i="395"/>
  <c r="H22" i="395"/>
  <c r="K6" i="383"/>
  <c r="J6" i="395" s="1"/>
  <c r="H6" i="395"/>
  <c r="J20" i="395"/>
  <c r="H20" i="395"/>
  <c r="N26" i="395"/>
  <c r="H26" i="395"/>
  <c r="K21" i="395"/>
  <c r="H21" i="395"/>
  <c r="K27" i="395"/>
  <c r="H27" i="395"/>
  <c r="K11" i="383"/>
  <c r="H11" i="395"/>
  <c r="K13" i="395"/>
  <c r="H13" i="395"/>
  <c r="K25" i="395"/>
  <c r="H25" i="395"/>
  <c r="N19" i="395"/>
  <c r="N28" i="395"/>
  <c r="M47" i="395"/>
  <c r="F47" i="395"/>
  <c r="K19" i="395"/>
  <c r="K30" i="395"/>
  <c r="M7" i="383"/>
  <c r="K7" i="395" s="1"/>
  <c r="K28" i="395"/>
  <c r="M11" i="383"/>
  <c r="K11" i="395" s="1"/>
  <c r="K16" i="395"/>
  <c r="M8" i="383"/>
  <c r="K8" i="395" s="1"/>
  <c r="K18" i="395"/>
  <c r="K9" i="383"/>
  <c r="K20" i="395"/>
  <c r="K17" i="395"/>
  <c r="M6" i="383"/>
  <c r="K6" i="395" s="1"/>
  <c r="K24" i="395"/>
  <c r="K26" i="395"/>
  <c r="M10" i="383"/>
  <c r="K10" i="395" s="1"/>
  <c r="N24" i="395" l="1"/>
  <c r="N17" i="395"/>
  <c r="N30" i="395"/>
  <c r="J16" i="395"/>
  <c r="J18" i="395"/>
  <c r="N20" i="395"/>
  <c r="J26" i="395"/>
  <c r="P6" i="383"/>
  <c r="N6" i="395" s="1"/>
  <c r="N13" i="395"/>
  <c r="J13" i="395"/>
  <c r="P10" i="383"/>
  <c r="N10" i="395" s="1"/>
  <c r="J10" i="395"/>
  <c r="P8" i="383"/>
  <c r="N8" i="395" s="1"/>
  <c r="J8" i="395"/>
  <c r="N12" i="395"/>
  <c r="J12" i="395"/>
  <c r="K34" i="395"/>
  <c r="K37" i="395" s="1"/>
  <c r="K33" i="395"/>
  <c r="K32" i="395"/>
  <c r="K35" i="395"/>
  <c r="N14" i="395"/>
  <c r="J14" i="395"/>
  <c r="P9" i="383"/>
  <c r="N9" i="395" s="1"/>
  <c r="J9" i="395"/>
  <c r="P11" i="383"/>
  <c r="N11" i="395" s="1"/>
  <c r="J11" i="395"/>
  <c r="P7" i="383"/>
  <c r="N7" i="395" s="1"/>
  <c r="J7" i="395"/>
  <c r="N29" i="395"/>
  <c r="J29" i="395"/>
  <c r="N23" i="395"/>
  <c r="J23" i="395"/>
  <c r="N15" i="395"/>
  <c r="J15" i="395"/>
  <c r="N27" i="395"/>
  <c r="J27" i="395"/>
  <c r="N22" i="395"/>
  <c r="J22" i="395"/>
  <c r="N25" i="395"/>
  <c r="J25" i="395"/>
  <c r="N21" i="395"/>
  <c r="J21" i="395"/>
  <c r="M32" i="383"/>
  <c r="M33" i="383"/>
  <c r="M35" i="383"/>
  <c r="M34" i="383"/>
  <c r="K33" i="383"/>
  <c r="K34" i="383"/>
  <c r="K35" i="383"/>
  <c r="K32" i="383"/>
  <c r="N34" i="395" l="1"/>
  <c r="N37" i="395" s="1"/>
  <c r="J32" i="395"/>
  <c r="N33" i="395"/>
  <c r="N35" i="395"/>
  <c r="P34" i="383"/>
  <c r="J35" i="395"/>
  <c r="P33" i="383"/>
  <c r="P37" i="383" s="1"/>
  <c r="N32" i="395"/>
  <c r="J34" i="395"/>
  <c r="P35" i="383"/>
  <c r="J33" i="395"/>
  <c r="P32" i="383"/>
  <c r="H18" i="379"/>
  <c r="H17" i="379"/>
  <c r="H19" i="379"/>
  <c r="H16" i="379"/>
  <c r="M37" i="383"/>
  <c r="M47" i="383" s="1"/>
  <c r="Q47" i="383" l="1"/>
  <c r="O47" i="395" s="1"/>
  <c r="K47" i="395"/>
  <c r="M48" i="383"/>
  <c r="O16" i="395" l="1"/>
  <c r="K48" i="395"/>
  <c r="O26" i="395"/>
  <c r="O30" i="395"/>
  <c r="Q9" i="383"/>
  <c r="O9" i="395" s="1"/>
  <c r="O20" i="395"/>
  <c r="Q37" i="383"/>
  <c r="E42" i="383" s="1"/>
  <c r="F42" i="395" s="1"/>
  <c r="O13" i="395"/>
  <c r="O12" i="395"/>
  <c r="O24" i="395"/>
  <c r="O14" i="395"/>
  <c r="O29" i="395"/>
  <c r="Q11" i="383"/>
  <c r="O11" i="395" s="1"/>
  <c r="Q8" i="383"/>
  <c r="O8" i="395" s="1"/>
  <c r="O23" i="395"/>
  <c r="O25" i="395"/>
  <c r="O17" i="395"/>
  <c r="Q6" i="383"/>
  <c r="O6" i="395" s="1"/>
  <c r="Q10" i="383"/>
  <c r="O10" i="395" s="1"/>
  <c r="O21" i="395"/>
  <c r="Q7" i="383"/>
  <c r="O7" i="395" s="1"/>
  <c r="O15" i="395"/>
  <c r="O22" i="395"/>
  <c r="O28" i="395"/>
  <c r="O19" i="395"/>
  <c r="O27" i="395"/>
  <c r="O18" i="395"/>
  <c r="O37" i="395" l="1"/>
  <c r="Q35" i="383"/>
  <c r="Q34" i="383"/>
  <c r="Q33" i="383"/>
  <c r="Q32" i="383"/>
  <c r="O34" i="395" l="1"/>
  <c r="O35" i="395"/>
  <c r="O32" i="395"/>
  <c r="O33" i="395"/>
  <c r="B50" i="15" l="1"/>
  <c r="B18" i="15"/>
  <c r="E10" i="14" l="1"/>
  <c r="E11" i="14" s="1"/>
  <c r="E15" i="14" l="1"/>
  <c r="E22" i="14" l="1"/>
  <c r="E23" i="14" l="1"/>
  <c r="F10" i="14"/>
  <c r="F22" i="14" l="1"/>
  <c r="H22" i="14" l="1"/>
  <c r="H10" i="14"/>
  <c r="E32" i="235" l="1"/>
  <c r="G22" i="14" l="1"/>
  <c r="G10" i="14"/>
  <c r="V12" i="308" l="1"/>
  <c r="V8" i="308"/>
  <c r="U8" i="308"/>
  <c r="U11" i="308" l="1"/>
  <c r="U9" i="308"/>
  <c r="U18" i="308"/>
  <c r="U10" i="308"/>
  <c r="U20" i="308" s="1"/>
  <c r="U12" i="308"/>
  <c r="U22" i="308" s="1"/>
  <c r="U13" i="308"/>
  <c r="U23" i="308" s="1"/>
  <c r="U21" i="308"/>
  <c r="U19" i="308"/>
  <c r="V10" i="308"/>
  <c r="V21" i="308"/>
  <c r="V23" i="308"/>
  <c r="V19" i="308"/>
  <c r="V22" i="308"/>
  <c r="G42" i="383" s="1"/>
  <c r="J42" i="395" s="1"/>
  <c r="V20" i="308"/>
  <c r="V18" i="308"/>
  <c r="V13" i="308"/>
  <c r="V11" i="308"/>
  <c r="V9" i="308"/>
  <c r="B42" i="383" s="1"/>
  <c r="B42" i="395" s="1"/>
  <c r="Q42" i="383" l="1"/>
  <c r="O48" i="383" l="1"/>
  <c r="O42" i="395"/>
  <c r="C25" i="9"/>
  <c r="D25" i="9"/>
  <c r="H25" i="9"/>
  <c r="Q48" i="383" l="1"/>
  <c r="M48" i="395"/>
  <c r="Q50" i="383" l="1"/>
  <c r="O48" i="395"/>
  <c r="O50" i="395" l="1"/>
  <c r="Q28" i="391"/>
  <c r="C34" i="14" l="1"/>
  <c r="D34" i="14"/>
  <c r="E22" i="16"/>
  <c r="G34" i="14"/>
  <c r="G61" i="14" l="1"/>
  <c r="G64" i="14"/>
  <c r="D61" i="14"/>
  <c r="D64" i="14"/>
  <c r="C61" i="14"/>
  <c r="C64" i="14"/>
  <c r="C102" i="14"/>
  <c r="C105" i="14"/>
  <c r="G102" i="14"/>
  <c r="G105" i="14"/>
  <c r="D102" i="14"/>
  <c r="D105" i="14"/>
  <c r="D96" i="14"/>
  <c r="D99" i="14"/>
  <c r="G96" i="14"/>
  <c r="G99" i="14"/>
  <c r="C96" i="14"/>
  <c r="C99" i="14"/>
  <c r="D88" i="14"/>
  <c r="D91" i="14"/>
  <c r="G88" i="14"/>
  <c r="G91" i="14"/>
  <c r="C88" i="14"/>
  <c r="C91" i="14"/>
  <c r="D82" i="14"/>
  <c r="D85" i="14"/>
  <c r="G82" i="14"/>
  <c r="G85" i="14"/>
  <c r="C82" i="14"/>
  <c r="C85" i="14"/>
  <c r="C76" i="14"/>
  <c r="C79" i="14"/>
  <c r="G76" i="14"/>
  <c r="G79" i="14"/>
  <c r="D76" i="14"/>
  <c r="D79" i="14"/>
  <c r="D70" i="14"/>
  <c r="D73" i="14"/>
  <c r="G70" i="14"/>
  <c r="G73" i="14"/>
  <c r="C70" i="14"/>
  <c r="C73" i="14"/>
  <c r="G47" i="14"/>
  <c r="G112" i="14"/>
  <c r="E12" i="16"/>
  <c r="E8" i="16"/>
  <c r="C12" i="14"/>
  <c r="C24" i="14"/>
  <c r="C16" i="14"/>
  <c r="D47" i="14"/>
  <c r="D16" i="14"/>
  <c r="D12" i="14"/>
  <c r="D24" i="14"/>
  <c r="C112" i="14"/>
  <c r="C47" i="14"/>
  <c r="D112" i="14"/>
  <c r="G49" i="14"/>
  <c r="G44" i="14"/>
  <c r="D49" i="14"/>
  <c r="D44" i="14"/>
  <c r="C49" i="14"/>
  <c r="C44" i="14"/>
  <c r="F15" i="15"/>
  <c r="E15" i="15"/>
  <c r="F34" i="14"/>
  <c r="E34" i="14"/>
  <c r="D22" i="16"/>
  <c r="D15" i="15"/>
  <c r="G22" i="16"/>
  <c r="C22" i="16"/>
  <c r="C12" i="16" s="1"/>
  <c r="G15" i="15"/>
  <c r="C15" i="15"/>
  <c r="F22" i="16"/>
  <c r="H34" i="14"/>
  <c r="H15" i="15"/>
  <c r="H153" i="15" s="1"/>
  <c r="H22" i="16"/>
  <c r="F64" i="14" l="1"/>
  <c r="H61" i="14"/>
  <c r="H64" i="14"/>
  <c r="E61" i="14"/>
  <c r="E64" i="14"/>
  <c r="F105" i="14"/>
  <c r="F61" i="14"/>
  <c r="H102" i="14"/>
  <c r="H105" i="14"/>
  <c r="E102" i="14"/>
  <c r="E105" i="14"/>
  <c r="F99" i="14"/>
  <c r="F102" i="14"/>
  <c r="H96" i="14"/>
  <c r="H99" i="14"/>
  <c r="E96" i="14"/>
  <c r="E99" i="14"/>
  <c r="F91" i="14"/>
  <c r="F96" i="14"/>
  <c r="H88" i="14"/>
  <c r="H91" i="14"/>
  <c r="E88" i="14"/>
  <c r="E91" i="14"/>
  <c r="F85" i="14"/>
  <c r="F88" i="14"/>
  <c r="H82" i="14"/>
  <c r="H85" i="14"/>
  <c r="E82" i="14"/>
  <c r="E85" i="14"/>
  <c r="F79" i="14"/>
  <c r="F82" i="14"/>
  <c r="H76" i="14"/>
  <c r="H79" i="14"/>
  <c r="E76" i="14"/>
  <c r="E79" i="14"/>
  <c r="F73" i="14"/>
  <c r="F76" i="14"/>
  <c r="D18" i="14"/>
  <c r="D20" i="14" s="1"/>
  <c r="H70" i="14"/>
  <c r="H73" i="14"/>
  <c r="E70" i="14"/>
  <c r="E73" i="14"/>
  <c r="F47" i="14"/>
  <c r="F70" i="14"/>
  <c r="H47" i="14"/>
  <c r="H49" i="14"/>
  <c r="H44" i="14"/>
  <c r="H112" i="14"/>
  <c r="H8" i="16"/>
  <c r="H133" i="15"/>
  <c r="H46" i="15"/>
  <c r="H36" i="15"/>
  <c r="H32" i="15"/>
  <c r="H26" i="15"/>
  <c r="H30" i="15"/>
  <c r="H34" i="15"/>
  <c r="H24" i="15"/>
  <c r="H38" i="15"/>
  <c r="H28" i="15"/>
  <c r="H52" i="15"/>
  <c r="H22" i="15"/>
  <c r="F12" i="16"/>
  <c r="F8" i="16"/>
  <c r="G8" i="16"/>
  <c r="D12" i="16"/>
  <c r="D8" i="16"/>
  <c r="E47" i="14"/>
  <c r="E16" i="14"/>
  <c r="F52" i="15"/>
  <c r="F20" i="15"/>
  <c r="C52" i="15"/>
  <c r="C20" i="15"/>
  <c r="D52" i="15"/>
  <c r="D20" i="15"/>
  <c r="E52" i="15"/>
  <c r="E20" i="15"/>
  <c r="G52" i="15"/>
  <c r="G20" i="15"/>
  <c r="F112" i="14"/>
  <c r="E112" i="14"/>
  <c r="C46" i="15"/>
  <c r="C38" i="15"/>
  <c r="C44" i="15"/>
  <c r="C30" i="15"/>
  <c r="C26" i="15"/>
  <c r="C32" i="15"/>
  <c r="C28" i="15"/>
  <c r="C34" i="15"/>
  <c r="C36" i="15"/>
  <c r="C22" i="15"/>
  <c r="C24" i="15"/>
  <c r="C42" i="15"/>
  <c r="C40" i="15"/>
  <c r="D46" i="15"/>
  <c r="D38" i="15"/>
  <c r="D30" i="15"/>
  <c r="D32" i="15"/>
  <c r="D28" i="15"/>
  <c r="D26" i="15"/>
  <c r="D34" i="15"/>
  <c r="D24" i="15"/>
  <c r="D36" i="15"/>
  <c r="D44" i="15"/>
  <c r="D42" i="15"/>
  <c r="D22" i="15"/>
  <c r="D40" i="15"/>
  <c r="E28" i="15"/>
  <c r="E26" i="15"/>
  <c r="E42" i="15"/>
  <c r="E44" i="15"/>
  <c r="E46" i="15"/>
  <c r="E38" i="15"/>
  <c r="E36" i="15"/>
  <c r="E32" i="15"/>
  <c r="E34" i="15"/>
  <c r="E30" i="15"/>
  <c r="E24" i="15"/>
  <c r="E40" i="15"/>
  <c r="E22" i="15"/>
  <c r="G42" i="15"/>
  <c r="G38" i="15"/>
  <c r="G30" i="15"/>
  <c r="G26" i="15"/>
  <c r="G24" i="15"/>
  <c r="G32" i="15"/>
  <c r="G36" i="15"/>
  <c r="G28" i="15"/>
  <c r="G44" i="15"/>
  <c r="G34" i="15"/>
  <c r="G46" i="15"/>
  <c r="G22" i="15"/>
  <c r="G40" i="15"/>
  <c r="F42" i="15"/>
  <c r="F34" i="15"/>
  <c r="F38" i="15"/>
  <c r="F32" i="15"/>
  <c r="F24" i="15"/>
  <c r="F36" i="15"/>
  <c r="F28" i="15"/>
  <c r="F26" i="15"/>
  <c r="F30" i="15"/>
  <c r="F46" i="15"/>
  <c r="F44" i="15"/>
  <c r="F22" i="15"/>
  <c r="F40" i="15"/>
  <c r="E49" i="14"/>
  <c r="E44" i="14"/>
  <c r="F49" i="14"/>
  <c r="F44" i="14"/>
  <c r="J8" i="16" l="1"/>
  <c r="K8" i="16"/>
  <c r="K30" i="15"/>
  <c r="K26" i="15"/>
  <c r="K34" i="15"/>
  <c r="K28" i="15"/>
  <c r="K46" i="15"/>
  <c r="L46" i="15" s="1"/>
  <c r="M46" i="15" s="1"/>
  <c r="K32" i="15"/>
  <c r="J9" i="16"/>
  <c r="F57" i="14"/>
  <c r="C18" i="14"/>
  <c r="C57" i="14"/>
  <c r="D57" i="14"/>
  <c r="L49" i="14"/>
  <c r="D56" i="14"/>
  <c r="D6" i="14"/>
  <c r="E56" i="14"/>
  <c r="G18" i="14"/>
  <c r="G6" i="14" s="1"/>
  <c r="G57" i="14"/>
  <c r="M49" i="14" l="1"/>
  <c r="G17" i="9"/>
  <c r="G26" i="14"/>
  <c r="D8" i="14"/>
  <c r="D26" i="14"/>
  <c r="N46" i="15"/>
  <c r="G56" i="14"/>
  <c r="F18" i="14"/>
  <c r="F6" i="14" s="1"/>
  <c r="D17" i="9"/>
  <c r="C6" i="14"/>
  <c r="C26" i="14" s="1"/>
  <c r="C20" i="14"/>
  <c r="F56" i="14"/>
  <c r="E57" i="14"/>
  <c r="D19" i="14"/>
  <c r="E18" i="14"/>
  <c r="H18" i="14"/>
  <c r="H6" i="14" s="1"/>
  <c r="H57" i="14"/>
  <c r="L34" i="15"/>
  <c r="M34" i="15" s="1"/>
  <c r="L28" i="15"/>
  <c r="L32" i="15"/>
  <c r="L26" i="15"/>
  <c r="L30" i="15"/>
  <c r="N49" i="14" l="1"/>
  <c r="H17" i="9"/>
  <c r="H26" i="14"/>
  <c r="F17" i="9"/>
  <c r="F26" i="14"/>
  <c r="O46" i="15"/>
  <c r="C17" i="9"/>
  <c r="C8" i="14"/>
  <c r="E19" i="14"/>
  <c r="E6" i="14"/>
  <c r="N34" i="15"/>
  <c r="M32" i="15"/>
  <c r="M30" i="15"/>
  <c r="M26" i="15"/>
  <c r="M28" i="15"/>
  <c r="O49" i="14" l="1"/>
  <c r="E17" i="9"/>
  <c r="E26" i="14"/>
  <c r="N32" i="15"/>
  <c r="N26" i="15"/>
  <c r="N28" i="15"/>
  <c r="N30" i="15"/>
  <c r="O34" i="15"/>
  <c r="E14" i="17"/>
  <c r="O26" i="15" l="1"/>
  <c r="O30" i="15"/>
  <c r="O28" i="15"/>
  <c r="O32" i="15"/>
  <c r="H16" i="14"/>
  <c r="G16" i="14"/>
  <c r="F16" i="14"/>
  <c r="J15" i="14"/>
  <c r="G15" i="14"/>
  <c r="F15" i="14"/>
  <c r="F25" i="9" l="1"/>
  <c r="E25" i="9"/>
  <c r="G25" i="9"/>
  <c r="F18" i="9"/>
  <c r="D18" i="9"/>
  <c r="I15" i="17"/>
  <c r="I4" i="17"/>
  <c r="F17" i="16"/>
  <c r="E17" i="16"/>
  <c r="D17" i="16"/>
  <c r="C17" i="16"/>
  <c r="H12" i="16"/>
  <c r="H9" i="16"/>
  <c r="G9" i="16"/>
  <c r="F9" i="16"/>
  <c r="E9" i="16"/>
  <c r="D9" i="16"/>
  <c r="C9" i="16"/>
  <c r="N1" i="187"/>
  <c r="F26" i="9" l="1"/>
  <c r="G17" i="16"/>
  <c r="H17" i="16"/>
  <c r="D7" i="14"/>
  <c r="B10" i="15" l="1"/>
  <c r="B5" i="15" l="1"/>
  <c r="B21" i="16"/>
  <c r="B109" i="14"/>
  <c r="B41" i="14"/>
  <c r="H24" i="14"/>
  <c r="G24" i="14"/>
  <c r="F24" i="14"/>
  <c r="E24" i="14"/>
  <c r="G23" i="14"/>
  <c r="F23" i="14"/>
  <c r="H20" i="14"/>
  <c r="G20" i="14"/>
  <c r="F20" i="14"/>
  <c r="E20" i="14"/>
  <c r="G19" i="14"/>
  <c r="F19" i="14"/>
  <c r="H12" i="14"/>
  <c r="G12" i="14"/>
  <c r="F12" i="14"/>
  <c r="E12" i="14"/>
  <c r="G11" i="14"/>
  <c r="F11" i="14"/>
  <c r="H8" i="14"/>
  <c r="G8" i="14"/>
  <c r="F8" i="14"/>
  <c r="E8" i="14"/>
  <c r="G7" i="14"/>
  <c r="F7" i="14"/>
  <c r="B5" i="14"/>
  <c r="B5" i="235"/>
  <c r="B5" i="9"/>
  <c r="F28" i="235"/>
  <c r="B5" i="12"/>
  <c r="B5" i="13"/>
  <c r="O1" i="9"/>
  <c r="D9" i="235" l="1"/>
  <c r="G9" i="235"/>
  <c r="I34" i="14" l="1"/>
  <c r="I112" i="14" s="1"/>
  <c r="I22" i="16"/>
  <c r="I15" i="15"/>
  <c r="I153" i="15" s="1"/>
  <c r="F9" i="235"/>
  <c r="G18" i="9"/>
  <c r="E9" i="235"/>
  <c r="I61" i="14" l="1"/>
  <c r="I64" i="14"/>
  <c r="I102" i="14"/>
  <c r="I105" i="14"/>
  <c r="I96" i="14"/>
  <c r="I99" i="14"/>
  <c r="I88" i="14"/>
  <c r="I91" i="14"/>
  <c r="I82" i="14"/>
  <c r="I85" i="14"/>
  <c r="I76" i="14"/>
  <c r="I79" i="14"/>
  <c r="I70" i="14"/>
  <c r="I73" i="14"/>
  <c r="I47" i="14"/>
  <c r="I44" i="14"/>
  <c r="I49" i="14"/>
  <c r="I133" i="15"/>
  <c r="I52" i="15"/>
  <c r="K34" i="14"/>
  <c r="K48" i="14" s="1"/>
  <c r="I16" i="14"/>
  <c r="J15" i="15"/>
  <c r="K22" i="16"/>
  <c r="K15" i="15"/>
  <c r="J34" i="14"/>
  <c r="J112" i="14" s="1"/>
  <c r="J22" i="16"/>
  <c r="K45" i="15" l="1"/>
  <c r="K27" i="15"/>
  <c r="J153" i="15"/>
  <c r="J46" i="15"/>
  <c r="J64" i="14"/>
  <c r="K105" i="14"/>
  <c r="K64" i="14"/>
  <c r="J102" i="14"/>
  <c r="J105" i="14"/>
  <c r="K99" i="14"/>
  <c r="K102" i="14"/>
  <c r="J96" i="14"/>
  <c r="J99" i="14"/>
  <c r="K91" i="14"/>
  <c r="K96" i="14"/>
  <c r="J88" i="14"/>
  <c r="J91" i="14"/>
  <c r="K85" i="14"/>
  <c r="K88" i="14"/>
  <c r="J82" i="14"/>
  <c r="J85" i="14"/>
  <c r="K79" i="14"/>
  <c r="K82" i="14"/>
  <c r="J76" i="14"/>
  <c r="J79" i="14"/>
  <c r="K73" i="14"/>
  <c r="K76" i="14"/>
  <c r="J70" i="14"/>
  <c r="J73" i="14"/>
  <c r="K46" i="14"/>
  <c r="K42" i="14" s="1"/>
  <c r="K44" i="14" s="1"/>
  <c r="K70" i="14"/>
  <c r="J47" i="14"/>
  <c r="J49" i="14"/>
  <c r="J44" i="14"/>
  <c r="K29" i="15"/>
  <c r="K25" i="15"/>
  <c r="K33" i="15"/>
  <c r="K31" i="15"/>
  <c r="J133" i="15"/>
  <c r="J36" i="15"/>
  <c r="J24" i="15"/>
  <c r="J28" i="15"/>
  <c r="J34" i="15"/>
  <c r="J30" i="15"/>
  <c r="J38" i="15"/>
  <c r="J26" i="15"/>
  <c r="J32" i="15"/>
  <c r="J52" i="15"/>
  <c r="J16" i="14"/>
  <c r="I10" i="14"/>
  <c r="K6" i="9"/>
  <c r="M118" i="15" l="1"/>
  <c r="K118" i="15"/>
  <c r="K117" i="15" s="1"/>
  <c r="L118" i="15"/>
  <c r="N118" i="15"/>
  <c r="K39" i="15"/>
  <c r="M82" i="15"/>
  <c r="N82" i="15"/>
  <c r="L82" i="15"/>
  <c r="O82" i="15"/>
  <c r="K82" i="15"/>
  <c r="K81" i="15" s="1"/>
  <c r="L76" i="15"/>
  <c r="O76" i="15"/>
  <c r="K76" i="15"/>
  <c r="N76" i="15"/>
  <c r="M76" i="15"/>
  <c r="N88" i="15"/>
  <c r="M88" i="15"/>
  <c r="O88" i="15"/>
  <c r="L88" i="15"/>
  <c r="K88" i="15"/>
  <c r="K87" i="15" s="1"/>
  <c r="O70" i="15"/>
  <c r="K70" i="15"/>
  <c r="K69" i="15" s="1"/>
  <c r="L70" i="15"/>
  <c r="N70" i="15"/>
  <c r="M70" i="15"/>
  <c r="L93" i="15"/>
  <c r="K93" i="15"/>
  <c r="K75" i="15"/>
  <c r="K141" i="15" s="1"/>
  <c r="L64" i="15"/>
  <c r="O64" i="15"/>
  <c r="K64" i="15"/>
  <c r="K63" i="15" s="1"/>
  <c r="K140" i="15" s="1"/>
  <c r="N64" i="15"/>
  <c r="M64" i="15"/>
  <c r="K43" i="14"/>
  <c r="K21" i="15"/>
  <c r="I12" i="14"/>
  <c r="J10" i="14"/>
  <c r="K10" i="14"/>
  <c r="J6" i="9"/>
  <c r="E32" i="379" s="1"/>
  <c r="O118" i="15" l="1"/>
  <c r="K19" i="15"/>
  <c r="K6" i="15" s="1"/>
  <c r="K147" i="15"/>
  <c r="K146" i="15" s="1"/>
  <c r="K143" i="15" s="1"/>
  <c r="K307" i="13" s="1"/>
  <c r="K309" i="13" s="1"/>
  <c r="K104" i="15"/>
  <c r="K99" i="15" s="1"/>
  <c r="K120" i="14" s="1"/>
  <c r="K139" i="15"/>
  <c r="K303" i="13" s="1"/>
  <c r="K62" i="15"/>
  <c r="K53" i="15" s="1"/>
  <c r="K116" i="14" s="1"/>
  <c r="J11" i="14"/>
  <c r="J12" i="14"/>
  <c r="K11" i="14"/>
  <c r="K12" i="14"/>
  <c r="C6" i="16"/>
  <c r="C18" i="16" s="1"/>
  <c r="D6" i="16"/>
  <c r="D18" i="16" s="1"/>
  <c r="K298" i="13" l="1"/>
  <c r="K216" i="13" s="1"/>
  <c r="K305" i="13"/>
  <c r="K304" i="13"/>
  <c r="K308" i="13"/>
  <c r="K134" i="15"/>
  <c r="K154" i="15" s="1"/>
  <c r="K155" i="15"/>
  <c r="K119" i="14" s="1"/>
  <c r="K121" i="14" s="1"/>
  <c r="K51" i="15"/>
  <c r="K52" i="15" s="1"/>
  <c r="M93" i="15"/>
  <c r="D19" i="16"/>
  <c r="C51" i="414"/>
  <c r="C54" i="414" s="1"/>
  <c r="D6" i="9"/>
  <c r="E6" i="9"/>
  <c r="C6" i="9"/>
  <c r="K299" i="13" l="1"/>
  <c r="K300" i="13"/>
  <c r="K49" i="13"/>
  <c r="K132" i="15"/>
  <c r="K133" i="15" s="1"/>
  <c r="K152" i="15"/>
  <c r="K153" i="15" s="1"/>
  <c r="K115" i="14"/>
  <c r="K7" i="15"/>
  <c r="K8" i="15" s="1"/>
  <c r="N93" i="15"/>
  <c r="O93" i="15"/>
  <c r="D7" i="9"/>
  <c r="E19" i="9"/>
  <c r="D27" i="9"/>
  <c r="C27" i="9"/>
  <c r="K211" i="13" l="1"/>
  <c r="K213" i="13" s="1"/>
  <c r="K226" i="13"/>
  <c r="K50" i="13"/>
  <c r="K110" i="14"/>
  <c r="K117" i="14"/>
  <c r="K212" i="13" l="1"/>
  <c r="K111" i="14"/>
  <c r="K112" i="14"/>
  <c r="K113" i="14"/>
  <c r="H6" i="9" l="1"/>
  <c r="F6" i="9"/>
  <c r="I6" i="9" l="1"/>
  <c r="F19" i="9"/>
  <c r="H19" i="9"/>
  <c r="G6" i="9" l="1"/>
  <c r="G19" i="9" l="1"/>
  <c r="F31" i="235" l="1"/>
  <c r="F33" i="235" s="1"/>
  <c r="E31" i="235"/>
  <c r="E33" i="235" s="1"/>
  <c r="D31" i="235"/>
  <c r="D33" i="235" s="1"/>
  <c r="N1" i="235"/>
  <c r="E34" i="235" l="1"/>
  <c r="E36" i="235" s="1"/>
  <c r="G26" i="9"/>
  <c r="F6" i="16"/>
  <c r="F18" i="16" s="1"/>
  <c r="E51" i="414" s="1"/>
  <c r="E54" i="414" s="1"/>
  <c r="E6" i="16"/>
  <c r="G6" i="16"/>
  <c r="E18" i="16" l="1"/>
  <c r="G18" i="16"/>
  <c r="F51" i="414" s="1"/>
  <c r="F54" i="414" s="1"/>
  <c r="E19" i="16" l="1"/>
  <c r="D51" i="414"/>
  <c r="D54" i="414" s="1"/>
  <c r="F19" i="16"/>
  <c r="G7" i="9"/>
  <c r="G27" i="9"/>
  <c r="F6" i="235"/>
  <c r="E6" i="235"/>
  <c r="G19" i="16"/>
  <c r="F27" i="9"/>
  <c r="I6" i="235" l="1"/>
  <c r="H27" i="9"/>
  <c r="G6" i="235" l="1"/>
  <c r="H6" i="16" l="1"/>
  <c r="H18" i="16" l="1"/>
  <c r="G51" i="414" s="1"/>
  <c r="G54" i="414" s="1"/>
  <c r="H19" i="16" l="1"/>
  <c r="J5" i="9"/>
  <c r="I5" i="9"/>
  <c r="H5" i="9"/>
  <c r="I25" i="13" l="1"/>
  <c r="I37" i="12"/>
  <c r="I194" i="13"/>
  <c r="I223" i="13"/>
  <c r="I80" i="13"/>
  <c r="I121" i="13"/>
  <c r="I73" i="13"/>
  <c r="I108" i="12"/>
  <c r="I112" i="415"/>
  <c r="I43" i="415"/>
  <c r="I75" i="415"/>
  <c r="I56" i="415"/>
  <c r="I50" i="415"/>
  <c r="I36" i="415"/>
  <c r="I5" i="415"/>
  <c r="I151" i="415"/>
  <c r="H25" i="13"/>
  <c r="H37" i="12"/>
  <c r="H121" i="13"/>
  <c r="H223" i="13"/>
  <c r="H194" i="13"/>
  <c r="H80" i="13"/>
  <c r="H73" i="13"/>
  <c r="H108" i="12"/>
  <c r="H112" i="415"/>
  <c r="H151" i="415"/>
  <c r="H43" i="415"/>
  <c r="H75" i="415"/>
  <c r="H56" i="415"/>
  <c r="H50" i="415"/>
  <c r="H36" i="415"/>
  <c r="H5" i="415"/>
  <c r="J25" i="13"/>
  <c r="J37" i="12"/>
  <c r="J80" i="13"/>
  <c r="J223" i="13"/>
  <c r="J121" i="13"/>
  <c r="J194" i="13"/>
  <c r="J73" i="13"/>
  <c r="J56" i="415"/>
  <c r="J50" i="415"/>
  <c r="J36" i="415"/>
  <c r="J5" i="415"/>
  <c r="J43" i="415"/>
  <c r="I33" i="14"/>
  <c r="I28" i="14"/>
  <c r="I169" i="12"/>
  <c r="I70" i="12"/>
  <c r="H33" i="14"/>
  <c r="H28" i="14"/>
  <c r="H169" i="12"/>
  <c r="H70" i="12"/>
  <c r="J33" i="14"/>
  <c r="J28" i="14"/>
  <c r="I109" i="14"/>
  <c r="I54" i="14"/>
  <c r="I5" i="14"/>
  <c r="I41" i="14"/>
  <c r="J5" i="14"/>
  <c r="J41" i="14"/>
  <c r="H109" i="14"/>
  <c r="H54" i="14"/>
  <c r="H5" i="14"/>
  <c r="H41" i="14"/>
  <c r="H5" i="13"/>
  <c r="H55" i="13" s="1"/>
  <c r="J5" i="13"/>
  <c r="J55" i="13" s="1"/>
  <c r="I5" i="13"/>
  <c r="I55" i="13" s="1"/>
  <c r="I5" i="16"/>
  <c r="I21" i="16" s="1"/>
  <c r="H5" i="16"/>
  <c r="H21" i="16" s="1"/>
  <c r="J5" i="16"/>
  <c r="J21" i="16" s="1"/>
  <c r="H5" i="235"/>
  <c r="I5" i="12"/>
  <c r="G5" i="235"/>
  <c r="H5" i="12"/>
  <c r="G5" i="9"/>
  <c r="K5" i="9"/>
  <c r="H131" i="415" l="1"/>
  <c r="G25" i="13"/>
  <c r="G37" i="12"/>
  <c r="G223" i="13"/>
  <c r="G194" i="13"/>
  <c r="G121" i="13"/>
  <c r="G80" i="13"/>
  <c r="G73" i="13"/>
  <c r="G108" i="12"/>
  <c r="G112" i="415"/>
  <c r="G56" i="415"/>
  <c r="G5" i="415"/>
  <c r="G151" i="415"/>
  <c r="G36" i="415"/>
  <c r="G75" i="415"/>
  <c r="G43" i="415"/>
  <c r="G50" i="415"/>
  <c r="K25" i="13"/>
  <c r="K37" i="12"/>
  <c r="K223" i="13"/>
  <c r="K194" i="13"/>
  <c r="K80" i="13"/>
  <c r="K121" i="13"/>
  <c r="K73" i="13"/>
  <c r="K108" i="12"/>
  <c r="K112" i="415"/>
  <c r="K36" i="415"/>
  <c r="K5" i="415"/>
  <c r="K151" i="415"/>
  <c r="K43" i="415"/>
  <c r="K75" i="415"/>
  <c r="K56" i="415"/>
  <c r="K50" i="415"/>
  <c r="K33" i="14"/>
  <c r="K28" i="14"/>
  <c r="K169" i="12"/>
  <c r="K70" i="12"/>
  <c r="G33" i="14"/>
  <c r="G28" i="14"/>
  <c r="G169" i="12"/>
  <c r="G70" i="12"/>
  <c r="H23" i="12"/>
  <c r="J23" i="12"/>
  <c r="I23" i="12"/>
  <c r="H5" i="15"/>
  <c r="I5" i="15"/>
  <c r="J5" i="15"/>
  <c r="G54" i="14"/>
  <c r="G5" i="14"/>
  <c r="G41" i="14"/>
  <c r="G109" i="14"/>
  <c r="K41" i="14"/>
  <c r="K109" i="14"/>
  <c r="K54" i="14"/>
  <c r="K5" i="14"/>
  <c r="G5" i="13"/>
  <c r="G55" i="13" s="1"/>
  <c r="K5" i="13"/>
  <c r="K55" i="13" s="1"/>
  <c r="K5" i="16"/>
  <c r="K21" i="16" s="1"/>
  <c r="G5" i="16"/>
  <c r="G21" i="16" s="1"/>
  <c r="F5" i="235"/>
  <c r="G5" i="12"/>
  <c r="I5" i="235"/>
  <c r="K5" i="12"/>
  <c r="F5" i="9"/>
  <c r="L5" i="9"/>
  <c r="G131" i="415" l="1"/>
  <c r="K131" i="415" s="1"/>
  <c r="L131" i="415" s="1"/>
  <c r="M131" i="415" s="1"/>
  <c r="N131" i="415" s="1"/>
  <c r="O131" i="415" s="1"/>
  <c r="F25" i="13"/>
  <c r="F37" i="12"/>
  <c r="F80" i="13"/>
  <c r="F121" i="13"/>
  <c r="F194" i="13"/>
  <c r="F223" i="13"/>
  <c r="F73" i="13"/>
  <c r="F108" i="12"/>
  <c r="F112" i="415"/>
  <c r="F36" i="415"/>
  <c r="F5" i="415"/>
  <c r="F151" i="415"/>
  <c r="F43" i="415"/>
  <c r="F75" i="415"/>
  <c r="F56" i="415"/>
  <c r="F50" i="415"/>
  <c r="L25" i="13"/>
  <c r="L37" i="12"/>
  <c r="L121" i="13"/>
  <c r="L80" i="13"/>
  <c r="L194" i="13"/>
  <c r="L223" i="13"/>
  <c r="L73" i="13"/>
  <c r="L108" i="12"/>
  <c r="L112" i="415"/>
  <c r="L151" i="415"/>
  <c r="L43" i="415"/>
  <c r="L75" i="415"/>
  <c r="L56" i="415"/>
  <c r="L50" i="415"/>
  <c r="L36" i="415"/>
  <c r="L5" i="415"/>
  <c r="I151" i="15"/>
  <c r="H151" i="15"/>
  <c r="H131" i="15"/>
  <c r="I18" i="15"/>
  <c r="I131" i="15"/>
  <c r="L33" i="14"/>
  <c r="L28" i="14"/>
  <c r="L169" i="12"/>
  <c r="L70" i="12"/>
  <c r="F33" i="14"/>
  <c r="F28" i="14"/>
  <c r="F169" i="12"/>
  <c r="F70" i="12"/>
  <c r="I10" i="15"/>
  <c r="I50" i="15"/>
  <c r="J10" i="15"/>
  <c r="J18" i="15"/>
  <c r="H10" i="15"/>
  <c r="H50" i="15"/>
  <c r="H18" i="15"/>
  <c r="K23" i="12"/>
  <c r="G23" i="12"/>
  <c r="G5" i="15"/>
  <c r="K5" i="15"/>
  <c r="F54" i="14"/>
  <c r="F5" i="14"/>
  <c r="F41" i="14"/>
  <c r="F109" i="14"/>
  <c r="L5" i="14"/>
  <c r="L41" i="14"/>
  <c r="L54" i="14"/>
  <c r="L109" i="14"/>
  <c r="F5" i="13"/>
  <c r="F55" i="13" s="1"/>
  <c r="L5" i="13"/>
  <c r="L55" i="13" s="1"/>
  <c r="L5" i="16"/>
  <c r="L21" i="16" s="1"/>
  <c r="F5" i="16"/>
  <c r="F21" i="16" s="1"/>
  <c r="J5" i="235"/>
  <c r="L5" i="12"/>
  <c r="E5" i="9"/>
  <c r="E5" i="235"/>
  <c r="F5" i="12"/>
  <c r="M5" i="9"/>
  <c r="G130" i="415" l="1"/>
  <c r="F131" i="415"/>
  <c r="J130" i="415"/>
  <c r="E25" i="13"/>
  <c r="E37" i="12"/>
  <c r="E194" i="13"/>
  <c r="E223" i="13"/>
  <c r="E121" i="13"/>
  <c r="E80" i="13"/>
  <c r="E73" i="13"/>
  <c r="E108" i="12"/>
  <c r="E112" i="415"/>
  <c r="E75" i="415"/>
  <c r="E56" i="415"/>
  <c r="E50" i="415"/>
  <c r="E36" i="415"/>
  <c r="E5" i="415"/>
  <c r="E151" i="415"/>
  <c r="E43" i="415"/>
  <c r="M25" i="13"/>
  <c r="M37" i="12"/>
  <c r="M194" i="13"/>
  <c r="M121" i="13"/>
  <c r="M80" i="13"/>
  <c r="M223" i="13"/>
  <c r="M73" i="13"/>
  <c r="M108" i="12"/>
  <c r="M112" i="415"/>
  <c r="M43" i="415"/>
  <c r="M75" i="415"/>
  <c r="M56" i="415"/>
  <c r="M50" i="415"/>
  <c r="M36" i="415"/>
  <c r="M5" i="415"/>
  <c r="M151" i="415"/>
  <c r="K151" i="15"/>
  <c r="G151" i="15"/>
  <c r="G131" i="15"/>
  <c r="K131" i="15"/>
  <c r="E33" i="14"/>
  <c r="E28" i="14"/>
  <c r="E169" i="12"/>
  <c r="E70" i="12"/>
  <c r="M33" i="14"/>
  <c r="M28" i="14"/>
  <c r="M169" i="12"/>
  <c r="M70" i="12"/>
  <c r="K10" i="15"/>
  <c r="K50" i="15"/>
  <c r="K18" i="15"/>
  <c r="G10" i="15"/>
  <c r="G50" i="15"/>
  <c r="G18" i="15"/>
  <c r="L23" i="12"/>
  <c r="F23" i="12"/>
  <c r="F5" i="15"/>
  <c r="L5" i="15"/>
  <c r="M5" i="14"/>
  <c r="M41" i="14"/>
  <c r="M109" i="14"/>
  <c r="M54" i="14"/>
  <c r="E5" i="14"/>
  <c r="E41" i="14"/>
  <c r="E109" i="14"/>
  <c r="E54" i="14"/>
  <c r="M5" i="13"/>
  <c r="M55" i="13" s="1"/>
  <c r="E5" i="13"/>
  <c r="E55" i="13" s="1"/>
  <c r="E5" i="12"/>
  <c r="D5" i="9"/>
  <c r="E5" i="16"/>
  <c r="E21" i="16" s="1"/>
  <c r="M5" i="16"/>
  <c r="M21" i="16" s="1"/>
  <c r="K5" i="235"/>
  <c r="M5" i="12"/>
  <c r="D5" i="235"/>
  <c r="N5" i="9"/>
  <c r="K125" i="415" l="1"/>
  <c r="E131" i="415"/>
  <c r="D25" i="13"/>
  <c r="D37" i="12"/>
  <c r="D121" i="13"/>
  <c r="D80" i="13"/>
  <c r="D194" i="13"/>
  <c r="D223" i="13"/>
  <c r="D73" i="13"/>
  <c r="D108" i="12"/>
  <c r="D112" i="415"/>
  <c r="D151" i="415"/>
  <c r="D43" i="415"/>
  <c r="D75" i="415"/>
  <c r="D56" i="415"/>
  <c r="D50" i="415"/>
  <c r="D36" i="415"/>
  <c r="D5" i="415"/>
  <c r="N25" i="13"/>
  <c r="N37" i="12"/>
  <c r="N80" i="13"/>
  <c r="N121" i="13"/>
  <c r="N194" i="13"/>
  <c r="N223" i="13"/>
  <c r="N73" i="13"/>
  <c r="N108" i="12"/>
  <c r="N112" i="415"/>
  <c r="N75" i="415"/>
  <c r="N56" i="415"/>
  <c r="N50" i="415"/>
  <c r="N36" i="415"/>
  <c r="N5" i="415"/>
  <c r="N151" i="415"/>
  <c r="N43" i="415"/>
  <c r="N169" i="12"/>
  <c r="N5" i="12"/>
  <c r="N23" i="12" s="1"/>
  <c r="N70" i="12"/>
  <c r="O5" i="9"/>
  <c r="F151" i="15"/>
  <c r="L151" i="15"/>
  <c r="L131" i="15"/>
  <c r="F131" i="15"/>
  <c r="D33" i="14"/>
  <c r="D28" i="14"/>
  <c r="D169" i="12"/>
  <c r="D70" i="12"/>
  <c r="N33" i="14"/>
  <c r="N28" i="14"/>
  <c r="L10" i="15"/>
  <c r="L50" i="15"/>
  <c r="L18" i="15"/>
  <c r="F10" i="15"/>
  <c r="F50" i="15"/>
  <c r="F18" i="15"/>
  <c r="E23" i="12"/>
  <c r="M23" i="12"/>
  <c r="E5" i="15"/>
  <c r="M5" i="15"/>
  <c r="D5" i="14"/>
  <c r="D41" i="14"/>
  <c r="D109" i="14"/>
  <c r="D54" i="14"/>
  <c r="N54" i="14"/>
  <c r="N109" i="14"/>
  <c r="N5" i="14"/>
  <c r="N41" i="14"/>
  <c r="D5" i="13"/>
  <c r="D55" i="13" s="1"/>
  <c r="N5" i="13"/>
  <c r="N55" i="13" s="1"/>
  <c r="C5" i="9"/>
  <c r="D5" i="16"/>
  <c r="D21" i="16" s="1"/>
  <c r="D5" i="12"/>
  <c r="N5" i="16"/>
  <c r="N21" i="16" s="1"/>
  <c r="L5" i="235"/>
  <c r="L125" i="415" l="1"/>
  <c r="K127" i="415"/>
  <c r="K113" i="415"/>
  <c r="K206" i="13" s="1"/>
  <c r="E130" i="415"/>
  <c r="D131" i="415"/>
  <c r="F130" i="415"/>
  <c r="O25" i="13"/>
  <c r="O37" i="12"/>
  <c r="O223" i="13"/>
  <c r="O121" i="13"/>
  <c r="O194" i="13"/>
  <c r="O80" i="13"/>
  <c r="O73" i="13"/>
  <c r="O108" i="12"/>
  <c r="O112" i="415"/>
  <c r="O36" i="415"/>
  <c r="O5" i="415"/>
  <c r="O151" i="415"/>
  <c r="O43" i="415"/>
  <c r="O75" i="415"/>
  <c r="O56" i="415"/>
  <c r="O50" i="415"/>
  <c r="O5" i="16"/>
  <c r="O21" i="16" s="1"/>
  <c r="O109" i="14"/>
  <c r="O5" i="14"/>
  <c r="O5" i="15" s="1"/>
  <c r="O70" i="12"/>
  <c r="O41" i="14"/>
  <c r="O28" i="14"/>
  <c r="O5" i="13"/>
  <c r="O55" i="13" s="1"/>
  <c r="M5" i="235"/>
  <c r="O33" i="14"/>
  <c r="O169" i="12"/>
  <c r="O5" i="12"/>
  <c r="O54" i="14"/>
  <c r="C25" i="13"/>
  <c r="C37" i="12"/>
  <c r="C223" i="13"/>
  <c r="C194" i="13"/>
  <c r="C80" i="13"/>
  <c r="C121" i="13"/>
  <c r="C73" i="13"/>
  <c r="C108" i="12"/>
  <c r="C112" i="415"/>
  <c r="C5" i="415"/>
  <c r="C151" i="415"/>
  <c r="C43" i="415"/>
  <c r="C75" i="415"/>
  <c r="C56" i="415"/>
  <c r="C50" i="415"/>
  <c r="C36" i="415"/>
  <c r="M151" i="15"/>
  <c r="E151" i="15"/>
  <c r="E131" i="15"/>
  <c r="M131" i="15"/>
  <c r="C33" i="14"/>
  <c r="C28" i="14"/>
  <c r="C169" i="12"/>
  <c r="C70" i="12"/>
  <c r="M10" i="15"/>
  <c r="M50" i="15"/>
  <c r="M18" i="15"/>
  <c r="E10" i="15"/>
  <c r="E50" i="15"/>
  <c r="E18" i="15"/>
  <c r="O23" i="12"/>
  <c r="D23" i="12"/>
  <c r="N5" i="15"/>
  <c r="D5" i="15"/>
  <c r="C41" i="14"/>
  <c r="C109" i="14"/>
  <c r="C54" i="14"/>
  <c r="C5" i="14"/>
  <c r="C5" i="13"/>
  <c r="C55" i="13" s="1"/>
  <c r="C5" i="12"/>
  <c r="C5" i="16"/>
  <c r="C21" i="16" s="1"/>
  <c r="K208" i="13" l="1"/>
  <c r="K207" i="13"/>
  <c r="K195" i="13"/>
  <c r="L127" i="415"/>
  <c r="L113" i="415"/>
  <c r="L206" i="13" s="1"/>
  <c r="L207" i="13" s="1"/>
  <c r="M125" i="415"/>
  <c r="O131" i="15"/>
  <c r="O151" i="15"/>
  <c r="O10" i="15"/>
  <c r="O18" i="15"/>
  <c r="O50" i="15"/>
  <c r="D151" i="15"/>
  <c r="N151" i="15"/>
  <c r="D131" i="15"/>
  <c r="N131" i="15"/>
  <c r="D10" i="15"/>
  <c r="D50" i="15"/>
  <c r="D18" i="15"/>
  <c r="N10" i="15"/>
  <c r="N50" i="15"/>
  <c r="N18" i="15"/>
  <c r="C23" i="12"/>
  <c r="C5" i="15"/>
  <c r="O125" i="415" l="1"/>
  <c r="N125" i="415"/>
  <c r="M127" i="415"/>
  <c r="M113" i="415"/>
  <c r="M206" i="13" s="1"/>
  <c r="M207" i="13" s="1"/>
  <c r="C151" i="15"/>
  <c r="C131" i="15"/>
  <c r="C10" i="15"/>
  <c r="C50" i="15"/>
  <c r="C18" i="15"/>
  <c r="L6" i="4"/>
  <c r="B1" i="395" s="1"/>
  <c r="N127" i="415" l="1"/>
  <c r="N113" i="415"/>
  <c r="N206" i="13" s="1"/>
  <c r="N207" i="13" s="1"/>
  <c r="O127" i="415"/>
  <c r="O113" i="415"/>
  <c r="O206" i="13" s="1"/>
  <c r="B1" i="187"/>
  <c r="B1" i="383"/>
  <c r="B1" i="391" s="1"/>
  <c r="I15" i="235"/>
  <c r="B1" i="14"/>
  <c r="B1" i="235"/>
  <c r="M6" i="4"/>
  <c r="O207" i="13" l="1"/>
  <c r="P1" i="16"/>
  <c r="I1" i="17" l="1"/>
  <c r="B1" i="17"/>
  <c r="B1" i="16"/>
  <c r="B1" i="15"/>
  <c r="B1" i="13"/>
  <c r="O1" i="12"/>
  <c r="B1" i="12"/>
  <c r="B1" i="9" l="1"/>
  <c r="C9" i="6" l="1"/>
  <c r="C10" i="6" s="1"/>
  <c r="B1" i="6"/>
  <c r="J17" i="235" l="1"/>
  <c r="K17" i="235" s="1"/>
  <c r="L17" i="235" s="1"/>
  <c r="M17" i="235" s="1"/>
  <c r="D36" i="235"/>
  <c r="C7" i="391" s="1"/>
  <c r="F36" i="235"/>
  <c r="E7" i="391" s="1"/>
  <c r="N17" i="235" l="1"/>
  <c r="M18" i="235"/>
  <c r="D6" i="235"/>
  <c r="E27" i="9"/>
  <c r="F7" i="9"/>
  <c r="D7" i="391" l="1"/>
  <c r="J7" i="9" l="1"/>
  <c r="K7" i="9"/>
  <c r="H33" i="235" l="1"/>
  <c r="H34" i="235" l="1"/>
  <c r="H35" i="235" s="1"/>
  <c r="H32" i="235"/>
  <c r="H31" i="235" s="1"/>
  <c r="K18" i="235"/>
  <c r="J18" i="235"/>
  <c r="N18" i="235"/>
  <c r="L18" i="235"/>
  <c r="I18" i="235"/>
  <c r="I25" i="9" l="1"/>
  <c r="I27" i="9" s="1"/>
  <c r="J25" i="9" l="1"/>
  <c r="I13" i="235" l="1"/>
  <c r="K25" i="9"/>
  <c r="K26" i="9" s="1"/>
  <c r="J26" i="9"/>
  <c r="J27" i="9"/>
  <c r="K27" i="9" l="1"/>
  <c r="I22" i="14" l="1"/>
  <c r="I24" i="14" l="1"/>
  <c r="J22" i="14"/>
  <c r="J24" i="14" l="1"/>
  <c r="J23" i="14"/>
  <c r="K22" i="14"/>
  <c r="K24" i="14" l="1"/>
  <c r="K23" i="14"/>
  <c r="J17" i="16" l="1"/>
  <c r="J12" i="16"/>
  <c r="K10" i="16"/>
  <c r="L11" i="16" l="1"/>
  <c r="K12" i="16"/>
  <c r="K17" i="16"/>
  <c r="L16" i="16"/>
  <c r="L17" i="16" l="1"/>
  <c r="M16" i="16"/>
  <c r="L12" i="16"/>
  <c r="M11" i="16"/>
  <c r="M17" i="16" l="1"/>
  <c r="N16" i="16"/>
  <c r="O16" i="16" s="1"/>
  <c r="M12" i="16"/>
  <c r="N11" i="16"/>
  <c r="O11" i="16" s="1"/>
  <c r="O12" i="16" l="1"/>
  <c r="O17" i="16"/>
  <c r="D6" i="391"/>
  <c r="D5" i="391"/>
  <c r="P11" i="16"/>
  <c r="N12" i="16"/>
  <c r="N17" i="16"/>
  <c r="P16" i="16"/>
  <c r="P12" i="16" l="1"/>
  <c r="P17" i="16"/>
  <c r="K46" i="406" l="1"/>
  <c r="L46" i="406"/>
  <c r="O46" i="406"/>
  <c r="J54" i="406"/>
  <c r="J46" i="406" s="1"/>
  <c r="K54" i="406"/>
  <c r="L54" i="406"/>
  <c r="M54" i="406"/>
  <c r="M46" i="406" s="1"/>
  <c r="N54" i="406"/>
  <c r="N46" i="406" s="1"/>
  <c r="O54" i="406"/>
  <c r="J89" i="415" l="1"/>
  <c r="J95" i="415" l="1"/>
  <c r="J18" i="415"/>
  <c r="J96" i="415"/>
  <c r="J20" i="415" l="1"/>
  <c r="J19" i="415"/>
  <c r="J99" i="415"/>
  <c r="J23" i="415" l="1"/>
  <c r="J24" i="415"/>
  <c r="J26" i="415"/>
  <c r="J28" i="415" s="1"/>
  <c r="J78" i="415"/>
  <c r="J77" i="415" l="1"/>
  <c r="J27" i="415"/>
  <c r="J126" i="415"/>
  <c r="J14" i="415"/>
  <c r="J16" i="415" s="1"/>
  <c r="J52" i="415"/>
  <c r="J51" i="415" s="1"/>
  <c r="J6" i="415" l="1"/>
  <c r="J8" i="415" s="1"/>
  <c r="J15" i="415"/>
  <c r="J115" i="415"/>
  <c r="J114" i="415"/>
  <c r="K126" i="415"/>
  <c r="K115" i="415" l="1"/>
  <c r="J7" i="415"/>
  <c r="M126" i="415"/>
  <c r="N126" i="415"/>
  <c r="O126" i="415"/>
  <c r="O114" i="415"/>
  <c r="L126" i="415"/>
  <c r="K114" i="415" l="1"/>
  <c r="M114" i="415"/>
  <c r="L114" i="415"/>
  <c r="N114" i="415"/>
  <c r="J6" i="16" l="1"/>
  <c r="K7" i="16"/>
  <c r="L8" i="16" l="1"/>
  <c r="L9" i="16" s="1"/>
  <c r="K9" i="16"/>
  <c r="M8" i="16" l="1"/>
  <c r="M9" i="16" s="1"/>
  <c r="N8" i="16" l="1"/>
  <c r="N9" i="16" s="1"/>
  <c r="P8" i="16" l="1"/>
  <c r="P9" i="16" s="1"/>
  <c r="O8" i="16"/>
  <c r="O9" i="16" s="1"/>
  <c r="J59" i="14"/>
  <c r="J55" i="14" s="1"/>
  <c r="I57" i="14"/>
  <c r="J61" i="14" l="1"/>
  <c r="J60" i="14"/>
  <c r="K59" i="14"/>
  <c r="K55" i="14" s="1"/>
  <c r="I18" i="14"/>
  <c r="I6" i="14" s="1"/>
  <c r="I8" i="14" s="1"/>
  <c r="J56" i="14" l="1"/>
  <c r="J57" i="14"/>
  <c r="J18" i="14"/>
  <c r="J19" i="14" s="1"/>
  <c r="L59" i="14"/>
  <c r="L55" i="14" s="1"/>
  <c r="K61" i="14"/>
  <c r="K60" i="14"/>
  <c r="I17" i="9"/>
  <c r="I20" i="14"/>
  <c r="J6" i="14" l="1"/>
  <c r="J17" i="9" s="1"/>
  <c r="J20" i="14"/>
  <c r="M59" i="14"/>
  <c r="M55" i="14" s="1"/>
  <c r="L60" i="14"/>
  <c r="I19" i="9"/>
  <c r="J7" i="14" l="1"/>
  <c r="J8" i="14"/>
  <c r="N59" i="14"/>
  <c r="N55" i="14" s="1"/>
  <c r="M60" i="14"/>
  <c r="J18" i="9"/>
  <c r="J19" i="9"/>
  <c r="O59" i="14" l="1"/>
  <c r="O55" i="14" s="1"/>
  <c r="N60" i="14"/>
  <c r="O60" i="14" l="1"/>
  <c r="L76" i="12" l="1"/>
  <c r="O76" i="12"/>
  <c r="M76" i="12"/>
  <c r="N76" i="12"/>
  <c r="L81" i="12"/>
  <c r="O81" i="12"/>
  <c r="N81" i="12"/>
  <c r="M81" i="12"/>
  <c r="O87" i="12"/>
  <c r="N87" i="12"/>
  <c r="M87" i="12"/>
  <c r="L87" i="12"/>
  <c r="L154" i="12" l="1"/>
  <c r="L139" i="12" s="1"/>
  <c r="L140" i="12" l="1"/>
  <c r="L133" i="12"/>
  <c r="M154" i="12"/>
  <c r="M139" i="12" s="1"/>
  <c r="M140" i="12" l="1"/>
  <c r="M133" i="12"/>
  <c r="L134" i="12"/>
  <c r="L56" i="12"/>
  <c r="L109" i="12"/>
  <c r="L96" i="12"/>
  <c r="N154" i="12"/>
  <c r="N139" i="12" s="1"/>
  <c r="L71" i="12" l="1"/>
  <c r="L98" i="12" s="1"/>
  <c r="L97" i="12"/>
  <c r="L53" i="12"/>
  <c r="L115" i="12"/>
  <c r="L110" i="12"/>
  <c r="L13" i="12"/>
  <c r="M96" i="12"/>
  <c r="M134" i="12"/>
  <c r="M56" i="12"/>
  <c r="M109" i="12"/>
  <c r="N140" i="12"/>
  <c r="N133" i="12"/>
  <c r="L57" i="12"/>
  <c r="O154" i="12"/>
  <c r="O139" i="12" l="1"/>
  <c r="M115" i="12"/>
  <c r="M13" i="12"/>
  <c r="M110" i="12"/>
  <c r="M57" i="12"/>
  <c r="L46" i="415"/>
  <c r="L90" i="415" s="1"/>
  <c r="L14" i="12"/>
  <c r="L63" i="13"/>
  <c r="L36" i="14"/>
  <c r="L54" i="12"/>
  <c r="L50" i="12"/>
  <c r="L55" i="12" s="1"/>
  <c r="N134" i="12"/>
  <c r="N109" i="12"/>
  <c r="N56" i="12"/>
  <c r="N96" i="12"/>
  <c r="M71" i="12"/>
  <c r="M98" i="12" s="1"/>
  <c r="M53" i="12"/>
  <c r="M97" i="12"/>
  <c r="L9" i="12"/>
  <c r="L72" i="12"/>
  <c r="L115" i="13" l="1"/>
  <c r="L185" i="13"/>
  <c r="L189" i="13"/>
  <c r="L177" i="13"/>
  <c r="L181" i="13"/>
  <c r="L169" i="13"/>
  <c r="L173" i="13"/>
  <c r="L161" i="13"/>
  <c r="L165" i="13"/>
  <c r="L157" i="13"/>
  <c r="L149" i="13"/>
  <c r="L153" i="13"/>
  <c r="L141" i="13"/>
  <c r="L145" i="13"/>
  <c r="L137" i="13"/>
  <c r="L129" i="13"/>
  <c r="L133" i="13"/>
  <c r="L64" i="415"/>
  <c r="N71" i="12"/>
  <c r="N98" i="12" s="1"/>
  <c r="N53" i="12"/>
  <c r="N97" i="12"/>
  <c r="M46" i="415"/>
  <c r="M90" i="415" s="1"/>
  <c r="M14" i="12"/>
  <c r="M63" i="13"/>
  <c r="M36" i="14"/>
  <c r="M54" i="12"/>
  <c r="M50" i="12"/>
  <c r="N57" i="12"/>
  <c r="L51" i="12"/>
  <c r="L61" i="12"/>
  <c r="L58" i="12"/>
  <c r="L208" i="13"/>
  <c r="L62" i="13"/>
  <c r="L74" i="13" s="1"/>
  <c r="L29" i="13" s="1"/>
  <c r="L10" i="12"/>
  <c r="L45" i="415"/>
  <c r="L6" i="12"/>
  <c r="L52" i="12" s="1"/>
  <c r="L35" i="14"/>
  <c r="M9" i="12"/>
  <c r="M72" i="12"/>
  <c r="N115" i="12"/>
  <c r="N13" i="12"/>
  <c r="N110" i="12"/>
  <c r="O133" i="12"/>
  <c r="O140" i="12"/>
  <c r="M115" i="13" l="1"/>
  <c r="M185" i="13"/>
  <c r="M189" i="13"/>
  <c r="M177" i="13"/>
  <c r="M181" i="13"/>
  <c r="M169" i="13"/>
  <c r="M173" i="13"/>
  <c r="M161" i="13"/>
  <c r="M165" i="13"/>
  <c r="M157" i="13"/>
  <c r="M149" i="13"/>
  <c r="M153" i="13"/>
  <c r="M141" i="13"/>
  <c r="M145" i="13"/>
  <c r="M137" i="13"/>
  <c r="L42" i="13"/>
  <c r="M129" i="13"/>
  <c r="M133" i="13"/>
  <c r="L30" i="13"/>
  <c r="M64" i="415"/>
  <c r="L65" i="415"/>
  <c r="L61" i="415"/>
  <c r="L75" i="13"/>
  <c r="L9" i="13"/>
  <c r="L27" i="16" s="1"/>
  <c r="L10" i="16" s="1"/>
  <c r="L11" i="12"/>
  <c r="L159" i="12"/>
  <c r="L44" i="415"/>
  <c r="L192" i="12"/>
  <c r="L7" i="12"/>
  <c r="L189" i="12"/>
  <c r="L122" i="12"/>
  <c r="L153" i="12"/>
  <c r="L40" i="12"/>
  <c r="L144" i="12"/>
  <c r="L119" i="12"/>
  <c r="L138" i="12"/>
  <c r="L131" i="12"/>
  <c r="L147" i="12"/>
  <c r="L125" i="12"/>
  <c r="L186" i="12"/>
  <c r="L150" i="12"/>
  <c r="L196" i="12"/>
  <c r="L176" i="12"/>
  <c r="L49" i="12"/>
  <c r="L172" i="12"/>
  <c r="L128" i="12"/>
  <c r="L19" i="12"/>
  <c r="L180" i="12"/>
  <c r="L183" i="12"/>
  <c r="L61" i="13"/>
  <c r="L22" i="16"/>
  <c r="L7" i="16" s="1"/>
  <c r="L6" i="9"/>
  <c r="L15" i="15"/>
  <c r="L34" i="14"/>
  <c r="L48" i="14" s="1"/>
  <c r="L141" i="12"/>
  <c r="L156" i="12"/>
  <c r="L135" i="12"/>
  <c r="L111" i="12"/>
  <c r="L15" i="12"/>
  <c r="L73" i="12"/>
  <c r="M208" i="13"/>
  <c r="N36" i="14"/>
  <c r="N14" i="12"/>
  <c r="N63" i="13"/>
  <c r="N46" i="415"/>
  <c r="N90" i="415" s="1"/>
  <c r="M45" i="415"/>
  <c r="M10" i="12"/>
  <c r="M62" i="13"/>
  <c r="M74" i="13" s="1"/>
  <c r="M29" i="13" s="1"/>
  <c r="M6" i="12"/>
  <c r="M22" i="16" s="1"/>
  <c r="M35" i="14"/>
  <c r="N50" i="12"/>
  <c r="N55" i="12" s="1"/>
  <c r="N54" i="12"/>
  <c r="M55" i="12"/>
  <c r="M51" i="12"/>
  <c r="M61" i="12"/>
  <c r="M58" i="12"/>
  <c r="O134" i="12"/>
  <c r="O56" i="12"/>
  <c r="O109" i="12"/>
  <c r="O96" i="12"/>
  <c r="N9" i="12"/>
  <c r="N72" i="12"/>
  <c r="N115" i="13" l="1"/>
  <c r="N185" i="13"/>
  <c r="N189" i="13"/>
  <c r="N177" i="13"/>
  <c r="N181" i="13"/>
  <c r="N169" i="13"/>
  <c r="N173" i="13"/>
  <c r="N161" i="13"/>
  <c r="N165" i="13"/>
  <c r="N157" i="13"/>
  <c r="N149" i="13"/>
  <c r="N153" i="13"/>
  <c r="N141" i="13"/>
  <c r="N145" i="13"/>
  <c r="N137" i="13"/>
  <c r="M42" i="13"/>
  <c r="N129" i="13"/>
  <c r="N133" i="13"/>
  <c r="M30" i="13"/>
  <c r="L62" i="415"/>
  <c r="N64" i="415"/>
  <c r="M65" i="415"/>
  <c r="M61" i="415"/>
  <c r="M75" i="13"/>
  <c r="M9" i="13"/>
  <c r="M27" i="16" s="1"/>
  <c r="M10" i="16" s="1"/>
  <c r="L10" i="13"/>
  <c r="O57" i="12"/>
  <c r="M159" i="12"/>
  <c r="M189" i="12"/>
  <c r="M183" i="12"/>
  <c r="M119" i="12"/>
  <c r="M180" i="12"/>
  <c r="M176" i="12"/>
  <c r="M15" i="15"/>
  <c r="M7" i="12"/>
  <c r="M172" i="12"/>
  <c r="M128" i="12"/>
  <c r="M19" i="12"/>
  <c r="M44" i="415"/>
  <c r="M150" i="12"/>
  <c r="M49" i="12"/>
  <c r="M186" i="12"/>
  <c r="M153" i="12"/>
  <c r="M144" i="12"/>
  <c r="M122" i="12"/>
  <c r="M131" i="12"/>
  <c r="M125" i="12"/>
  <c r="M196" i="12"/>
  <c r="M147" i="12"/>
  <c r="M138" i="12"/>
  <c r="M192" i="12"/>
  <c r="M40" i="12"/>
  <c r="M61" i="13"/>
  <c r="M7" i="16"/>
  <c r="M6" i="9"/>
  <c r="M34" i="14"/>
  <c r="M48" i="14" s="1"/>
  <c r="M156" i="12"/>
  <c r="M141" i="12"/>
  <c r="M135" i="12"/>
  <c r="M111" i="12"/>
  <c r="M73" i="12"/>
  <c r="M15" i="12"/>
  <c r="J6" i="235"/>
  <c r="L7" i="9"/>
  <c r="O71" i="12"/>
  <c r="O98" i="12" s="1"/>
  <c r="O53" i="12"/>
  <c r="O97" i="12"/>
  <c r="M52" i="12"/>
  <c r="N208" i="13"/>
  <c r="L64" i="14"/>
  <c r="L96" i="14"/>
  <c r="L82" i="14"/>
  <c r="L70" i="14"/>
  <c r="L105" i="14"/>
  <c r="L79" i="14"/>
  <c r="L99" i="14"/>
  <c r="L85" i="14"/>
  <c r="L73" i="14"/>
  <c r="L102" i="14"/>
  <c r="L88" i="14"/>
  <c r="L76" i="14"/>
  <c r="L91" i="14"/>
  <c r="L46" i="14"/>
  <c r="L42" i="14" s="1"/>
  <c r="L61" i="14"/>
  <c r="N45" i="415"/>
  <c r="N62" i="13"/>
  <c r="N74" i="13" s="1"/>
  <c r="N29" i="13" s="1"/>
  <c r="N35" i="14"/>
  <c r="N6" i="12"/>
  <c r="N10" i="12"/>
  <c r="N61" i="12"/>
  <c r="N51" i="12"/>
  <c r="N58" i="12"/>
  <c r="L115" i="415"/>
  <c r="O115" i="12"/>
  <c r="O110" i="12"/>
  <c r="O13" i="12"/>
  <c r="M11" i="12"/>
  <c r="L45" i="15"/>
  <c r="L33" i="15"/>
  <c r="L27" i="15"/>
  <c r="L31" i="15"/>
  <c r="L29" i="15"/>
  <c r="L25" i="15"/>
  <c r="N42" i="13" l="1"/>
  <c r="N30" i="13"/>
  <c r="N11" i="12"/>
  <c r="N22" i="16"/>
  <c r="N65" i="415"/>
  <c r="N61" i="415"/>
  <c r="M62" i="415"/>
  <c r="N75" i="13"/>
  <c r="N9" i="13"/>
  <c r="N27" i="16" s="1"/>
  <c r="N10" i="16" s="1"/>
  <c r="M10" i="13"/>
  <c r="N52" i="12"/>
  <c r="O54" i="12"/>
  <c r="O50" i="12"/>
  <c r="N89" i="15"/>
  <c r="O89" i="15"/>
  <c r="M89" i="15"/>
  <c r="L89" i="15"/>
  <c r="L87" i="15" s="1"/>
  <c r="M77" i="15"/>
  <c r="O77" i="15"/>
  <c r="N77" i="15"/>
  <c r="L77" i="15"/>
  <c r="L75" i="15" s="1"/>
  <c r="L141" i="15" s="1"/>
  <c r="O36" i="14"/>
  <c r="O14" i="12"/>
  <c r="O63" i="13"/>
  <c r="O46" i="415"/>
  <c r="O90" i="415" s="1"/>
  <c r="M45" i="15"/>
  <c r="M27" i="15"/>
  <c r="M25" i="15"/>
  <c r="M29" i="15"/>
  <c r="M31" i="15"/>
  <c r="M33" i="15"/>
  <c r="M71" i="15"/>
  <c r="O71" i="15"/>
  <c r="N71" i="15"/>
  <c r="L71" i="15"/>
  <c r="L69" i="15" s="1"/>
  <c r="M64" i="14"/>
  <c r="M96" i="14"/>
  <c r="M88" i="14"/>
  <c r="M76" i="14"/>
  <c r="M70" i="14"/>
  <c r="M102" i="14"/>
  <c r="M85" i="14"/>
  <c r="M73" i="14"/>
  <c r="M99" i="14"/>
  <c r="M79" i="14"/>
  <c r="M82" i="14"/>
  <c r="M105" i="14"/>
  <c r="M91" i="14"/>
  <c r="M46" i="14"/>
  <c r="M42" i="14" s="1"/>
  <c r="M61" i="14"/>
  <c r="L65" i="15"/>
  <c r="L63" i="15" s="1"/>
  <c r="N65" i="15"/>
  <c r="L21" i="15"/>
  <c r="M65" i="15"/>
  <c r="O65" i="15"/>
  <c r="O9" i="12"/>
  <c r="O72" i="12"/>
  <c r="K6" i="235"/>
  <c r="M7" i="9"/>
  <c r="M115" i="415"/>
  <c r="M119" i="15"/>
  <c r="L39" i="15"/>
  <c r="L119" i="15"/>
  <c r="L117" i="15" s="1"/>
  <c r="O119" i="15"/>
  <c r="N119" i="15"/>
  <c r="N83" i="15"/>
  <c r="O83" i="15"/>
  <c r="M83" i="15"/>
  <c r="L83" i="15"/>
  <c r="L81" i="15" s="1"/>
  <c r="N159" i="12"/>
  <c r="N15" i="15"/>
  <c r="N153" i="12"/>
  <c r="N61" i="13"/>
  <c r="N122" i="12"/>
  <c r="N189" i="12"/>
  <c r="N34" i="14"/>
  <c r="N48" i="14" s="1"/>
  <c r="N49" i="12"/>
  <c r="N128" i="12"/>
  <c r="N138" i="12"/>
  <c r="N183" i="12"/>
  <c r="N186" i="12"/>
  <c r="N40" i="12"/>
  <c r="N131" i="12"/>
  <c r="N150" i="12"/>
  <c r="N180" i="12"/>
  <c r="N19" i="12"/>
  <c r="N125" i="12"/>
  <c r="N176" i="12"/>
  <c r="N196" i="12"/>
  <c r="N147" i="12"/>
  <c r="N192" i="12"/>
  <c r="N119" i="12"/>
  <c r="N172" i="12"/>
  <c r="N44" i="415"/>
  <c r="N144" i="12"/>
  <c r="N7" i="12"/>
  <c r="N6" i="9"/>
  <c r="N141" i="12"/>
  <c r="N156" i="12"/>
  <c r="N135" i="12"/>
  <c r="N111" i="12"/>
  <c r="N73" i="12"/>
  <c r="N15" i="12"/>
  <c r="L44" i="14"/>
  <c r="L43" i="14"/>
  <c r="L10" i="14"/>
  <c r="O115" i="13" l="1"/>
  <c r="O185" i="13"/>
  <c r="O189" i="13"/>
  <c r="O177" i="13"/>
  <c r="O181" i="13"/>
  <c r="O169" i="13"/>
  <c r="O173" i="13"/>
  <c r="O161" i="13"/>
  <c r="O165" i="13"/>
  <c r="O157" i="13"/>
  <c r="O149" i="13"/>
  <c r="O153" i="13"/>
  <c r="O141" i="13"/>
  <c r="O145" i="13"/>
  <c r="O137" i="13"/>
  <c r="O129" i="13"/>
  <c r="O133" i="13"/>
  <c r="N62" i="415"/>
  <c r="O64" i="415"/>
  <c r="N10" i="13"/>
  <c r="L19" i="15"/>
  <c r="L6" i="15" s="1"/>
  <c r="J15" i="235" s="1"/>
  <c r="N115" i="415"/>
  <c r="L147" i="15"/>
  <c r="L146" i="15" s="1"/>
  <c r="L143" i="15" s="1"/>
  <c r="L307" i="13" s="1"/>
  <c r="L309" i="13" s="1"/>
  <c r="L104" i="15"/>
  <c r="L99" i="15" s="1"/>
  <c r="M84" i="15"/>
  <c r="M81" i="15" s="1"/>
  <c r="O84" i="15"/>
  <c r="N84" i="15"/>
  <c r="N120" i="15"/>
  <c r="M120" i="15"/>
  <c r="M117" i="15" s="1"/>
  <c r="O120" i="15"/>
  <c r="M39" i="15"/>
  <c r="L140" i="15"/>
  <c r="L139" i="15" s="1"/>
  <c r="L303" i="13" s="1"/>
  <c r="L62" i="15"/>
  <c r="L53" i="15" s="1"/>
  <c r="N66" i="15"/>
  <c r="M21" i="15"/>
  <c r="M19" i="15" s="1"/>
  <c r="M6" i="15" s="1"/>
  <c r="K15" i="235" s="1"/>
  <c r="M66" i="15"/>
  <c r="M63" i="15" s="1"/>
  <c r="O66" i="15"/>
  <c r="O55" i="12"/>
  <c r="O51" i="12"/>
  <c r="O61" i="12"/>
  <c r="O58" i="12"/>
  <c r="L12" i="14"/>
  <c r="L11" i="14"/>
  <c r="L6" i="235"/>
  <c r="O62" i="13"/>
  <c r="O74" i="13" s="1"/>
  <c r="O29" i="13" s="1"/>
  <c r="O45" i="415"/>
  <c r="O6" i="12"/>
  <c r="O35" i="14"/>
  <c r="O10" i="12"/>
  <c r="M78" i="15"/>
  <c r="M75" i="15" s="1"/>
  <c r="M141" i="15" s="1"/>
  <c r="N78" i="15"/>
  <c r="O78" i="15"/>
  <c r="O208" i="13"/>
  <c r="N102" i="14"/>
  <c r="N82" i="14"/>
  <c r="N88" i="14"/>
  <c r="N76" i="14"/>
  <c r="N105" i="14"/>
  <c r="N91" i="14"/>
  <c r="N85" i="14"/>
  <c r="N73" i="14"/>
  <c r="N46" i="14"/>
  <c r="N42" i="14" s="1"/>
  <c r="N64" i="14"/>
  <c r="N96" i="14"/>
  <c r="N70" i="14"/>
  <c r="N99" i="14"/>
  <c r="N79" i="14"/>
  <c r="N61" i="14"/>
  <c r="N45" i="15"/>
  <c r="N27" i="15"/>
  <c r="N31" i="15"/>
  <c r="N25" i="15"/>
  <c r="N33" i="15"/>
  <c r="N29" i="15"/>
  <c r="N7" i="9"/>
  <c r="M44" i="14"/>
  <c r="M43" i="14"/>
  <c r="M10" i="14"/>
  <c r="N90" i="15"/>
  <c r="M90" i="15"/>
  <c r="M87" i="15" s="1"/>
  <c r="O90" i="15"/>
  <c r="O72" i="15"/>
  <c r="N72" i="15"/>
  <c r="M72" i="15"/>
  <c r="M69" i="15" s="1"/>
  <c r="L298" i="13" l="1"/>
  <c r="L216" i="13" s="1"/>
  <c r="L305" i="13"/>
  <c r="L304" i="13"/>
  <c r="L308" i="13"/>
  <c r="O42" i="13"/>
  <c r="O30" i="13"/>
  <c r="O11" i="12"/>
  <c r="O22" i="16"/>
  <c r="L134" i="15"/>
  <c r="L154" i="15" s="1"/>
  <c r="O65" i="415"/>
  <c r="O61" i="415"/>
  <c r="O75" i="13"/>
  <c r="O9" i="13"/>
  <c r="O27" i="16" s="1"/>
  <c r="O52" i="12"/>
  <c r="M147" i="15"/>
  <c r="M146" i="15" s="1"/>
  <c r="M143" i="15" s="1"/>
  <c r="M307" i="13" s="1"/>
  <c r="M309" i="13" s="1"/>
  <c r="M104" i="15"/>
  <c r="M99" i="15" s="1"/>
  <c r="L155" i="15"/>
  <c r="L119" i="14" s="1"/>
  <c r="L120" i="14"/>
  <c r="O79" i="15"/>
  <c r="N79" i="15"/>
  <c r="N75" i="15" s="1"/>
  <c r="N141" i="15" s="1"/>
  <c r="N73" i="15"/>
  <c r="N69" i="15" s="1"/>
  <c r="O73" i="15"/>
  <c r="L116" i="14"/>
  <c r="L51" i="15"/>
  <c r="N67" i="15"/>
  <c r="N63" i="15" s="1"/>
  <c r="O67" i="15"/>
  <c r="N21" i="15"/>
  <c r="M12" i="14"/>
  <c r="M11" i="14"/>
  <c r="O85" i="15"/>
  <c r="N85" i="15"/>
  <c r="N81" i="15" s="1"/>
  <c r="M140" i="15"/>
  <c r="M139" i="15" s="1"/>
  <c r="M303" i="13" s="1"/>
  <c r="M62" i="15"/>
  <c r="M53" i="15" s="1"/>
  <c r="O91" i="15"/>
  <c r="N91" i="15"/>
  <c r="N87" i="15" s="1"/>
  <c r="N39" i="15"/>
  <c r="O121" i="15"/>
  <c r="N121" i="15"/>
  <c r="N117" i="15" s="1"/>
  <c r="N44" i="14"/>
  <c r="N43" i="14"/>
  <c r="N10" i="14"/>
  <c r="O15" i="15"/>
  <c r="O128" i="12"/>
  <c r="O122" i="12"/>
  <c r="O196" i="12"/>
  <c r="O44" i="415"/>
  <c r="O180" i="12"/>
  <c r="O159" i="12"/>
  <c r="O172" i="12"/>
  <c r="O144" i="12"/>
  <c r="O147" i="12"/>
  <c r="O186" i="12"/>
  <c r="O40" i="12"/>
  <c r="O131" i="12"/>
  <c r="O119" i="12"/>
  <c r="O34" i="14"/>
  <c r="O48" i="14" s="1"/>
  <c r="O176" i="12"/>
  <c r="O138" i="12"/>
  <c r="O192" i="12"/>
  <c r="O7" i="12"/>
  <c r="O49" i="12"/>
  <c r="O183" i="12"/>
  <c r="O189" i="12"/>
  <c r="O61" i="13"/>
  <c r="O150" i="12"/>
  <c r="O153" i="12"/>
  <c r="O19" i="12"/>
  <c r="O125" i="12"/>
  <c r="O6" i="9"/>
  <c r="N7" i="16"/>
  <c r="O156" i="12"/>
  <c r="O141" i="12"/>
  <c r="O135" i="12"/>
  <c r="O111" i="12"/>
  <c r="O15" i="12"/>
  <c r="O73" i="12"/>
  <c r="M298" i="13" l="1"/>
  <c r="M216" i="13" s="1"/>
  <c r="M304" i="13"/>
  <c r="M305" i="13"/>
  <c r="L300" i="13"/>
  <c r="L299" i="13"/>
  <c r="M308" i="13"/>
  <c r="L49" i="13"/>
  <c r="M134" i="15"/>
  <c r="M132" i="15" s="1"/>
  <c r="M133" i="15" s="1"/>
  <c r="L132" i="15"/>
  <c r="L133" i="15" s="1"/>
  <c r="P22" i="16"/>
  <c r="O7" i="16"/>
  <c r="O10" i="16"/>
  <c r="P27" i="16"/>
  <c r="P10" i="16" s="1"/>
  <c r="O62" i="415"/>
  <c r="O10" i="13"/>
  <c r="L121" i="14"/>
  <c r="N140" i="15"/>
  <c r="N139" i="15" s="1"/>
  <c r="N303" i="13" s="1"/>
  <c r="N62" i="15"/>
  <c r="N53" i="15" s="1"/>
  <c r="O46" i="14"/>
  <c r="O42" i="14" s="1"/>
  <c r="O82" i="14"/>
  <c r="O91" i="14"/>
  <c r="O105" i="14"/>
  <c r="O73" i="14"/>
  <c r="O64" i="14"/>
  <c r="O99" i="14"/>
  <c r="O88" i="14"/>
  <c r="O79" i="14"/>
  <c r="O70" i="14"/>
  <c r="O96" i="14"/>
  <c r="O76" i="14"/>
  <c r="O102" i="14"/>
  <c r="O85" i="14"/>
  <c r="O61" i="14"/>
  <c r="N19" i="15"/>
  <c r="N6" i="15" s="1"/>
  <c r="L15" i="235" s="1"/>
  <c r="O115" i="415"/>
  <c r="O45" i="15"/>
  <c r="O33" i="15"/>
  <c r="O92" i="15" s="1"/>
  <c r="O87" i="15" s="1"/>
  <c r="O29" i="15"/>
  <c r="O80" i="15" s="1"/>
  <c r="O75" i="15" s="1"/>
  <c r="O141" i="15" s="1"/>
  <c r="O25" i="15"/>
  <c r="O31" i="15"/>
  <c r="O86" i="15" s="1"/>
  <c r="O81" i="15" s="1"/>
  <c r="O27" i="15"/>
  <c r="O74" i="15" s="1"/>
  <c r="O69" i="15" s="1"/>
  <c r="L152" i="15"/>
  <c r="L153" i="15" s="1"/>
  <c r="L115" i="14"/>
  <c r="M116" i="14"/>
  <c r="M51" i="15"/>
  <c r="L52" i="15"/>
  <c r="L7" i="15"/>
  <c r="N147" i="15"/>
  <c r="N146" i="15" s="1"/>
  <c r="N143" i="15" s="1"/>
  <c r="N307" i="13" s="1"/>
  <c r="N309" i="13" s="1"/>
  <c r="N104" i="15"/>
  <c r="N99" i="15" s="1"/>
  <c r="O7" i="9"/>
  <c r="M6" i="235"/>
  <c r="N12" i="14"/>
  <c r="N11" i="14"/>
  <c r="M120" i="14"/>
  <c r="M155" i="15"/>
  <c r="M119" i="14" s="1"/>
  <c r="N298" i="13" l="1"/>
  <c r="N216" i="13" s="1"/>
  <c r="N305" i="13"/>
  <c r="N304" i="13"/>
  <c r="M300" i="13"/>
  <c r="M299" i="13"/>
  <c r="L211" i="13"/>
  <c r="L212" i="13" s="1"/>
  <c r="L226" i="13"/>
  <c r="N308" i="13"/>
  <c r="M49" i="13"/>
  <c r="L50" i="13"/>
  <c r="M154" i="15"/>
  <c r="M152" i="15" s="1"/>
  <c r="M153" i="15" s="1"/>
  <c r="N134" i="15"/>
  <c r="N132" i="15" s="1"/>
  <c r="N133" i="15" s="1"/>
  <c r="M121" i="14"/>
  <c r="N116" i="14"/>
  <c r="N51" i="15"/>
  <c r="L8" i="15"/>
  <c r="L25" i="9"/>
  <c r="J13" i="235"/>
  <c r="L117" i="14"/>
  <c r="L110" i="14"/>
  <c r="N6" i="235"/>
  <c r="P7" i="16" s="1"/>
  <c r="P6" i="16" s="1"/>
  <c r="O122" i="15"/>
  <c r="O117" i="15" s="1"/>
  <c r="O39" i="15"/>
  <c r="O10" i="14"/>
  <c r="O44" i="14"/>
  <c r="O43" i="14"/>
  <c r="N120" i="14"/>
  <c r="N155" i="15"/>
  <c r="N119" i="14" s="1"/>
  <c r="M52" i="15"/>
  <c r="M7" i="15"/>
  <c r="O68" i="15"/>
  <c r="O63" i="15" s="1"/>
  <c r="O21" i="15"/>
  <c r="N300" i="13" l="1"/>
  <c r="N299" i="13"/>
  <c r="L213" i="13"/>
  <c r="M211" i="13"/>
  <c r="M212" i="13" s="1"/>
  <c r="M226" i="13"/>
  <c r="N49" i="13"/>
  <c r="M50" i="13"/>
  <c r="N154" i="15"/>
  <c r="N115" i="14" s="1"/>
  <c r="M115" i="14"/>
  <c r="M117" i="14" s="1"/>
  <c r="O19" i="15"/>
  <c r="O6" i="15" s="1"/>
  <c r="M15" i="235" s="1"/>
  <c r="M8" i="15"/>
  <c r="M25" i="9"/>
  <c r="K13" i="235"/>
  <c r="L26" i="9"/>
  <c r="L27" i="9"/>
  <c r="O12" i="14"/>
  <c r="O11" i="14"/>
  <c r="L111" i="14"/>
  <c r="L112" i="14"/>
  <c r="L113" i="14"/>
  <c r="L22" i="14"/>
  <c r="O140" i="15"/>
  <c r="O139" i="15" s="1"/>
  <c r="O303" i="13" s="1"/>
  <c r="O62" i="15"/>
  <c r="O53" i="15" s="1"/>
  <c r="O147" i="15"/>
  <c r="O146" i="15" s="1"/>
  <c r="O143" i="15" s="1"/>
  <c r="O307" i="13" s="1"/>
  <c r="O309" i="13" s="1"/>
  <c r="O104" i="15"/>
  <c r="O99" i="15" s="1"/>
  <c r="N121" i="14"/>
  <c r="N52" i="15"/>
  <c r="N7" i="15"/>
  <c r="O298" i="13" l="1"/>
  <c r="O216" i="13" s="1"/>
  <c r="O305" i="13"/>
  <c r="O304" i="13"/>
  <c r="N211" i="13"/>
  <c r="N212" i="13" s="1"/>
  <c r="N226" i="13"/>
  <c r="M213" i="13"/>
  <c r="O308" i="13"/>
  <c r="N50" i="13"/>
  <c r="N152" i="15"/>
  <c r="N153" i="15" s="1"/>
  <c r="M110" i="14"/>
  <c r="M112" i="14" s="1"/>
  <c r="O134" i="15"/>
  <c r="O154" i="15" s="1"/>
  <c r="O120" i="14"/>
  <c r="O155" i="15"/>
  <c r="O119" i="14" s="1"/>
  <c r="M26" i="9"/>
  <c r="M27" i="9"/>
  <c r="N8" i="15"/>
  <c r="N25" i="9"/>
  <c r="N26" i="9" s="1"/>
  <c r="L13" i="235"/>
  <c r="O116" i="14"/>
  <c r="O51" i="15"/>
  <c r="L23" i="14"/>
  <c r="L24" i="14"/>
  <c r="N110" i="14"/>
  <c r="N117" i="14"/>
  <c r="O299" i="13" l="1"/>
  <c r="O300" i="13"/>
  <c r="N213" i="13"/>
  <c r="O49" i="13"/>
  <c r="M22" i="14"/>
  <c r="M23" i="14" s="1"/>
  <c r="M113" i="14"/>
  <c r="M111" i="14"/>
  <c r="O132" i="15"/>
  <c r="O133" i="15" s="1"/>
  <c r="N111" i="14"/>
  <c r="N112" i="14"/>
  <c r="N113" i="14"/>
  <c r="N22" i="14"/>
  <c r="O152" i="15"/>
  <c r="O153" i="15" s="1"/>
  <c r="O115" i="14"/>
  <c r="O52" i="15"/>
  <c r="O7" i="15"/>
  <c r="O25" i="9" s="1"/>
  <c r="O27" i="9" s="1"/>
  <c r="O121" i="14"/>
  <c r="N27" i="9"/>
  <c r="O211" i="13" l="1"/>
  <c r="O212" i="13" s="1"/>
  <c r="O226" i="13"/>
  <c r="O50" i="13"/>
  <c r="O26" i="9"/>
  <c r="M24" i="14"/>
  <c r="O117" i="14"/>
  <c r="O110" i="14"/>
  <c r="N24" i="14"/>
  <c r="N23" i="14"/>
  <c r="M13" i="235"/>
  <c r="O8" i="15"/>
  <c r="O213" i="13" l="1"/>
  <c r="O112" i="14"/>
  <c r="O113" i="14"/>
  <c r="O22" i="14"/>
  <c r="O111" i="14"/>
  <c r="O24" i="14" l="1"/>
  <c r="O23" i="14"/>
  <c r="K156" i="415" l="1"/>
  <c r="K71" i="415"/>
  <c r="K176" i="415" l="1"/>
  <c r="K180" i="415"/>
  <c r="K172" i="415"/>
  <c r="K173" i="415" s="1"/>
  <c r="K158" i="415"/>
  <c r="K166" i="415"/>
  <c r="K157" i="415"/>
  <c r="K72" i="415"/>
  <c r="K57" i="415"/>
  <c r="K58" i="415" s="1"/>
  <c r="K185" i="415" l="1"/>
  <c r="K181" i="415"/>
  <c r="K177" i="415"/>
  <c r="K152" i="415"/>
  <c r="K153" i="415" s="1"/>
  <c r="K165" i="415"/>
  <c r="K66" i="14"/>
  <c r="K154" i="415" l="1"/>
  <c r="K67" i="14"/>
  <c r="K53" i="415"/>
  <c r="K14" i="14" s="1"/>
  <c r="K15" i="14" s="1"/>
  <c r="K18" i="14"/>
  <c r="K56" i="14"/>
  <c r="K57" i="14"/>
  <c r="K6" i="14" l="1"/>
  <c r="K8" i="14" s="1"/>
  <c r="K16" i="14"/>
  <c r="K19" i="14"/>
  <c r="K20" i="14"/>
  <c r="K7" i="14" l="1"/>
  <c r="K17" i="9"/>
  <c r="K19" i="9" s="1"/>
  <c r="I9" i="235" l="1"/>
  <c r="K18" i="9"/>
  <c r="O71" i="415"/>
  <c r="O57" i="415" l="1"/>
  <c r="M156" i="415"/>
  <c r="M180" i="415" s="1"/>
  <c r="M71" i="415"/>
  <c r="L156" i="415"/>
  <c r="L71" i="415"/>
  <c r="O156" i="415"/>
  <c r="N156" i="415"/>
  <c r="N180" i="415" s="1"/>
  <c r="N71" i="415"/>
  <c r="L176" i="415" l="1"/>
  <c r="L180" i="415"/>
  <c r="O176" i="415"/>
  <c r="O180" i="415"/>
  <c r="N172" i="415"/>
  <c r="N176" i="415"/>
  <c r="M172" i="415"/>
  <c r="M176" i="415"/>
  <c r="L158" i="415"/>
  <c r="N166" i="415"/>
  <c r="M158" i="415"/>
  <c r="L157" i="415"/>
  <c r="N158" i="415"/>
  <c r="L172" i="415"/>
  <c r="L173" i="415" s="1"/>
  <c r="L166" i="415"/>
  <c r="O172" i="415"/>
  <c r="N157" i="415"/>
  <c r="M157" i="415"/>
  <c r="O157" i="415"/>
  <c r="M72" i="415"/>
  <c r="M57" i="415"/>
  <c r="O158" i="415"/>
  <c r="O166" i="415"/>
  <c r="M166" i="415"/>
  <c r="L72" i="415"/>
  <c r="L57" i="415"/>
  <c r="L58" i="415" s="1"/>
  <c r="N72" i="415"/>
  <c r="N57" i="415"/>
  <c r="O72" i="415"/>
  <c r="N173" i="415" l="1"/>
  <c r="L185" i="415"/>
  <c r="L181" i="415"/>
  <c r="M173" i="415"/>
  <c r="M181" i="415"/>
  <c r="M165" i="415"/>
  <c r="M152" i="415"/>
  <c r="M53" i="415" s="1"/>
  <c r="N152" i="415"/>
  <c r="N154" i="415" s="1"/>
  <c r="O152" i="415"/>
  <c r="O154" i="415" s="1"/>
  <c r="L152" i="415"/>
  <c r="L154" i="415" s="1"/>
  <c r="M177" i="415"/>
  <c r="O165" i="415"/>
  <c r="O185" i="415"/>
  <c r="N181" i="415"/>
  <c r="N165" i="415"/>
  <c r="L177" i="415"/>
  <c r="N58" i="415"/>
  <c r="O177" i="415"/>
  <c r="M185" i="415"/>
  <c r="M58" i="415"/>
  <c r="L165" i="415"/>
  <c r="O181" i="415"/>
  <c r="O58" i="415"/>
  <c r="O173" i="415"/>
  <c r="N185" i="415"/>
  <c r="N177" i="415"/>
  <c r="L53" i="415" l="1"/>
  <c r="L14" i="14" s="1"/>
  <c r="L153" i="415"/>
  <c r="M153" i="415"/>
  <c r="N53" i="415"/>
  <c r="N14" i="14" s="1"/>
  <c r="N16" i="14" s="1"/>
  <c r="N153" i="415"/>
  <c r="M154" i="415"/>
  <c r="O153" i="415"/>
  <c r="O53" i="415"/>
  <c r="M14" i="14"/>
  <c r="L66" i="14"/>
  <c r="L67" i="14"/>
  <c r="O14" i="14" l="1"/>
  <c r="O16" i="14" s="1"/>
  <c r="M15" i="14"/>
  <c r="M16" i="14"/>
  <c r="N15" i="14"/>
  <c r="L18" i="14"/>
  <c r="L56" i="14"/>
  <c r="L57" i="14"/>
  <c r="L15" i="14"/>
  <c r="L16" i="14"/>
  <c r="M66" i="14"/>
  <c r="M67" i="14"/>
  <c r="O15" i="14" l="1"/>
  <c r="L19" i="14"/>
  <c r="L20" i="14"/>
  <c r="L6" i="14"/>
  <c r="N66" i="14"/>
  <c r="N67" i="14"/>
  <c r="M18" i="14"/>
  <c r="M56" i="14"/>
  <c r="M57" i="14"/>
  <c r="N18" i="14" l="1"/>
  <c r="N56" i="14"/>
  <c r="N57" i="14"/>
  <c r="M19" i="14"/>
  <c r="M20" i="14"/>
  <c r="M6" i="14"/>
  <c r="L17" i="9"/>
  <c r="L7" i="14"/>
  <c r="L8" i="14"/>
  <c r="O67" i="14"/>
  <c r="O66" i="14"/>
  <c r="O57" i="14" l="1"/>
  <c r="O18" i="14"/>
  <c r="O56" i="14"/>
  <c r="L18" i="9"/>
  <c r="L19" i="9"/>
  <c r="J9" i="235"/>
  <c r="N19" i="14"/>
  <c r="N20" i="14"/>
  <c r="N6" i="14"/>
  <c r="M17" i="9"/>
  <c r="M7" i="14"/>
  <c r="M8" i="14"/>
  <c r="M18" i="9" l="1"/>
  <c r="M19" i="9"/>
  <c r="K9" i="235"/>
  <c r="N17" i="9"/>
  <c r="N7" i="14"/>
  <c r="N8" i="14"/>
  <c r="O20" i="14"/>
  <c r="O19" i="14"/>
  <c r="O6" i="14"/>
  <c r="O8" i="14" l="1"/>
  <c r="O7" i="14"/>
  <c r="O17" i="9"/>
  <c r="L9" i="235"/>
  <c r="N18" i="9"/>
  <c r="N19" i="9"/>
  <c r="O18" i="9" l="1"/>
  <c r="M9" i="235"/>
  <c r="O19" i="9"/>
  <c r="N9" i="235" l="1"/>
  <c r="L200" i="13" l="1"/>
  <c r="L195" i="13" s="1"/>
  <c r="L201" i="13" l="1"/>
  <c r="M200" i="13"/>
  <c r="M195" i="13" s="1"/>
  <c r="N200" i="13"/>
  <c r="N195" i="13" s="1"/>
  <c r="O200" i="13"/>
  <c r="O195" i="13" s="1"/>
  <c r="M201" i="13" l="1"/>
  <c r="O201" i="13"/>
  <c r="N201" i="13"/>
  <c r="L88" i="13" l="1"/>
  <c r="K86" i="13"/>
  <c r="K33" i="13" l="1"/>
  <c r="M88" i="13"/>
  <c r="L86" i="13"/>
  <c r="L33" i="13" l="1"/>
  <c r="L34" i="13" s="1"/>
  <c r="N88" i="13"/>
  <c r="M86" i="13"/>
  <c r="L87" i="13"/>
  <c r="M33" i="13" l="1"/>
  <c r="M34" i="13" s="1"/>
  <c r="M87" i="13"/>
  <c r="O88" i="13"/>
  <c r="O86" i="13" s="1"/>
  <c r="N86" i="13"/>
  <c r="O33" i="13" l="1"/>
  <c r="N33" i="13"/>
  <c r="N34" i="13" s="1"/>
  <c r="O87" i="13"/>
  <c r="N87" i="13"/>
  <c r="O34" i="13" l="1"/>
  <c r="K6" i="16"/>
  <c r="L6" i="16" l="1"/>
  <c r="M6" i="16" l="1"/>
  <c r="N6" i="16" l="1"/>
  <c r="O6" i="16"/>
  <c r="D102" i="13" l="1"/>
  <c r="D103" i="13" s="1"/>
  <c r="E102" i="13"/>
  <c r="F102" i="13"/>
  <c r="G102" i="13"/>
  <c r="H102" i="13"/>
  <c r="J102" i="13"/>
  <c r="J104" i="13" s="1"/>
  <c r="K102" i="13"/>
  <c r="L102" i="13"/>
  <c r="M102" i="13"/>
  <c r="N102" i="13"/>
  <c r="O102" i="13"/>
  <c r="D123" i="13"/>
  <c r="E123" i="13"/>
  <c r="F123" i="13"/>
  <c r="J123" i="13"/>
  <c r="K123" i="13"/>
  <c r="L123" i="13"/>
  <c r="M123" i="13"/>
  <c r="N123" i="13"/>
  <c r="O123" i="13"/>
  <c r="D124" i="13"/>
  <c r="E124" i="13"/>
  <c r="F124" i="13"/>
  <c r="G124" i="13"/>
  <c r="H124" i="13"/>
  <c r="J124" i="13"/>
  <c r="K124" i="13"/>
  <c r="L124" i="13"/>
  <c r="M124" i="13"/>
  <c r="N124" i="13"/>
  <c r="O124" i="13"/>
  <c r="N104" i="13" l="1"/>
  <c r="G82" i="13"/>
  <c r="G103" i="13"/>
  <c r="F104" i="13"/>
  <c r="F103" i="13"/>
  <c r="M104" i="13"/>
  <c r="E104" i="13"/>
  <c r="J103" i="13"/>
  <c r="N103" i="13"/>
  <c r="F82" i="13"/>
  <c r="F107" i="13"/>
  <c r="E82" i="13"/>
  <c r="D104" i="13"/>
  <c r="E103" i="13"/>
  <c r="E13" i="13"/>
  <c r="E113" i="13" s="1"/>
  <c r="E107" i="13"/>
  <c r="E83" i="13"/>
  <c r="E90" i="13"/>
  <c r="L103" i="13"/>
  <c r="L104" i="13"/>
  <c r="M103" i="13"/>
  <c r="H104" i="13"/>
  <c r="F13" i="13"/>
  <c r="F113" i="13" s="1"/>
  <c r="F83" i="13"/>
  <c r="F90" i="13"/>
  <c r="O104" i="13"/>
  <c r="K104" i="13"/>
  <c r="G104" i="13"/>
  <c r="O103" i="13"/>
  <c r="K103" i="13"/>
  <c r="G90" i="13" l="1"/>
  <c r="G107" i="13"/>
  <c r="G83" i="13"/>
  <c r="G13" i="13"/>
  <c r="G113" i="13" s="1"/>
  <c r="E186" i="13"/>
  <c r="E190" i="13"/>
  <c r="F186" i="13"/>
  <c r="F190" i="13"/>
  <c r="E182" i="13"/>
  <c r="F182" i="13"/>
  <c r="F174" i="13"/>
  <c r="F178" i="13"/>
  <c r="E174" i="13"/>
  <c r="E178" i="13"/>
  <c r="F166" i="13"/>
  <c r="F170" i="13"/>
  <c r="E166" i="13"/>
  <c r="E170" i="13"/>
  <c r="F158" i="13"/>
  <c r="F162" i="13"/>
  <c r="E158" i="13"/>
  <c r="E162" i="13"/>
  <c r="E154" i="13"/>
  <c r="F154" i="13"/>
  <c r="F146" i="13"/>
  <c r="F150" i="13"/>
  <c r="E146" i="13"/>
  <c r="E150" i="13"/>
  <c r="E138" i="13"/>
  <c r="E142" i="13"/>
  <c r="F138" i="13"/>
  <c r="F142" i="13"/>
  <c r="F134" i="13"/>
  <c r="F130" i="13"/>
  <c r="E130" i="13"/>
  <c r="E134" i="13"/>
  <c r="F14" i="13"/>
  <c r="H90" i="13"/>
  <c r="J86" i="13"/>
  <c r="H88" i="13"/>
  <c r="D13" i="13"/>
  <c r="D113" i="13" s="1"/>
  <c r="D82" i="13"/>
  <c r="D107" i="13"/>
  <c r="D83" i="13"/>
  <c r="D90" i="13"/>
  <c r="G166" i="13" l="1"/>
  <c r="G186" i="13"/>
  <c r="G130" i="13"/>
  <c r="G154" i="13"/>
  <c r="G170" i="13"/>
  <c r="G182" i="13"/>
  <c r="G142" i="13"/>
  <c r="G14" i="13"/>
  <c r="G134" i="13"/>
  <c r="G138" i="13"/>
  <c r="G146" i="13"/>
  <c r="G158" i="13"/>
  <c r="G150" i="13"/>
  <c r="G174" i="13"/>
  <c r="G190" i="13"/>
  <c r="G162" i="13"/>
  <c r="G178" i="13"/>
  <c r="D186" i="13"/>
  <c r="D190" i="13"/>
  <c r="D182" i="13"/>
  <c r="D174" i="13"/>
  <c r="D178" i="13"/>
  <c r="D166" i="13"/>
  <c r="D170" i="13"/>
  <c r="D158" i="13"/>
  <c r="D162" i="13"/>
  <c r="D154" i="13"/>
  <c r="D146" i="13"/>
  <c r="D150" i="13"/>
  <c r="D138" i="13"/>
  <c r="D142" i="13"/>
  <c r="E14" i="13"/>
  <c r="D130" i="13"/>
  <c r="D134" i="13"/>
  <c r="D14" i="13"/>
  <c r="H13" i="13"/>
  <c r="H83" i="13"/>
  <c r="J87" i="13"/>
  <c r="J88" i="13"/>
  <c r="K87" i="13"/>
  <c r="J90" i="13"/>
  <c r="H154" i="13" l="1"/>
  <c r="H113" i="13"/>
  <c r="H186" i="13"/>
  <c r="H190" i="13"/>
  <c r="H182" i="13"/>
  <c r="H174" i="13"/>
  <c r="H178" i="13"/>
  <c r="H166" i="13"/>
  <c r="H170" i="13"/>
  <c r="H158" i="13"/>
  <c r="H162" i="13"/>
  <c r="H146" i="13"/>
  <c r="H150" i="13"/>
  <c r="H138" i="13"/>
  <c r="H142" i="13"/>
  <c r="H130" i="13"/>
  <c r="H134" i="13"/>
  <c r="J82" i="13"/>
  <c r="J83" i="13"/>
  <c r="J13" i="13"/>
  <c r="J154" i="13" l="1"/>
  <c r="J113" i="13"/>
  <c r="J186" i="13"/>
  <c r="J190" i="13"/>
  <c r="J182" i="13"/>
  <c r="J174" i="13"/>
  <c r="J178" i="13"/>
  <c r="J166" i="13"/>
  <c r="J170" i="13"/>
  <c r="J158" i="13"/>
  <c r="J162" i="13"/>
  <c r="J146" i="13"/>
  <c r="J150" i="13"/>
  <c r="J138" i="13"/>
  <c r="J142" i="13"/>
  <c r="J134" i="13"/>
  <c r="J130" i="13"/>
  <c r="J14" i="13"/>
  <c r="C26" i="13"/>
  <c r="C17" i="13" l="1"/>
  <c r="C306" i="13" s="1"/>
  <c r="C35" i="13"/>
  <c r="C39" i="13"/>
  <c r="C51" i="13"/>
  <c r="C47" i="13"/>
  <c r="C31" i="13"/>
  <c r="C43" i="13"/>
  <c r="C221" i="13"/>
  <c r="C6" i="13" l="1"/>
  <c r="C100" i="13" s="1"/>
  <c r="C252" i="13"/>
  <c r="C240" i="13"/>
  <c r="C248" i="13"/>
  <c r="C244" i="13"/>
  <c r="C268" i="13"/>
  <c r="C284" i="13"/>
  <c r="C310" i="13"/>
  <c r="C232" i="13"/>
  <c r="C256" i="13"/>
  <c r="C260" i="13"/>
  <c r="C272" i="13"/>
  <c r="C288" i="13"/>
  <c r="C236" i="13"/>
  <c r="C276" i="13"/>
  <c r="C264" i="13"/>
  <c r="C280" i="13"/>
  <c r="C292" i="13"/>
  <c r="C9" i="9" l="1"/>
  <c r="C15" i="13"/>
  <c r="C22" i="13"/>
  <c r="C11" i="13"/>
  <c r="C89" i="13"/>
  <c r="C95" i="13"/>
  <c r="C105" i="13"/>
  <c r="C19" i="13"/>
  <c r="C13" i="9" l="1"/>
  <c r="C11" i="9"/>
  <c r="C15" i="9" l="1"/>
  <c r="C21" i="9"/>
  <c r="C23" i="9" l="1"/>
  <c r="C29" i="9"/>
  <c r="C31" i="9" s="1"/>
  <c r="D46" i="13"/>
  <c r="E26" i="13"/>
  <c r="E31" i="13" s="1"/>
  <c r="F26" i="13"/>
  <c r="F35" i="13" s="1"/>
  <c r="G26" i="13"/>
  <c r="G31" i="13" s="1"/>
  <c r="D217" i="13"/>
  <c r="F197" i="13"/>
  <c r="G218" i="13"/>
  <c r="H218" i="13"/>
  <c r="K197" i="13"/>
  <c r="L218" i="13"/>
  <c r="M197" i="13"/>
  <c r="N218" i="13"/>
  <c r="O197" i="13"/>
  <c r="D225" i="13"/>
  <c r="E225" i="13"/>
  <c r="F225" i="13"/>
  <c r="J225" i="13"/>
  <c r="K225" i="13"/>
  <c r="L225" i="13"/>
  <c r="M225" i="13"/>
  <c r="N225" i="13"/>
  <c r="O225" i="13"/>
  <c r="E51" i="13" l="1"/>
  <c r="F218" i="13"/>
  <c r="E47" i="13"/>
  <c r="F46" i="13"/>
  <c r="F217" i="13"/>
  <c r="E218" i="13"/>
  <c r="E221" i="13"/>
  <c r="E197" i="13"/>
  <c r="F221" i="13"/>
  <c r="G46" i="13"/>
  <c r="J46" i="13"/>
  <c r="G204" i="13"/>
  <c r="G217" i="13"/>
  <c r="G47" i="13"/>
  <c r="F51" i="13"/>
  <c r="G27" i="13"/>
  <c r="G51" i="13"/>
  <c r="F47" i="13"/>
  <c r="M218" i="13"/>
  <c r="K218" i="13"/>
  <c r="O218" i="13"/>
  <c r="K217" i="13"/>
  <c r="M217" i="13"/>
  <c r="K46" i="13"/>
  <c r="N217" i="13"/>
  <c r="N46" i="13"/>
  <c r="O217" i="13"/>
  <c r="J217" i="13"/>
  <c r="O46" i="13"/>
  <c r="J218" i="13"/>
  <c r="O17" i="13"/>
  <c r="O306" i="13" s="1"/>
  <c r="O204" i="13"/>
  <c r="K17" i="13"/>
  <c r="K306" i="13" s="1"/>
  <c r="K204" i="13"/>
  <c r="L217" i="13"/>
  <c r="D197" i="13"/>
  <c r="D218" i="13"/>
  <c r="E217" i="13"/>
  <c r="L46" i="13"/>
  <c r="M46" i="13"/>
  <c r="D26" i="13"/>
  <c r="E27" i="13" s="1"/>
  <c r="E46" i="13"/>
  <c r="F204" i="13"/>
  <c r="F17" i="13"/>
  <c r="F306" i="13" s="1"/>
  <c r="M17" i="13"/>
  <c r="M306" i="13" s="1"/>
  <c r="M204" i="13"/>
  <c r="E17" i="13"/>
  <c r="E306" i="13" s="1"/>
  <c r="E204" i="13"/>
  <c r="F196" i="13"/>
  <c r="E43" i="13"/>
  <c r="E39" i="13"/>
  <c r="E35" i="13"/>
  <c r="F31" i="13"/>
  <c r="G43" i="13"/>
  <c r="G39" i="13"/>
  <c r="G35" i="13"/>
  <c r="F27" i="13"/>
  <c r="F43" i="13"/>
  <c r="F39" i="13"/>
  <c r="M99" i="13" l="1"/>
  <c r="N98" i="13"/>
  <c r="N99" i="13"/>
  <c r="K98" i="13"/>
  <c r="K99" i="13"/>
  <c r="O98" i="13"/>
  <c r="O99" i="13"/>
  <c r="K112" i="13"/>
  <c r="M112" i="13"/>
  <c r="N112" i="13"/>
  <c r="O112" i="13"/>
  <c r="K111" i="13"/>
  <c r="O111" i="13"/>
  <c r="N111" i="13"/>
  <c r="E196" i="13"/>
  <c r="G17" i="13"/>
  <c r="G221" i="13"/>
  <c r="G197" i="13"/>
  <c r="G196" i="13"/>
  <c r="M196" i="13"/>
  <c r="L197" i="13"/>
  <c r="N204" i="13"/>
  <c r="N197" i="13"/>
  <c r="N196" i="13"/>
  <c r="O196" i="13"/>
  <c r="N17" i="13"/>
  <c r="M232" i="13"/>
  <c r="M236" i="13"/>
  <c r="M240" i="13"/>
  <c r="M244" i="13"/>
  <c r="M248" i="13"/>
  <c r="M252" i="13"/>
  <c r="M256" i="13"/>
  <c r="M260" i="13"/>
  <c r="M264" i="13"/>
  <c r="M268" i="13"/>
  <c r="M272" i="13"/>
  <c r="M276" i="13"/>
  <c r="M280" i="13"/>
  <c r="M284" i="13"/>
  <c r="M288" i="13"/>
  <c r="M292" i="13"/>
  <c r="M310" i="13"/>
  <c r="D51" i="13"/>
  <c r="D31" i="13"/>
  <c r="D27" i="13"/>
  <c r="D43" i="13"/>
  <c r="D39" i="13"/>
  <c r="D35" i="13"/>
  <c r="D17" i="13"/>
  <c r="D196" i="13"/>
  <c r="D204" i="13"/>
  <c r="D221" i="13"/>
  <c r="F6" i="13"/>
  <c r="F18" i="13"/>
  <c r="F232" i="13"/>
  <c r="F236" i="13"/>
  <c r="F240" i="13"/>
  <c r="F244" i="13"/>
  <c r="F248" i="13"/>
  <c r="F252" i="13"/>
  <c r="F256" i="13"/>
  <c r="F260" i="13"/>
  <c r="F264" i="13"/>
  <c r="F268" i="13"/>
  <c r="F272" i="13"/>
  <c r="F276" i="13"/>
  <c r="F280" i="13"/>
  <c r="F284" i="13"/>
  <c r="F288" i="13"/>
  <c r="F292" i="13"/>
  <c r="F310" i="13"/>
  <c r="H33" i="13"/>
  <c r="L17" i="13"/>
  <c r="L196" i="13"/>
  <c r="L204" i="13"/>
  <c r="K232" i="13"/>
  <c r="K244" i="13"/>
  <c r="K260" i="13"/>
  <c r="K272" i="13"/>
  <c r="K264" i="13"/>
  <c r="K280" i="13"/>
  <c r="K240" i="13"/>
  <c r="K256" i="13"/>
  <c r="K268" i="13"/>
  <c r="K284" i="13"/>
  <c r="K310" i="13"/>
  <c r="K252" i="13"/>
  <c r="K236" i="13"/>
  <c r="K248" i="13"/>
  <c r="K276" i="13"/>
  <c r="K292" i="13"/>
  <c r="K288" i="13"/>
  <c r="E6" i="13"/>
  <c r="E232" i="13"/>
  <c r="E236" i="13"/>
  <c r="E240" i="13"/>
  <c r="E244" i="13"/>
  <c r="E248" i="13"/>
  <c r="E252" i="13"/>
  <c r="E256" i="13"/>
  <c r="E260" i="13"/>
  <c r="E264" i="13"/>
  <c r="E268" i="13"/>
  <c r="E272" i="13"/>
  <c r="E276" i="13"/>
  <c r="E280" i="13"/>
  <c r="E284" i="13"/>
  <c r="E288" i="13"/>
  <c r="E292" i="13"/>
  <c r="E310" i="13"/>
  <c r="D47" i="13"/>
  <c r="O236" i="13"/>
  <c r="O248" i="13"/>
  <c r="O276" i="13"/>
  <c r="O232" i="13"/>
  <c r="O244" i="13"/>
  <c r="O260" i="13"/>
  <c r="O272" i="13"/>
  <c r="O288" i="13"/>
  <c r="O284" i="13"/>
  <c r="O252" i="13"/>
  <c r="O264" i="13"/>
  <c r="O280" i="13"/>
  <c r="O310" i="13"/>
  <c r="O292" i="13"/>
  <c r="O240" i="13"/>
  <c r="O256" i="13"/>
  <c r="O268" i="13"/>
  <c r="E214" i="13" l="1"/>
  <c r="E301" i="13"/>
  <c r="F214" i="13"/>
  <c r="F301" i="13"/>
  <c r="G240" i="13"/>
  <c r="G306" i="13"/>
  <c r="M18" i="13"/>
  <c r="L306" i="13"/>
  <c r="E18" i="13"/>
  <c r="D306" i="13"/>
  <c r="N232" i="13"/>
  <c r="N306" i="13"/>
  <c r="L98" i="13"/>
  <c r="L99" i="13"/>
  <c r="M98" i="13"/>
  <c r="L112" i="13"/>
  <c r="E100" i="13"/>
  <c r="G260" i="13"/>
  <c r="G276" i="13"/>
  <c r="G268" i="13"/>
  <c r="G284" i="13"/>
  <c r="G280" i="13"/>
  <c r="G256" i="13"/>
  <c r="G288" i="13"/>
  <c r="G232" i="13"/>
  <c r="G264" i="13"/>
  <c r="G236" i="13"/>
  <c r="G18" i="13"/>
  <c r="G244" i="13"/>
  <c r="G248" i="13"/>
  <c r="G292" i="13"/>
  <c r="G272" i="13"/>
  <c r="G252" i="13"/>
  <c r="G310" i="13"/>
  <c r="G6" i="13"/>
  <c r="L111" i="13"/>
  <c r="M111" i="13"/>
  <c r="F19" i="13"/>
  <c r="F100" i="13"/>
  <c r="H204" i="13"/>
  <c r="H197" i="13"/>
  <c r="H196" i="13"/>
  <c r="N18" i="13"/>
  <c r="N264" i="13"/>
  <c r="N284" i="13"/>
  <c r="N310" i="13"/>
  <c r="N248" i="13"/>
  <c r="N280" i="13"/>
  <c r="N240" i="13"/>
  <c r="O18" i="13"/>
  <c r="N292" i="13"/>
  <c r="N268" i="13"/>
  <c r="N252" i="13"/>
  <c r="N236" i="13"/>
  <c r="N276" i="13"/>
  <c r="N256" i="13"/>
  <c r="N288" i="13"/>
  <c r="N272" i="13"/>
  <c r="N260" i="13"/>
  <c r="N244" i="13"/>
  <c r="E11" i="13"/>
  <c r="E15" i="13"/>
  <c r="E9" i="9"/>
  <c r="E22" i="13"/>
  <c r="E84" i="13"/>
  <c r="E89" i="13"/>
  <c r="E95" i="13"/>
  <c r="E105" i="13"/>
  <c r="E125" i="13"/>
  <c r="E203" i="13"/>
  <c r="E209" i="13"/>
  <c r="E227" i="13"/>
  <c r="E219" i="13"/>
  <c r="E198" i="13"/>
  <c r="H17" i="13"/>
  <c r="H306" i="13" s="1"/>
  <c r="D18" i="13"/>
  <c r="D6" i="13"/>
  <c r="D232" i="13"/>
  <c r="D236" i="13"/>
  <c r="D240" i="13"/>
  <c r="D244" i="13"/>
  <c r="D248" i="13"/>
  <c r="D252" i="13"/>
  <c r="D256" i="13"/>
  <c r="D260" i="13"/>
  <c r="D264" i="13"/>
  <c r="D268" i="13"/>
  <c r="D272" i="13"/>
  <c r="D276" i="13"/>
  <c r="D280" i="13"/>
  <c r="D284" i="13"/>
  <c r="D288" i="13"/>
  <c r="D292" i="13"/>
  <c r="D310" i="13"/>
  <c r="L18" i="13"/>
  <c r="L232" i="13"/>
  <c r="L236" i="13"/>
  <c r="L240" i="13"/>
  <c r="L244" i="13"/>
  <c r="L248" i="13"/>
  <c r="L252" i="13"/>
  <c r="L256" i="13"/>
  <c r="L260" i="13"/>
  <c r="L264" i="13"/>
  <c r="L268" i="13"/>
  <c r="L272" i="13"/>
  <c r="L276" i="13"/>
  <c r="L280" i="13"/>
  <c r="L284" i="13"/>
  <c r="L288" i="13"/>
  <c r="L292" i="13"/>
  <c r="L310" i="13"/>
  <c r="H26" i="13"/>
  <c r="E19" i="13"/>
  <c r="J200" i="13"/>
  <c r="J202" i="13" s="1"/>
  <c r="F9" i="9"/>
  <c r="F7" i="13"/>
  <c r="F22" i="13"/>
  <c r="F15" i="13"/>
  <c r="F203" i="13"/>
  <c r="F209" i="13"/>
  <c r="F11" i="13"/>
  <c r="F95" i="13"/>
  <c r="F89" i="13"/>
  <c r="F227" i="13"/>
  <c r="F105" i="13"/>
  <c r="F219" i="13"/>
  <c r="F125" i="13"/>
  <c r="F84" i="13"/>
  <c r="F198" i="13"/>
  <c r="H35" i="13" l="1"/>
  <c r="H27" i="13"/>
  <c r="D214" i="13"/>
  <c r="D301" i="13"/>
  <c r="G214" i="13"/>
  <c r="G301" i="13"/>
  <c r="G95" i="13"/>
  <c r="D100" i="13"/>
  <c r="G100" i="13"/>
  <c r="G203" i="13"/>
  <c r="G7" i="13"/>
  <c r="G19" i="13"/>
  <c r="G227" i="13"/>
  <c r="G219" i="13"/>
  <c r="G89" i="13"/>
  <c r="G15" i="13"/>
  <c r="G9" i="9"/>
  <c r="G11" i="9" s="1"/>
  <c r="G125" i="13"/>
  <c r="G84" i="13"/>
  <c r="G11" i="13"/>
  <c r="G198" i="13"/>
  <c r="G105" i="13"/>
  <c r="G209" i="13"/>
  <c r="G22" i="13"/>
  <c r="D11" i="13"/>
  <c r="D15" i="13"/>
  <c r="D9" i="9"/>
  <c r="D84" i="13"/>
  <c r="D89" i="13"/>
  <c r="D95" i="13"/>
  <c r="D105" i="13"/>
  <c r="D125" i="13"/>
  <c r="D22" i="13"/>
  <c r="D209" i="13"/>
  <c r="D219" i="13"/>
  <c r="D227" i="13"/>
  <c r="D203" i="13"/>
  <c r="D7" i="13"/>
  <c r="D198" i="13"/>
  <c r="F11" i="9"/>
  <c r="F13" i="9"/>
  <c r="E7" i="235"/>
  <c r="E8" i="235" s="1"/>
  <c r="E10" i="235" s="1"/>
  <c r="F10" i="9"/>
  <c r="H51" i="13"/>
  <c r="H31" i="13"/>
  <c r="H43" i="13"/>
  <c r="H39" i="13"/>
  <c r="H47" i="13"/>
  <c r="J201" i="13"/>
  <c r="J33" i="13"/>
  <c r="K201" i="13"/>
  <c r="J197" i="13"/>
  <c r="E7" i="13"/>
  <c r="D19" i="13"/>
  <c r="H6" i="13"/>
  <c r="H232" i="13"/>
  <c r="H236" i="13"/>
  <c r="H240" i="13"/>
  <c r="H244" i="13"/>
  <c r="H248" i="13"/>
  <c r="H252" i="13"/>
  <c r="H256" i="13"/>
  <c r="H260" i="13"/>
  <c r="H264" i="13"/>
  <c r="H268" i="13"/>
  <c r="H272" i="13"/>
  <c r="H276" i="13"/>
  <c r="H280" i="13"/>
  <c r="H284" i="13"/>
  <c r="H288" i="13"/>
  <c r="H292" i="13"/>
  <c r="H310" i="13"/>
  <c r="E11" i="9"/>
  <c r="E13" i="9"/>
  <c r="D7" i="235"/>
  <c r="D8" i="235" s="1"/>
  <c r="D10" i="235" s="1"/>
  <c r="H214" i="13" l="1"/>
  <c r="H301" i="13"/>
  <c r="G13" i="9"/>
  <c r="G15" i="9" s="1"/>
  <c r="G10" i="9"/>
  <c r="F7" i="235"/>
  <c r="F8" i="235" s="1"/>
  <c r="F10" i="235" s="1"/>
  <c r="H22" i="13"/>
  <c r="H100" i="13"/>
  <c r="H11" i="13"/>
  <c r="H15" i="13"/>
  <c r="H84" i="13"/>
  <c r="H89" i="13"/>
  <c r="H95" i="13"/>
  <c r="H105" i="13"/>
  <c r="H125" i="13"/>
  <c r="H9" i="9"/>
  <c r="H209" i="13"/>
  <c r="H219" i="13"/>
  <c r="H227" i="13"/>
  <c r="H203" i="13"/>
  <c r="H198" i="13"/>
  <c r="J26" i="13"/>
  <c r="J34" i="13"/>
  <c r="K34" i="13"/>
  <c r="F14" i="9"/>
  <c r="F21" i="9"/>
  <c r="F15" i="9"/>
  <c r="E15" i="9"/>
  <c r="E21" i="9"/>
  <c r="J17" i="13"/>
  <c r="J306" i="13" s="1"/>
  <c r="J196" i="13"/>
  <c r="K196" i="13"/>
  <c r="D11" i="9"/>
  <c r="D13" i="9"/>
  <c r="D10" i="9"/>
  <c r="H19" i="13"/>
  <c r="J204" i="13"/>
  <c r="G14" i="9" l="1"/>
  <c r="G21" i="9"/>
  <c r="G23" i="9" s="1"/>
  <c r="I9" i="9"/>
  <c r="I26" i="16"/>
  <c r="J39" i="13"/>
  <c r="J43" i="13"/>
  <c r="J27" i="13"/>
  <c r="J31" i="13"/>
  <c r="J47" i="13"/>
  <c r="J51" i="13"/>
  <c r="G7" i="235"/>
  <c r="G8" i="235" s="1"/>
  <c r="G10" i="235" s="1"/>
  <c r="H11" i="9"/>
  <c r="H13" i="9"/>
  <c r="D15" i="9"/>
  <c r="D21" i="9"/>
  <c r="D14" i="9"/>
  <c r="F22" i="9"/>
  <c r="F23" i="9"/>
  <c r="F29" i="9"/>
  <c r="J6" i="13"/>
  <c r="J18" i="13"/>
  <c r="J232" i="13"/>
  <c r="J236" i="13"/>
  <c r="J240" i="13"/>
  <c r="J244" i="13"/>
  <c r="J248" i="13"/>
  <c r="J252" i="13"/>
  <c r="J256" i="13"/>
  <c r="J260" i="13"/>
  <c r="J264" i="13"/>
  <c r="J268" i="13"/>
  <c r="J272" i="13"/>
  <c r="J276" i="13"/>
  <c r="J280" i="13"/>
  <c r="J284" i="13"/>
  <c r="J288" i="13"/>
  <c r="J292" i="13"/>
  <c r="J310" i="13"/>
  <c r="K18" i="13"/>
  <c r="E29" i="9"/>
  <c r="E31" i="9" s="1"/>
  <c r="E23" i="9"/>
  <c r="J35" i="13"/>
  <c r="J214" i="13" l="1"/>
  <c r="J301" i="13"/>
  <c r="G22" i="9"/>
  <c r="G29" i="9"/>
  <c r="G31" i="9" s="1"/>
  <c r="J100" i="13"/>
  <c r="J9" i="9"/>
  <c r="J26" i="16"/>
  <c r="J209" i="13"/>
  <c r="J15" i="13"/>
  <c r="J7" i="13"/>
  <c r="J105" i="13"/>
  <c r="J95" i="13"/>
  <c r="J227" i="13"/>
  <c r="J11" i="13"/>
  <c r="J84" i="13"/>
  <c r="J125" i="13"/>
  <c r="J219" i="13"/>
  <c r="J89" i="13"/>
  <c r="J203" i="13"/>
  <c r="J198" i="13"/>
  <c r="F31" i="9"/>
  <c r="F30" i="9"/>
  <c r="D22" i="9"/>
  <c r="D23" i="9"/>
  <c r="D29" i="9"/>
  <c r="J19" i="13"/>
  <c r="H15" i="9"/>
  <c r="H21" i="9"/>
  <c r="I11" i="9"/>
  <c r="I13" i="9"/>
  <c r="G30" i="9" l="1"/>
  <c r="D30" i="9"/>
  <c r="D31" i="9"/>
  <c r="J10" i="9"/>
  <c r="J11" i="9"/>
  <c r="J13" i="9"/>
  <c r="I15" i="9"/>
  <c r="I21" i="9"/>
  <c r="H23" i="9"/>
  <c r="H29" i="9"/>
  <c r="H31" i="9" s="1"/>
  <c r="J14" i="16"/>
  <c r="J18" i="16" s="1"/>
  <c r="I23" i="9" l="1"/>
  <c r="I29" i="9"/>
  <c r="I31" i="9" s="1"/>
  <c r="J14" i="9"/>
  <c r="J15" i="9"/>
  <c r="J21" i="9"/>
  <c r="F32" i="379"/>
  <c r="I32" i="379" s="1"/>
  <c r="J22" i="9" l="1"/>
  <c r="J23" i="9"/>
  <c r="J29" i="9"/>
  <c r="H32" i="379"/>
  <c r="K32" i="379" s="1"/>
  <c r="J30" i="9" l="1"/>
  <c r="J31" i="9"/>
  <c r="G32" i="379"/>
  <c r="J32" i="379" s="1"/>
  <c r="L110" i="13" l="1"/>
  <c r="L97" i="13"/>
  <c r="K110" i="13"/>
  <c r="K97" i="13"/>
  <c r="N110" i="13"/>
  <c r="N97" i="13"/>
  <c r="O110" i="13"/>
  <c r="O97" i="13"/>
  <c r="M110" i="13"/>
  <c r="M97" i="13"/>
  <c r="K80" i="415"/>
  <c r="L86" i="415"/>
  <c r="M86" i="415" s="1"/>
  <c r="K102" i="415" l="1"/>
  <c r="K103" i="415" s="1"/>
  <c r="K106" i="415"/>
  <c r="K107" i="415" s="1"/>
  <c r="K81" i="415"/>
  <c r="K98" i="415"/>
  <c r="M80" i="415"/>
  <c r="N86" i="415"/>
  <c r="O86" i="415" s="1"/>
  <c r="O80" i="415" s="1"/>
  <c r="O106" i="415" s="1"/>
  <c r="L80" i="415"/>
  <c r="L106" i="415" s="1"/>
  <c r="L107" i="415" s="1"/>
  <c r="K10" i="415"/>
  <c r="K82" i="415"/>
  <c r="K94" i="415"/>
  <c r="M102" i="415" l="1"/>
  <c r="M106" i="415"/>
  <c r="M107" i="415" s="1"/>
  <c r="O98" i="415"/>
  <c r="O102" i="415"/>
  <c r="L98" i="415"/>
  <c r="L99" i="415" s="1"/>
  <c r="L102" i="415"/>
  <c r="L103" i="415" s="1"/>
  <c r="M10" i="415"/>
  <c r="M12" i="415" s="1"/>
  <c r="M98" i="415"/>
  <c r="L94" i="415"/>
  <c r="L18" i="415" s="1"/>
  <c r="L81" i="415"/>
  <c r="L10" i="415"/>
  <c r="L12" i="415" s="1"/>
  <c r="M89" i="415"/>
  <c r="N80" i="415"/>
  <c r="N106" i="415" s="1"/>
  <c r="M81" i="415"/>
  <c r="M82" i="415"/>
  <c r="M94" i="415"/>
  <c r="M18" i="415" s="1"/>
  <c r="L82" i="415"/>
  <c r="M14" i="415"/>
  <c r="K22" i="415"/>
  <c r="K99" i="415"/>
  <c r="K95" i="415"/>
  <c r="K18" i="415"/>
  <c r="K89" i="415"/>
  <c r="K14" i="415"/>
  <c r="K11" i="415"/>
  <c r="K12" i="415"/>
  <c r="L89" i="415"/>
  <c r="L14" i="415"/>
  <c r="O82" i="415"/>
  <c r="O10" i="415"/>
  <c r="O94" i="415"/>
  <c r="K30" i="415"/>
  <c r="K26" i="415"/>
  <c r="K76" i="415"/>
  <c r="N107" i="415" l="1"/>
  <c r="M99" i="415"/>
  <c r="O107" i="415"/>
  <c r="L26" i="415"/>
  <c r="L27" i="415" s="1"/>
  <c r="N98" i="415"/>
  <c r="O99" i="415" s="1"/>
  <c r="N102" i="415"/>
  <c r="N103" i="415" s="1"/>
  <c r="M103" i="415"/>
  <c r="M22" i="415"/>
  <c r="M6" i="415" s="1"/>
  <c r="N99" i="415"/>
  <c r="L95" i="415"/>
  <c r="L30" i="415"/>
  <c r="L32" i="415" s="1"/>
  <c r="M11" i="415"/>
  <c r="L11" i="415"/>
  <c r="N94" i="415"/>
  <c r="N95" i="415" s="1"/>
  <c r="M95" i="415"/>
  <c r="O81" i="415"/>
  <c r="N10" i="415"/>
  <c r="N12" i="415" s="1"/>
  <c r="N82" i="415"/>
  <c r="K6" i="415"/>
  <c r="K7" i="415" s="1"/>
  <c r="M76" i="415"/>
  <c r="M92" i="13" s="1"/>
  <c r="L22" i="415"/>
  <c r="L24" i="415" s="1"/>
  <c r="L76" i="415"/>
  <c r="L92" i="13" s="1"/>
  <c r="N81" i="415"/>
  <c r="M30" i="415"/>
  <c r="M26" i="415"/>
  <c r="O18" i="415"/>
  <c r="O12" i="415"/>
  <c r="L15" i="415"/>
  <c r="L16" i="415"/>
  <c r="K27" i="415"/>
  <c r="K28" i="415"/>
  <c r="M19" i="415"/>
  <c r="M20" i="415"/>
  <c r="O26" i="415"/>
  <c r="O22" i="415"/>
  <c r="M24" i="415"/>
  <c r="K16" i="415"/>
  <c r="K15" i="415"/>
  <c r="L20" i="415"/>
  <c r="L19" i="415"/>
  <c r="N22" i="415"/>
  <c r="O89" i="415"/>
  <c r="O14" i="415"/>
  <c r="O30" i="415"/>
  <c r="K23" i="415"/>
  <c r="K24" i="415"/>
  <c r="K77" i="415"/>
  <c r="K52" i="415"/>
  <c r="K51" i="415" s="1"/>
  <c r="K78" i="415"/>
  <c r="K92" i="13"/>
  <c r="N14" i="415"/>
  <c r="N89" i="415"/>
  <c r="K32" i="415"/>
  <c r="K31" i="415"/>
  <c r="O76" i="415"/>
  <c r="K20" i="415"/>
  <c r="K19" i="415"/>
  <c r="M15" i="415"/>
  <c r="M16" i="415"/>
  <c r="L28" i="415" l="1"/>
  <c r="O103" i="415"/>
  <c r="L31" i="415"/>
  <c r="N30" i="415"/>
  <c r="O31" i="415" s="1"/>
  <c r="M77" i="415"/>
  <c r="O95" i="415"/>
  <c r="N18" i="415"/>
  <c r="O19" i="415" s="1"/>
  <c r="K8" i="415"/>
  <c r="O11" i="415"/>
  <c r="N76" i="415"/>
  <c r="N92" i="13" s="1"/>
  <c r="L6" i="415"/>
  <c r="L7" i="415" s="1"/>
  <c r="M23" i="415"/>
  <c r="N11" i="415"/>
  <c r="L23" i="415"/>
  <c r="L77" i="415"/>
  <c r="N26" i="415"/>
  <c r="N27" i="415" s="1"/>
  <c r="M52" i="415"/>
  <c r="M51" i="415" s="1"/>
  <c r="M78" i="415"/>
  <c r="L78" i="415"/>
  <c r="L52" i="415"/>
  <c r="L51" i="415" s="1"/>
  <c r="M31" i="415"/>
  <c r="M32" i="415"/>
  <c r="M27" i="415"/>
  <c r="M28" i="415"/>
  <c r="L81" i="13"/>
  <c r="L37" i="13"/>
  <c r="L93" i="13"/>
  <c r="L94" i="13"/>
  <c r="O78" i="415"/>
  <c r="O92" i="13"/>
  <c r="O52" i="415"/>
  <c r="O51" i="415" s="1"/>
  <c r="O32" i="415"/>
  <c r="N23" i="415"/>
  <c r="N24" i="415"/>
  <c r="O24" i="415"/>
  <c r="O23" i="415"/>
  <c r="O6" i="415"/>
  <c r="M8" i="415"/>
  <c r="K37" i="13"/>
  <c r="K81" i="13"/>
  <c r="K93" i="13"/>
  <c r="K94" i="13"/>
  <c r="O28" i="415"/>
  <c r="O20" i="415"/>
  <c r="N15" i="415"/>
  <c r="N16" i="415"/>
  <c r="O16" i="415"/>
  <c r="O15" i="415"/>
  <c r="M81" i="13"/>
  <c r="M94" i="13"/>
  <c r="M37" i="13"/>
  <c r="M93" i="13"/>
  <c r="O77" i="415" l="1"/>
  <c r="N20" i="415"/>
  <c r="N19" i="415"/>
  <c r="N31" i="415"/>
  <c r="N32" i="415"/>
  <c r="N78" i="415"/>
  <c r="N77" i="415"/>
  <c r="N52" i="415"/>
  <c r="N51" i="415" s="1"/>
  <c r="N6" i="415"/>
  <c r="N8" i="415" s="1"/>
  <c r="L8" i="415"/>
  <c r="M7" i="415"/>
  <c r="N28" i="415"/>
  <c r="O27" i="415"/>
  <c r="M26" i="13"/>
  <c r="M39" i="13" s="1"/>
  <c r="M38" i="13"/>
  <c r="K13" i="13"/>
  <c r="K83" i="13"/>
  <c r="K82" i="13"/>
  <c r="K90" i="13"/>
  <c r="O8" i="415"/>
  <c r="O37" i="13"/>
  <c r="O94" i="13"/>
  <c r="O81" i="13"/>
  <c r="O93" i="13"/>
  <c r="K26" i="13"/>
  <c r="K38" i="13"/>
  <c r="L38" i="13"/>
  <c r="L26" i="13"/>
  <c r="M13" i="13"/>
  <c r="M90" i="13"/>
  <c r="M83" i="13"/>
  <c r="M82" i="13"/>
  <c r="N93" i="13"/>
  <c r="N81" i="13"/>
  <c r="N37" i="13"/>
  <c r="N94" i="13"/>
  <c r="N7" i="415"/>
  <c r="L82" i="13"/>
  <c r="L90" i="13"/>
  <c r="L13" i="13"/>
  <c r="L83" i="13"/>
  <c r="O7" i="415" l="1"/>
  <c r="O13" i="13"/>
  <c r="O83" i="13"/>
  <c r="O90" i="13"/>
  <c r="O82" i="13"/>
  <c r="K47" i="13"/>
  <c r="K43" i="13"/>
  <c r="K27" i="13"/>
  <c r="K31" i="13"/>
  <c r="K35" i="13"/>
  <c r="K51" i="13"/>
  <c r="K130" i="13"/>
  <c r="K146" i="13"/>
  <c r="K162" i="13"/>
  <c r="K178" i="13"/>
  <c r="K6" i="13"/>
  <c r="K15" i="13" s="1"/>
  <c r="K166" i="13"/>
  <c r="K170" i="13"/>
  <c r="K174" i="13"/>
  <c r="K138" i="13"/>
  <c r="K14" i="13"/>
  <c r="K186" i="13"/>
  <c r="K190" i="13"/>
  <c r="K150" i="13"/>
  <c r="K154" i="13"/>
  <c r="K158" i="13"/>
  <c r="K134" i="13"/>
  <c r="K142" i="13"/>
  <c r="K113" i="13"/>
  <c r="K182" i="13"/>
  <c r="O26" i="13"/>
  <c r="O38" i="13"/>
  <c r="L6" i="13"/>
  <c r="L142" i="13"/>
  <c r="L158" i="13"/>
  <c r="L174" i="13"/>
  <c r="L190" i="13"/>
  <c r="L14" i="13"/>
  <c r="L113" i="13"/>
  <c r="L178" i="13"/>
  <c r="L182" i="13"/>
  <c r="L186" i="13"/>
  <c r="L146" i="13"/>
  <c r="L150" i="13"/>
  <c r="L134" i="13"/>
  <c r="L162" i="13"/>
  <c r="L166" i="13"/>
  <c r="L170" i="13"/>
  <c r="L154" i="13"/>
  <c r="L130" i="13"/>
  <c r="L138" i="13"/>
  <c r="L35" i="13"/>
  <c r="L43" i="13"/>
  <c r="L47" i="13"/>
  <c r="L51" i="13"/>
  <c r="L27" i="13"/>
  <c r="L31" i="13"/>
  <c r="N13" i="13"/>
  <c r="N82" i="13"/>
  <c r="N83" i="13"/>
  <c r="N90" i="13"/>
  <c r="L39" i="13"/>
  <c r="N38" i="13"/>
  <c r="N26" i="13"/>
  <c r="M14" i="13"/>
  <c r="M113" i="13"/>
  <c r="M138" i="13"/>
  <c r="M154" i="13"/>
  <c r="M170" i="13"/>
  <c r="M186" i="13"/>
  <c r="M6" i="13"/>
  <c r="M15" i="13" s="1"/>
  <c r="M130" i="13"/>
  <c r="M134" i="13"/>
  <c r="M190" i="13"/>
  <c r="M158" i="13"/>
  <c r="M142" i="13"/>
  <c r="M174" i="13"/>
  <c r="M178" i="13"/>
  <c r="M182" i="13"/>
  <c r="M162" i="13"/>
  <c r="M166" i="13"/>
  <c r="M146" i="13"/>
  <c r="M150" i="13"/>
  <c r="K39" i="13"/>
  <c r="M31" i="13"/>
  <c r="M43" i="13"/>
  <c r="M47" i="13"/>
  <c r="M51" i="13"/>
  <c r="M27" i="13"/>
  <c r="M35" i="13"/>
  <c r="N27" i="13" l="1"/>
  <c r="N51" i="13"/>
  <c r="N35" i="13"/>
  <c r="N31" i="13"/>
  <c r="N43" i="13"/>
  <c r="N47" i="13"/>
  <c r="O47" i="13"/>
  <c r="O27" i="13"/>
  <c r="O31" i="13"/>
  <c r="O35" i="13"/>
  <c r="O43" i="13"/>
  <c r="O51" i="13"/>
  <c r="K9" i="9"/>
  <c r="K100" i="13"/>
  <c r="K198" i="13"/>
  <c r="K219" i="13"/>
  <c r="K11" i="13"/>
  <c r="K203" i="13"/>
  <c r="K214" i="13"/>
  <c r="K19" i="13"/>
  <c r="K105" i="13"/>
  <c r="K125" i="13"/>
  <c r="K26" i="16"/>
  <c r="K15" i="16" s="1"/>
  <c r="K14" i="16" s="1"/>
  <c r="K18" i="16" s="1"/>
  <c r="K19" i="16" s="1"/>
  <c r="I14" i="235" s="1"/>
  <c r="K89" i="13"/>
  <c r="K227" i="13"/>
  <c r="K301" i="13"/>
  <c r="K7" i="13"/>
  <c r="K209" i="13"/>
  <c r="K95" i="13"/>
  <c r="K84" i="13"/>
  <c r="L26" i="16"/>
  <c r="L15" i="16" s="1"/>
  <c r="L14" i="16" s="1"/>
  <c r="L18" i="16" s="1"/>
  <c r="L11" i="13"/>
  <c r="L19" i="13"/>
  <c r="L9" i="9"/>
  <c r="L7" i="13"/>
  <c r="L125" i="13"/>
  <c r="L214" i="13"/>
  <c r="L100" i="13"/>
  <c r="L105" i="13"/>
  <c r="L227" i="13"/>
  <c r="L198" i="13"/>
  <c r="L209" i="13"/>
  <c r="L89" i="13"/>
  <c r="L219" i="13"/>
  <c r="L301" i="13"/>
  <c r="L203" i="13"/>
  <c r="L95" i="13"/>
  <c r="L84" i="13"/>
  <c r="N6" i="13"/>
  <c r="N14" i="13"/>
  <c r="N134" i="13"/>
  <c r="N150" i="13"/>
  <c r="N166" i="13"/>
  <c r="N182" i="13"/>
  <c r="N138" i="13"/>
  <c r="N142" i="13"/>
  <c r="N146" i="13"/>
  <c r="N170" i="13"/>
  <c r="N178" i="13"/>
  <c r="N154" i="13"/>
  <c r="N162" i="13"/>
  <c r="N113" i="13"/>
  <c r="N130" i="13"/>
  <c r="N186" i="13"/>
  <c r="N190" i="13"/>
  <c r="N174" i="13"/>
  <c r="N158" i="13"/>
  <c r="O39" i="13"/>
  <c r="M9" i="9"/>
  <c r="M26" i="16"/>
  <c r="M15" i="16" s="1"/>
  <c r="M14" i="16" s="1"/>
  <c r="M18" i="16" s="1"/>
  <c r="M7" i="13"/>
  <c r="M11" i="13"/>
  <c r="M89" i="13"/>
  <c r="M209" i="13"/>
  <c r="M301" i="13"/>
  <c r="M19" i="13"/>
  <c r="M125" i="13"/>
  <c r="M198" i="13"/>
  <c r="M203" i="13"/>
  <c r="M219" i="13"/>
  <c r="M100" i="13"/>
  <c r="M105" i="13"/>
  <c r="M214" i="13"/>
  <c r="M227" i="13"/>
  <c r="M95" i="13"/>
  <c r="M84" i="13"/>
  <c r="N39" i="13"/>
  <c r="L15" i="13"/>
  <c r="O130" i="13"/>
  <c r="O146" i="13"/>
  <c r="O162" i="13"/>
  <c r="O178" i="13"/>
  <c r="O14" i="13"/>
  <c r="O150" i="13"/>
  <c r="O154" i="13"/>
  <c r="O158" i="13"/>
  <c r="O186" i="13"/>
  <c r="O174" i="13"/>
  <c r="O6" i="13"/>
  <c r="O134" i="13"/>
  <c r="O138" i="13"/>
  <c r="O142" i="13"/>
  <c r="O113" i="13"/>
  <c r="O182" i="13"/>
  <c r="O190" i="13"/>
  <c r="O166" i="13"/>
  <c r="O170" i="13"/>
  <c r="L19" i="16" l="1"/>
  <c r="J14" i="235" s="1"/>
  <c r="M19" i="16"/>
  <c r="K14" i="235" s="1"/>
  <c r="K7" i="235"/>
  <c r="K8" i="235" s="1"/>
  <c r="K10" i="235" s="1"/>
  <c r="M13" i="9"/>
  <c r="M11" i="9"/>
  <c r="M10" i="9"/>
  <c r="L10" i="9"/>
  <c r="L11" i="9"/>
  <c r="L13" i="9"/>
  <c r="J7" i="235"/>
  <c r="J8" i="235" s="1"/>
  <c r="J10" i="235" s="1"/>
  <c r="O100" i="13"/>
  <c r="O198" i="13"/>
  <c r="O219" i="13"/>
  <c r="O26" i="16"/>
  <c r="O19" i="13"/>
  <c r="O89" i="13"/>
  <c r="O227" i="13"/>
  <c r="O301" i="13"/>
  <c r="O105" i="13"/>
  <c r="O125" i="13"/>
  <c r="O7" i="13"/>
  <c r="O11" i="13"/>
  <c r="O203" i="13"/>
  <c r="O209" i="13"/>
  <c r="O214" i="13"/>
  <c r="O9" i="9"/>
  <c r="O95" i="13"/>
  <c r="O84" i="13"/>
  <c r="N26" i="16"/>
  <c r="N15" i="16" s="1"/>
  <c r="N14" i="16" s="1"/>
  <c r="N18" i="16" s="1"/>
  <c r="N19" i="16" s="1"/>
  <c r="L14" i="235" s="1"/>
  <c r="N19" i="13"/>
  <c r="N105" i="13"/>
  <c r="N203" i="13"/>
  <c r="N227" i="13"/>
  <c r="N9" i="9"/>
  <c r="N7" i="13"/>
  <c r="N11" i="13"/>
  <c r="N209" i="13"/>
  <c r="N214" i="13"/>
  <c r="N219" i="13"/>
  <c r="N89" i="13"/>
  <c r="N301" i="13"/>
  <c r="N125" i="13"/>
  <c r="N198" i="13"/>
  <c r="N100" i="13"/>
  <c r="N95" i="13"/>
  <c r="N84" i="13"/>
  <c r="K11" i="9"/>
  <c r="K10" i="9"/>
  <c r="K13" i="9"/>
  <c r="I7" i="235"/>
  <c r="I8" i="235" s="1"/>
  <c r="I10" i="235" s="1"/>
  <c r="O15" i="13"/>
  <c r="N15" i="13"/>
  <c r="M14" i="9" l="1"/>
  <c r="M15" i="9"/>
  <c r="M21" i="9"/>
  <c r="K11" i="235"/>
  <c r="K12" i="235" s="1"/>
  <c r="K16" i="235" s="1"/>
  <c r="K19" i="235" s="1"/>
  <c r="I11" i="235"/>
  <c r="I12" i="235" s="1"/>
  <c r="I16" i="235" s="1"/>
  <c r="I19" i="235" s="1"/>
  <c r="N13" i="9"/>
  <c r="L7" i="235"/>
  <c r="L8" i="235" s="1"/>
  <c r="L10" i="235" s="1"/>
  <c r="N10" i="9"/>
  <c r="N11" i="9"/>
  <c r="O11" i="9"/>
  <c r="M7" i="235"/>
  <c r="O10" i="9"/>
  <c r="O13" i="9"/>
  <c r="O15" i="16"/>
  <c r="O14" i="16" s="1"/>
  <c r="O18" i="16" s="1"/>
  <c r="O19" i="16" s="1"/>
  <c r="M14" i="235" s="1"/>
  <c r="P26" i="16"/>
  <c r="P15" i="16" s="1"/>
  <c r="P14" i="16" s="1"/>
  <c r="P18" i="16" s="1"/>
  <c r="P19" i="16" s="1"/>
  <c r="N14" i="235" s="1"/>
  <c r="J11" i="235"/>
  <c r="J12" i="235" s="1"/>
  <c r="J16" i="235" s="1"/>
  <c r="J19" i="235" s="1"/>
  <c r="K21" i="9"/>
  <c r="K15" i="9"/>
  <c r="K14" i="9"/>
  <c r="L15" i="9"/>
  <c r="L14" i="9"/>
  <c r="L21" i="9"/>
  <c r="L29" i="9" l="1"/>
  <c r="L22" i="9"/>
  <c r="L23" i="9"/>
  <c r="M8" i="235"/>
  <c r="M10" i="235" s="1"/>
  <c r="N7" i="235"/>
  <c r="N8" i="235" s="1"/>
  <c r="N10" i="235" s="1"/>
  <c r="L11" i="235"/>
  <c r="L12" i="235" s="1"/>
  <c r="L16" i="235" s="1"/>
  <c r="L19" i="235" s="1"/>
  <c r="K29" i="9"/>
  <c r="K23" i="9"/>
  <c r="K22" i="9"/>
  <c r="N14" i="9"/>
  <c r="N15" i="9"/>
  <c r="N21" i="9"/>
  <c r="O21" i="9"/>
  <c r="O15" i="9"/>
  <c r="O14" i="9"/>
  <c r="M23" i="9"/>
  <c r="M22" i="9"/>
  <c r="M29" i="9"/>
  <c r="O23" i="9" l="1"/>
  <c r="O22" i="9"/>
  <c r="O29" i="9"/>
  <c r="N22" i="9"/>
  <c r="N23" i="9"/>
  <c r="N29" i="9"/>
  <c r="N11" i="235"/>
  <c r="N12" i="235" s="1"/>
  <c r="N16" i="235" s="1"/>
  <c r="N19" i="235" s="1"/>
  <c r="I21" i="235" s="1"/>
  <c r="L30" i="9"/>
  <c r="L31" i="9"/>
  <c r="M31" i="9"/>
  <c r="M30" i="9"/>
  <c r="K30" i="9"/>
  <c r="K31" i="9"/>
  <c r="M11" i="235"/>
  <c r="M12" i="235" s="1"/>
  <c r="M16" i="235" s="1"/>
  <c r="M19" i="235" s="1"/>
  <c r="I20" i="235" s="1"/>
  <c r="I22" i="235" l="1"/>
  <c r="H30" i="235" s="1"/>
  <c r="O30" i="9"/>
  <c r="O31" i="9"/>
  <c r="N31" i="9"/>
  <c r="N30" i="9"/>
</calcChain>
</file>

<file path=xl/comments1.xml><?xml version="1.0" encoding="utf-8"?>
<comments xmlns="http://schemas.openxmlformats.org/spreadsheetml/2006/main">
  <authors>
    <author xml:space="preserve">Kim, Nam Hong </author>
  </authors>
  <commentList>
    <comment ref="K129" authorId="0" shapeId="0">
      <text>
        <r>
          <rPr>
            <b/>
            <sz val="9"/>
            <color indexed="81"/>
            <rFont val="Tahoma"/>
            <family val="2"/>
          </rPr>
          <t>Kim, Nam Hong :</t>
        </r>
        <r>
          <rPr>
            <sz val="9"/>
            <color indexed="81"/>
            <rFont val="Tahoma"/>
            <family val="2"/>
          </rPr>
          <t xml:space="preserve">
</t>
        </r>
        <r>
          <rPr>
            <sz val="9"/>
            <color indexed="81"/>
            <rFont val="돋움"/>
            <family val="3"/>
            <charset val="129"/>
          </rPr>
          <t>대내</t>
        </r>
        <r>
          <rPr>
            <sz val="9"/>
            <color indexed="81"/>
            <rFont val="Tahoma"/>
            <family val="2"/>
          </rPr>
          <t xml:space="preserve"> </t>
        </r>
        <r>
          <rPr>
            <sz val="9"/>
            <color indexed="81"/>
            <rFont val="돋움"/>
            <family val="3"/>
            <charset val="129"/>
          </rPr>
          <t>공사</t>
        </r>
        <r>
          <rPr>
            <sz val="9"/>
            <color indexed="81"/>
            <rFont val="Tahoma"/>
            <family val="2"/>
          </rPr>
          <t xml:space="preserve"> </t>
        </r>
        <r>
          <rPr>
            <sz val="9"/>
            <color indexed="81"/>
            <rFont val="돋움"/>
            <family val="3"/>
            <charset val="129"/>
          </rPr>
          <t>추가</t>
        </r>
      </text>
    </comment>
  </commentList>
</comments>
</file>

<file path=xl/comments2.xml><?xml version="1.0" encoding="utf-8"?>
<comments xmlns="http://schemas.openxmlformats.org/spreadsheetml/2006/main">
  <authors>
    <author xml:space="preserve">Kim, Nam Hong </author>
  </authors>
  <commentList>
    <comment ref="C93" authorId="0" shapeId="0">
      <text>
        <r>
          <rPr>
            <b/>
            <sz val="9"/>
            <color indexed="81"/>
            <rFont val="Tahoma"/>
            <family val="2"/>
          </rPr>
          <t>Kim, Nam Hong :</t>
        </r>
        <r>
          <rPr>
            <sz val="9"/>
            <color indexed="81"/>
            <rFont val="Tahoma"/>
            <family val="2"/>
          </rPr>
          <t xml:space="preserve">
</t>
        </r>
        <r>
          <rPr>
            <sz val="9"/>
            <color indexed="81"/>
            <rFont val="돋움"/>
            <family val="3"/>
            <charset val="129"/>
          </rPr>
          <t>회사내부</t>
        </r>
        <r>
          <rPr>
            <sz val="9"/>
            <color indexed="81"/>
            <rFont val="Tahoma"/>
            <family val="2"/>
          </rPr>
          <t xml:space="preserve"> </t>
        </r>
        <r>
          <rPr>
            <sz val="9"/>
            <color indexed="81"/>
            <rFont val="돋움"/>
            <family val="3"/>
            <charset val="129"/>
          </rPr>
          <t>프로세스</t>
        </r>
        <r>
          <rPr>
            <sz val="9"/>
            <color indexed="81"/>
            <rFont val="Tahoma"/>
            <family val="2"/>
          </rPr>
          <t xml:space="preserve"> </t>
        </r>
        <r>
          <rPr>
            <sz val="9"/>
            <color indexed="81"/>
            <rFont val="돋움"/>
            <family val="3"/>
            <charset val="129"/>
          </rPr>
          <t>정비</t>
        </r>
        <r>
          <rPr>
            <sz val="9"/>
            <color indexed="81"/>
            <rFont val="Tahoma"/>
            <family val="2"/>
          </rPr>
          <t xml:space="preserve"> </t>
        </r>
        <r>
          <rPr>
            <sz val="9"/>
            <color indexed="81"/>
            <rFont val="돋움"/>
            <family val="3"/>
            <charset val="129"/>
          </rPr>
          <t>컨설팅비</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지급수수료</t>
        </r>
        <r>
          <rPr>
            <sz val="9"/>
            <color indexed="81"/>
            <rFont val="Tahoma"/>
            <family val="2"/>
          </rPr>
          <t xml:space="preserve"> </t>
        </r>
        <r>
          <rPr>
            <sz val="9"/>
            <color indexed="81"/>
            <rFont val="돋움"/>
            <family val="3"/>
            <charset val="129"/>
          </rPr>
          <t>조정</t>
        </r>
      </text>
    </comment>
    <comment ref="D93" authorId="0" shapeId="0">
      <text>
        <r>
          <rPr>
            <b/>
            <sz val="9"/>
            <color indexed="81"/>
            <rFont val="Tahoma"/>
            <family val="2"/>
          </rPr>
          <t>Kim, Nam Hong :</t>
        </r>
        <r>
          <rPr>
            <sz val="9"/>
            <color indexed="81"/>
            <rFont val="Tahoma"/>
            <family val="2"/>
          </rPr>
          <t xml:space="preserve">
</t>
        </r>
        <r>
          <rPr>
            <sz val="9"/>
            <color indexed="81"/>
            <rFont val="돋움"/>
            <family val="3"/>
            <charset val="129"/>
          </rPr>
          <t>자문</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고문료</t>
        </r>
        <r>
          <rPr>
            <sz val="9"/>
            <color indexed="81"/>
            <rFont val="Tahoma"/>
            <family val="2"/>
          </rPr>
          <t xml:space="preserve"> + </t>
        </r>
        <r>
          <rPr>
            <sz val="9"/>
            <color indexed="81"/>
            <rFont val="돋움"/>
            <family val="3"/>
            <charset val="129"/>
          </rPr>
          <t>리서치</t>
        </r>
        <r>
          <rPr>
            <sz val="9"/>
            <color indexed="81"/>
            <rFont val="Tahoma"/>
            <family val="2"/>
          </rPr>
          <t xml:space="preserve"> </t>
        </r>
        <r>
          <rPr>
            <sz val="9"/>
            <color indexed="81"/>
            <rFont val="돋움"/>
            <family val="3"/>
            <charset val="129"/>
          </rPr>
          <t>자문</t>
        </r>
      </text>
    </comment>
    <comment ref="E93" authorId="0" shapeId="0">
      <text>
        <r>
          <rPr>
            <b/>
            <sz val="9"/>
            <color indexed="81"/>
            <rFont val="Tahoma"/>
            <family val="2"/>
          </rPr>
          <t xml:space="preserve">Kim, Nam Hong :
</t>
        </r>
        <r>
          <rPr>
            <sz val="9"/>
            <color indexed="81"/>
            <rFont val="Tahoma"/>
            <family val="2"/>
          </rPr>
          <t xml:space="preserve">IDC </t>
        </r>
        <r>
          <rPr>
            <sz val="9"/>
            <color indexed="81"/>
            <rFont val="돋움"/>
            <family val="3"/>
            <charset val="129"/>
          </rPr>
          <t>외부컨설팅</t>
        </r>
        <r>
          <rPr>
            <sz val="9"/>
            <color indexed="81"/>
            <rFont val="Tahoma"/>
            <family val="2"/>
          </rPr>
          <t xml:space="preserve"> </t>
        </r>
        <r>
          <rPr>
            <sz val="9"/>
            <color indexed="81"/>
            <rFont val="돋움"/>
            <family val="3"/>
            <charset val="129"/>
          </rPr>
          <t>비용</t>
        </r>
        <r>
          <rPr>
            <sz val="9"/>
            <color indexed="81"/>
            <rFont val="Tahoma"/>
            <family val="2"/>
          </rPr>
          <t xml:space="preserve"> + </t>
        </r>
        <r>
          <rPr>
            <sz val="9"/>
            <color indexed="81"/>
            <rFont val="돋움"/>
            <family val="3"/>
            <charset val="129"/>
          </rPr>
          <t>율촌법률자문비용</t>
        </r>
      </text>
    </comment>
    <comment ref="G93" authorId="0" shapeId="0">
      <text>
        <r>
          <rPr>
            <b/>
            <sz val="9"/>
            <color indexed="81"/>
            <rFont val="Tahoma"/>
            <family val="2"/>
          </rPr>
          <t xml:space="preserve">Kim, Nam Hong :
</t>
        </r>
        <r>
          <rPr>
            <sz val="9"/>
            <color indexed="81"/>
            <rFont val="돋움"/>
            <family val="3"/>
            <charset val="129"/>
          </rPr>
          <t>세무</t>
        </r>
        <r>
          <rPr>
            <sz val="9"/>
            <color indexed="81"/>
            <rFont val="Tahoma"/>
            <family val="2"/>
          </rPr>
          <t xml:space="preserve"> </t>
        </r>
        <r>
          <rPr>
            <sz val="9"/>
            <color indexed="81"/>
            <rFont val="돋움"/>
            <family val="3"/>
            <charset val="129"/>
          </rPr>
          <t>자문료</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태양광</t>
        </r>
        <r>
          <rPr>
            <sz val="9"/>
            <color indexed="81"/>
            <rFont val="Tahoma"/>
            <family val="2"/>
          </rPr>
          <t xml:space="preserve"> </t>
        </r>
        <r>
          <rPr>
            <sz val="9"/>
            <color indexed="81"/>
            <rFont val="돋움"/>
            <family val="3"/>
            <charset val="129"/>
          </rPr>
          <t>외부사업</t>
        </r>
        <r>
          <rPr>
            <sz val="9"/>
            <color indexed="81"/>
            <rFont val="Tahoma"/>
            <family val="2"/>
          </rPr>
          <t xml:space="preserve"> </t>
        </r>
        <r>
          <rPr>
            <sz val="9"/>
            <color indexed="81"/>
            <rFont val="돋움"/>
            <family val="3"/>
            <charset val="129"/>
          </rPr>
          <t>컨설팅</t>
        </r>
        <r>
          <rPr>
            <sz val="9"/>
            <color indexed="81"/>
            <rFont val="Tahoma"/>
            <family val="2"/>
          </rPr>
          <t xml:space="preserve"> </t>
        </r>
        <r>
          <rPr>
            <sz val="9"/>
            <color indexed="81"/>
            <rFont val="돋움"/>
            <family val="3"/>
            <charset val="129"/>
          </rPr>
          <t>비</t>
        </r>
      </text>
    </comment>
    <comment ref="H93" authorId="0" shapeId="0">
      <text>
        <r>
          <rPr>
            <b/>
            <sz val="9"/>
            <color indexed="81"/>
            <rFont val="Tahoma"/>
            <family val="2"/>
          </rPr>
          <t>Kim, Nam Hong :</t>
        </r>
        <r>
          <rPr>
            <sz val="9"/>
            <color indexed="81"/>
            <rFont val="Tahoma"/>
            <family val="2"/>
          </rPr>
          <t xml:space="preserve">
</t>
        </r>
        <r>
          <rPr>
            <sz val="9"/>
            <color indexed="81"/>
            <rFont val="돋움"/>
            <family val="3"/>
            <charset val="129"/>
          </rPr>
          <t>법무법인광장</t>
        </r>
        <r>
          <rPr>
            <sz val="9"/>
            <color indexed="81"/>
            <rFont val="Tahoma"/>
            <family val="2"/>
          </rPr>
          <t xml:space="preserve"> - </t>
        </r>
        <r>
          <rPr>
            <sz val="9"/>
            <color indexed="81"/>
            <rFont val="돋움"/>
            <family val="3"/>
            <charset val="129"/>
          </rPr>
          <t>무안태양광소송</t>
        </r>
        <r>
          <rPr>
            <sz val="9"/>
            <color indexed="81"/>
            <rFont val="Tahoma"/>
            <family val="2"/>
          </rPr>
          <t xml:space="preserve"> + </t>
        </r>
        <r>
          <rPr>
            <sz val="9"/>
            <color indexed="81"/>
            <rFont val="돋움"/>
            <family val="3"/>
            <charset val="129"/>
          </rPr>
          <t>삼덕회계법인</t>
        </r>
        <r>
          <rPr>
            <sz val="9"/>
            <color indexed="81"/>
            <rFont val="Tahoma"/>
            <family val="2"/>
          </rPr>
          <t xml:space="preserve"> </t>
        </r>
        <r>
          <rPr>
            <sz val="9"/>
            <color indexed="81"/>
            <rFont val="돋움"/>
            <family val="3"/>
            <charset val="129"/>
          </rPr>
          <t>내부회계</t>
        </r>
        <r>
          <rPr>
            <sz val="9"/>
            <color indexed="81"/>
            <rFont val="Tahoma"/>
            <family val="2"/>
          </rPr>
          <t xml:space="preserve"> </t>
        </r>
        <r>
          <rPr>
            <sz val="9"/>
            <color indexed="81"/>
            <rFont val="돋움"/>
            <family val="3"/>
            <charset val="129"/>
          </rPr>
          <t>구축료</t>
        </r>
      </text>
    </comment>
  </commentList>
</comments>
</file>

<file path=xl/comments3.xml><?xml version="1.0" encoding="utf-8"?>
<comments xmlns="http://schemas.openxmlformats.org/spreadsheetml/2006/main">
  <authors>
    <author xml:space="preserve">Kim, Nam Hong </author>
  </authors>
  <commentList>
    <comment ref="G135" authorId="0" shapeId="0">
      <text>
        <r>
          <rPr>
            <b/>
            <sz val="9"/>
            <color indexed="81"/>
            <rFont val="Tahoma"/>
            <family val="2"/>
          </rPr>
          <t>Kim, Nam Hong :</t>
        </r>
        <r>
          <rPr>
            <sz val="9"/>
            <color indexed="81"/>
            <rFont val="Tahoma"/>
            <family val="2"/>
          </rPr>
          <t xml:space="preserve">
</t>
        </r>
        <r>
          <rPr>
            <sz val="9"/>
            <color indexed="81"/>
            <rFont val="돋움"/>
            <family val="3"/>
            <charset val="129"/>
          </rPr>
          <t>기존</t>
        </r>
        <r>
          <rPr>
            <sz val="9"/>
            <color indexed="81"/>
            <rFont val="Tahoma"/>
            <family val="2"/>
          </rPr>
          <t xml:space="preserve"> </t>
        </r>
        <r>
          <rPr>
            <sz val="9"/>
            <color indexed="81"/>
            <rFont val="돋움"/>
            <family val="3"/>
            <charset val="129"/>
          </rPr>
          <t>운용리스</t>
        </r>
        <r>
          <rPr>
            <sz val="9"/>
            <color indexed="81"/>
            <rFont val="Tahoma"/>
            <family val="2"/>
          </rPr>
          <t xml:space="preserve"> </t>
        </r>
        <r>
          <rPr>
            <sz val="9"/>
            <color indexed="81"/>
            <rFont val="돋움"/>
            <family val="3"/>
            <charset val="129"/>
          </rPr>
          <t>상각비</t>
        </r>
        <r>
          <rPr>
            <sz val="9"/>
            <color indexed="81"/>
            <rFont val="Tahoma"/>
            <family val="2"/>
          </rPr>
          <t xml:space="preserve"> </t>
        </r>
        <r>
          <rPr>
            <sz val="9"/>
            <color indexed="81"/>
            <rFont val="돋움"/>
            <family val="3"/>
            <charset val="129"/>
          </rPr>
          <t>상품매출원가에</t>
        </r>
        <r>
          <rPr>
            <sz val="9"/>
            <color indexed="81"/>
            <rFont val="Tahoma"/>
            <family val="2"/>
          </rPr>
          <t xml:space="preserve"> </t>
        </r>
        <r>
          <rPr>
            <sz val="9"/>
            <color indexed="81"/>
            <rFont val="돋움"/>
            <family val="3"/>
            <charset val="129"/>
          </rPr>
          <t>녹아져</t>
        </r>
        <r>
          <rPr>
            <sz val="9"/>
            <color indexed="81"/>
            <rFont val="Tahoma"/>
            <family val="2"/>
          </rPr>
          <t xml:space="preserve"> </t>
        </r>
        <r>
          <rPr>
            <sz val="9"/>
            <color indexed="81"/>
            <rFont val="돋움"/>
            <family val="3"/>
            <charset val="129"/>
          </rPr>
          <t>있었음</t>
        </r>
      </text>
    </comment>
  </commentList>
</comments>
</file>

<file path=xl/comments4.xml><?xml version="1.0" encoding="utf-8"?>
<comments xmlns="http://schemas.openxmlformats.org/spreadsheetml/2006/main">
  <authors>
    <author xml:space="preserve">Kim, Nam Hong </author>
  </authors>
  <commentList>
    <comment ref="Q10" authorId="0" shapeId="0">
      <text>
        <r>
          <rPr>
            <b/>
            <sz val="9"/>
            <color indexed="81"/>
            <rFont val="Tahoma"/>
            <family val="2"/>
          </rPr>
          <t>Kim, Nam Hong :</t>
        </r>
        <r>
          <rPr>
            <sz val="9"/>
            <color indexed="81"/>
            <rFont val="Tahoma"/>
            <family val="2"/>
          </rPr>
          <t xml:space="preserve">
TBD </t>
        </r>
        <r>
          <rPr>
            <sz val="9"/>
            <color indexed="81"/>
            <rFont val="돋움"/>
            <family val="3"/>
            <charset val="129"/>
          </rPr>
          <t>추가</t>
        </r>
      </text>
    </comment>
    <comment ref="Q15" authorId="0" shapeId="0">
      <text>
        <r>
          <rPr>
            <b/>
            <sz val="9"/>
            <color indexed="81"/>
            <rFont val="Tahoma"/>
            <family val="2"/>
          </rPr>
          <t>Kim, Nam Hong :</t>
        </r>
        <r>
          <rPr>
            <sz val="9"/>
            <color indexed="81"/>
            <rFont val="Tahoma"/>
            <family val="2"/>
          </rPr>
          <t xml:space="preserve">
TBD </t>
        </r>
        <r>
          <rPr>
            <sz val="9"/>
            <color indexed="81"/>
            <rFont val="돋움"/>
            <family val="3"/>
            <charset val="129"/>
          </rPr>
          <t>추가</t>
        </r>
      </text>
    </comment>
    <comment ref="Q24" authorId="0" shapeId="0">
      <text>
        <r>
          <rPr>
            <b/>
            <sz val="9"/>
            <color indexed="81"/>
            <rFont val="Tahoma"/>
            <family val="2"/>
          </rPr>
          <t>Kim, Nam Hong :</t>
        </r>
        <r>
          <rPr>
            <sz val="9"/>
            <color indexed="81"/>
            <rFont val="Tahoma"/>
            <family val="2"/>
          </rPr>
          <t xml:space="preserve">
TBD </t>
        </r>
        <r>
          <rPr>
            <sz val="9"/>
            <color indexed="81"/>
            <rFont val="돋움"/>
            <family val="3"/>
            <charset val="129"/>
          </rPr>
          <t>추가</t>
        </r>
      </text>
    </comment>
    <comment ref="Q34" authorId="0" shapeId="0">
      <text>
        <r>
          <rPr>
            <b/>
            <sz val="9"/>
            <color indexed="81"/>
            <rFont val="Tahoma"/>
            <family val="2"/>
          </rPr>
          <t>Kim, Nam Hong :</t>
        </r>
        <r>
          <rPr>
            <sz val="9"/>
            <color indexed="81"/>
            <rFont val="Tahoma"/>
            <family val="2"/>
          </rPr>
          <t xml:space="preserve">
TBD </t>
        </r>
        <r>
          <rPr>
            <sz val="9"/>
            <color indexed="81"/>
            <rFont val="돋움"/>
            <family val="3"/>
            <charset val="129"/>
          </rPr>
          <t>추가</t>
        </r>
      </text>
    </comment>
  </commentList>
</comments>
</file>

<file path=xl/comments5.xml><?xml version="1.0" encoding="utf-8"?>
<comments xmlns="http://schemas.openxmlformats.org/spreadsheetml/2006/main">
  <authors>
    <author xml:space="preserve">Kim, Nam Hong </author>
  </authors>
  <commentList>
    <comment ref="B27" authorId="0" shapeId="0">
      <text>
        <r>
          <rPr>
            <b/>
            <sz val="9"/>
            <color indexed="81"/>
            <rFont val="돋움"/>
            <family val="3"/>
            <charset val="129"/>
          </rPr>
          <t>운용리스자산감가상각비</t>
        </r>
        <r>
          <rPr>
            <b/>
            <sz val="9"/>
            <color indexed="81"/>
            <rFont val="Tahoma"/>
            <family val="2"/>
          </rPr>
          <t xml:space="preserve"> </t>
        </r>
        <r>
          <rPr>
            <b/>
            <sz val="9"/>
            <color indexed="81"/>
            <rFont val="돋움"/>
            <family val="3"/>
            <charset val="129"/>
          </rPr>
          <t>포함</t>
        </r>
      </text>
    </comment>
  </commentList>
</comments>
</file>

<file path=xl/comments6.xml><?xml version="1.0" encoding="utf-8"?>
<comments xmlns="http://schemas.openxmlformats.org/spreadsheetml/2006/main">
  <authors>
    <author xml:space="preserve">Kim, Nam Hong </author>
    <author>sungminyang</author>
  </authors>
  <commentList>
    <comment ref="F16" authorId="0" shapeId="0">
      <text>
        <r>
          <rPr>
            <b/>
            <sz val="9"/>
            <color indexed="81"/>
            <rFont val="돋움"/>
            <family val="3"/>
            <charset val="129"/>
          </rPr>
          <t>합병</t>
        </r>
      </text>
    </comment>
    <comment ref="J16" authorId="0" shapeId="0">
      <text>
        <r>
          <rPr>
            <b/>
            <sz val="9"/>
            <color indexed="81"/>
            <rFont val="돋움"/>
            <family val="3"/>
            <charset val="129"/>
          </rPr>
          <t>사업분할</t>
        </r>
      </text>
    </comment>
    <comment ref="H286" authorId="1" shapeId="0">
      <text>
        <r>
          <rPr>
            <b/>
            <sz val="9"/>
            <color indexed="81"/>
            <rFont val="Tahoma"/>
            <family val="2"/>
          </rPr>
          <t>sungminyang:</t>
        </r>
        <r>
          <rPr>
            <sz val="9"/>
            <color indexed="81"/>
            <rFont val="Tahoma"/>
            <family val="2"/>
          </rPr>
          <t xml:space="preserve">
</t>
        </r>
        <r>
          <rPr>
            <sz val="9"/>
            <color indexed="81"/>
            <rFont val="돋움"/>
            <family val="3"/>
            <charset val="129"/>
          </rPr>
          <t>냉연제품</t>
        </r>
        <r>
          <rPr>
            <sz val="9"/>
            <color indexed="81"/>
            <rFont val="Tahoma"/>
            <family val="2"/>
          </rPr>
          <t xml:space="preserve"> </t>
        </r>
        <r>
          <rPr>
            <sz val="9"/>
            <color indexed="81"/>
            <rFont val="돋움"/>
            <family val="3"/>
            <charset val="129"/>
          </rPr>
          <t>제조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판매</t>
        </r>
        <r>
          <rPr>
            <sz val="9"/>
            <color indexed="81"/>
            <rFont val="Tahoma"/>
            <family val="2"/>
          </rPr>
          <t xml:space="preserve"> </t>
        </r>
        <r>
          <rPr>
            <sz val="9"/>
            <color indexed="81"/>
            <rFont val="돋움"/>
            <family val="3"/>
            <charset val="129"/>
          </rPr>
          <t>사업</t>
        </r>
        <r>
          <rPr>
            <sz val="9"/>
            <color indexed="81"/>
            <rFont val="Tahoma"/>
            <family val="2"/>
          </rPr>
          <t xml:space="preserve"> </t>
        </r>
        <r>
          <rPr>
            <sz val="9"/>
            <color indexed="81"/>
            <rFont val="돋움"/>
            <family val="3"/>
            <charset val="129"/>
          </rPr>
          <t>부문</t>
        </r>
        <r>
          <rPr>
            <sz val="9"/>
            <color indexed="81"/>
            <rFont val="Tahoma"/>
            <family val="2"/>
          </rPr>
          <t xml:space="preserve"> </t>
        </r>
        <r>
          <rPr>
            <sz val="9"/>
            <color indexed="81"/>
            <rFont val="돋움"/>
            <family val="3"/>
            <charset val="129"/>
          </rPr>
          <t>인적</t>
        </r>
        <r>
          <rPr>
            <sz val="9"/>
            <color indexed="81"/>
            <rFont val="Tahoma"/>
            <family val="2"/>
          </rPr>
          <t xml:space="preserve"> </t>
        </r>
        <r>
          <rPr>
            <sz val="9"/>
            <color indexed="81"/>
            <rFont val="돋움"/>
            <family val="3"/>
            <charset val="129"/>
          </rPr>
          <t>분할</t>
        </r>
      </text>
    </comment>
  </commentList>
</comments>
</file>

<file path=xl/sharedStrings.xml><?xml version="1.0" encoding="utf-8"?>
<sst xmlns="http://schemas.openxmlformats.org/spreadsheetml/2006/main" count="10884" uniqueCount="4603">
  <si>
    <t>Project</t>
    <phoneticPr fontId="4" type="noConversion"/>
  </si>
  <si>
    <t>Description</t>
    <phoneticPr fontId="1" type="noConversion"/>
  </si>
  <si>
    <t>Project Name</t>
    <phoneticPr fontId="1" type="noConversion"/>
  </si>
  <si>
    <t>Client</t>
    <phoneticPr fontId="1" type="noConversion"/>
  </si>
  <si>
    <t>Target Company</t>
    <phoneticPr fontId="1" type="noConversion"/>
  </si>
  <si>
    <t>Valuation Date</t>
    <phoneticPr fontId="1" type="noConversion"/>
  </si>
  <si>
    <t>Year End after Valuation Date</t>
    <phoneticPr fontId="1" type="noConversion"/>
  </si>
  <si>
    <t>Partial Period Factor</t>
    <phoneticPr fontId="1" type="noConversion"/>
  </si>
  <si>
    <t>Projection Period</t>
    <phoneticPr fontId="1" type="noConversion"/>
  </si>
  <si>
    <t>Currency &amp; Unit</t>
    <phoneticPr fontId="1" type="noConversion"/>
  </si>
  <si>
    <t xml:space="preserve">Financial Model </t>
    <phoneticPr fontId="4" type="noConversion"/>
  </si>
  <si>
    <t>KPMG Color(기존)</t>
    <phoneticPr fontId="1" type="noConversion"/>
  </si>
  <si>
    <t>KPMG Color(신규)</t>
    <phoneticPr fontId="1" type="noConversion"/>
  </si>
  <si>
    <t>Work-In-Progress Disclaimer</t>
  </si>
  <si>
    <t>KRW Millions</t>
  </si>
  <si>
    <t>판매비와관리비</t>
    <phoneticPr fontId="1" type="noConversion"/>
  </si>
  <si>
    <t>추정영업현금흐름 (FCFF)</t>
  </si>
  <si>
    <t>할인기간</t>
  </si>
  <si>
    <t>할인계수</t>
  </si>
  <si>
    <t>FCFF의 현재가치</t>
  </si>
  <si>
    <t>Terminal Value의 현재가치</t>
  </si>
  <si>
    <t>영업가치 (Operating Value)</t>
  </si>
  <si>
    <t>누적현재가치</t>
  </si>
  <si>
    <t>Terminal Growth Rate</t>
    <phoneticPr fontId="1" type="noConversion"/>
  </si>
  <si>
    <t>WACC</t>
    <phoneticPr fontId="1" type="noConversion"/>
  </si>
  <si>
    <t>Stand-Alone Operating Value</t>
    <phoneticPr fontId="1" type="noConversion"/>
  </si>
  <si>
    <t>항목</t>
    <phoneticPr fontId="1" type="noConversion"/>
  </si>
  <si>
    <t>평가결과</t>
    <phoneticPr fontId="1" type="noConversion"/>
  </si>
  <si>
    <t>중앙값</t>
    <phoneticPr fontId="1" type="noConversion"/>
  </si>
  <si>
    <t>기업가치 (Enterprise Value)</t>
  </si>
  <si>
    <t>이자발생부부채 (Interest Bearing Debt)</t>
  </si>
  <si>
    <t>최소값</t>
    <phoneticPr fontId="1" type="noConversion"/>
  </si>
  <si>
    <t>최대값</t>
    <phoneticPr fontId="1" type="noConversion"/>
  </si>
  <si>
    <t>Weighted Average Cost of Capital</t>
  </si>
  <si>
    <t>Guideline Public Company</t>
    <phoneticPr fontId="1" type="noConversion"/>
  </si>
  <si>
    <t xml:space="preserve">Observed </t>
    <phoneticPr fontId="1" type="noConversion"/>
  </si>
  <si>
    <t>IBD</t>
    <phoneticPr fontId="1" type="noConversion"/>
  </si>
  <si>
    <t>Debt</t>
  </si>
  <si>
    <t xml:space="preserve">Debt </t>
  </si>
  <si>
    <t>Unlevered Beta</t>
  </si>
  <si>
    <t>Re-Levered Beta</t>
    <phoneticPr fontId="27" type="noConversion"/>
  </si>
  <si>
    <t xml:space="preserve">Beta </t>
    <phoneticPr fontId="1" type="noConversion"/>
  </si>
  <si>
    <t>Equity</t>
  </si>
  <si>
    <t>TIC</t>
  </si>
  <si>
    <t>Average</t>
  </si>
  <si>
    <t>Median</t>
  </si>
  <si>
    <t>Minimum</t>
  </si>
  <si>
    <r>
      <t>Cost of Equity (K</t>
    </r>
    <r>
      <rPr>
        <b/>
        <u/>
        <vertAlign val="subscript"/>
        <sz val="9"/>
        <rFont val="맑은 고딕"/>
        <family val="3"/>
        <charset val="129"/>
        <scheme val="major"/>
      </rPr>
      <t>E</t>
    </r>
    <r>
      <rPr>
        <b/>
        <u/>
        <sz val="9"/>
        <rFont val="맑은 고딕"/>
        <family val="3"/>
        <charset val="129"/>
        <scheme val="major"/>
      </rPr>
      <t>)</t>
    </r>
  </si>
  <si>
    <t>Risk Free Rate</t>
    <phoneticPr fontId="1" type="noConversion"/>
  </si>
  <si>
    <t>+</t>
  </si>
  <si>
    <t>Beta</t>
    <phoneticPr fontId="1" type="noConversion"/>
  </si>
  <si>
    <t>x</t>
    <phoneticPr fontId="1" type="noConversion"/>
  </si>
  <si>
    <t>=</t>
  </si>
  <si>
    <t>Cost of Equity</t>
  </si>
  <si>
    <r>
      <t>After-Tax Cost of Debt (K</t>
    </r>
    <r>
      <rPr>
        <b/>
        <u/>
        <vertAlign val="subscript"/>
        <sz val="9"/>
        <rFont val="맑은 고딕"/>
        <family val="3"/>
        <charset val="129"/>
        <scheme val="major"/>
      </rPr>
      <t>D</t>
    </r>
    <r>
      <rPr>
        <b/>
        <u/>
        <sz val="9"/>
        <rFont val="맑은 고딕"/>
        <family val="3"/>
        <charset val="129"/>
        <scheme val="major"/>
      </rPr>
      <t>)</t>
    </r>
  </si>
  <si>
    <t>(1 - Tax Rate)</t>
  </si>
  <si>
    <t>After-Tax Cost of Debt</t>
  </si>
  <si>
    <t>Cost of Capital</t>
  </si>
  <si>
    <t>Contribution</t>
  </si>
  <si>
    <t>WACC</t>
  </si>
  <si>
    <t>Notes:</t>
  </si>
  <si>
    <t>[1]</t>
  </si>
  <si>
    <t>[2]</t>
  </si>
  <si>
    <t>[3]</t>
  </si>
  <si>
    <t>[4]</t>
  </si>
  <si>
    <t>&lt;Tax Rate&gt;</t>
    <phoneticPr fontId="27" type="noConversion"/>
  </si>
  <si>
    <t>Unlevered</t>
    <phoneticPr fontId="27" type="noConversion"/>
  </si>
  <si>
    <t>Re-Levered, Kd</t>
    <phoneticPr fontId="27" type="noConversion"/>
  </si>
  <si>
    <t>&lt;= Terminal year 기준 EBIT규모에 따름 =&gt; 11%(~2억), 22%(~200억), 24.2%(200억~)</t>
    <phoneticPr fontId="27" type="noConversion"/>
  </si>
  <si>
    <t>1 month</t>
  </si>
  <si>
    <t>추정손익계산서</t>
  </si>
  <si>
    <t>매출액</t>
    <phoneticPr fontId="1" type="noConversion"/>
  </si>
  <si>
    <t>매출원가</t>
    <phoneticPr fontId="1" type="noConversion"/>
  </si>
  <si>
    <t>자본적 지출 및 감가상각비</t>
  </si>
  <si>
    <t>Spread</t>
  </si>
  <si>
    <t>장부금액</t>
    <phoneticPr fontId="1" type="noConversion"/>
  </si>
  <si>
    <t>반영금액</t>
    <phoneticPr fontId="1" type="noConversion"/>
  </si>
  <si>
    <t>Note</t>
    <phoneticPr fontId="1" type="noConversion"/>
  </si>
  <si>
    <t>Total</t>
    <phoneticPr fontId="1" type="noConversion"/>
  </si>
  <si>
    <t>RF Rate</t>
  </si>
  <si>
    <t>AAA</t>
  </si>
  <si>
    <t>AA+</t>
  </si>
  <si>
    <t>AA0</t>
  </si>
  <si>
    <t>AA-</t>
  </si>
  <si>
    <t>A+</t>
  </si>
  <si>
    <t>A0</t>
  </si>
  <si>
    <t>A-</t>
  </si>
  <si>
    <t>BBB+</t>
  </si>
  <si>
    <t>BBB0</t>
  </si>
  <si>
    <t>BBB-</t>
  </si>
  <si>
    <t>운전자본</t>
    <phoneticPr fontId="1" type="noConversion"/>
  </si>
  <si>
    <t>Terminal</t>
    <phoneticPr fontId="1" type="noConversion"/>
  </si>
  <si>
    <t>n.a.</t>
  </si>
  <si>
    <t>Items</t>
  </si>
  <si>
    <t>유동자산</t>
    <phoneticPr fontId="1" type="noConversion"/>
  </si>
  <si>
    <t>비유동자산</t>
    <phoneticPr fontId="1" type="noConversion"/>
  </si>
  <si>
    <t xml:space="preserve">- Business Valuation </t>
    <phoneticPr fontId="1" type="noConversion"/>
  </si>
  <si>
    <t>Assumption</t>
  </si>
  <si>
    <t>매출액</t>
    <phoneticPr fontId="1" type="noConversion"/>
  </si>
  <si>
    <t>Country</t>
  </si>
  <si>
    <t>EBITDA</t>
  </si>
  <si>
    <t>Terminal Growth Rate</t>
    <phoneticPr fontId="1" type="noConversion"/>
  </si>
  <si>
    <t>Market Data 기준일</t>
    <phoneticPr fontId="1" type="noConversion"/>
  </si>
  <si>
    <t>기준일</t>
  </si>
  <si>
    <t>DCF Results</t>
    <phoneticPr fontId="1" type="noConversion"/>
  </si>
  <si>
    <t>Historical</t>
    <phoneticPr fontId="1" type="noConversion"/>
  </si>
  <si>
    <t>Forecasted</t>
    <phoneticPr fontId="1" type="noConversion"/>
  </si>
  <si>
    <t>NOA&amp;IBD</t>
    <phoneticPr fontId="1" type="noConversion"/>
  </si>
  <si>
    <t>2. Interest Bearing Debt</t>
    <phoneticPr fontId="1" type="noConversion"/>
  </si>
  <si>
    <t>% of growth</t>
    <phoneticPr fontId="1" type="noConversion"/>
  </si>
  <si>
    <t>% of growth</t>
    <phoneticPr fontId="1" type="noConversion"/>
  </si>
  <si>
    <t>세후영업이익</t>
    <phoneticPr fontId="1" type="noConversion"/>
  </si>
  <si>
    <t>=CapEx</t>
    <phoneticPr fontId="1" type="noConversion"/>
  </si>
  <si>
    <t>=Dep</t>
    <phoneticPr fontId="1" type="noConversion"/>
  </si>
  <si>
    <t>매출총이익</t>
    <phoneticPr fontId="1" type="noConversion"/>
  </si>
  <si>
    <t>영업이익</t>
    <phoneticPr fontId="1" type="noConversion"/>
  </si>
  <si>
    <t>법인세비용</t>
    <phoneticPr fontId="1" type="noConversion"/>
  </si>
  <si>
    <t>자본적 지출</t>
    <phoneticPr fontId="1" type="noConversion"/>
  </si>
  <si>
    <t>Terminal</t>
    <phoneticPr fontId="1" type="noConversion"/>
  </si>
  <si>
    <t>운전자산</t>
    <phoneticPr fontId="1" type="noConversion"/>
  </si>
  <si>
    <t>매출채권(순액)</t>
    <phoneticPr fontId="1" type="noConversion"/>
  </si>
  <si>
    <t>운전부채</t>
    <phoneticPr fontId="1" type="noConversion"/>
  </si>
  <si>
    <t>매입채무</t>
    <phoneticPr fontId="1" type="noConversion"/>
  </si>
  <si>
    <t>가산: 감가상각비</t>
    <phoneticPr fontId="1" type="noConversion"/>
  </si>
  <si>
    <t>차감: 순운전자본의 변동</t>
    <phoneticPr fontId="1" type="noConversion"/>
  </si>
  <si>
    <t>차감: 자본적지출</t>
    <phoneticPr fontId="1" type="noConversion"/>
  </si>
  <si>
    <t>순운전자본</t>
    <phoneticPr fontId="1" type="noConversion"/>
  </si>
  <si>
    <t>순운전자본의 변동</t>
    <phoneticPr fontId="1" type="noConversion"/>
  </si>
  <si>
    <t>판매비와관리비</t>
  </si>
  <si>
    <t>비영업용자산 (Non-operating Asset)</t>
    <phoneticPr fontId="1" type="noConversion"/>
  </si>
  <si>
    <t>대상회사와 유사한 사업을 영위하고 있는 회사를 선정</t>
  </si>
  <si>
    <t>매출액</t>
    <phoneticPr fontId="1" type="noConversion"/>
  </si>
  <si>
    <t>% of growth</t>
    <phoneticPr fontId="1" type="noConversion"/>
  </si>
  <si>
    <t>% of sales</t>
    <phoneticPr fontId="1" type="noConversion"/>
  </si>
  <si>
    <t>매출총이익</t>
    <phoneticPr fontId="1" type="noConversion"/>
  </si>
  <si>
    <t>영업이익</t>
    <phoneticPr fontId="1" type="noConversion"/>
  </si>
  <si>
    <t>감가상각비</t>
    <phoneticPr fontId="1" type="noConversion"/>
  </si>
  <si>
    <t>EBITDA</t>
    <phoneticPr fontId="1" type="noConversion"/>
  </si>
  <si>
    <t>Left</t>
  </si>
  <si>
    <t>Top</t>
  </si>
  <si>
    <t>Right</t>
  </si>
  <si>
    <t>Bottom</t>
  </si>
  <si>
    <t>Ref</t>
  </si>
  <si>
    <t>$B$4:$G$26</t>
  </si>
  <si>
    <t>$B$101:$G$292</t>
  </si>
  <si>
    <t>Discounted Cash Flow Results</t>
    <phoneticPr fontId="1" type="noConversion"/>
  </si>
  <si>
    <t>DRAFT - For Discussion Purposes Only</t>
  </si>
  <si>
    <t>선급비용</t>
    <phoneticPr fontId="1" type="noConversion"/>
  </si>
  <si>
    <t>매출액</t>
    <phoneticPr fontId="1" type="noConversion"/>
  </si>
  <si>
    <t>% of sales</t>
  </si>
  <si>
    <t>비유동부채</t>
    <phoneticPr fontId="1" type="noConversion"/>
  </si>
  <si>
    <t>Terminal</t>
    <phoneticPr fontId="1" type="noConversion"/>
  </si>
  <si>
    <t>FINAL</t>
  </si>
  <si>
    <t>매출원가</t>
    <phoneticPr fontId="1" type="noConversion"/>
  </si>
  <si>
    <t>고정비성 경비</t>
  </si>
  <si>
    <t>고정비성 경비</t>
    <phoneticPr fontId="1" type="noConversion"/>
  </si>
  <si>
    <t>변동비성 경비</t>
  </si>
  <si>
    <t>판매비와관리비</t>
    <phoneticPr fontId="1" type="noConversion"/>
  </si>
  <si>
    <t>매출원가</t>
    <phoneticPr fontId="1" type="noConversion"/>
  </si>
  <si>
    <t>회사제시 신용등급</t>
  </si>
  <si>
    <t>DART 공시 신용등급</t>
  </si>
  <si>
    <t>Kisline 기업평가등급</t>
  </si>
  <si>
    <t>Operating Value</t>
    <phoneticPr fontId="1" type="noConversion"/>
  </si>
  <si>
    <t>change of %</t>
    <phoneticPr fontId="1" type="noConversion"/>
  </si>
  <si>
    <t>Macro</t>
    <phoneticPr fontId="1" type="noConversion"/>
  </si>
  <si>
    <t>인건비성 경비</t>
  </si>
  <si>
    <t>비지배지분</t>
    <phoneticPr fontId="1" type="noConversion"/>
  </si>
  <si>
    <t>순자산 BV</t>
    <phoneticPr fontId="1" type="noConversion"/>
  </si>
  <si>
    <t>현금및현금성자산</t>
    <phoneticPr fontId="1" type="noConversion"/>
  </si>
  <si>
    <t>단기금융상품</t>
    <phoneticPr fontId="1" type="noConversion"/>
  </si>
  <si>
    <t>장기금융상품</t>
  </si>
  <si>
    <t>매도가능증권</t>
  </si>
  <si>
    <t>단기차입금</t>
  </si>
  <si>
    <t>장기차입금</t>
  </si>
  <si>
    <t>KRW</t>
  </si>
  <si>
    <t>LTM</t>
  </si>
  <si>
    <t>IBD</t>
  </si>
  <si>
    <t>NOA</t>
  </si>
  <si>
    <t>Sales</t>
  </si>
  <si>
    <t>EBIT</t>
  </si>
  <si>
    <t>일자</t>
  </si>
  <si>
    <t>배당수익률</t>
  </si>
  <si>
    <t>성장률</t>
  </si>
  <si>
    <t>배당성향</t>
  </si>
  <si>
    <t>시장수익률</t>
  </si>
  <si>
    <t>RF 금리</t>
  </si>
  <si>
    <t>프리미엄</t>
  </si>
  <si>
    <t>09/30/14</t>
  </si>
  <si>
    <t>09/29/14</t>
  </si>
  <si>
    <t>09/26/14</t>
  </si>
  <si>
    <t>09/25/14</t>
  </si>
  <si>
    <t>09/24/14</t>
  </si>
  <si>
    <t>09/23/14</t>
  </si>
  <si>
    <t>09/22/14</t>
  </si>
  <si>
    <t>09/19/14</t>
  </si>
  <si>
    <t>09/18/14</t>
  </si>
  <si>
    <t>09/17/14</t>
  </si>
  <si>
    <t>09/16/14</t>
  </si>
  <si>
    <t>09/15/14</t>
  </si>
  <si>
    <t>09/12/14</t>
  </si>
  <si>
    <t>09/11/14</t>
  </si>
  <si>
    <t>09/05/14</t>
  </si>
  <si>
    <t>09/04/14</t>
  </si>
  <si>
    <t>09/03/14</t>
  </si>
  <si>
    <t>09/02/14</t>
  </si>
  <si>
    <t>09/01/14</t>
  </si>
  <si>
    <t>08/29/14</t>
  </si>
  <si>
    <t>08/28/14</t>
  </si>
  <si>
    <t>08/27/14</t>
  </si>
  <si>
    <t>08/26/14</t>
  </si>
  <si>
    <t>08/25/14</t>
  </si>
  <si>
    <t>08/22/14</t>
  </si>
  <si>
    <t>08/21/14</t>
  </si>
  <si>
    <t>08/20/14</t>
  </si>
  <si>
    <t>08/19/14</t>
  </si>
  <si>
    <t>08/18/14</t>
  </si>
  <si>
    <t>08/14/14</t>
  </si>
  <si>
    <t>08/13/14</t>
  </si>
  <si>
    <t>08/12/14</t>
  </si>
  <si>
    <t>08/11/14</t>
  </si>
  <si>
    <t>08/08/14</t>
  </si>
  <si>
    <t>08/07/14</t>
  </si>
  <si>
    <t>08/06/14</t>
  </si>
  <si>
    <t>08/05/14</t>
  </si>
  <si>
    <t>08/04/14</t>
  </si>
  <si>
    <t>08/01/14</t>
  </si>
  <si>
    <t>07/31/14</t>
  </si>
  <si>
    <t>07/30/14</t>
  </si>
  <si>
    <t>07/29/14</t>
  </si>
  <si>
    <t>07/28/14</t>
  </si>
  <si>
    <t>07/25/14</t>
  </si>
  <si>
    <t>07/24/14</t>
  </si>
  <si>
    <t>07/23/14</t>
  </si>
  <si>
    <t>07/22/14</t>
  </si>
  <si>
    <t>07/21/14</t>
  </si>
  <si>
    <t>07/18/14</t>
  </si>
  <si>
    <t>07/17/14</t>
  </si>
  <si>
    <t>07/16/14</t>
  </si>
  <si>
    <t>07/15/14</t>
  </si>
  <si>
    <t>07/14/14</t>
  </si>
  <si>
    <t>07/11/14</t>
  </si>
  <si>
    <t>07/10/14</t>
  </si>
  <si>
    <t>07/09/14</t>
  </si>
  <si>
    <t>07/08/14</t>
  </si>
  <si>
    <t>07/07/14</t>
  </si>
  <si>
    <t>07/04/14</t>
  </si>
  <si>
    <t>07/03/14</t>
  </si>
  <si>
    <t>07/02/14</t>
  </si>
  <si>
    <t>07/01/14</t>
  </si>
  <si>
    <t>06/30/14</t>
  </si>
  <si>
    <t>06/27/14</t>
  </si>
  <si>
    <t>06/26/14</t>
  </si>
  <si>
    <t>06/25/14</t>
  </si>
  <si>
    <t>06/24/14</t>
  </si>
  <si>
    <t>06/23/14</t>
  </si>
  <si>
    <t>06/20/14</t>
  </si>
  <si>
    <t>06/19/14</t>
  </si>
  <si>
    <t>06/18/14</t>
  </si>
  <si>
    <t>06/17/14</t>
  </si>
  <si>
    <t>06/16/14</t>
  </si>
  <si>
    <t>06/13/14</t>
  </si>
  <si>
    <t>06/12/14</t>
  </si>
  <si>
    <t>06/11/14</t>
  </si>
  <si>
    <t>06/10/14</t>
  </si>
  <si>
    <t>06/09/14</t>
  </si>
  <si>
    <t>06/05/14</t>
  </si>
  <si>
    <t>06/03/14</t>
  </si>
  <si>
    <t>06/02/14</t>
  </si>
  <si>
    <t>05/30/14</t>
  </si>
  <si>
    <t>05/29/14</t>
  </si>
  <si>
    <t>05/28/14</t>
  </si>
  <si>
    <t>05/27/14</t>
  </si>
  <si>
    <t>05/26/14</t>
  </si>
  <si>
    <t>05/23/14</t>
  </si>
  <si>
    <t>05/22/14</t>
  </si>
  <si>
    <t>05/21/14</t>
  </si>
  <si>
    <t>05/20/14</t>
  </si>
  <si>
    <t>05/19/14</t>
  </si>
  <si>
    <t>05/16/14</t>
  </si>
  <si>
    <t>05/15/14</t>
  </si>
  <si>
    <t>05/14/14</t>
  </si>
  <si>
    <t>05/13/14</t>
  </si>
  <si>
    <t>05/12/14</t>
  </si>
  <si>
    <t>05/09/14</t>
  </si>
  <si>
    <t>05/08/14</t>
  </si>
  <si>
    <t>05/07/14</t>
  </si>
  <si>
    <t>05/02/14</t>
  </si>
  <si>
    <t>04/30/14</t>
  </si>
  <si>
    <t>04/29/14</t>
  </si>
  <si>
    <t>04/28/14</t>
  </si>
  <si>
    <t>04/25/14</t>
  </si>
  <si>
    <t>04/24/14</t>
  </si>
  <si>
    <t>04/23/14</t>
  </si>
  <si>
    <t>04/22/14</t>
  </si>
  <si>
    <t>04/21/14</t>
  </si>
  <si>
    <t>04/18/14</t>
  </si>
  <si>
    <t>04/17/14</t>
  </si>
  <si>
    <t>04/16/14</t>
  </si>
  <si>
    <t>04/15/14</t>
  </si>
  <si>
    <t>04/14/14</t>
  </si>
  <si>
    <t>04/11/14</t>
  </si>
  <si>
    <t>04/10/14</t>
  </si>
  <si>
    <t>04/09/14</t>
  </si>
  <si>
    <t>04/08/14</t>
  </si>
  <si>
    <t>04/07/14</t>
  </si>
  <si>
    <t>04/04/14</t>
  </si>
  <si>
    <t>04/03/14</t>
  </si>
  <si>
    <t>04/02/14</t>
  </si>
  <si>
    <t>04/01/14</t>
  </si>
  <si>
    <t>03/31/14</t>
  </si>
  <si>
    <t>03/28/14</t>
  </si>
  <si>
    <t>03/27/14</t>
  </si>
  <si>
    <t>03/26/14</t>
  </si>
  <si>
    <t>03/25/14</t>
  </si>
  <si>
    <t>03/24/14</t>
  </si>
  <si>
    <t>03/21/14</t>
  </si>
  <si>
    <t>03/20/14</t>
  </si>
  <si>
    <t>03/19/14</t>
  </si>
  <si>
    <t>03/18/14</t>
  </si>
  <si>
    <t>03/17/14</t>
  </si>
  <si>
    <t>03/14/14</t>
  </si>
  <si>
    <t>03/13/14</t>
  </si>
  <si>
    <t>03/12/14</t>
  </si>
  <si>
    <t>03/11/14</t>
  </si>
  <si>
    <t>03/10/14</t>
  </si>
  <si>
    <t>03/07/14</t>
  </si>
  <si>
    <t>03/06/14</t>
  </si>
  <si>
    <t>03/05/14</t>
  </si>
  <si>
    <t>03/04/14</t>
  </si>
  <si>
    <t>03/03/14</t>
  </si>
  <si>
    <t>02/28/14</t>
  </si>
  <si>
    <t>02/27/14</t>
  </si>
  <si>
    <t>02/26/14</t>
  </si>
  <si>
    <t>02/25/14</t>
  </si>
  <si>
    <t>02/24/14</t>
  </si>
  <si>
    <t>02/21/14</t>
  </si>
  <si>
    <t>02/20/14</t>
  </si>
  <si>
    <t>02/19/14</t>
  </si>
  <si>
    <t>02/18/14</t>
  </si>
  <si>
    <t>02/17/14</t>
  </si>
  <si>
    <t>02/14/14</t>
  </si>
  <si>
    <t>02/13/14</t>
  </si>
  <si>
    <t>02/12/14</t>
  </si>
  <si>
    <t>02/11/14</t>
  </si>
  <si>
    <t>02/10/14</t>
  </si>
  <si>
    <t>02/07/14</t>
  </si>
  <si>
    <t>02/06/14</t>
  </si>
  <si>
    <t>02/05/14</t>
  </si>
  <si>
    <t>02/04/14</t>
  </si>
  <si>
    <t>02/03/14</t>
  </si>
  <si>
    <t>01/29/14</t>
  </si>
  <si>
    <t>01/28/14</t>
  </si>
  <si>
    <t>01/27/14</t>
  </si>
  <si>
    <t>01/24/14</t>
  </si>
  <si>
    <t>01/23/14</t>
  </si>
  <si>
    <t>01/22/14</t>
  </si>
  <si>
    <t>01/21/14</t>
  </si>
  <si>
    <t>01/20/14</t>
  </si>
  <si>
    <t>01/17/14</t>
  </si>
  <si>
    <t>01/16/14</t>
  </si>
  <si>
    <t>01/15/14</t>
  </si>
  <si>
    <t>01/14/14</t>
  </si>
  <si>
    <t>01/13/14</t>
  </si>
  <si>
    <t>01/10/14</t>
  </si>
  <si>
    <t>01/09/14</t>
  </si>
  <si>
    <t>01/08/14</t>
  </si>
  <si>
    <t>01/07/14</t>
  </si>
  <si>
    <t>01/06/14</t>
  </si>
  <si>
    <t>01/03/14</t>
  </si>
  <si>
    <t>01/02/14</t>
  </si>
  <si>
    <t>12/30/13</t>
  </si>
  <si>
    <t>12/27/13</t>
  </si>
  <si>
    <t>12/26/13</t>
  </si>
  <si>
    <t>12/24/13</t>
  </si>
  <si>
    <t>12/23/13</t>
  </si>
  <si>
    <t>12/20/13</t>
  </si>
  <si>
    <t>12/19/13</t>
  </si>
  <si>
    <t>12/18/13</t>
  </si>
  <si>
    <t>12/17/13</t>
  </si>
  <si>
    <t>12/16/13</t>
  </si>
  <si>
    <t>12/13/13</t>
  </si>
  <si>
    <t>12/12/13</t>
  </si>
  <si>
    <t>12/11/13</t>
  </si>
  <si>
    <t>12/10/13</t>
  </si>
  <si>
    <t>12/09/13</t>
  </si>
  <si>
    <t>12/06/13</t>
  </si>
  <si>
    <t>12/05/13</t>
  </si>
  <si>
    <t>12/04/13</t>
  </si>
  <si>
    <t>12/03/13</t>
  </si>
  <si>
    <t>12/02/13</t>
  </si>
  <si>
    <t>11/29/13</t>
  </si>
  <si>
    <t>11/28/13</t>
  </si>
  <si>
    <t>11/27/13</t>
  </si>
  <si>
    <t>11/26/13</t>
  </si>
  <si>
    <t>11/25/13</t>
  </si>
  <si>
    <t>11/22/13</t>
  </si>
  <si>
    <t>11/21/13</t>
  </si>
  <si>
    <t>11/20/13</t>
  </si>
  <si>
    <t>11/19/13</t>
  </si>
  <si>
    <t>11/18/13</t>
  </si>
  <si>
    <t>11/15/13</t>
  </si>
  <si>
    <t>11/14/13</t>
  </si>
  <si>
    <t>11/13/13</t>
  </si>
  <si>
    <t>11/12/13</t>
  </si>
  <si>
    <t>11/11/13</t>
  </si>
  <si>
    <t>11/08/13</t>
  </si>
  <si>
    <t>11/07/13</t>
  </si>
  <si>
    <t>11/06/13</t>
  </si>
  <si>
    <t>11/05/13</t>
  </si>
  <si>
    <t>11/04/13</t>
  </si>
  <si>
    <t>11/01/13</t>
  </si>
  <si>
    <t>10/31/13</t>
  </si>
  <si>
    <t>10/30/13</t>
  </si>
  <si>
    <t>10/29/13</t>
  </si>
  <si>
    <t>10/28/13</t>
  </si>
  <si>
    <t>10/25/13</t>
  </si>
  <si>
    <t>10/24/13</t>
  </si>
  <si>
    <t>10/23/13</t>
  </si>
  <si>
    <t>10/22/13</t>
  </si>
  <si>
    <t>10/21/13</t>
  </si>
  <si>
    <t>10/18/13</t>
  </si>
  <si>
    <t>10/17/13</t>
  </si>
  <si>
    <t>10/16/13</t>
  </si>
  <si>
    <t>10/15/13</t>
  </si>
  <si>
    <t>10/14/13</t>
  </si>
  <si>
    <t>10/11/13</t>
  </si>
  <si>
    <t>10/10/13</t>
  </si>
  <si>
    <t>10/08/13</t>
  </si>
  <si>
    <t>10/07/13</t>
  </si>
  <si>
    <t>10/04/13</t>
  </si>
  <si>
    <t>10/02/13</t>
  </si>
  <si>
    <t>10/01/13</t>
  </si>
  <si>
    <t>09/30/13</t>
  </si>
  <si>
    <t>09/27/13</t>
  </si>
  <si>
    <t>09/26/13</t>
  </si>
  <si>
    <t>09/25/13</t>
  </si>
  <si>
    <t>09/24/13</t>
  </si>
  <si>
    <t>09/23/13</t>
  </si>
  <si>
    <t>09/17/13</t>
  </si>
  <si>
    <t>09/16/13</t>
  </si>
  <si>
    <t>09/13/13</t>
  </si>
  <si>
    <t>09/12/13</t>
  </si>
  <si>
    <t>09/11/13</t>
  </si>
  <si>
    <t>09/10/13</t>
  </si>
  <si>
    <t>09/09/13</t>
  </si>
  <si>
    <t>09/06/13</t>
  </si>
  <si>
    <t>09/05/13</t>
  </si>
  <si>
    <t>09/04/13</t>
  </si>
  <si>
    <t>09/03/13</t>
  </si>
  <si>
    <t>09/02/13</t>
  </si>
  <si>
    <t>08/30/13</t>
  </si>
  <si>
    <t>08/29/13</t>
  </si>
  <si>
    <t>08/28/13</t>
  </si>
  <si>
    <t>08/27/13</t>
  </si>
  <si>
    <t>08/26/13</t>
  </si>
  <si>
    <t>08/23/13</t>
  </si>
  <si>
    <t>08/22/13</t>
  </si>
  <si>
    <t>08/21/13</t>
  </si>
  <si>
    <t>08/20/13</t>
  </si>
  <si>
    <t>08/19/13</t>
  </si>
  <si>
    <t>08/16/13</t>
  </si>
  <si>
    <t>08/14/13</t>
  </si>
  <si>
    <t>08/13/13</t>
  </si>
  <si>
    <t>08/12/13</t>
  </si>
  <si>
    <t>08/09/13</t>
  </si>
  <si>
    <t>08/08/13</t>
  </si>
  <si>
    <t>08/07/13</t>
  </si>
  <si>
    <t>08/06/13</t>
  </si>
  <si>
    <t>08/05/13</t>
  </si>
  <si>
    <t>08/02/13</t>
  </si>
  <si>
    <t>08/01/13</t>
  </si>
  <si>
    <t>07/31/13</t>
  </si>
  <si>
    <t>07/30/13</t>
  </si>
  <si>
    <t>07/29/13</t>
  </si>
  <si>
    <t>07/26/13</t>
  </si>
  <si>
    <t>07/25/13</t>
  </si>
  <si>
    <t>07/24/13</t>
  </si>
  <si>
    <t>07/23/13</t>
  </si>
  <si>
    <t>07/22/13</t>
  </si>
  <si>
    <t>07/19/13</t>
  </si>
  <si>
    <t>07/18/13</t>
  </si>
  <si>
    <t>07/17/13</t>
  </si>
  <si>
    <t>07/16/13</t>
  </si>
  <si>
    <t>07/15/13</t>
  </si>
  <si>
    <t>07/12/13</t>
  </si>
  <si>
    <t>07/11/13</t>
  </si>
  <si>
    <t>07/10/13</t>
  </si>
  <si>
    <t>07/09/13</t>
  </si>
  <si>
    <t>07/08/13</t>
  </si>
  <si>
    <t>07/05/13</t>
  </si>
  <si>
    <t>07/04/13</t>
  </si>
  <si>
    <t>07/03/13</t>
  </si>
  <si>
    <t>07/02/13</t>
  </si>
  <si>
    <t>07/01/13</t>
  </si>
  <si>
    <t>06/28/13</t>
  </si>
  <si>
    <t>06/27/13</t>
  </si>
  <si>
    <t>06/26/13</t>
  </si>
  <si>
    <t>06/25/13</t>
  </si>
  <si>
    <t>06/24/13</t>
  </si>
  <si>
    <t>06/21/13</t>
  </si>
  <si>
    <t>06/20/13</t>
  </si>
  <si>
    <t>06/19/13</t>
  </si>
  <si>
    <t>06/18/13</t>
  </si>
  <si>
    <t>06/17/13</t>
  </si>
  <si>
    <t>06/14/13</t>
  </si>
  <si>
    <t>06/13/13</t>
  </si>
  <si>
    <t>06/12/13</t>
  </si>
  <si>
    <t>06/11/13</t>
  </si>
  <si>
    <t>06/10/13</t>
  </si>
  <si>
    <t>06/07/13</t>
  </si>
  <si>
    <t>06/05/13</t>
  </si>
  <si>
    <t>06/04/13</t>
  </si>
  <si>
    <t>06/03/13</t>
  </si>
  <si>
    <t>05/31/13</t>
  </si>
  <si>
    <t>05/30/13</t>
  </si>
  <si>
    <t>05/29/13</t>
  </si>
  <si>
    <t>05/28/13</t>
  </si>
  <si>
    <t>05/27/13</t>
  </si>
  <si>
    <t>05/24/13</t>
  </si>
  <si>
    <t>05/23/13</t>
  </si>
  <si>
    <t>05/22/13</t>
  </si>
  <si>
    <t>05/21/13</t>
  </si>
  <si>
    <t>05/20/13</t>
  </si>
  <si>
    <t>05/16/13</t>
  </si>
  <si>
    <t>05/15/13</t>
  </si>
  <si>
    <t>05/14/13</t>
  </si>
  <si>
    <t>05/13/13</t>
  </si>
  <si>
    <t>05/10/13</t>
  </si>
  <si>
    <t>05/09/13</t>
  </si>
  <si>
    <t>05/08/13</t>
  </si>
  <si>
    <t>05/07/13</t>
  </si>
  <si>
    <t>05/06/13</t>
  </si>
  <si>
    <t>05/03/13</t>
  </si>
  <si>
    <t>05/02/13</t>
  </si>
  <si>
    <t>04/30/13</t>
  </si>
  <si>
    <t>04/29/13</t>
  </si>
  <si>
    <t>04/26/13</t>
  </si>
  <si>
    <t>04/25/13</t>
  </si>
  <si>
    <t>04/24/13</t>
  </si>
  <si>
    <t>04/23/13</t>
  </si>
  <si>
    <t>04/22/13</t>
  </si>
  <si>
    <t>04/19/13</t>
  </si>
  <si>
    <t>04/18/13</t>
  </si>
  <si>
    <t>04/17/13</t>
  </si>
  <si>
    <t>04/16/13</t>
  </si>
  <si>
    <t>04/15/13</t>
  </si>
  <si>
    <t>04/12/13</t>
  </si>
  <si>
    <t>04/11/13</t>
  </si>
  <si>
    <t>04/10/13</t>
  </si>
  <si>
    <t>04/09/13</t>
  </si>
  <si>
    <t>04/08/13</t>
  </si>
  <si>
    <t>04/05/13</t>
  </si>
  <si>
    <t>04/04/13</t>
  </si>
  <si>
    <t>04/03/13</t>
  </si>
  <si>
    <t>04/02/13</t>
  </si>
  <si>
    <t>04/01/13</t>
  </si>
  <si>
    <t>03/29/13</t>
  </si>
  <si>
    <t>03/28/13</t>
  </si>
  <si>
    <t>03/27/13</t>
  </si>
  <si>
    <t>03/26/13</t>
  </si>
  <si>
    <t>03/25/13</t>
  </si>
  <si>
    <t>03/22/13</t>
  </si>
  <si>
    <t>03/21/13</t>
  </si>
  <si>
    <t>03/20/13</t>
  </si>
  <si>
    <t>03/19/13</t>
  </si>
  <si>
    <t>03/18/13</t>
  </si>
  <si>
    <t>03/15/13</t>
  </si>
  <si>
    <t>03/14/13</t>
  </si>
  <si>
    <t>03/13/13</t>
  </si>
  <si>
    <t>03/12/13</t>
  </si>
  <si>
    <t>03/11/13</t>
  </si>
  <si>
    <t>03/08/13</t>
  </si>
  <si>
    <t>03/07/13</t>
  </si>
  <si>
    <t>03/06/13</t>
  </si>
  <si>
    <t>03/05/13</t>
  </si>
  <si>
    <t>03/04/13</t>
  </si>
  <si>
    <t>02/28/13</t>
  </si>
  <si>
    <t>02/27/13</t>
  </si>
  <si>
    <t>02/26/13</t>
  </si>
  <si>
    <t>02/25/13</t>
  </si>
  <si>
    <t>02/22/13</t>
  </si>
  <si>
    <t>02/21/13</t>
  </si>
  <si>
    <t>02/20/13</t>
  </si>
  <si>
    <t>02/19/13</t>
  </si>
  <si>
    <t>02/18/13</t>
  </si>
  <si>
    <t>02/15/13</t>
  </si>
  <si>
    <t>02/14/13</t>
  </si>
  <si>
    <t>02/13/13</t>
  </si>
  <si>
    <t>02/12/13</t>
  </si>
  <si>
    <t>02/08/13</t>
  </si>
  <si>
    <t>02/07/13</t>
  </si>
  <si>
    <t>02/06/13</t>
  </si>
  <si>
    <t>02/05/13</t>
  </si>
  <si>
    <t>02/04/13</t>
  </si>
  <si>
    <t>02/01/13</t>
  </si>
  <si>
    <t>01/31/13</t>
  </si>
  <si>
    <t>01/30/13</t>
  </si>
  <si>
    <t>01/29/13</t>
  </si>
  <si>
    <t>01/28/13</t>
  </si>
  <si>
    <t>01/25/13</t>
  </si>
  <si>
    <t>01/24/13</t>
  </si>
  <si>
    <t>01/23/13</t>
  </si>
  <si>
    <t>01/22/13</t>
  </si>
  <si>
    <t>01/21/13</t>
  </si>
  <si>
    <t>01/18/13</t>
  </si>
  <si>
    <t>01/17/13</t>
  </si>
  <si>
    <t>01/16/13</t>
  </si>
  <si>
    <t>01/15/13</t>
  </si>
  <si>
    <t>01/14/13</t>
  </si>
  <si>
    <t>01/11/13</t>
  </si>
  <si>
    <t>01/10/13</t>
  </si>
  <si>
    <t>01/09/13</t>
  </si>
  <si>
    <t>01/08/13</t>
  </si>
  <si>
    <t>01/07/13</t>
  </si>
  <si>
    <t>01/04/13</t>
  </si>
  <si>
    <t>01/03/13</t>
  </si>
  <si>
    <t>01/02/13</t>
  </si>
  <si>
    <t>12/28/12</t>
  </si>
  <si>
    <t>12/27/12</t>
  </si>
  <si>
    <t>12/26/12</t>
  </si>
  <si>
    <t>12/24/12</t>
  </si>
  <si>
    <t>12/21/12</t>
  </si>
  <si>
    <t>12/20/12</t>
  </si>
  <si>
    <t>12/18/12</t>
  </si>
  <si>
    <t>12/17/12</t>
  </si>
  <si>
    <t>12/14/12</t>
  </si>
  <si>
    <t>12/13/12</t>
  </si>
  <si>
    <t>12/12/12</t>
  </si>
  <si>
    <t>12/11/12</t>
  </si>
  <si>
    <t>12/10/12</t>
  </si>
  <si>
    <t>12/07/12</t>
  </si>
  <si>
    <t>12/06/12</t>
  </si>
  <si>
    <t>12/05/12</t>
  </si>
  <si>
    <t>12/04/12</t>
  </si>
  <si>
    <t>12/03/12</t>
  </si>
  <si>
    <t>11/30/12</t>
  </si>
  <si>
    <t>11/29/12</t>
  </si>
  <si>
    <t>11/28/12</t>
  </si>
  <si>
    <t>11/27/12</t>
  </si>
  <si>
    <t>11/26/12</t>
  </si>
  <si>
    <t>11/23/12</t>
  </si>
  <si>
    <t>11/22/12</t>
  </si>
  <si>
    <t>11/21/12</t>
  </si>
  <si>
    <t>11/20/12</t>
  </si>
  <si>
    <t>11/19/12</t>
  </si>
  <si>
    <t>11/16/12</t>
  </si>
  <si>
    <t>11/15/12</t>
  </si>
  <si>
    <t>11/14/12</t>
  </si>
  <si>
    <t>11/13/12</t>
  </si>
  <si>
    <t>11/12/12</t>
  </si>
  <si>
    <t>11/09/12</t>
  </si>
  <si>
    <t>11/08/12</t>
  </si>
  <si>
    <t>11/07/12</t>
  </si>
  <si>
    <t>11/06/12</t>
  </si>
  <si>
    <t>11/05/12</t>
  </si>
  <si>
    <t>11/02/12</t>
  </si>
  <si>
    <t>11/01/12</t>
  </si>
  <si>
    <t>10/31/12</t>
  </si>
  <si>
    <t>10/30/12</t>
  </si>
  <si>
    <t>10/29/12</t>
  </si>
  <si>
    <t>10/26/12</t>
  </si>
  <si>
    <t>10/25/12</t>
  </si>
  <si>
    <t>10/24/12</t>
  </si>
  <si>
    <t>10/23/12</t>
  </si>
  <si>
    <t>10/22/12</t>
  </si>
  <si>
    <t>10/19/12</t>
  </si>
  <si>
    <t>10/18/12</t>
  </si>
  <si>
    <t>10/17/12</t>
  </si>
  <si>
    <t>10/16/12</t>
  </si>
  <si>
    <t>10/15/12</t>
  </si>
  <si>
    <t>10/12/12</t>
  </si>
  <si>
    <t>10/11/12</t>
  </si>
  <si>
    <t>10/10/12</t>
  </si>
  <si>
    <t>10/09/12</t>
  </si>
  <si>
    <t>10/08/12</t>
  </si>
  <si>
    <t>10/05/12</t>
  </si>
  <si>
    <t>10/04/12</t>
  </si>
  <si>
    <t>10/02/12</t>
  </si>
  <si>
    <t>Bloomberg Template</t>
    <phoneticPr fontId="47" type="noConversion"/>
  </si>
  <si>
    <t>CRP 정리 - 수동 입력</t>
    <phoneticPr fontId="47" type="noConversion"/>
  </si>
  <si>
    <t>CRP 정리 -KOREA</t>
  </si>
  <si>
    <t>수동 입력</t>
    <phoneticPr fontId="47" type="noConversion"/>
  </si>
  <si>
    <t>정리</t>
    <phoneticPr fontId="47" type="noConversion"/>
  </si>
  <si>
    <t>RF 금리</t>
    <phoneticPr fontId="4" type="noConversion"/>
  </si>
  <si>
    <t>Date</t>
    <phoneticPr fontId="4" type="noConversion"/>
  </si>
  <si>
    <t>값(%)</t>
    <phoneticPr fontId="4" type="noConversion"/>
  </si>
  <si>
    <t>현재</t>
    <phoneticPr fontId="4" type="noConversion"/>
  </si>
  <si>
    <t>과거 1개월 평균</t>
    <phoneticPr fontId="4" type="noConversion"/>
  </si>
  <si>
    <t>과거 3개월 평균</t>
    <phoneticPr fontId="4" type="noConversion"/>
  </si>
  <si>
    <t>과거 6개월 평균</t>
    <phoneticPr fontId="4" type="noConversion"/>
  </si>
  <si>
    <t>과거 1년 평균</t>
    <phoneticPr fontId="4" type="noConversion"/>
  </si>
  <si>
    <t>과거 2년 평균</t>
    <phoneticPr fontId="4" type="noConversion"/>
  </si>
  <si>
    <t>프리미엄</t>
    <phoneticPr fontId="4" type="noConversion"/>
  </si>
  <si>
    <t>Date</t>
    <phoneticPr fontId="4" type="noConversion"/>
  </si>
  <si>
    <t>값(%)</t>
    <phoneticPr fontId="4" type="noConversion"/>
  </si>
  <si>
    <t>현재</t>
    <phoneticPr fontId="4" type="noConversion"/>
  </si>
  <si>
    <t>과거 1개월 평균</t>
    <phoneticPr fontId="4" type="noConversion"/>
  </si>
  <si>
    <t>과거 3개월 평균</t>
    <phoneticPr fontId="4" type="noConversion"/>
  </si>
  <si>
    <t>과거 6개월 평균</t>
    <phoneticPr fontId="4" type="noConversion"/>
  </si>
  <si>
    <t>과거 1년 평균</t>
    <phoneticPr fontId="4" type="noConversion"/>
  </si>
  <si>
    <t>과거 2년 평균</t>
    <phoneticPr fontId="4" type="noConversion"/>
  </si>
  <si>
    <t>Bloomberg Template</t>
    <phoneticPr fontId="47" type="noConversion"/>
  </si>
  <si>
    <t>Bond Yield - 수동 입력</t>
    <phoneticPr fontId="47" type="noConversion"/>
  </si>
  <si>
    <t>Questionaire</t>
    <phoneticPr fontId="1" type="noConversion"/>
  </si>
  <si>
    <t>구분</t>
    <phoneticPr fontId="1" type="noConversion"/>
  </si>
  <si>
    <t>세부항목</t>
    <phoneticPr fontId="1" type="noConversion"/>
  </si>
  <si>
    <t>비고</t>
    <phoneticPr fontId="1" type="noConversion"/>
  </si>
  <si>
    <t>매출액</t>
    <phoneticPr fontId="1" type="noConversion"/>
  </si>
  <si>
    <t>COGS</t>
    <phoneticPr fontId="1" type="noConversion"/>
  </si>
  <si>
    <t>SG&amp;A</t>
    <phoneticPr fontId="1" type="noConversion"/>
  </si>
  <si>
    <t>Working Capital</t>
    <phoneticPr fontId="1" type="noConversion"/>
  </si>
  <si>
    <t>CapEx &amp;
 Depreciation</t>
    <phoneticPr fontId="1" type="noConversion"/>
  </si>
  <si>
    <t>USD</t>
  </si>
  <si>
    <t>JPY</t>
  </si>
  <si>
    <t>CNY</t>
  </si>
  <si>
    <t>AUD</t>
  </si>
  <si>
    <t>Location</t>
  </si>
  <si>
    <t>Footnotes</t>
  </si>
  <si>
    <t>Afghanistan</t>
  </si>
  <si>
    <t xml:space="preserve">+ Show </t>
  </si>
  <si>
    <t>The corporate tax rate is 20%. Generally, two types of taxes are payable by corporate entities. The corporate income tax rate is 20% and is applied to the taxable income. Whereas the business receipt tax (ranging from 2% to 10%) is applied to the gross revenue. Qualifying extractive industries (mines and hydrocarbons) are exempt from the business receipt tax. Taxable income is determined by deducting all business-related tax deductible expenses from gross revenue. The tax deductible expenses also include dividends paid by the corporation and business receipt tax. Expenses which are subject to withholding tax are not tax deductible if the taxpayer fails to withhold withholding tax and to pay it to the tax authorities. Under a tax incentive scheme, so-called approved enterprises (that is, enterprises registered with the Afghanistan Investment Support Agency according to the Investment Law) are eligible for accelerated depreciation (four years for buildings and two years for other assets) and full carry forward losses.</t>
  </si>
  <si>
    <t>Albania</t>
  </si>
  <si>
    <t>The corporate tax rate is 15%. The corporate income tax rate is applied to the taxable profit of the fiscal year (1 January to 31 December). Taxable profit is defined as gross income generated minus related tax deductible expenses. There are certain expenses that are not deductible for tax purposes, such as business expenses unsupported by a regular invoice, interest accrued up to a certain limit, interest paid on loans and pre-payments which exceed four times the amount of net equity during the period, representation expenses over a certain limit and cost of fringe benefits. Setting up reserves does not lead to tax deductible expenses, except for banks and insurance companies. Dividends derived by qualifying companies are tax exempt.</t>
  </si>
  <si>
    <t>Algeria</t>
  </si>
  <si>
    <t>The corporate tax rate is 19%.</t>
  </si>
  <si>
    <t>Angola</t>
  </si>
  <si>
    <t>The corporate tax rate is 35 percent. According to the draft law of the Corporate Income Tax Code, the corporate tax should decrease to 30% from 2014 onwards. This change has already been approved, but not yet published in the National Gazette.</t>
  </si>
  <si>
    <t>Argentina</t>
  </si>
  <si>
    <t>The corporate tax rate is 35 percent. A minimum income tax at a rate of 1 percent is applied to the tax value of the companys assets (liabilities cannot be deducted). Some assets, such as stocks, shares in other entities that are subject to taxation, and assets of mining companies are exempt from minimum income tax. The acquisition of new goods, except for automobiles, as well as the investment in newly constructed or refurbished buildings (for the first two years) is also excluded from minimum income tax. The minimum income tax only applies to the extent it exceeds the (regular) income tax calculated as a percent of the taxable income. The minimum income tax paid in any given year reduces the (regular) income tax of subsequent years (maximum carry forward of 10 years).</t>
  </si>
  <si>
    <t>Armenia</t>
  </si>
  <si>
    <t>The corporate tax rate is 20 percent.</t>
  </si>
  <si>
    <t>Aruba</t>
  </si>
  <si>
    <t>The corporate tax rate is 28 percent.</t>
  </si>
  <si>
    <t>Australia</t>
  </si>
  <si>
    <t>The corporate tax rate is 30%. The corporate income tax rate applies to both resident and non-resident companies. A resident company is liable to corporate income tax on its worldwide income and capital gains. A non-resident company is liable to corporate income tax on its Australian-source income only, and on capital gains from the disposal of an asset that is taxable Australian real property (TARP). Broadly, TARP will include Australian real property and certain indirect interests in Australian real property. The Australian tax system provides taxation relief against international double taxation by granting foreign tax offsets in some circumstances and in others, by exempting the foreign income from Australian tax. The corporate income tax rate applies to income earned during the period from 1 July to 30 June of the following year. If a company has approval to use a different year-end for tax purposes, the approved period must still relate to a 30 June year-end (that is, the year ended 31 December 2012 in lieu of 30 June 2013).</t>
  </si>
  <si>
    <t>Austria</t>
  </si>
  <si>
    <t>The corporate tax rate is 25%. There are no trade income or net worth taxes. Austrian corporations may benefit from the participation exemption and the group taxation (including cross-border loss utilization and goodwill depreciation for the acquisition of qualifying Austrian subsidiaries).</t>
  </si>
  <si>
    <t>Bahamas</t>
  </si>
  <si>
    <t>The corporate tax rate is 0%. No taxes based on corporate earnings are assessed in The Bahamas. Effective 1 July 2013 the general rate of the Business License tax is 0.75% of turnover exceeding $500,000 and up to 1.75% of turnover exceeding $100 million.</t>
  </si>
  <si>
    <t>Bahrain</t>
  </si>
  <si>
    <t>The corporate tax rate is 0%. Bahrain is an income tax-free country; there is no corporate or personal income tax in Bahrain (except for certain oil related activities). Accordingly, all profits, dividends, or any other income is tax free. Bahrain taxes oil and gas companies in the drilling and exploration sector at a rate of 46%. There are no exchange control regulations and accordingly there is no restriction on repatriation of capital, profits, royalties, or wages.</t>
  </si>
  <si>
    <t>Bangladesh</t>
  </si>
  <si>
    <t>The corporate tax rate is 27.5 percent. The corporate income tax rate is 27.5 percent for corporations (except banks and other financial institutions) listed at a stock exchange. If such listed corporation pays a dividend that exceeds 20 percent of the paid-up capital for a taxable year, it receives a 10 percent rebate on the tax payable. In cases where the dividend is lower than 10 percent of the paid-up capital, the corporate income tax rate is increased to 37.5 percent. Should the dividend amount be less than 15 percent in spite of having sufficient distributable profits, the company is subject to an additional 5 percent tax on the undistributed profits. Banks, insurance companies and other financial institutions are taxed at 42.5 percent, and mobile phone operators are taxed at 45 percent. All other companies including branches of foreign companies are taxed at 37.5 percent, however, if a mobile phone operator company converts itself into a publicly traded company by offering a minimum of 10 percent of its shares on the stock exchange through initial public offer, the applicable tax rate for such organization will be 35 percent. A rebate in the amount of 50 percent of the income derived from export business will be granted to companies registered in Bangladesh. Textile/jute industries are subject to 15 percent but these industries will not qualify for an export rebate. Tax at 0.4 percent deducted by a bank from export proceeds received by export-oriented knitwear and woven garment industries is treated as final tax. If the profit earned by a bank exceeds 50 percent of its capital and reserves, the bank is subject to a 15 percent excess profits tax on the additional profit. The aforesaid rates will remain valid for companies whose accounting year ends on any date up to 30 June 2010.</t>
  </si>
  <si>
    <t>Barbados</t>
  </si>
  <si>
    <t>The corporate tax rate is 25%. The corporate income tax rate may be reduced, on a sliding scale to 1.75%, by a foreign currency tax credit granted for qualifying foreign currency generating activities. Special rates apply for small business, manufacturing, or certain insurance concessions. An international financial service center tax regime provides for exemption from tax for certain insurance companies, a 1.75% rate for qualifying insurance companies and a variable rate of 0.25% to 2.5% for other qualifying international business activities.</t>
  </si>
  <si>
    <t>Belarus</t>
  </si>
  <si>
    <t>The corporate tax rate is 18%.Reduced rates are 12% (for dividends); 10% (for residents of science and technology parks; for producers of laser and optical equipment; for the sales of self- produced high-tech goods); 50% of the standard rate (for the disposal of shares); and 5% (for members of Science and Technology Association established by the State University). For special economical zones the CPT rate is 50% of the standard rate (but not more than 12%) if certain specific requirements are met.</t>
  </si>
  <si>
    <t>Belgium</t>
  </si>
  <si>
    <t>The corporate tax rate in Belgium: 33.99%. A lower (progressive) tax rate may apply to companies that are more than 50% owned by individuals. All companies subject to resident or non-resident corporate tax benefit from the risk capital or notional interest deduction that is computed on the companies adjusted equity capital (including retained earnings). The deduction equals 2,63 % (3,13 % for small companies) for fiscal year 2015 (taxable years starting 1 January 2014 or later). The notional interest deduction reduces the effective tax rate to an average range from 24% to 27% (or lower depending on the equity capital).</t>
  </si>
  <si>
    <t>Bermuda</t>
  </si>
  <si>
    <t>The corporate tax rate is 0%. There are no notes for 2014.</t>
  </si>
  <si>
    <t>Bolivia</t>
  </si>
  <si>
    <t>The corporate tax rate is 25 percent. The Bolivian corporate income tax is based on the territoriality principle, whereby tax is due only on business income derived from activities performed, property situated, or economic rights used in Bolivia, regardless of the nationality, domicile or residence of those who take part in the operations. Accordingly, business income realized through operating companies outside Bolivia is not taken into account for Bolivian tax purposes nor are losses pertaining to such companies.</t>
  </si>
  <si>
    <t>Bonaire, Saint Eustatius and Saba</t>
  </si>
  <si>
    <t>The profit tax regime in the BES islands (Bonaire, St Eustatius and Saba) has been abolished as per 2011. According to the Tax Act BES the basic rule is that all companies established in the BES Islands are deemed to be established in the Netherlands and therefore subject to Dutch corporate income tax and dividend withholding tax. Consequently, such companies will be subject to Dutch corporate income tax levied at a rate of 20% on profits up to EUR 200,000 and a rate of 25% for profits exceeding that amount. The dividend withholding tax rate is 15%. However, certain qualifying companies can elect to be subject to the BES islands property tax and distribution tax instead of being subject to the Dutch corporate income tax and Dutch dividend withholding tax. Instead, a property tax rate of 15% (tax rate for hotels: 5%) levied on 4% of the value of a companys real estate located in the BES islands and a distribution tax rate of 5% (levied on proceeds derived from shares in companies established in the BES islands) apply.</t>
  </si>
  <si>
    <t>Bosnia and Herzegovina</t>
  </si>
  <si>
    <t>The corporate tax rate is 10%. Bosnia and Herzegovina consists of two separately administered territorial entities: the Federation of Bosnia and Herzegovina (FBiH) and the Republic of Srpska (RS) with different corporate profit tax laws and regulations. In case of RS, effective date is 01/01/2002. In both entities, dividends received are generally not subject to corporate profit tax. Tax incentives envisaged in the FBiH include allowing a tax holiday for a year in which more than 30% of a taxpayers total income is realized through export as well as tax incentives related to investment as per the FBiH corporate profit tax legislation.</t>
  </si>
  <si>
    <t>Botswana</t>
  </si>
  <si>
    <t>The corporate tax rate for resident companies is 22%. Dividends are subject to a general rate of 7.5% unless varied under a Double Tax Agreement. Non-resident companies rate is 30% with no additional taxes on remittance of profits.</t>
  </si>
  <si>
    <t>Brazil</t>
  </si>
  <si>
    <t>The corporate income tax (IRPJ) rate is 25%. The rate is a combination of a 15% basic rate and a 10% surtax on income that exceeds BRL 240,000 per year. In addition, Brazilian tax legislation imposes a social contribution on net profits (CSLL) at a rate of 9%. Thus, corporate income taxation should be charged at a combined rate of 34% (IRPJ and CSLL). Note that as of 1 May 2008, the tax rate of the mentioned social contribution (CSLL) has been increased from 9% to 15% in case the taxpayer is a financial institution, a private insurance company, or a capitalization company. There are two main methods to calculate corporate income tax: (i) actual profit, where the taxable basis for both taxes should correspond to the companys net book profit, which is determined by applying Brazilian GAAP (adjusted by certain inclusions and deductions allowed under the Brazilian legislation); and (ii) presumed profit, wherein taxpayers shall calculate their corporate income taxes (at the same rate applied to the actual profit system) based on the application of a deemed profit margin. Brazilian entities may elect to compute corporate taxes based on this presumed profit mechanism; provided they (a) do not have total gross revenues in the preceding year higher than R$48 million; (b) are not financial institutions, similar entities or factoring companies; (c) do not earn foreign profits, income or gains (i.e. directly or through foreign subsidiaries) and (d) do not qualify for an exemption or reduction of the corporate income tax. Please, it is worth mentioning that, effective as of January, 2014, Federal Law 12,814/13 increased the gross revenue limit to apply for the presumed profit system R$ 78 million opposed to currently R$ 48 million.</t>
  </si>
  <si>
    <t>Bulgaria</t>
  </si>
  <si>
    <t>The corporate income tax rate is 10 percent.</t>
  </si>
  <si>
    <t>Cambodia</t>
  </si>
  <si>
    <t>The corporate tax rate is:(i) 0% for Qualified Investment Project under tax exemption period (ii) 5% on gross premiums for Insurance business (iii) 30% for oil &amp; gas production, exploration and exploitaion of natural resources (iv) Others than above are subject to a standard rate of 20%</t>
  </si>
  <si>
    <t>Canada</t>
  </si>
  <si>
    <t>The corporate income tax rate is 26.5%. It comprises a 15.0% federal tax component and an 11.5% provincial tax component. Depending on the province, the combined general corporate income tax rate ranges from 25% to 31%. Lower corporate income tax rates are available to Canadian-controlled private corporations (CCPCs) on their first CAD$500,000 (CAN$350,000 to CAD$425,000 for certain provinces) of taxable active business income. A 2014 representative tax rate for a CCPC on its first CAD$500,000 of active business income is 15.5% (an 11% federal tax component and a 4.5% provincial tax component). Depending on the province, the 2014 combined active business income tax rate ranges from 11% to 19%.</t>
  </si>
  <si>
    <t>Cayman Islands</t>
  </si>
  <si>
    <t>There is no corporate tax.</t>
  </si>
  <si>
    <t>Chile</t>
  </si>
  <si>
    <t>The corporate tax rate is 20% (Introduced by Law 20.630, published in the official gazette of September 27, 2012). Dividend tax rates on non-residents have remained unchanged, and dividends paid out of 2013 earnings will carry a 20% imputation credit respectively. Chilean corporate income tax (named first category tax) applies to all types of taxable income realized by a taxpayer, individual, or legal entity, regardless of its nationality, residence, or domicile, with the exception of income from dependent employees and independent personal services. The tax base is the accrued net taxable income after allowable deductions and expenses. First category tax paid can be credited against final taxes, which are a personal income tax with a progressive rate schedule (with some changes from 2013) in case of Chilean resident individuals and withholding tax with a 35% flat rate in case of non-residents. The 20% rate must be applicable not only from 2013 but also for income accrued during calendar year 2012.</t>
  </si>
  <si>
    <t>China</t>
  </si>
  <si>
    <t>The corporate tax rate is 25%. Certain industries and qualified businesses may be entitled to lower corporate income tax rates such as 15%. Some tax holidays are also available to qualified taxpayers.</t>
  </si>
  <si>
    <t>Colombia</t>
  </si>
  <si>
    <t>The general income tax rate is 25%, plus the fairness tax (CREE as its name in Spanish) at the rate of the 9%. For Industrial Users of goods and services located in a Free Trade Zone, the income tax rate is 15% and they would not be subjected to pay the CREE. In addition to the corporate income tax and the CREE, there is a municipal industry and commerce tax levied on industrial, commercial and services activities carried out within a municipality. The rates are set by each municipality but cannot exceed 1.4%, taking into account that the taxable base is the gross income of the activity. For income tax and CREE purposes deductible expenses include industry and commerce tax. Finally, please note that for foreign entities without a PE or a branch in Colombia the tax rate is 33% and the CREE does not apply. Furthermore, portfolio investors may apply to a reduced rate of 14% (not in the case of dividends and tax havens which rate is 25%).</t>
  </si>
  <si>
    <t>Costa Rica</t>
  </si>
  <si>
    <t>The corporate tax rate is 30%. This income tax rate is applicable to entities whose gross income exceeds CRC 100,513,000. Entities with gross income up to CRC 49,969,000 are subject to a 10% corporate income tax rate, entities with income exceeding CRC 49,969,000, and up to CRC 100,513.000 are subject to a corporate income tax rate of 20%.</t>
  </si>
  <si>
    <t>Croatia</t>
  </si>
  <si>
    <t>The corporate tax rate is 20%. Taxable income is determined by adjusting accounting profit in accordance with the provisions of the Corporate Income Tax Law. Dividends received are not subject to corporate income tax. A company can reduce its tax base by the amount of declared after tax profit used to increase the companys share capital. Additionally, companies registered in Special State Care Areas or in the City of Vukovar employing a certain number of people residing in Special State Care Areas or in the City of Vukovar can apply for a 50% corporate tax rate reduction or for a corporate tax exemption provided certain conditions are met. Tourist tax, forestry tax, monumental protection fees, and Croatian Chamber of Commerce fees are taxes based on turnover.</t>
  </si>
  <si>
    <t>Curacao</t>
  </si>
  <si>
    <t>The corporate tax rate in 27.5 percent.</t>
  </si>
  <si>
    <t>Cyprus</t>
  </si>
  <si>
    <t>The corporate tax rate for tax year 2013 onwards is 12,5%. The rate is applicable on business income derived by a company (defined as "anybody with or without legal personality, or public corporate body, as well as every company", but it does not include a partnership). Dividends received are tax exempt. Income deriving from the sale of securities is also tax exempt. Only expenses wholly and exclusively related to the business activity are deductible.</t>
  </si>
  <si>
    <t>Czech Republic</t>
  </si>
  <si>
    <t>The corporate tax rate is 19%. A special rate of 5% applies to profits of qualifying investment, mutual and pension funds. Dividends received are, in principle, taxed at 15%. However, dividend received from a subsidiary in which the parent has held at least 10% for at least 12 months and which is resident in the EU is exempt. A dividend received from a subsidiary resident in a country with which the Czech Republic has signed a double tax treaty is also exempt upon following conditions: (i) the legal form of the subsidiary is similar to a limited liability company, joint stock company or a cooperative, (ii) parent has held at least 10% for at least 12 months, (iii) the corporate tax rate of the subsidiary is at least 12%. Dividends paid are taxed at 35% or 15%, unless a double tax treaty provides for more favorable rates. However, dividends paid to a parent resident in the EU, Norway, Iceland or Switzerland which has held at least 10% for at least 12 months is exempt. The 35% rate only applies to shareholders from jurisdictions with which the Czech Republic has not concluded an international agreement on the exchange of information on taxes or a Double Tax Treaty. The 35% will also not apply to signatories of the Council of Europes Convention on Mutual Administrative Assistance in Tax Matters ("Convention"). As the Czech Republic has only just joined the Convention (signing it on 26 October 2012), the new regulation will apply once in force which will be on 1 February 2014. Income tax relief for a period up to 10 years is available under special investment incentive schemes. However, it is currently being discussed that the investment incentive schemes might be greatly limited from mid 2014.</t>
  </si>
  <si>
    <t>Denmark</t>
  </si>
  <si>
    <t>The corporate tax rate is 24,5%. Two prepayments of corporate income tax during the taxable year are mandatory. If the final tax liability exceeds the prepayments a surcharge of 6% (2014) of the outstanding tax liability is payable. There are no local taxes on corporate income.The corporate tax rate is reduced to 23.5% in 2015 and 22% in 2016 (25 % to apply for oil and gas companies).</t>
  </si>
  <si>
    <t>Dominican Republic</t>
  </si>
  <si>
    <t>The corporate tax rate for 2012 and 2013 was of 29%. For the year 2014, such rate changes to 28%. In 2015, it will be reduced to 27%.</t>
  </si>
  <si>
    <t>Ecuador</t>
  </si>
  <si>
    <t>From 2013 onwards the corporate tax rate will be 22%. The rate is reduced to 12% when the taxpayer decides to reinvest its profits. This reinvestment needs to used for i) the acquisition of new machinery or equipment or assets related to research and technology to improve productivity; ii) the acquisition of fixed assets and all goods used for agricultural production, forestry, livestock and flower-growing. The reduced rate only applies to the amount of profit reinvested and the companys capital must be increased by the reinvested amount. This benefit is not applicable for private financial institutions. Exemptions from income tax for five years from the first year may apply in cases where income attributed directly to new and productive investments.</t>
  </si>
  <si>
    <t>Egypt</t>
  </si>
  <si>
    <t>No information - need to check with contact</t>
  </si>
  <si>
    <t>El Salvador</t>
  </si>
  <si>
    <t>The corporate income tax rate is 30% (this increased from 25% on 1 Jan 2012). A 25% corporate income tax rate applies to taxpayers with less than US$ 150,000 gross taxable income. Distributions of profits (e.g. dividends) to individuals or legal entities derived from domiciled corporations are subject to an additional 5% tax. If the shareholder is a non-domiciled individual or entity, the 5% tax will be withheld at the time the dividend is paid. Distribution of profits arising in tax years prior to 2011 are exempt from the dividend tax. Distribution of profits to low tax jurisdictions (tax havens) are subject to a 25% withholding tax. The 5% withholding tax is also applicable in the case of loans granted to non-domiciled shareholders, parent companies, branches or agencies, etc. However this withholding tax will not be applicable provided that certain requirements are met (i.e. interest rate agreed is at a fair market value or loan agreements executed between financial institutions regulated by the Superintendent of Financial Services etc). A minimum income tax is payable of 1% of the taxpayers gross income (tax payable is the greater of 1% of gross income or 30% of taxable income). Certain exemptions exist for low margin operations e.g. gas stations. Certain limited exemptions to the minimum tax apply in the case of tax losses. Monthly advance (estimated) payments are made throughout the tax year based on 1.75% of gross monthly income. Payment of royalties, services, head office charges, etc. to non-domiciled corporations are subject to a withholding tax of generally 20%.</t>
  </si>
  <si>
    <t>Estonia</t>
  </si>
  <si>
    <t>According to the corporate income tax system applied in Estonia, undistributed profits are not subject to tax. Instead, income tax at the rate of 21% is charged on gross dividends. However, tax is calculated as 21/79 of the net dividend. Thus a company not distributing profit is not obliged to pay income tax. Taxable expenses are subject to 21/79 corporate income tax as well. The corporate tax rate is reduced to 20% in 2015.</t>
  </si>
  <si>
    <t>Fiji</t>
  </si>
  <si>
    <t>The corporate tax rate is 20%. The corporate income tax rate applies to companies incorporated in Fiji and branches of non-resident companies. Reduced corporate tax rates for foreign companies that establish/relocate its headquarters to Fiji (17 percent) and companies listed under the South Pacific Stock Exchange(10 percent from 1 January 2014) Dividend distribution from profits which have been fully subjected to income tax shall not be further subject to tax. The repatriation of after-tax branch profits (if earned in 2010 and subsequent years) shall not be subject to further tax.</t>
  </si>
  <si>
    <t>Finland</t>
  </si>
  <si>
    <t>The corporate tax rate is 20%.</t>
  </si>
  <si>
    <t>France</t>
  </si>
  <si>
    <t>A 3.3 percent social contribution is levied on the part of the corporate income tax that exceeds EUR 763,000, resulting in an overall maximum tax rate of 34.43 percent. In addition, a temporary 10.7 percent surtax is levied on the (full) corporate income tax for entities with a sales turnover greater than EUR 250 million. This temporary surtax, which brings the overall maximum tax rate to 38 percent, applies to financial years (closed) from 31 December 2011 until financial years (closed) on 30 December 2015. Specific categories of income can benefit from a reduced corporate tax rate under conditions. In particular, licensing fees relating to certain IP rights can benefit from a 15 percent corporate tax rate (respectively 15.5 percent or 17.1 percent taking into account the above two surtaxes). Small and medium size companies with a turnover of EUR 7.63 million or less owned at least 75 percent by individuals (or owned by companies meeting the same conditions) are subject to a corporate income tax rate of 15 percent. This reduced rate applies to taxable profits up to EUR 38,120. These small and medium size companies are not subject to the above-mentioned social contribution and temporary surtax. Fidal is an independent legal entity that is separate from KPMG International and KPMG member firms.</t>
  </si>
  <si>
    <t>Georgia</t>
  </si>
  <si>
    <t>The Corporate Income Tax is calculated on an annual basis; the rate of 15% is applied to the taxable profit. The taxable profit is defined as the difference between the gross income and the relevant deductions stipulated by the Tax Code of Georgia</t>
  </si>
  <si>
    <t>Germany</t>
  </si>
  <si>
    <t>The corporate tax rate is 29.58%. The overall income tax rate for corporations includes corporate income tax at a rate of 15%, solidarity surcharge at a rate of 0.825% (5.5% of the corporate income tax), and local trade tax. The local trade tax generally varies between 7% and 17.15%, assuming a municipality multiplier (Hebesatz) ranging normally from 200% to 490% (the average multiplier for 2012 was 393%). The local trade tax is not deductible as a business expense.</t>
  </si>
  <si>
    <t>Ghana</t>
  </si>
  <si>
    <t>The above rate is the general corporate tax rate. However, there are specific rates applicable to certain sectors as follows: Mining - 35% since 9 March 2012 Hotel - 20% Free Zone Entities - Income from Sales Outside the Domestic Market - maximum of 8% after their ten-year tax holiday - Income from Sales to the Domestic Market - maximum of 25% after their ten-year tax holiday Petroleum Operations - Not more than 50%; but currently the rate applicable to all the operators is 35% Export of non-traditional goods - 8% There are also specific rates for certain areas in the agriculture sector</t>
  </si>
  <si>
    <t>Gibraltar</t>
  </si>
  <si>
    <t>The corporate tax rate is 10%. Companies pay tax on income that is accrued and derived in Gibraltar. If it can be shown that income is not accrued and derived in Gibraltar, the income is not taxable in Gibraltar. The company can apply to the Commissioner of Income Tax to have this confirmed in an advance tax ruling (subject to certain conditions and restrictions). A higher rate of 20% applies to utility companies e.g. electricity, fuel, telephone service and water providers and companies abusing a dominant market position.</t>
  </si>
  <si>
    <t>Greece</t>
  </si>
  <si>
    <t>The corporate tax rate for FY 2013 onwards is 26%. The withholding rate on dividends/profits which are paid within 2014 for distribution is 10%. General partnerships (OE) and limited partnerships (EE) are taxed as separate legal entities and for fiscal year 2013 onwards are taxed as follows: in case they do not maintain double-entry accounting books, they are subject to corporate tax at a rate of 26% for taxable income up to EUR 50 000 and the excess is taxed at a tax rate of 33% while in case they do maintain double-entry accounting books, their total net income is subject to tax at a rate of 26% (and an additional tax of 10% applies on profit distributions).</t>
  </si>
  <si>
    <t>Guatemala</t>
  </si>
  <si>
    <t>The corporate tax rate is 28% or 7%. The Guatemalan corporate income tax system is based on the territoriality principle; all Guatemalan-source income is taxed. The taxpayers choice to be under the tax system at a rate of 28% on taxable income (the general system) or at a rate of 7% on gross income (the optional system). Under the general system, corporate income tax is paid annually but quarterly advance payments are required. Under the optional system, corporate income tax is paid on a monthly basis.</t>
  </si>
  <si>
    <t>Guernsey</t>
  </si>
  <si>
    <t>The standard corporate tax rate is 0%, unless the 10% or 20% tax rates apply based on the circumstances set out below. Income derived from certain regulated banking and money lending activities is taxable at 10%. The 10% tax band was extended effective 1 January 2013 to include income from licensed fiduciaries (in respect of regulated activities), licensed insurers (in respect of domestic business), licensed insurance intermediaries and licensed insurance managers. Furthermore, income derived from regulated utility activities and Guernsey real estate is taxable at 20%.</t>
  </si>
  <si>
    <t>Honduras</t>
  </si>
  <si>
    <t>The corporate tax rate is 30%. The overall income tax rate for corporations comprises of a 25% corporate income tax rate and a temporary solidarity surcharge of 5% for 2014 that applies if the taxable income exceeds HNL1 million. In addition, there is a net assets tax of 1% of the value of the assets of the company (less allowances for certain accounts and accumulated tax depreciation). Net assets tax is payable only to the extent it exceeds the corporate income tax.</t>
  </si>
  <si>
    <t>Hong Kong SAR</t>
  </si>
  <si>
    <t>The corporate tax rate is 16.5%. Hong Kong SAR is a special administrative region of the Peoples Republic of China. The 16.5% rate applies to Hong Kong-sourced profits that are derived from a business carried on in Hong Kong. Offshore profits, capital gains, dividends, and most Hong Kong bank deposit interest income are exempt from tax. Profits derived from certain securities or types of business (such as qualifying debt instruments or profits derived from the business of reinsurance of offshore risks by a professional re-insurer) are either exempt from tax or subject to a concessional rate of 8.25% (50% of the 16.5% standard rate).</t>
  </si>
  <si>
    <t>Hungary</t>
  </si>
  <si>
    <t>The corporate tax rate is 19%. A 10% corporate income tax rate applies for taxable income up to HUF 500 million (approximately USD 2,500,000). The excess is taxed at 19%. These rates are expected to be applicable also in 2014. From 1 July 2007, a minimum tax (AMT) applies. The AMT base amounts to 2% of total income, as decreased by the cost of goods sold and the value of intermediated services and some further adjustments. Please note that deduction of cost of goods sold and mediated services is capped as of 1 January 2013. An additional local business tax (LBT) of up to 2% is applicable based on the adjusted net sales (certain expenses are deductible). This local business tax is deductible for corporate income tax purposes</t>
  </si>
  <si>
    <t>Iceland</t>
  </si>
  <si>
    <t>The corporate tax rate is 20%. The income tax rate for other resident legal entities, such as limited partnerships, associations, private non-profit institutions, trust funds, estates of deceased persons and bankrupt estates is 36%. Tax is imposed on net income after allowable deductions. A non-resident entity permanent establishment tax rate and deduction depends on the type of income and the entity legal form, the tax rate of the permanent establishment tax rate depends on what type of legal entity the head quarters correspond to in Iceland.</t>
  </si>
  <si>
    <t>India</t>
  </si>
  <si>
    <t>The corporate tax rate is 33.99 percent.The corporate tax rate for domestic companies is 30 percent. Foreign companies are taxable at 40 percent. A minimum alternate tax (MAT) is levied at 18.5 percent of the adjusted profits of companies where the tax payable is less than 18.5 percent of their book profits. There is a special method for computation of total income of insurance companies. The rate of tax on profits from life insurance business is 12.5 percent. Surcharge and Education Cess.Surcharge is levied on the basic tax rate based on the level of total income as mentioned below. Further, education cess is applicable at 3 percent on income tax (inclusive of surcharge, if any). Domestic Company Where the total income is not more than INR 10 million – Nil Where the total income is in excess of INR 10 million but does not exceed INR 100 million – 5 percent Where the total income exceeds INR 100 million – 10 percent Accordingly, the effective tax rate of a domestic company would be 30.9/32.445/33.99 percent respectively. Foreign Company Where the total income is not more than INR 10 million – Nil Where the total income is in excess of INR 10 million but does not exceed INR 100 million – 2 percent Where the total income exceeds INR 100 million – 5 percent Accordingly, the effective tax rate of a foreign company would be 41.2/42.024/43.26 percent respectively. Dividend distribution tax is levied at 16.995 percent on dividends distributed by a domestic company. Securities transaction tax is levied on the value of taxable securities transactions in equity shares and units of equity oriented funds. With effect from 1 July 2013, Commodities Transaction Tax has been introduced on the sale of commodity derivatives (other than agricultural commodities) traded in recognised associations, at the rate of 0.01 percent on the value of such transaction and such tax shall be payable by the seller. Wealth tax is imposed at a rate of 1 percent on the value of specified assets held by the taxpayer in excess of the basic exemption of INR 3 million. A presumptive tax regime is applicable in case of certain specified sectors viz. shipping, exploration of mineral oil, operation of aircrafts and turnkey power projects.</t>
  </si>
  <si>
    <t>Indonesia</t>
  </si>
  <si>
    <t>Listed companies which meet certain conditions are eligible for a 5 % reduction in the corporate tax rate. A company with gross turnover less than IDR50 billion (approximately USD5.5 million) is eligible for a 50 % reduction of the corporate tax rate on the proportion of taxable income which results when IDR4.8 billion is divided by the gross annual turnover. Where gross turnover is below IDR4.8 billion, the reduction applies on all taxable income.</t>
  </si>
  <si>
    <t>Iraq</t>
  </si>
  <si>
    <t>Starting from 2003, Iraq starts applying 15% CIT on all industries. In 2010 they introduced Oil &amp; Gas law and starts applying 35% CIT in Oil &amp; Gas companies and industries related to Oil &amp; Gas.</t>
  </si>
  <si>
    <t>Ireland</t>
  </si>
  <si>
    <t>The corporate income tax rate is 12.5% for active income of new operations. A corporate income tax rate of 25% applies to passive income and income from certain land dealing activities, mining, and petroleum activities. Capital gains are taxed at 33% with a participation exemption for gains on disposals of certain shareholdings of 5% or more of companies resident in EU or income tax treaty states.</t>
  </si>
  <si>
    <t>Isle of Man</t>
  </si>
  <si>
    <t>The corporate tax rate is 0%. A rate of 10% applies to certain profits of licensed banks and to profits derived from Isle of Man land or property. Furthermore, with effect from 6 April 2013, retailers with taxable profits in excess of GBP500,000 are taxed at 10%.</t>
  </si>
  <si>
    <t>Israel</t>
  </si>
  <si>
    <t>Companies with a beneficial or approved or preferred enterprise are taxed at a reduced tax rate that varies depending on the circumstances. Capital gains are subject to the standard corporate tax rate. Dividends from foreign sources are subject to a 25% tax with a credit for foreign withholding tax, and in certain circumstances, at the standard corporate tax rate on the "grossed up dividend" with a credit granted on all foreign taxes paid by the direct and second tier subsidiary on the dividend and the income from which it is distributed.</t>
  </si>
  <si>
    <t>Italy</t>
  </si>
  <si>
    <t>The corporate tax rate is 31.4% (IRES at 27,5% plus IRAP ordinary at 3.9%). IRES rate of companies producing and distributing energy, including renewable energy, is increased of additional 6.5% (10,5% for 2011, 2012 and 2013) if certain threshold are met. For 2014 IRES rate of companies producing and distributing energy, including renewable energy, the additional rate should come back to 6.5% An increased rate (38% versus the ordinary 27,5%) applies also to those entities that either are considered "dormant" or declared tax losses for three consecutive years.</t>
  </si>
  <si>
    <t>Jamaica</t>
  </si>
  <si>
    <t>The corporate tax rate is 25% for all companies that are not regulated companies (later defined) including large unregulated companies whose corporate tax rate was reduced from 30% to 25% on January 1, 2014. Large unregulated companies are those with annual revenue of at least J$500,000,000. Regulated companies are those regulated by the Bank of Jamaica, the Financial Services Commission, the Office of Utilities Regulation and the Ministry of Finance and Planning ("regulated companies") and these entities are taxed at 33.33%. These regulated companies generally fall within the categories of financial institutions, securities dealers, insurance companies and utility companies. Large unregulated companies whose accounting year ends are other than December 31 for the year of assessment 2014, may need to calculate their tax liability for 2014 on a time apportioned basis: the 25% rate applying to taxable net profits earned before April 1, 2013, the 30% rate applying to taxable net profits earned as at that date and 25% on taxable net profits earned from January 1, 2014. Companies must declare their income and make prepayments of the corporate tax in four installments (15 March, 15 June, 15 September and 15 December) during the taxable year. If the final tax exceeds the prepayments, the balance is payable by the due date of filing the income tax return (15 March of the year following the year of assessment)</t>
  </si>
  <si>
    <t>Japan</t>
  </si>
  <si>
    <t>The corporate tax rate is 35.64%. This is an illustrative effective tax rate for a company in Tokyo with paid-in capital of more than JPY100 million for fiscal years beginning on or after 1 April 2014. Size-based business tax is also levied on a company with paid-in capital of more than JPY 100 million, in addition to the income-based business tax. The size-based business tax rates in Tokyo are 0.504% on the added-value component tax base (total of labor costs, net interest payments, net rent payments, and income/loss of the current year) and 0.21% on the capital component tax base (total paid-in capital and capital surplus).</t>
  </si>
  <si>
    <t>Jersey</t>
  </si>
  <si>
    <t>The tax rate applicable depends on the activities of the company. Financial services companies pay tax at 10%. Utility companies e.g. electricity, water and gas pay tax at 20%. Companies importing and/or distributing hydrocarbon oils pay tax at 20%. Companies pay 20% on Jersey source rental income. All other companies are subject to the general rate of 0%.</t>
  </si>
  <si>
    <t>Jordan</t>
  </si>
  <si>
    <t>The corporate income tax rates are 14%/24%/30%. The corporate income tax rate of 14% applies to all companies except the below: - a 24% rate applies on Main Telecom Companies, insurance companies, financial mediators and financial companies and finance leasing activities companies. - a 30% rate applies to banks. These rates apply pursuant to a temporary law effective from 1 January 2010 onwards.</t>
  </si>
  <si>
    <t>Kazakhstan</t>
  </si>
  <si>
    <t>The corporate tax rate is 20%. Branches of foreign companies operating in Kazakhstan are subject to an additional branch profits tax of 15% of their after-tax income, resulting in an overall tax rate of 32% for branch offices. Income tax treaties may reduce the branch profits tax.</t>
  </si>
  <si>
    <t>Kenya</t>
  </si>
  <si>
    <t>The corporate tax rate is 30%. The corporate tax rate for branches is 37.5%. Profits after tax are subject to 5% or 10% withholding tax, for residents and non-residents respectively, when distributed as dividend. Export processing zone enterprises are exempt from corporate tax for the first 10 years and subsequently enjoy a reduced tax rate of 25% for the next 10 years. Newly listed companies, approved under the Capital Markets Authority enjoy reduced corporation tax rates depending on the percentage of shares floated to the public. Informal businesses with turnover above five hundred thousand Kenya shillings but not exceeding five million Kenya shillings in a year of income pay a turnover tax of 3% which is a final tax.</t>
  </si>
  <si>
    <t>Korea, Republic of</t>
  </si>
  <si>
    <t>The corporate tax rate is 11%(including 10% of local income tax) up to 200 million Korean Won, 22%(including 10% of local income tax) over 200 million to 20 billion Korean Won and 24.2%(including 10% of local income tax) over 20 billion Korean Won.</t>
  </si>
  <si>
    <t>Kuwait</t>
  </si>
  <si>
    <t>The corporate tax rate is 15%. A flat rate of 15% has been introduced effective for fiscal periods commencing after 3 February 2008. Prior to this date, the tax rates ranged from 0% to 55% and were based on taxable income.</t>
  </si>
  <si>
    <t>Latvia</t>
  </si>
  <si>
    <t>The corporate tax rate is 15 percent. There are four regions in Latvia called Special Economic Zones (SEZ). Companies operating in these zones are subject to a corporate income tax rate of 25 percent, but are granted an 80 percent corporate income tax relief. Very small companies with an annual turnover less than EUR100,000 may elect to pay tax of 9 percent of turnover.</t>
  </si>
  <si>
    <t>Lebanon</t>
  </si>
  <si>
    <t>Libya</t>
  </si>
  <si>
    <t>The corporate tax rate is 20 percent. In addition to the 20 percent tax rate, a Jihad tax is levied (4 percent of profits).</t>
  </si>
  <si>
    <t>Liechtenstein</t>
  </si>
  <si>
    <t>The corporate tax rate is 12.5 percent. It might get some changes backdated on January 1, 2014.</t>
  </si>
  <si>
    <t>Lithuania</t>
  </si>
  <si>
    <t>The general corporate income tax rate is 15%. A reduced rate of 5% applies for agricultural companies, including cooperatives, and for small companies, if, among other conditions, i) their average number of employees does not exceed 10 and ii) the income does not exceed LTL 1,000,000 (EUR289,620). A 0% tax rate may be applied for companies established in free economic zones and for social companies. Currently, corporate income tax incentives are available for manufacturing companies employing people with disabilities, companies implementing investment or scientific research and experimental development projects. All incentives are applied only if certain conditions are satisfied and their impact varies depending on the specific facts and circumstances.</t>
  </si>
  <si>
    <t>Luxembourg</t>
  </si>
  <si>
    <t>The corporate income tax rate of 22.47% includes a 7% employment fund contribution. Additionally, a municipal business tax is levied. The rate for the city of Luxembourg is 6.75%. The municipal business tax rate varies depending on the location.</t>
  </si>
  <si>
    <t>Macao SAR</t>
  </si>
  <si>
    <t>Progressive tax rates range from 3% to 12%. The Macau Government announces an exemption on taxable income up to MOP300,000 for the year of assessment 2013 (1 January - 31 December). The excess is taxed at 12%.</t>
  </si>
  <si>
    <t>Macedonia (FYR)</t>
  </si>
  <si>
    <t>The corporate tax rate is 10%. A resident company is subject to corporate income tax on its worldwide income. No profit tax is due on undistributed profits, i.e. profit tax becomes due at the moment of payment of dividends or other distributions of profit. However, at each year end, profit tax is due separately on a tax base consisting of unrecognized expenses and understated revenues, reduced by the amount of any available tax credits arising from temporary tax differences. There are no local taxes on corporate income. Companies investing in technological industrial zones are exempt from corporate income tax for a period of 10 years.</t>
  </si>
  <si>
    <t>Malawi</t>
  </si>
  <si>
    <t>The Corporate Income tax rate is 30% for locally incorporated companies. For foreign and those operating as branches, the rate is 35%. For mobile phone operators the tax rate is 33% with effect from 1 July 2012.</t>
  </si>
  <si>
    <t>Malaysia</t>
  </si>
  <si>
    <t>The corporate tax rate is 25%. Resident companies with a paid up capital of MYR 2.5 million and below (as defined) at the beginning of the basis period for a Year of Assessment (YA) are subject to a corporate income tax rate of 20% on the first MYR 500,000 of chargeable income. For chargeable income in excess of MYR 500,000, the corporate income tax rate is 25%. Leasing income (from moveable property) derived by a permanent establishment in Malaysia is taxed against a rate of 25% whereas a non-resident corporation with no Malaysian permanent establishment is taxed against a rate of 10%. A special 5% rate applies to corporations involved in qualified insurance businesses. Income generated by a life fund of an insurance company is taxed against a rate of 8%. A non-resident corporation with shipping or air transport income may also benefit from a special tax regime. 70% of statutory income of resident corporations derived from the transportation of passengers or cargo on Malaysian ships is exempt. Companies engaged in petroleum operations are subject to a rate of 38%.</t>
  </si>
  <si>
    <t>Malta</t>
  </si>
  <si>
    <t>The corporate tax rate is 35%. Malta operates a full imputation system of taxation for both residents and non-residents, which ensures the full relief of economic double taxation upon the distribution of taxed profits by companies resident in Malta. On the distribution of taxed profits, the shareholders may opt to claim a partial/full refund of the tax paid by the distributing company. As a general rule, the tax refund amounts to six-sevenths of the tax paid. The refund will be reduced to two-thirds if the shareholder claims double-taxation relief and five-sevenths in those cases where the distributed profits are derived from passive interest or royalty income being subject to foreign tax at less than 5%. Dividends and capital gains derived from participation holdings will qualify for a full refund. The Malta tax suffered on distributed profits hence ranges between 0% and 10%. The tax paid on profits derived, directly or indirectly, from immovable property situated in Malta is not available for refund.</t>
  </si>
  <si>
    <t>Mauritius</t>
  </si>
  <si>
    <t>The corporate tax rate is 15 percent.</t>
  </si>
  <si>
    <t>Mexico</t>
  </si>
  <si>
    <t>The rate reduction that was foreseen in the previous tax law was amended and the rate will remain at 30%. The Business Flat Tax has been abrogated starting January 2014 with some transitory rules applicable.</t>
  </si>
  <si>
    <t>Montenegro</t>
  </si>
  <si>
    <t>The corporate tax rate is 9%. Taxable profit is calculated by adjusting the companys profit or loss declared in the P&amp;L account according to the provisions of the Corporate Income Tax Law. Adjustments include certain disallowed costs, transfer pricing as well as depreciation. Operating losses stated in the tax balance may be carried forward for five years and offset against operating profit declared in the tax balance. Capital losses could be carried forward and offset against capital gains up to five years.</t>
  </si>
  <si>
    <t>Morocco</t>
  </si>
  <si>
    <t>As of 1st January 2008, the corporate tax rate is 30 percent. This corporate tax is 37 percent for banks and insurance companies. Companies with a profit not exceeding 300,000 MAD VAT excluded benefit from a reduced corporate tax rate of 10 percent. Export enterprises benefit for the part of the taxable income corresponding to the export turnover from a total exemption from corporate tax during the first 5 years and subsequently enjoy a reduced tax rate of 17.5 percent. There are also additional exemptions and reduced rates for some activities. The amount of tax payable may not be less, for any financial year and regardless of the taxable profit, than the minimum levy of 0.5 percent of turnover, profits of various kinds and subsidies but excluding capital gains (0.25 percent for turnover related to the sale of oil, gas and some other goods). There is an exemption from the minimum levy during the first 36 months following commencement of the operations. If the minimum levy made during a year exceeds the actual corporate tax calculated on the profit, the excess may be credited against actual corporate tax less the minimum levy of the following three years. A social contribution is levied from 2013 to 2015 on the accounting profit exceeding 15 million MAD. The applicable rate in this regard varies between 0.5 percent and 2 percent. The withholding tax rate is 15 percent on the distribution of dividends to non-resident shareholders and after tax profits to branchs head office.</t>
  </si>
  <si>
    <t>Mozambique</t>
  </si>
  <si>
    <t>The corporate tax rate is 32 percent. Agricultural companies are taxed at a rate of 10 percent until 31 December 2010. Furthermore, agricultural, cultural, and artisan cooperatives may benefit from a 50 percent reduction in the tax rate.</t>
  </si>
  <si>
    <t>Namibia</t>
  </si>
  <si>
    <t>The tax rate of 33% is applicable to companies other than those carrying on mining or long term insurance operations. It should be noted that companies that have been awarded manufacturing and export status qualify for special incentives such as reduced corporate tax rates.</t>
  </si>
  <si>
    <t>Netherlands</t>
  </si>
  <si>
    <t>The corporate tax rate is 20%/25% - The first EUR 200,000 of taxable profit is taxed at 20%. These rates have been in force since 2011.</t>
  </si>
  <si>
    <t>New Zealand</t>
  </si>
  <si>
    <t>The corporate tax rate is 28%. The 28% corporate tax rate applies from the 2012 income tax year. The effective date depends on the taxpayers book year. For example, a book year-end of 31 December will have the 28% rate effective 1 January 2011, whereas a taxpayer with a standard 31 March year-end will apply the new rate effective from 1 April 2011. 10% of general insurance premiums paid to non-residents are deemed to have a New Zealand source and are therefore taxable at the 28% rate.</t>
  </si>
  <si>
    <t>Nigeria</t>
  </si>
  <si>
    <t>The corporate tax rate was changed from 35% to 30% with effect from 1 January 1996. In addition to the corporate tax at 30%, Nigerian companies (i.e., companies incorporated in Nigeria) are liable to tertiary education tax at 2% of their assessable profit.</t>
  </si>
  <si>
    <t>Norway</t>
  </si>
  <si>
    <t>The corporate tax rate is 27%.</t>
  </si>
  <si>
    <t>Oman</t>
  </si>
  <si>
    <t>The corporate tax rate is 12%. This rate is based on taxable profits exceeding OMR 30,000 and it applies to all companies irrespective of the form of the company or the nationality. The 12% tax rate was effective under the old Income tax law however other rates were also applicable up to 30% depending on circumstances. From 1 Jan 2010, only the 12% rate is applicable.</t>
  </si>
  <si>
    <t>Pakistan</t>
  </si>
  <si>
    <t>For tax year 2014 tax rate for companies other than banking companies shall be 34% and for banking companies it will be 35%. Previously, from 1 July 2006 to 30 June 2013, the tax rate for all companies including banking companies was 35%. Small companies may be taxed at a rate of 25%, subject to specified conditions.</t>
  </si>
  <si>
    <t>Panama</t>
  </si>
  <si>
    <t>The corporate tax rate is 25%. For entities in which the State is the owner of more than 40% of the shares the corporate income tax rate will be 30%.</t>
  </si>
  <si>
    <t>Papua New Guinea</t>
  </si>
  <si>
    <t>The corporate tax rate is 30%. For mining and gas companies, the corporate income tax rate is 30%. Petroleum projects commenced prior to 1 January 2001 are subject to a 50% tax rate while petroleum projects commenced on or after 1 January 2001 are taxed at either 45% or 30% depending on when the license is issued. Non-resident mining companies pay tax at 40%. In case of other businesses, a branch of a foreign company is taxed at 48%. Certain non-resident companies are taxed on a deemed profit basis (shipping at 5%, that is an effective tax rate of 2.4% of gross income; insurance at 10%, that is an effective tax rate of 4.8% of gross income). Foreign contractors can elect to be taxed on a deemed profit basis of 25% (that is an effective tax rate of 12% of gross income, subject to reduction if a non-discrimination clause in a double tax treaty applies).</t>
  </si>
  <si>
    <t>Paraguay</t>
  </si>
  <si>
    <t>The corporate income tax general rate is 10 percent. An additional 5 percent tax is imposed on profits distribution (dividends) to domestic shareholders; Dividends paid to non-resident shareholders are subject to a 15 percent withholding tax. The accrued application of the mentioned tax rates results in an effective rate of 25,46 percent. Different effective tax rates apply to different activities performed by non-resident entities in the following cases: 3 percent for qualified insurance premiums; 3 percent for qualified freight and transport; 3 percent for communications (phone, internet, and similar); 4.5 percent for news agencies; 12 percent for distributors of movies, cinema/television, and similar; and 4.5 percent for transfer of the use of containers. For financings received from external banks, current effective rate is 6 percent. Corporate income earned by individuals/foreign entities for their activities carried out in Paraguay (e.g. through a branch or permanent establishment) is currently taxed at an effective rate of 15 percent.</t>
  </si>
  <si>
    <t>Peru</t>
  </si>
  <si>
    <t>The corporate tax rate is 30 percent.The tax rate on dividends is 4.1 percent; on interest is 4.99 percent or 30 percent for related parties or when requirements stated by law are not comply. Capital gains are taxed at 30 percent.</t>
  </si>
  <si>
    <t>Philippines</t>
  </si>
  <si>
    <t>The corporate tax rate is 30%. Corporations and resident foreign corporations are subject to a 2% minimum corporate income tax (MCIT) starting their fourth year of operation. The MCIT is based on gross income and it is paid in lieu of the 30% corporate tax on net income whenever it is greater than the latter. A 10% improperly accumulated earnings tax (IAET) is imposed on undistributed earnings of closely-held corporations, except branches of a foreign corporation and Philippine Economic Zone Authority (PEZA) registered corporations. PEZA registered corporations pay the special tax on gross income earned in lieu of all taxes.</t>
  </si>
  <si>
    <t>Poland</t>
  </si>
  <si>
    <t>Statutory withholding tax rates are the following: Dividends 19%; Interest 20%; Royalties 20%.</t>
  </si>
  <si>
    <t>Portugal</t>
  </si>
  <si>
    <t>The corporate tax rate is 23%. The general CTR of 23% is increased by (i) a municipal surcharge (Derrama Municipal) varying from 0% to 1.5% to be levied over the taxable profit and (ii) a State surcharge (Derrama Estadual) of 3% to be levied over the taxable profit between EUR1,500,000 and EUR7,500,000, 5% to be levied over the taxable profit between EUR7,500,000 and EUR35,000,000 and 7% exceeding EUR35,000,000. According to the Corporate Income Tax Reform, the corporate tax rate is expected to be further reduced between 2015 and 2018, as follows (CIT rate / Municipal Surcharge / State Surcharge): 2015 (20% / 1.5% / 5%); 2016 (17% to 19% / 1.5% / 5%); 2017 (17% to 19% / 1.5% / 2%); and 2018 (17% to 19% / 0% / 0%). Please note that this reduction is not yet approved and should depend on the performance of the Portuguese economy and the State deficit during the following years.</t>
  </si>
  <si>
    <t>Qatar</t>
  </si>
  <si>
    <t>The corporate tax rate is 10% in Qatar and is generally applicable to only foreign investors. Wholly owned Qatari/GCC entities are exempt from corporate taxation.</t>
  </si>
  <si>
    <t>Romania</t>
  </si>
  <si>
    <t>The statutory corporate income tax rate is 16%. Taxpayers involved in activities related to nightclubs, casinos, discotheques, and sport-betting organisers, including legal entities which obtain such type of revenues based on an association contract, and in case the relevant profit tax is lower than 5% of the revenues derived from those activities, then such taxpayers are obliged to pay a profit tax of 5% levied on the respective registered revenues. Certain exceptions would apply to investments in deprived areas (according to transitional dispositions). Moreover, there is a specific regime applicable to Romanian legal entities which may fulfill certain conditions to qualify as micro - enterprises. Such regime is mandatory. The relevant corporate income tax rate under this regime is 3% (levied on revenues of any source).</t>
  </si>
  <si>
    <t>Russia</t>
  </si>
  <si>
    <t>The corporate tax rate is 20%. Tax payments are split into federal part (2%) and regional part (18% that can be reduced to 13.5% for some categories of taxpayers). Dividends are taxed at 15%, 9% or 0%. Interest income on state securities is taxed at 15%, 9% or 0%.</t>
  </si>
  <si>
    <t>Samoa</t>
  </si>
  <si>
    <t>The corporate tax rate is 27 percent.</t>
  </si>
  <si>
    <t>Saudi Arabia</t>
  </si>
  <si>
    <t>The corporate income tax rate is 20%. Corporate income tax is payable by non-Saudi shareholders only. Zakat (a religious tax) at 2.5% is levied on Saudi and the Gulf Cooperation Council (GCC) nationals or companies owned by them. The GCC countries consist of Saudi Arabia, Kuwait, United Arab Emirates, Bahrain, Qatar, and Oman. In addition to corporate income tax, withholding tax of 5% is payable on dividends distributed to non-resident shareholders.</t>
  </si>
  <si>
    <t>Serbia</t>
  </si>
  <si>
    <t>The corporate tax rate has been increased to 15% as of 1 January 2013. Taxable profit is calculated by adjusting the companys profit or loss declared in the P&amp;L account according to the provisions of the Corporate Income Tax Law. Adjustments include certain disallowed costs, adjustment of certain revenues, transfer pricing as well as depreciation.</t>
  </si>
  <si>
    <t>Sierra Leone</t>
  </si>
  <si>
    <t>The corporate tax rate is 30 percent. The tax is applicable on the ordinary chargeable business.</t>
  </si>
  <si>
    <t>Singapore</t>
  </si>
  <si>
    <t>The corporate tax rate is 17%. From the Year of Assessment (YA) 2013 to 2015, companies will receive a 30% corporate income tax rebate capped at SGD30,000 per YA. There is a partial exemption of 75% on the first SGD10,000 and 50% on the next SGD290,000 of the companys income. Start-up tax exemption can be granted on the regular income of a qualifying company on its first SGD100,000, and a further 50% exemption is given on the next SGD200,000, for each of its first three consecutive years of assessment. A concessionary tax rate of 10% or lower applies to qualified entities.</t>
  </si>
  <si>
    <t>Sint Maarten (Dutch part)</t>
  </si>
  <si>
    <t>The corporate tax rate is 34.5% (incl. 15% surcharges)</t>
  </si>
  <si>
    <t>Slovakia</t>
  </si>
  <si>
    <t>The corporate income tax rate for 2014 is 22 percent. This tax rate applies only for taxable periods which started on 1 January 2014 or later. Therefore, taxpayers with a financial year other than the calendar year have to apply the 23 percent tax rate for their entire financial year 2013/2014.</t>
  </si>
  <si>
    <t>Slovenia</t>
  </si>
  <si>
    <t>The corporate tax rate is 17%. Taxable persons performing non-profit activities are exempt. There is also a special rate of 0% which, subject to certain conditions, may apply to investment funds, pension funds, insurance undertakings for pension plans, and qualified venture capital companies.</t>
  </si>
  <si>
    <t>South Africa</t>
  </si>
  <si>
    <t>The corporate tax rate is 28 percent. From 1 April 2012 Secondary Tax on Companies at a rate of 10% was abolished and replaced by a dividend withholding tax at a rate of 15%. This moves the dividend tax to a shareholder tax. This means that the effective corporate tax rate is 28% going forward.</t>
  </si>
  <si>
    <t>Spain</t>
  </si>
  <si>
    <t>The corporate tax rate is 30%. Where a companys turnover (alone or combined with other group companies) in the immediately preceding tax period is less than EUR10 million, it is taxed on the first EUR 300,000 of taxable income at 25% and the excess being taxed at 30%. Where a companys turnover in 2014 is less than EUR5 million and the average labor force from 2009 to 2014 tax year is less than 25 employees, it is taxed on the first EUR 300,000 of taxable income at 20% and the remaining at 25%. Certain specific requirements need to be met. Entities taxed at 25% include general mutual insurance companies; social welfare institutions and qualified social security mutual and reciprocal guarantee entities; credit and rural credit co-operatives; professional associations, business associations, official chambers, workers unions and political parties; non qualified non-profit organizations, qualified employment promotion funds; cooperative unions, federations and confederations. Tax protected co-operatives will be taxed at 20%, except in respect of results not related to their corporate purpose, which will be taxed at the general rate. Qualified non-profit organizations are taxed at a rate of 10%. Entities taxed at 1% include qualified collective investment institutions, qualified investment funds. Start-up companies incorporated as from 1st January 2013 will be taxed in the first period showing a positive taxable base and the following fiscal year on a progressive rate. In this respect, the first EUR 300,000 of taxable income will be taxed at 15% rate and the excess will be</t>
  </si>
  <si>
    <t>Sri Lanka</t>
  </si>
  <si>
    <t>The corporate income tax rate is 28%. Small companies (with turnover not exceeding LKR 500 million and not belonging to a group of companies) are taxed at a lower rate of 10%. Certain sectors enjoy concessionary rates, such as exports (other than traditional products), tourism and construction which are taxed at 12%, and agriculture which is taxed at 10%, with an exemption on offshore services. Companies engaged in liquor or tobacco products are taxed at a higher rate of 40%. The social responsibility levy of 1.5% on income tax was rescinded effective 1 April 2011. A deemed dividend tax at 15% is applicable for non-declaration of at least 10% of distributable profits.</t>
  </si>
  <si>
    <t>Sudan</t>
  </si>
  <si>
    <t>The corporate tax rate is (0%/10%/15%/30%/35%). Agricultural companies are subject to corporate income tax at a rate of 0%.Industrial companies are subject to corporate income tax at a rate of 10%. Trading, real estate, and service companies are subject to corporate income tax at a rate of 15%.Banks &amp; Tobacco companies are subject to corporate income tax at a rate of 30%. Oil companies are subject to corporate income tax at a rate of 35%. Entities that are exempt from corporate income tax will be subject to development tax at a rate of 5% of the exempt taxable profit.</t>
  </si>
  <si>
    <t>Suriname</t>
  </si>
  <si>
    <t>Sweden</t>
  </si>
  <si>
    <t>The corporate tax rate is 22% as from 1 January 2013.</t>
  </si>
  <si>
    <t>Switzerland</t>
  </si>
  <si>
    <t>The maximum effective corporate income tax rates range from 11.48% to 24.43% depending on canton and commune. The rates comprise federal, cantonal, and communal taxes. However, please note that to date 9 of 26 cantons have not yet published the 2014 tax rates. All 26 cantons apply different tax rates and in most of them the statutory tax rate needs to be multiplied with the communal and/or cantonal coefficients that may vary from tax period to tax period. As all taxes including corporate income taxes are deductible when computing the tax basis, the effective corporate income tax rates are lower than the statutory rates published in the tax codes. The average of the maximum effective corporate income tax rates in the capital cities of the cantons is 17.92%. Please note that until 2012 the tax rate in the city of Zurich (currently 21.15%) was published in this survey as the main tax rate of Switzerland. However, it has been decided that the average tax rate applicable in the capital cites of the cantons is considered to be more meaningful. The 2006 – 2012 tax rates have been adjusted accordingly. In 2014, the community of Meggen in the canton of Lucerne has the lowest corporate income tax rate (11.48%) while some communities in the canton of Geneva have the highest (24.43%). However, if a company qualifies for a holding, principal, or mixed company ruling, the effective tax rate can be reduced to a minimum of 5%. Additionally, full tax holidays up to 10 years might be available in some regions.</t>
  </si>
  <si>
    <t>Syrian Arab Republic</t>
  </si>
  <si>
    <t>The corporate tax rate is 22 percent. The lower progressive rates are on the first SYP 3 million of taxable profit. Investment law entities, LLCs and closed JSCs are taxed at a flat rate of 22 percent; private banks at a flat rate of 25 percent; and public majority joint stock companies at a flat rate of 14 percent. Additional local administration surcharges vary from 4 percent to 10 percent of the tax amounts, depending upon location. Branches of foreign companies are subject to withholding taxes on cash payments received in lieu of corporate income tax and tax on salaries and wages, at rates that vary from 3 percent to 10 percent depending on their activities. Tourism entities of the luxury and international class are subject to tourism tax at 3 percent of gross monthly turnover in lieu of income tax and tax on salaries and wages.</t>
  </si>
  <si>
    <t>Taiwan</t>
  </si>
  <si>
    <t>The corporate tax rate is 17%. The 17% rate is applicable to income when it is more than TWD 120,000. However, the income tax payable shall not exceed half of the part of taxable income that exceeds TWD 120,000. Starting from the fiscal year of 2010, the corporate income tax rate is reduced from 25% to 17%.</t>
  </si>
  <si>
    <t>Tanzania</t>
  </si>
  <si>
    <t>The corporate tax rate is 30 percent. Profits after tax are subject to 10 percent withholding tax when distributed as dividend, resulting in an effective tax rate of 37 percent for a profit-making and dividend-distributing business organization.</t>
  </si>
  <si>
    <t>Thailand</t>
  </si>
  <si>
    <t>The corporate tax rate is 20%. The CIT rate is reduced from 30% to 23% for the tax year starting in 2012, and to 20% for the two subsequent tax years. It is expected that the 20% CIT rate will be effective post-2014. A progressive CIT rate applies to small and medium sized enterprises (SMEs), starting with a 0% tax bracket scaling up to a highest bracket of 23% for 2012 and 20% for 2013 and thereafter. An SME is a company with no more than THB 5 million of paid-up capital and no more than THB 30 million turnover. Remittances of dividends and branch profits are subject to 10% withholding tax (WHT). The Board of Investment (BOI) provides tax incentives for promoted businesses, including CIT exemptions and reductions, dividend WHT exemption, and import duty exemptions. Application must be made with the BOI to qualify. The CIT rate applicable to a company operating as a regional operating headquarters (ROH) company can range from 0% to 10%. No WHT is assessed on dividends paid from certain income earned by the ROH. A 50% petroleum income tax is imposed on profits earned from petroleum sales. Foreign companies engaged in international transportation are taxable at the rate of 3% on gross income.</t>
  </si>
  <si>
    <t>Trinidad and Tobago</t>
  </si>
  <si>
    <t>The corporate tax rate is 25%. For companies engaged in the liquefaction of natural gas, manufacture of petrochemicals, physical separation of liquids from a natural gas stream and natural gas processing from a natural gas stream, transmission and distribution of natural gas or wholesale marketing and distributions of petroleum products a corporate tax rate of 35% applies.</t>
  </si>
  <si>
    <t>Tunisia</t>
  </si>
  <si>
    <t>The corporate tax rate is 25%. Fully export companies are taxable at the rate of 10% as per 1 January 2014. Such companies established before 1 January 2014 and for which the 10 years tax holidays did not expire, continue to benefit from a tax holiday for 10 years. For new fully exporting companies, to be incorporated by 31 December 2013 and starting their first sale exporting during 2014, they benefit of 10 years Corporate Income Tax exemption on their export activities. A 35% rate applies to the financial activities, for telecommunication operators and for the service suppliers of the gas and oil operators; those latters are subject to a progressive tax rate ranging between 50% and 75%. A rate of 10% applies to the agriculture and fishing sectors. The corporate income tax rate applies to resident companies and to permanent establishments of non-resident companies with a minimum tax payable of 0.2% under certain conditions.</t>
  </si>
  <si>
    <t>Turkey</t>
  </si>
  <si>
    <t>The corporate tax rate is 20 percent. A resident company is liable to corporate income tax on its worldwide income. A non-resident company is liable to corporate income tax on its Turkish-source income only.</t>
  </si>
  <si>
    <t>Uganda</t>
  </si>
  <si>
    <t>The corporate tax rate is 30 percent.</t>
  </si>
  <si>
    <t>Ukraine</t>
  </si>
  <si>
    <t>The corporate tax rate is 18%. A 0% rate applies to income of insurance companies (from long-term life and pension insurance) as well as eligible small and medium-size companies. A 3% rate applies to income derived by insurance companies from other insurance activities. A 5% rate applies to eligible IT businesses. A 10% rate applies to capital gains realized on dispositions of certain securities and derivatives. Businesses that operate in certain industries (e.g. hotelling, shipbuilding and aircraft manufacturing, agricultural machinery manufacturing, clean energy sector, light industry), or implement priority investment projects, can be temporarily exempt from paying corporate income tax (in full or in part). Eligible domestic agricultural producers can elect to pay a fixed agricultural tax in lieu of the corporate income tax and certain other taxes.</t>
  </si>
  <si>
    <t>United Arab Emirates</t>
  </si>
  <si>
    <t>The corporate tax rate applicable in the UAE is 0%/20%/55%. The United Arab Emirates consists of seven emirates: Abu Dhabi, Dubai, Sharjah, Ajman, Umm Al Quwain, Fujairah, and Ras Al Khaimah. While there are no corporate income taxes at a federal level, the emirates have issued their own income tax decrees. Although in theory these emirate-level decrees impose tax on the income of all corporate entities, in practice tax is currently only enforced on foreign oil companies engaged in the exploration and production of oil and branches of foreign banks. Although the tax rate applicable to oil companies is generally 55% of operating profits, the amount of tax actually paid by such companies is based on a rate agreed in individual concessions between the company and the respective emirate. This rate can range between 55% and 85%. Branches of foreign banks are subject to tax at 20% of their profits under the banking tax decrees. Municipal taxes are also levied in some of the emirates in the UAE. In Dubai, a 10% municipal tax is charged on hotel revenues (usually passed on to the consumer as a service charge), a 10% municipality fee is levied on the rent from commercial property, and a 5% fee is levied on the rent of residential property. Abu Dhabi does not levy a municipality tax on rented premises, but landlords are required to pay certain annual license fees (which they may pass on to tenants).</t>
  </si>
  <si>
    <t>United Kingdom</t>
  </si>
  <si>
    <t>The corporate tax rate is 21%. The UK government has announced a staged reduction in the main rate of corporation tax. From 1 April 2012 the main rate of corporation tax was reduced from 26% to 24%, from 1 April 2013 it was reduced to 23%, from 1 April 2014 it was reduced to 21% and from 1 April 2015 it will be reduced to 20%. A small companies rate applies until 1 April 2015 to companies with taxable profits of up to GBP 300,000 with marginal relief up to GBP 1.5 million. The current small companies rate of 20% has been in place since 1 April 2011. Companies with taxable profits of GBP 1.5 million or more pay tax at the main rate. All these thresholds are reduced for accounting periods of less than 12 months and if there are associated companies. Bermuda, Gibraltar, Guernsey, Isle of Man, and Jersey are dependent territories or crown dependencies of the United Kingdom, but have their own tax systems.</t>
  </si>
  <si>
    <t>United States</t>
  </si>
  <si>
    <t>The corporate income tax rate is approximately 40%. The marginal federal corporate income tax rate on the highest income bracket of corporations (currently above USD 18,333,333) is 35%. State and local governments may also impose income taxes ranging from 0% to 12%, the top marginal rates averaging approximately 7.5%. A corporation may deduct its state and local income tax expense when computing its federal taxable income, generally resulting in a net effective rate of approximately 40%. The effective rate may vary significantly depending on the locality in which a corporation conducts business. The United States also has a parallel alternative minimum tax (AMT) system, which is generally characterized by a lower tax rate (20%) but a broader tax base.</t>
  </si>
  <si>
    <t>Uruguay</t>
  </si>
  <si>
    <t>The corporate tax rate is 25 percent.</t>
  </si>
  <si>
    <t>Vanuatu</t>
  </si>
  <si>
    <t>Corporate income tax is not levied within the Republic of Vanuatu. Furthermore, there are no income taxes, estate duties, gift duties, capital gains taxes, tax treaties or withholding taxes.</t>
  </si>
  <si>
    <t>Venezuela</t>
  </si>
  <si>
    <t>The corporate tax rate is 34%. Corporations engaged in the exploitation of hydrocarbons and related activities are generally subject to corporate income tax at 50% (also applicable to income from any other sources). This rate does not include municipal business taxes which range from 0.3% to 9.4% of gross income, depending on the district, and the business activity. The 34% marginal income tax rate is triggered at net taxable income exceeding 3,000 tax units (TU). The value of tax units is annually adjusted. For the year 2014 1TU is Bs.107.</t>
  </si>
  <si>
    <t>Vietnam</t>
  </si>
  <si>
    <t>The standard tax rate is reduced to 22% from 1 January 2014. From 2016 it will be further reduced to 20%. Special or preferential tax rates of 10% or 20% can be granted to encouraged investment projects. Certain industries may have a higher tax rate applied (e.g. oil and gas operations and natural resources exploitation from 32% to 50%).</t>
  </si>
  <si>
    <t>Yemen</t>
  </si>
  <si>
    <t>The corporate tax rate is 20 percent.The corporate income tax rate applies to all categories of commercial activity. A tax rate of 15 percent is available to projects licensed under the investment law. Special rates of taxation apply for: oil, gas and minerals (35%), international telecommunication (35%), mobile operators (50%), tobacco (35%), and agriculture production is tax exempt.</t>
  </si>
  <si>
    <t>Zambia</t>
  </si>
  <si>
    <t>The corporate tax rate is 35%. The tax rate for mining profits is 30% plus a variable profit tax of up to 15% if the profit is in excess of 8% of the turnover. Income earned by telecommunication companies is subject to 40% tax on profits in excess of ZMK 250 million. Profits from farming are taxed at 10%. Profits from the manufacture of chemical and organic fertilizer production, and export of non-traditional items are taxed at a rate of 15%. Companies with a turnover of ZMK 800 million or less pay a turnover tax of 3%. Finally, the tax fiscal year now runs from January 1 to December 31.</t>
  </si>
  <si>
    <t>Zimbabwe</t>
  </si>
  <si>
    <t>Standard rate is 25% and in addition there is a 3% AIDS Levy on the tax making the rate effectively 25.75%</t>
  </si>
  <si>
    <t>Africa average</t>
  </si>
  <si>
    <t>Americas average</t>
  </si>
  <si>
    <t>Asia average</t>
  </si>
  <si>
    <t>Europe average</t>
  </si>
  <si>
    <t>Oceania average</t>
  </si>
  <si>
    <t>North America average</t>
  </si>
  <si>
    <t>Latin America average</t>
  </si>
  <si>
    <t>EU average</t>
  </si>
  <si>
    <t>OECD average</t>
  </si>
  <si>
    <t>Global average</t>
  </si>
  <si>
    <t>Depreciation</t>
  </si>
  <si>
    <t>Dep.</t>
  </si>
  <si>
    <t>$B$24:$N$24</t>
  </si>
  <si>
    <t>주식가치 (Equity Value)_100% 기준</t>
    <phoneticPr fontId="1" type="noConversion"/>
  </si>
  <si>
    <t>% of 총 상각비</t>
    <phoneticPr fontId="1" type="noConversion"/>
  </si>
  <si>
    <t>유무형자산 상각비</t>
  </si>
  <si>
    <t>유무형자산 상각비</t>
    <phoneticPr fontId="1" type="noConversion"/>
  </si>
  <si>
    <t>유무형자산 Capex</t>
    <phoneticPr fontId="1" type="noConversion"/>
  </si>
  <si>
    <t>Depreciation &amp; Amortization</t>
    <phoneticPr fontId="1" type="noConversion"/>
  </si>
  <si>
    <t>A</t>
  </si>
  <si>
    <t>Actual</t>
  </si>
  <si>
    <t>GPCM</t>
  </si>
  <si>
    <t>Guideline Public Company Method</t>
  </si>
  <si>
    <t>CapEx</t>
  </si>
  <si>
    <t>Capital Expenditure</t>
  </si>
  <si>
    <t>Interest Bearing Debt</t>
  </si>
  <si>
    <t>COGS</t>
  </si>
  <si>
    <t>Cost of Goods Sold</t>
  </si>
  <si>
    <r>
      <t>K</t>
    </r>
    <r>
      <rPr>
        <b/>
        <vertAlign val="subscript"/>
        <sz val="9"/>
        <color rgb="FF00338D"/>
        <rFont val="맑은 고딕"/>
        <family val="3"/>
        <charset val="129"/>
      </rPr>
      <t>d</t>
    </r>
    <r>
      <rPr>
        <b/>
        <sz val="9"/>
        <color rgb="FF00338D"/>
        <rFont val="맑은 고딕"/>
        <family val="3"/>
        <charset val="129"/>
      </rPr>
      <t xml:space="preserve"> / K</t>
    </r>
    <r>
      <rPr>
        <b/>
        <vertAlign val="subscript"/>
        <sz val="9"/>
        <color rgb="FF00338D"/>
        <rFont val="맑은 고딕"/>
        <family val="3"/>
        <charset val="129"/>
      </rPr>
      <t>e</t>
    </r>
  </si>
  <si>
    <t>Cost of Debt / Cost of Equity</t>
  </si>
  <si>
    <t>Cont’d</t>
  </si>
  <si>
    <t>Continued</t>
  </si>
  <si>
    <t>Last Twelve Months</t>
    <phoneticPr fontId="1" type="noConversion"/>
  </si>
  <si>
    <t>DART</t>
  </si>
  <si>
    <t>Data Analysis, Retrieval and Transfer System</t>
  </si>
  <si>
    <t>MKT Cap</t>
  </si>
  <si>
    <t>Market Capitalization</t>
  </si>
  <si>
    <t>DCF</t>
  </si>
  <si>
    <t>Discounted Cash Flow</t>
  </si>
  <si>
    <t>Not Applicable</t>
  </si>
  <si>
    <t>n.m</t>
  </si>
  <si>
    <t>Not Meaningful</t>
  </si>
  <si>
    <t>E</t>
  </si>
  <si>
    <t>Estimated</t>
  </si>
  <si>
    <t>Non Operating Asset</t>
  </si>
  <si>
    <t>Earnings Before Interest and Taxes</t>
  </si>
  <si>
    <t>Earnings Before Interest, Taxes, Depreciation and Amortization</t>
  </si>
  <si>
    <t>EIU</t>
  </si>
  <si>
    <t>Economist Intelligence Unit</t>
  </si>
  <si>
    <t>SG&amp;A</t>
  </si>
  <si>
    <t xml:space="preserve">Selling, General and Administrative Expense </t>
  </si>
  <si>
    <t>F</t>
  </si>
  <si>
    <t>Forecasted</t>
  </si>
  <si>
    <r>
      <t>Total Invested Capital</t>
    </r>
    <r>
      <rPr>
        <sz val="2"/>
        <color rgb="FF000000"/>
        <rFont val="맑은 고딕"/>
        <family val="3"/>
        <charset val="129"/>
      </rPr>
      <t xml:space="preserve"> </t>
    </r>
    <r>
      <rPr>
        <sz val="9"/>
        <color rgb="FF000000"/>
        <rFont val="맑은 고딕"/>
        <family val="3"/>
        <charset val="129"/>
      </rPr>
      <t xml:space="preserve"> </t>
    </r>
  </si>
  <si>
    <t>FCFF</t>
  </si>
  <si>
    <t>Free Cash Flow to Firm</t>
  </si>
  <si>
    <t>United States Dollar</t>
  </si>
  <si>
    <t xml:space="preserve">WACC </t>
  </si>
  <si>
    <t>GICS</t>
  </si>
  <si>
    <t>Global Industry Classification Standard</t>
  </si>
  <si>
    <t>WC</t>
  </si>
  <si>
    <t>Working Capital</t>
  </si>
  <si>
    <t>Company Name</t>
    <phoneticPr fontId="1" type="noConversion"/>
  </si>
  <si>
    <t>Maximum</t>
    <phoneticPr fontId="1" type="noConversion"/>
  </si>
  <si>
    <t>Average</t>
    <phoneticPr fontId="1" type="noConversion"/>
  </si>
  <si>
    <t>Median</t>
    <phoneticPr fontId="1" type="noConversion"/>
  </si>
  <si>
    <t>Minimum</t>
    <phoneticPr fontId="1" type="noConversion"/>
  </si>
  <si>
    <t>MKT Cap</t>
    <phoneticPr fontId="1" type="noConversion"/>
  </si>
  <si>
    <t>Last Twelve Months Margins</t>
    <phoneticPr fontId="1" type="noConversion"/>
  </si>
  <si>
    <t>Fixed Assets
/ Total Assets</t>
    <phoneticPr fontId="1" type="noConversion"/>
  </si>
  <si>
    <t xml:space="preserve">EBIT </t>
  </si>
  <si>
    <t>Gross Profit</t>
  </si>
  <si>
    <t>Gross Profit</t>
    <phoneticPr fontId="1" type="noConversion"/>
  </si>
  <si>
    <t>Currency
(Millions)</t>
    <phoneticPr fontId="1" type="noConversion"/>
  </si>
  <si>
    <t>MKT Cap</t>
    <phoneticPr fontId="1" type="noConversion"/>
  </si>
  <si>
    <t>Tax Rate</t>
    <phoneticPr fontId="1" type="noConversion"/>
  </si>
  <si>
    <t>Maximum</t>
    <phoneticPr fontId="1" type="noConversion"/>
  </si>
  <si>
    <t xml:space="preserve">  : 'Beta' Option (기간)</t>
    <phoneticPr fontId="1" type="noConversion"/>
  </si>
  <si>
    <t>Selected</t>
    <phoneticPr fontId="1" type="noConversion"/>
  </si>
  <si>
    <t>KPMG</t>
    <phoneticPr fontId="1" type="noConversion"/>
  </si>
  <si>
    <t>Damodaran</t>
    <phoneticPr fontId="1" type="noConversion"/>
  </si>
  <si>
    <t xml:space="preserve">  : 'Equity Risk Premium' Option (시점)</t>
    <phoneticPr fontId="1" type="noConversion"/>
  </si>
  <si>
    <t>Bloomberg</t>
    <phoneticPr fontId="1" type="noConversion"/>
  </si>
  <si>
    <t xml:space="preserve">Specific Premium </t>
    <phoneticPr fontId="1" type="noConversion"/>
  </si>
  <si>
    <t xml:space="preserve">  : 'Risk-free Rate' Option (시점)</t>
    <phoneticPr fontId="1" type="noConversion"/>
  </si>
  <si>
    <t>미적용</t>
    <phoneticPr fontId="1" type="noConversion"/>
  </si>
  <si>
    <t>3-등급 체계</t>
    <phoneticPr fontId="1" type="noConversion"/>
  </si>
  <si>
    <t xml:space="preserve">Pre-Tax Cost of Debt </t>
    <phoneticPr fontId="5" type="noConversion"/>
  </si>
  <si>
    <t>Captial Structure</t>
    <phoneticPr fontId="1" type="noConversion"/>
  </si>
  <si>
    <t>10-등급 체계</t>
    <phoneticPr fontId="1" type="noConversion"/>
  </si>
  <si>
    <t xml:space="preserve">  : 'Market Capitalization' Option</t>
    <phoneticPr fontId="1" type="noConversion"/>
  </si>
  <si>
    <t xml:space="preserve">  : 'Cost of Debt' Option</t>
    <phoneticPr fontId="1" type="noConversion"/>
  </si>
  <si>
    <t xml:space="preserve">  : 'Capital Structure' Option</t>
    <phoneticPr fontId="1" type="noConversion"/>
  </si>
  <si>
    <t>무부채기업 가정</t>
    <phoneticPr fontId="1" type="noConversion"/>
  </si>
  <si>
    <t>[5]</t>
    <phoneticPr fontId="1" type="noConversion"/>
  </si>
  <si>
    <t>[6]</t>
    <phoneticPr fontId="1" type="noConversion"/>
  </si>
  <si>
    <t>[7]</t>
    <phoneticPr fontId="1" type="noConversion"/>
  </si>
  <si>
    <t>[8]</t>
    <phoneticPr fontId="1" type="noConversion"/>
  </si>
  <si>
    <t>[9]</t>
    <phoneticPr fontId="1" type="noConversion"/>
  </si>
  <si>
    <t>&lt;비교대상 회사 선정 과정&gt;</t>
    <phoneticPr fontId="15" type="noConversion"/>
  </si>
  <si>
    <t>유사회사 선정 과정</t>
    <phoneticPr fontId="1" type="noConversion"/>
  </si>
  <si>
    <t>&lt;Beta 선정&gt;</t>
    <phoneticPr fontId="1" type="noConversion"/>
  </si>
  <si>
    <t>Option</t>
    <phoneticPr fontId="1" type="noConversion"/>
  </si>
  <si>
    <t>5year 
weekly</t>
    <phoneticPr fontId="1" type="noConversion"/>
  </si>
  <si>
    <t>5year monthly</t>
    <phoneticPr fontId="1" type="noConversion"/>
  </si>
  <si>
    <t>2year weekly</t>
    <phoneticPr fontId="1" type="noConversion"/>
  </si>
  <si>
    <t>5year, weekly</t>
    <phoneticPr fontId="1" type="noConversion"/>
  </si>
  <si>
    <t>5year, monthly</t>
    <phoneticPr fontId="1" type="noConversion"/>
  </si>
  <si>
    <t>2year, weekly</t>
    <phoneticPr fontId="1" type="noConversion"/>
  </si>
  <si>
    <t>&lt;시가총액 선정&gt;</t>
    <phoneticPr fontId="1" type="noConversion"/>
  </si>
  <si>
    <t>3 months</t>
    <phoneticPr fontId="1" type="noConversion"/>
  </si>
  <si>
    <t>6 months</t>
    <phoneticPr fontId="1" type="noConversion"/>
  </si>
  <si>
    <t>12 months</t>
    <phoneticPr fontId="1" type="noConversion"/>
  </si>
  <si>
    <t>Option</t>
    <phoneticPr fontId="1" type="noConversion"/>
  </si>
  <si>
    <t>1 month avg.</t>
    <phoneticPr fontId="1" type="noConversion"/>
  </si>
  <si>
    <t>3 months avg.</t>
    <phoneticPr fontId="1" type="noConversion"/>
  </si>
  <si>
    <t>6 months avg.</t>
    <phoneticPr fontId="1" type="noConversion"/>
  </si>
  <si>
    <t>12 months avg.</t>
    <phoneticPr fontId="1" type="noConversion"/>
  </si>
  <si>
    <t>&lt;이자부부채 선정&gt;</t>
    <phoneticPr fontId="1" type="noConversion"/>
  </si>
  <si>
    <t>이자부부채</t>
    <phoneticPr fontId="1" type="noConversion"/>
  </si>
  <si>
    <t>NOA</t>
    <phoneticPr fontId="1" type="noConversion"/>
  </si>
  <si>
    <t>비지배지분</t>
    <phoneticPr fontId="1" type="noConversion"/>
  </si>
  <si>
    <t>&lt;Bloomberg 방식 Rf, Equity Risk Premium 선정&gt;</t>
    <phoneticPr fontId="1" type="noConversion"/>
  </si>
  <si>
    <t>ERP</t>
    <phoneticPr fontId="1" type="noConversion"/>
  </si>
  <si>
    <t>&lt;Cost of Debt&gt;</t>
    <phoneticPr fontId="1" type="noConversion"/>
  </si>
  <si>
    <t>대상회사의 가중평균차입이자율</t>
    <phoneticPr fontId="1" type="noConversion"/>
  </si>
  <si>
    <t>대상회사의 신용등급</t>
    <phoneticPr fontId="1" type="noConversion"/>
  </si>
  <si>
    <t>Kisline 기업평가등급</t>
    <phoneticPr fontId="1" type="noConversion"/>
  </si>
  <si>
    <t>A+</t>
    <phoneticPr fontId="1" type="noConversion"/>
  </si>
  <si>
    <t>회사제시 신용등급</t>
    <phoneticPr fontId="1" type="noConversion"/>
  </si>
  <si>
    <t>회사채 I(공모사채) 무보증</t>
    <phoneticPr fontId="1" type="noConversion"/>
  </si>
  <si>
    <t>Cost of Debt</t>
    <phoneticPr fontId="1" type="noConversion"/>
  </si>
  <si>
    <t>TWD</t>
  </si>
  <si>
    <t>DKK</t>
  </si>
  <si>
    <t>유무형자산 상각비</t>
    <phoneticPr fontId="1" type="noConversion"/>
  </si>
  <si>
    <r>
      <t>Equity Risk Premium</t>
    </r>
    <r>
      <rPr>
        <b/>
        <vertAlign val="superscript"/>
        <sz val="9"/>
        <color indexed="9"/>
        <rFont val="맑은 고딕"/>
        <family val="3"/>
        <charset val="129"/>
        <scheme val="major"/>
      </rPr>
      <t xml:space="preserve"> </t>
    </r>
    <phoneticPr fontId="1" type="noConversion"/>
  </si>
  <si>
    <r>
      <t>Size Risk Premium</t>
    </r>
    <r>
      <rPr>
        <b/>
        <vertAlign val="superscript"/>
        <sz val="9"/>
        <color indexed="9"/>
        <rFont val="맑은 고딕"/>
        <family val="3"/>
        <charset val="129"/>
        <scheme val="major"/>
      </rPr>
      <t xml:space="preserve"> </t>
    </r>
    <phoneticPr fontId="1" type="noConversion"/>
  </si>
  <si>
    <t>Result</t>
    <phoneticPr fontId="1" type="noConversion"/>
  </si>
  <si>
    <t>DCF Results</t>
    <phoneticPr fontId="1" type="noConversion"/>
  </si>
  <si>
    <t>WACC</t>
    <phoneticPr fontId="1" type="noConversion"/>
  </si>
  <si>
    <t>Operating Value (a)</t>
    <phoneticPr fontId="1" type="noConversion"/>
  </si>
  <si>
    <t>~</t>
    <phoneticPr fontId="1" type="noConversion"/>
  </si>
  <si>
    <t>NOA (b)</t>
    <phoneticPr fontId="1" type="noConversion"/>
  </si>
  <si>
    <t>IBD (c)</t>
    <phoneticPr fontId="1" type="noConversion"/>
  </si>
  <si>
    <t xml:space="preserve">100% Equity Value (d) =(a)+(b)-(c) </t>
    <phoneticPr fontId="1" type="noConversion"/>
  </si>
  <si>
    <t>$B$18:$G$24</t>
  </si>
  <si>
    <t>$G$5:$L$7</t>
  </si>
  <si>
    <t>2014.09 연결 총자산 대비 비율</t>
    <phoneticPr fontId="1" type="noConversion"/>
  </si>
  <si>
    <t>1. Non-Operating Asset</t>
    <phoneticPr fontId="1" type="noConversion"/>
  </si>
  <si>
    <t xml:space="preserve">, </t>
    <phoneticPr fontId="1" type="noConversion"/>
  </si>
  <si>
    <t>Low</t>
    <phoneticPr fontId="1" type="noConversion"/>
  </si>
  <si>
    <t>High</t>
    <phoneticPr fontId="1" type="noConversion"/>
  </si>
  <si>
    <t>GTM</t>
    <phoneticPr fontId="1" type="noConversion"/>
  </si>
  <si>
    <t>GPCM</t>
    <phoneticPr fontId="1" type="noConversion"/>
  </si>
  <si>
    <t>중간값</t>
    <phoneticPr fontId="1" type="noConversion"/>
  </si>
  <si>
    <t>$N$17:$Q$22</t>
    <phoneticPr fontId="1" type="noConversion"/>
  </si>
  <si>
    <t>Tax
Rate</t>
    <phoneticPr fontId="1" type="noConversion"/>
  </si>
  <si>
    <t>Risk Free Rate</t>
    <phoneticPr fontId="1" type="noConversion"/>
  </si>
  <si>
    <r>
      <t>Equity Risk Premium</t>
    </r>
    <r>
      <rPr>
        <b/>
        <vertAlign val="superscript"/>
        <sz val="9"/>
        <color indexed="9"/>
        <rFont val="맑은 고딕"/>
        <family val="3"/>
        <charset val="129"/>
        <scheme val="major"/>
      </rPr>
      <t xml:space="preserve"> </t>
    </r>
    <phoneticPr fontId="1" type="noConversion"/>
  </si>
  <si>
    <t>Cost of Equity</t>
    <phoneticPr fontId="27" type="noConversion"/>
  </si>
  <si>
    <t xml:space="preserve">Pre-Tax 
Cost of Debt </t>
    <phoneticPr fontId="5" type="noConversion"/>
  </si>
  <si>
    <t>민감도 범위 선택</t>
    <phoneticPr fontId="1" type="noConversion"/>
  </si>
  <si>
    <t>추정손익계산서</t>
    <phoneticPr fontId="1" type="noConversion"/>
  </si>
  <si>
    <t xml:space="preserve">IBD / TIC </t>
    <phoneticPr fontId="1" type="noConversion"/>
  </si>
  <si>
    <t>평가방법</t>
    <phoneticPr fontId="1" type="noConversion"/>
  </si>
  <si>
    <t>대한민국의 한계 법인세율 24.2%를 적용</t>
    <phoneticPr fontId="1" type="noConversion"/>
  </si>
  <si>
    <t>Multiple</t>
  </si>
  <si>
    <t>Country</t>
    <phoneticPr fontId="1" type="noConversion"/>
  </si>
  <si>
    <t>회전율 (x)</t>
    <phoneticPr fontId="1" type="noConversion"/>
  </si>
  <si>
    <t>회전기일 (일)</t>
    <phoneticPr fontId="1" type="noConversion"/>
  </si>
  <si>
    <t>유사상장회사의 시장가치기준 평균 자본구조 적용</t>
    <phoneticPr fontId="1" type="noConversion"/>
  </si>
  <si>
    <t>Company</t>
    <phoneticPr fontId="1" type="noConversion"/>
  </si>
  <si>
    <t>Completion
Date</t>
    <phoneticPr fontId="1" type="noConversion"/>
  </si>
  <si>
    <t>Target Company</t>
    <phoneticPr fontId="1" type="noConversion"/>
  </si>
  <si>
    <t>Bidder Company</t>
    <phoneticPr fontId="4" type="noConversion"/>
  </si>
  <si>
    <t>Seller Company</t>
    <phoneticPr fontId="1" type="noConversion"/>
  </si>
  <si>
    <t>매출액</t>
    <phoneticPr fontId="1" type="noConversion"/>
  </si>
  <si>
    <t>판매비와관리비</t>
    <phoneticPr fontId="1" type="noConversion"/>
  </si>
  <si>
    <t>자본적 지출, 감가상각비 및 무형자산상각비</t>
    <phoneticPr fontId="1" type="noConversion"/>
  </si>
  <si>
    <t>유무형 상각비</t>
    <phoneticPr fontId="1" type="noConversion"/>
  </si>
  <si>
    <t>Capital Expenditure</t>
    <phoneticPr fontId="1" type="noConversion"/>
  </si>
  <si>
    <t>3-Year Sales CAGR</t>
    <phoneticPr fontId="1" type="noConversion"/>
  </si>
  <si>
    <t>1-Year Sales CAGR</t>
    <phoneticPr fontId="1" type="noConversion"/>
  </si>
  <si>
    <t>2-Year Sales CAGR</t>
    <phoneticPr fontId="1" type="noConversion"/>
  </si>
  <si>
    <t>D&amp;A
/ Sales</t>
  </si>
  <si>
    <t>CAPEX
/ Sales</t>
  </si>
  <si>
    <t>Australian Dollar</t>
  </si>
  <si>
    <t>Japanese Yen</t>
  </si>
  <si>
    <t>CAGR</t>
  </si>
  <si>
    <t>Compound Annual Growth Rate</t>
  </si>
  <si>
    <t>Korean Won</t>
  </si>
  <si>
    <t>Chinese Yuan</t>
  </si>
  <si>
    <t>KRX</t>
  </si>
  <si>
    <t>Korea Exchange</t>
  </si>
  <si>
    <t>Last Twelve Months</t>
  </si>
  <si>
    <t>Danish Krone</t>
  </si>
  <si>
    <t>PV</t>
  </si>
  <si>
    <t>Present Value</t>
  </si>
  <si>
    <t>Q</t>
  </si>
  <si>
    <t>Quarter</t>
  </si>
  <si>
    <t>EV</t>
  </si>
  <si>
    <t>Enterprise Value</t>
  </si>
  <si>
    <t>Taiwan New Dollar</t>
  </si>
  <si>
    <t>GC</t>
  </si>
  <si>
    <t>General Customer</t>
  </si>
  <si>
    <t>x</t>
  </si>
  <si>
    <t>Selected (Median)</t>
    <phoneticPr fontId="1" type="noConversion"/>
  </si>
  <si>
    <t>Deal Description</t>
    <phoneticPr fontId="1" type="noConversion"/>
  </si>
  <si>
    <t>Business Description</t>
    <phoneticPr fontId="1" type="noConversion"/>
  </si>
  <si>
    <t>구분</t>
    <phoneticPr fontId="1" type="noConversion"/>
  </si>
  <si>
    <t>가정</t>
    <phoneticPr fontId="1" type="noConversion"/>
  </si>
  <si>
    <t>근거</t>
    <phoneticPr fontId="1" type="noConversion"/>
  </si>
  <si>
    <t>Reference</t>
    <phoneticPr fontId="1" type="noConversion"/>
  </si>
  <si>
    <t>비고</t>
    <phoneticPr fontId="1" type="noConversion"/>
  </si>
  <si>
    <t>매출액</t>
    <phoneticPr fontId="1" type="noConversion"/>
  </si>
  <si>
    <t>COGS</t>
    <phoneticPr fontId="1" type="noConversion"/>
  </si>
  <si>
    <t>SG&amp;A</t>
    <phoneticPr fontId="1" type="noConversion"/>
  </si>
  <si>
    <t>Working Capital</t>
    <phoneticPr fontId="1" type="noConversion"/>
  </si>
  <si>
    <t>CapEx &amp; Depreciation</t>
    <phoneticPr fontId="1" type="noConversion"/>
  </si>
  <si>
    <t>Others</t>
    <phoneticPr fontId="1" type="noConversion"/>
  </si>
  <si>
    <t>Terminal Growth Rate</t>
    <phoneticPr fontId="1" type="noConversion"/>
  </si>
  <si>
    <t>(%)</t>
    <phoneticPr fontId="1" type="noConversion"/>
  </si>
  <si>
    <t>2011년 까지의 법인세율</t>
    <phoneticPr fontId="1" type="noConversion"/>
  </si>
  <si>
    <t>2012년 이후의 법인세율</t>
    <phoneticPr fontId="1" type="noConversion"/>
  </si>
  <si>
    <t>세율</t>
    <phoneticPr fontId="1" type="noConversion"/>
  </si>
  <si>
    <t>과세표준 2억원 이하</t>
    <phoneticPr fontId="1" type="noConversion"/>
  </si>
  <si>
    <t>2011년 12월 28일 제304회 국회(임시회) 제3차 본회의에서 가결된 법인세법 개정내용</t>
    <phoneticPr fontId="1" type="noConversion"/>
  </si>
  <si>
    <t>최대</t>
    <phoneticPr fontId="1" type="noConversion"/>
  </si>
  <si>
    <t>Extra</t>
    <phoneticPr fontId="1" type="noConversion"/>
  </si>
  <si>
    <t>과세표준 2억원 초과 200억원 이하</t>
    <phoneticPr fontId="1" type="noConversion"/>
  </si>
  <si>
    <t>세율</t>
    <phoneticPr fontId="1" type="noConversion"/>
  </si>
  <si>
    <t>과세표준 200억원 초과</t>
    <phoneticPr fontId="1" type="noConversion"/>
  </si>
  <si>
    <t>최대</t>
    <phoneticPr fontId="1" type="noConversion"/>
  </si>
  <si>
    <t>Extra</t>
    <phoneticPr fontId="1" type="noConversion"/>
  </si>
  <si>
    <t>조정금액</t>
    <phoneticPr fontId="1" type="noConversion"/>
  </si>
  <si>
    <t>대상회사</t>
    <phoneticPr fontId="1" type="noConversion"/>
  </si>
  <si>
    <t>대상회사</t>
    <phoneticPr fontId="1" type="noConversion"/>
  </si>
  <si>
    <t>Financial Ratio Comparison</t>
    <phoneticPr fontId="1" type="noConversion"/>
  </si>
  <si>
    <t>IT</t>
    <phoneticPr fontId="1" type="noConversion"/>
  </si>
  <si>
    <t>GS ITM</t>
    <phoneticPr fontId="1" type="noConversion"/>
  </si>
  <si>
    <t>South Korea</t>
    <phoneticPr fontId="1" type="noConversion"/>
  </si>
  <si>
    <t>Dec 2015 FROM THE ECONOMIST INTELLIGENCE UNIT</t>
    <phoneticPr fontId="1" type="noConversion"/>
  </si>
  <si>
    <t>Series Title</t>
  </si>
  <si>
    <t>Code</t>
  </si>
  <si>
    <t>Currency</t>
  </si>
  <si>
    <t>Units</t>
  </si>
  <si>
    <t xml:space="preserve"> 2008</t>
  </si>
  <si>
    <t xml:space="preserve"> 2009</t>
  </si>
  <si>
    <t xml:space="preserve"> 2010</t>
  </si>
  <si>
    <t xml:space="preserve"> 2011</t>
  </si>
  <si>
    <t xml:space="preserve"> 2012</t>
  </si>
  <si>
    <t xml:space="preserve"> 2013</t>
  </si>
  <si>
    <t xml:space="preserve"> 2014</t>
  </si>
  <si>
    <t xml:space="preserve"> 2015</t>
  </si>
  <si>
    <t xml:space="preserve"> 2016</t>
  </si>
  <si>
    <t xml:space="preserve"> 2017</t>
  </si>
  <si>
    <t xml:space="preserve"> 2018</t>
  </si>
  <si>
    <t xml:space="preserve"> 2019</t>
  </si>
  <si>
    <t xml:space="preserve"> 2020</t>
  </si>
  <si>
    <t>Definition</t>
  </si>
  <si>
    <t>Note</t>
  </si>
  <si>
    <t>Source</t>
  </si>
  <si>
    <t>Real GDP</t>
  </si>
  <si>
    <t>RGDP</t>
  </si>
  <si>
    <t>LCU</t>
  </si>
  <si>
    <t>bn</t>
  </si>
  <si>
    <t>Gross domestic product (GDP) at constant 2010 market prices.</t>
  </si>
  <si>
    <t>Includes statistical discrepancy.</t>
  </si>
  <si>
    <t>Bank of Korea</t>
  </si>
  <si>
    <t>Real private consumption</t>
  </si>
  <si>
    <t>RCPR</t>
  </si>
  <si>
    <t>Private consumption expenditure at constant 2010 market prices.</t>
  </si>
  <si>
    <t/>
  </si>
  <si>
    <t>Real government consumption</t>
  </si>
  <si>
    <t>RGCE</t>
  </si>
  <si>
    <t>Government consumption expenditure at constant 2010 market prices.</t>
  </si>
  <si>
    <t>Real gross fixed investment</t>
  </si>
  <si>
    <t>RFIN</t>
  </si>
  <si>
    <t>Gross fixed investment at constant 2010 market prices.</t>
  </si>
  <si>
    <t>Real stockbuilding</t>
  </si>
  <si>
    <t>RSTK</t>
  </si>
  <si>
    <t>Stockbuilding at constant 2010 market prices.</t>
  </si>
  <si>
    <t>Real exports of G&amp;S</t>
  </si>
  <si>
    <t>REXP</t>
  </si>
  <si>
    <t>Exports of goods and services at constant 2010 market prices.</t>
  </si>
  <si>
    <t>Real imports of G&amp;S</t>
  </si>
  <si>
    <t>RIMP</t>
  </si>
  <si>
    <t>Imports of goods and services at constant 2010 market prices.</t>
  </si>
  <si>
    <t>Real domestic demand</t>
  </si>
  <si>
    <t>RDMD</t>
  </si>
  <si>
    <t>Total domestic expenditure (including stockbuilding) at constant 2010 market prices.</t>
  </si>
  <si>
    <t>Derived from Bank of Korea</t>
  </si>
  <si>
    <t>GDP (% real change pa)</t>
  </si>
  <si>
    <t>DGDP</t>
  </si>
  <si>
    <t>Percentage change in real GDP, over previous year.</t>
  </si>
  <si>
    <t>Private consumption (% real change pa)</t>
  </si>
  <si>
    <t>DCPR</t>
  </si>
  <si>
    <t>Percentage change in real private consumption, over previous year.</t>
  </si>
  <si>
    <t>Government consumption (% real change pa)</t>
  </si>
  <si>
    <t>DGCE</t>
  </si>
  <si>
    <t>Percentage change in real government consumption, over previous year.</t>
  </si>
  <si>
    <t>Gross fixed investment (% real change pa)</t>
  </si>
  <si>
    <t>DFIN</t>
  </si>
  <si>
    <t>Percentage change in real gross fixed investment, over previous year.</t>
  </si>
  <si>
    <t>Stockbuilding, contribution to real GDP growth (% points)</t>
  </si>
  <si>
    <t>DSTK</t>
  </si>
  <si>
    <t>Change in real stockbuilding, as a percentage of real GDP in the previous year.</t>
  </si>
  <si>
    <t>Exports of G&amp;S (% real change pa)</t>
  </si>
  <si>
    <t>DEXP</t>
  </si>
  <si>
    <t>Percentage change in real exports of goods and services, over previous year.</t>
  </si>
  <si>
    <t>Imports of G&amp;S (% real change pa)</t>
  </si>
  <si>
    <t>DIMP</t>
  </si>
  <si>
    <t>Percentage change in real imports of goods and services, over previous year.</t>
  </si>
  <si>
    <t>Domestic demand (% real change pa)</t>
  </si>
  <si>
    <t>DDMD</t>
  </si>
  <si>
    <t>Percentage change in real total domestic expenditure (including stockbuilding), over previous year.</t>
  </si>
  <si>
    <t>Private consumption, contribution to real GDP growth (% points)</t>
  </si>
  <si>
    <t>CGPR</t>
  </si>
  <si>
    <t>Change in private consumption, as a percentage of real GDP in the previous period.</t>
  </si>
  <si>
    <t>Government consumption, contribution to real GDP growth (% points)</t>
  </si>
  <si>
    <t>CGGC</t>
  </si>
  <si>
    <t>Change in government consumption, as a percentage of real GDP in the previous period.</t>
  </si>
  <si>
    <t>Gross fixed investment, contribution to real GDP growth (% points)</t>
  </si>
  <si>
    <t>CGFI</t>
  </si>
  <si>
    <t>Change in gross fixed investment, as a percentage of real GDP in the previous period.</t>
  </si>
  <si>
    <t>External balance, contribution to real GDP growth (% points)</t>
  </si>
  <si>
    <t>CGEB</t>
  </si>
  <si>
    <t>Change in net exports, as a percentage of real GDP in the previous period.</t>
  </si>
  <si>
    <t>Nominal GDP</t>
  </si>
  <si>
    <t>GDPL</t>
  </si>
  <si>
    <t>Gross domestic product (GDP) at current market prices.</t>
  </si>
  <si>
    <t>Nominal private consumption</t>
  </si>
  <si>
    <t>CPRL</t>
  </si>
  <si>
    <t xml:space="preserve">Private consumption expenditure at current market prices.  </t>
  </si>
  <si>
    <t>Nominal government consumption</t>
  </si>
  <si>
    <t>GCEL</t>
  </si>
  <si>
    <t xml:space="preserve">Government consumption expenditure at current market prices.  </t>
  </si>
  <si>
    <t>Nominal gross fixed investment</t>
  </si>
  <si>
    <t>FINL</t>
  </si>
  <si>
    <t xml:space="preserve">Gross fixed investment expenditure at current market prices.  </t>
  </si>
  <si>
    <t>Nominal stockbuilding</t>
  </si>
  <si>
    <t>STKL</t>
  </si>
  <si>
    <t xml:space="preserve">Stockbuilding at current market prices.  </t>
  </si>
  <si>
    <t>Nominal exports of G&amp;S</t>
  </si>
  <si>
    <t>EXPL</t>
  </si>
  <si>
    <t xml:space="preserve">Value of exports of goods and non-factor services expenditure at current market prices.  </t>
  </si>
  <si>
    <t>Nominal imports of G&amp;S</t>
  </si>
  <si>
    <t>IMPL</t>
  </si>
  <si>
    <t xml:space="preserve">Value of imports of goods and non-factor services expenditure at current market prices.  </t>
  </si>
  <si>
    <t>Nominal domestic demand</t>
  </si>
  <si>
    <t>DMDL</t>
  </si>
  <si>
    <t>Total domestic expenditure (including stockbuilding) at current market prices.</t>
  </si>
  <si>
    <t>Nominal GDP (US$ at PPP)</t>
  </si>
  <si>
    <t>GDPP</t>
  </si>
  <si>
    <t>PPP</t>
  </si>
  <si>
    <t xml:space="preserve">Gross domestic product (GDP) at purchasing power parity (PPP) in US$.  </t>
  </si>
  <si>
    <t>Derived from Bank of Korea; Organisation for Economic Cooporation and Development</t>
  </si>
  <si>
    <t>Nominal GDP (US$)</t>
  </si>
  <si>
    <t>GDPD</t>
  </si>
  <si>
    <t>$</t>
  </si>
  <si>
    <t>Gross domestic product (GDP) at current market prices in US$.</t>
  </si>
  <si>
    <t>Derived from Bank of Korea; IMF, International Financial Statistics</t>
  </si>
  <si>
    <t>Nominal private consumption (US$)</t>
  </si>
  <si>
    <t>PCRD</t>
  </si>
  <si>
    <t>Private consumption expenditure at current market prices in US$ using period-average exchange rate.</t>
  </si>
  <si>
    <t>Nominal government consumption (US$)</t>
  </si>
  <si>
    <t>GCED</t>
  </si>
  <si>
    <t>Government consumption expenditure at current market prices in US$ using period-average exchange rate.</t>
  </si>
  <si>
    <t>Nominal gross fixed investment (US$)</t>
  </si>
  <si>
    <t>FIND</t>
  </si>
  <si>
    <t>Gross fixed investment expenditure at current market prices in US$ using period-average exchange rate.</t>
  </si>
  <si>
    <t>Nominal stockbuilding (US$)</t>
  </si>
  <si>
    <t>STKD</t>
  </si>
  <si>
    <t>Stockbuilding at current market prices in US$  using period-average exchange rate.</t>
  </si>
  <si>
    <t>Nominal exports of G&amp;S (US$)</t>
  </si>
  <si>
    <t>EXPD</t>
  </si>
  <si>
    <t>Value of exports of goods and non-factor services expenditure at current market prices in US$  using period-average exchange rate.</t>
  </si>
  <si>
    <t>Nominal imports of G&amp;S (US$)</t>
  </si>
  <si>
    <t>IMPD</t>
  </si>
  <si>
    <t>Value of imports of goods and non-factor services expenditure at current market prices in US$  using period-average exchange rate.</t>
  </si>
  <si>
    <t>Nominal domestic demand (US$)</t>
  </si>
  <si>
    <t>DMDD</t>
  </si>
  <si>
    <t>Total domestic expenditure (including stockbuilding) at current market prices in US$ using period-average exchange rate.</t>
  </si>
  <si>
    <t>Private consumption (% of GDP)</t>
  </si>
  <si>
    <t>PPCR</t>
  </si>
  <si>
    <t xml:space="preserve">Private consumption expenditure at current market prices, as a percentage of GDP.  </t>
  </si>
  <si>
    <t>Government consumption (% of GDP)</t>
  </si>
  <si>
    <t>PGCE</t>
  </si>
  <si>
    <t xml:space="preserve">Government consumption expenditure at current market prices, as a percentage of GDP.  </t>
  </si>
  <si>
    <t>Gross fixed investment (% of GDP)</t>
  </si>
  <si>
    <t>PFIN</t>
  </si>
  <si>
    <t xml:space="preserve">Gross fixed investment expenditure at current market prices, as a percentage of GDP.  </t>
  </si>
  <si>
    <t>Stockbuilding (% of GDP)</t>
  </si>
  <si>
    <t>PSTK</t>
  </si>
  <si>
    <t xml:space="preserve">Stockbuilding at current market prices, as a percentage of GDP.  </t>
  </si>
  <si>
    <t>Exports of G&amp;S (% of GDP)</t>
  </si>
  <si>
    <t>PEXP</t>
  </si>
  <si>
    <t xml:space="preserve">Value of exports of goods and non-factor services expenditure at current market prices, as a percentage of GDP.  </t>
  </si>
  <si>
    <t>Imports of G&amp;S (% of GDP)</t>
  </si>
  <si>
    <t>PIMP</t>
  </si>
  <si>
    <t xml:space="preserve">Value of imports of goods and non-factor services expenditure at current market prices, as a percentage of GDP.  </t>
  </si>
  <si>
    <t>Domestic demand (% of GDP)</t>
  </si>
  <si>
    <t>PDDD</t>
  </si>
  <si>
    <t xml:space="preserve">Total domestic expenditure (including stockbuilding) at current market prices, as a percentage of GDP.  </t>
  </si>
  <si>
    <t>GDP deflator (% change; av)</t>
  </si>
  <si>
    <t>GDFD</t>
  </si>
  <si>
    <t>Percentage change in GDP deflator index in local currency, period average (2005 = 100).</t>
  </si>
  <si>
    <t xml:space="preserve">Derived from Bank of Korea </t>
  </si>
  <si>
    <t>Private consumption deflator (% change; av)</t>
  </si>
  <si>
    <t>CDFD</t>
  </si>
  <si>
    <t>Percentage change in private consumption deflator index in local currency, period average (2005 = 100).</t>
  </si>
  <si>
    <t>Government consumption deflator (% change; av)</t>
  </si>
  <si>
    <t>GOVD</t>
  </si>
  <si>
    <t>Percentage change in government consumption deflator index in local currency, period average (2005 = 100).</t>
  </si>
  <si>
    <t>Fixed investment deflator (% change; av)</t>
  </si>
  <si>
    <t>IDFD</t>
  </si>
  <si>
    <t>Percentage change in fixed investment deflator index in local currency, period average (2005 = 100).</t>
  </si>
  <si>
    <t>Real GDP at factor cost</t>
  </si>
  <si>
    <t>FGDP</t>
  </si>
  <si>
    <t>Real GDP at factor cost is equal to GDP at constant 2010 market prices, less indirect taxes and plus subsidies.</t>
  </si>
  <si>
    <t>Includes statistical discrepancy. Data prior to 2000 is estimated based on growth rates derived from series with base year 2000.</t>
  </si>
  <si>
    <t xml:space="preserve">Bank of Korea </t>
  </si>
  <si>
    <t>Real agriculture</t>
  </si>
  <si>
    <t>RAGR</t>
  </si>
  <si>
    <t>Agricultural value-added, including livestock, forestry and fishing, at constant 2010 prices.</t>
  </si>
  <si>
    <t>Data prior to 2000 is estimated based on growth rates derived from series with base year 2000.</t>
  </si>
  <si>
    <t>Real industry</t>
  </si>
  <si>
    <t>RIND</t>
  </si>
  <si>
    <t>Mining, quarrying, manufacturing, construction and utilities value-added at constant 2010 prices.</t>
  </si>
  <si>
    <t>Real manufacturing</t>
  </si>
  <si>
    <t>RMNF</t>
  </si>
  <si>
    <t>–</t>
  </si>
  <si>
    <t>Manufacturing value-added at constant 2010 prices.</t>
  </si>
  <si>
    <t>Real services</t>
  </si>
  <si>
    <t>RSER</t>
  </si>
  <si>
    <t>Services sector value-added at constant 2010 prices.</t>
  </si>
  <si>
    <t>Agriculture (% real change pa)</t>
  </si>
  <si>
    <t>DAGR</t>
  </si>
  <si>
    <t>Percentage change in real agricultural value-added, including livestock, forestry and fishing, over previous year.</t>
  </si>
  <si>
    <t>Industry (% real change pa)</t>
  </si>
  <si>
    <t>DIND</t>
  </si>
  <si>
    <t>Percentage change in real mining, quarrying, manufacturing, construction and utilities value-added, over previous year.</t>
  </si>
  <si>
    <t>Manufacturing (% real change pa)</t>
  </si>
  <si>
    <t>DMNF</t>
  </si>
  <si>
    <t>Percentage change in real manufacturing value-added, over previous year.</t>
  </si>
  <si>
    <t>Services (% real change pa)</t>
  </si>
  <si>
    <t>DSER</t>
  </si>
  <si>
    <t>Percentage change in real services sector value-added, over previous year.</t>
  </si>
  <si>
    <t>Agriculture/GDP</t>
  </si>
  <si>
    <t>AGRP</t>
  </si>
  <si>
    <t>Agricultural value-added, including livestock, forestry and fishing, as percentage of nominal GDP at factor cost . GDP at factor cost is GDP at  market prices, less indirect taxes, plus subsidies.</t>
  </si>
  <si>
    <t>Industry/GDP</t>
  </si>
  <si>
    <t>INDP</t>
  </si>
  <si>
    <t>Mining, quarrying, manufacturing, construction and utilities value-added as percentage of nominal GDP at factor cost . GDP at factor cost is GDP at  market prices, less indirect taxes, plus subsidies.</t>
  </si>
  <si>
    <t>Services/GDP</t>
  </si>
  <si>
    <t>SERP</t>
  </si>
  <si>
    <t>Services sector value-added at constant prices as a percentage of nominal GDP at factor cost.  GDP at factor cost is GDP at  market prices, less indirect taxes, plus subsidies.</t>
  </si>
  <si>
    <t>Labour productivity growth (%)</t>
  </si>
  <si>
    <t>LBPG</t>
  </si>
  <si>
    <t>Efficiency of labour measured in terms of output per worker (real GDP per person employed).</t>
  </si>
  <si>
    <t>EIU calculation</t>
  </si>
  <si>
    <t>Total factor productivity growth (%)</t>
  </si>
  <si>
    <t>FAPG</t>
  </si>
  <si>
    <t>Total factor productivity (TFP or multifactor productivity) is the part of economic output growth not accounted for by the growth in inputs (labour and capital).</t>
  </si>
  <si>
    <t>TFP growth cannot be measured directly. It is calculated by dividing GDP growth by employment growth and estimated growth in the capital stock.</t>
  </si>
  <si>
    <t>Growth of real capital stock (%)</t>
  </si>
  <si>
    <t>GRCS</t>
  </si>
  <si>
    <t>Growth in the real stock of fixed assets (machinery &amp; equipment, buildings etc).</t>
  </si>
  <si>
    <t>Growth of real potential output (%)</t>
  </si>
  <si>
    <t>GRPO</t>
  </si>
  <si>
    <t>Potential output is the maximum level of output an economy can obtain without placing pressure on prices. Growth in potential output is estimated by a combination of growth in the labour force, the capital stock and total factor productivity (efficiency).</t>
  </si>
  <si>
    <t>Industrial production (% change pa)</t>
  </si>
  <si>
    <t>DIPI</t>
  </si>
  <si>
    <t>Percentage change in index of industrial production, over previous year.</t>
  </si>
  <si>
    <t>Derived from Korean National Statistics Office.</t>
  </si>
  <si>
    <t>Exchange rate LCU:US$ (av)</t>
  </si>
  <si>
    <t>XRPD</t>
  </si>
  <si>
    <t>National currency per US$, period average.</t>
  </si>
  <si>
    <t>IMF, International Financial Statistics</t>
  </si>
  <si>
    <t>Exchange rate LCU:$ (end-period)</t>
  </si>
  <si>
    <t>ENDR</t>
  </si>
  <si>
    <t>National currency per US$, end-period.</t>
  </si>
  <si>
    <t>Real effective exchange rate</t>
  </si>
  <si>
    <t>XRRE</t>
  </si>
  <si>
    <t>Trade-weighted basket of currencies converted to an index (1990=100) and adjusted for relative price movements.</t>
  </si>
  <si>
    <t>Budget balance (% of GDP)</t>
  </si>
  <si>
    <t>PSBR</t>
  </si>
  <si>
    <t>Central government receipts minus central government outlays, as a percentage of GDP.</t>
  </si>
  <si>
    <t>Budget revenue (% of GDP)</t>
  </si>
  <si>
    <t>BREP</t>
  </si>
  <si>
    <t>Central government receipts (including grants received and loan repayments), as a percentage of GDP.</t>
  </si>
  <si>
    <t>Budget expenditure (% of GDP)</t>
  </si>
  <si>
    <t>BEXP</t>
  </si>
  <si>
    <t>Central government outlays (including loans), as a percentage of GDP.</t>
  </si>
  <si>
    <t>Debt interest payments (% of GDP)</t>
  </si>
  <si>
    <t>BINT</t>
  </si>
  <si>
    <t>Interest payments on central and provincial, state and local government debt (both domestic currency denominated and foreign currency debt), as a percentage of GDP.</t>
  </si>
  <si>
    <t>Derived from OECD, Economic Outlook</t>
  </si>
  <si>
    <t>Primary balance (% of GDP)</t>
  </si>
  <si>
    <t>PBAX</t>
  </si>
  <si>
    <t>General government receipts (including grants received and loan repayments) less non-interest expenditures, as a percentage of GDP.</t>
  </si>
  <si>
    <t>Derived from Bank of Korea; OECD, Economic Outlook</t>
  </si>
  <si>
    <t>Public debt  (% of GDP)</t>
  </si>
  <si>
    <t>PUDP</t>
  </si>
  <si>
    <t>General government debt.</t>
  </si>
  <si>
    <t>EIU calculation derived from OECD, Economic Outlook data</t>
  </si>
  <si>
    <t>Domestic credit growth (%)</t>
  </si>
  <si>
    <t>SODD</t>
  </si>
  <si>
    <t xml:space="preserve">Percentage change in bank lending to public and private sectors, plus bank lending in domestic currency overseas.  </t>
  </si>
  <si>
    <t>M2 (% pa)</t>
  </si>
  <si>
    <t>DMN2</t>
  </si>
  <si>
    <t xml:space="preserve">Percentage change in M1 plus quasi-money at end-period, over previous year.  </t>
  </si>
  <si>
    <t>Lending interest rate (%)</t>
  </si>
  <si>
    <t>LRAT</t>
  </si>
  <si>
    <t>Minimum rate charged to enterprises by commercial banks on loans up to one year.</t>
  </si>
  <si>
    <t>Deposit interest rate (%)</t>
  </si>
  <si>
    <t>RAT2</t>
  </si>
  <si>
    <t>1-Year Deposit Rate, Maximum Set by Bank of Korea</t>
  </si>
  <si>
    <t>Money market interest rate (%)</t>
  </si>
  <si>
    <t>RAT3</t>
  </si>
  <si>
    <t>Call Money Rate, Overnight Intermediated Transactions</t>
  </si>
  <si>
    <t>Long-term bond yield (%)</t>
  </si>
  <si>
    <t>RAT4</t>
  </si>
  <si>
    <t xml:space="preserve">10 Year Government Bond (% per annum)  </t>
  </si>
  <si>
    <t xml:space="preserve">Organization for Economic Cooperation &amp; Development </t>
  </si>
  <si>
    <t>Consumer prices (% change pa; av)</t>
  </si>
  <si>
    <t>DCPI</t>
  </si>
  <si>
    <t>Percentage change in consumer price index in local currency (period average), over previous year.</t>
  </si>
  <si>
    <t>Consumer prices (% change pa; end-period)</t>
  </si>
  <si>
    <t>DCPN</t>
  </si>
  <si>
    <t>Percentage change in consumer price index (end-period), over previous year.</t>
  </si>
  <si>
    <t>Producer prices (% change pa; av)</t>
  </si>
  <si>
    <t>DPPI</t>
  </si>
  <si>
    <t>Percentage change in producer price index in local currency, period average (2010 =100).</t>
  </si>
  <si>
    <t>Average nominal wages (% change pa)</t>
  </si>
  <si>
    <t>DAWA</t>
  </si>
  <si>
    <t>Percentage change in monthly earnings (all industries) in local currency, over previous year.</t>
  </si>
  <si>
    <t>Korean National Statistical Office</t>
  </si>
  <si>
    <t>Average real wages (% change)</t>
  </si>
  <si>
    <t>DRWA</t>
  </si>
  <si>
    <t>Percentage change in hourly earnings (all industry) in local currency adjusted for inflation, over previous year.</t>
  </si>
  <si>
    <t>Derived from Korean National Statistical Office</t>
  </si>
  <si>
    <t>Unit labour costs (% change pa)</t>
  </si>
  <si>
    <t>DULC</t>
  </si>
  <si>
    <t xml:space="preserve">Percentage change in the labour cost of producing one unit of output over previous year, in US$. </t>
  </si>
  <si>
    <t>Derived from US Bureau of Labor Statistics</t>
  </si>
  <si>
    <t>Labour costs per hour</t>
  </si>
  <si>
    <t>LCHD</t>
  </si>
  <si>
    <t>Average cost of labour per hour (pay and non-pay costs).</t>
  </si>
  <si>
    <t xml:space="preserve">Includes pay for time worked, other direct pay (eg holiday pay), employer expenditure on legally required insurance programmes and other labour taxes. </t>
  </si>
  <si>
    <t>US Bureau of Labor Statistics</t>
  </si>
  <si>
    <t>Population</t>
  </si>
  <si>
    <t>POPN</t>
  </si>
  <si>
    <t>m</t>
  </si>
  <si>
    <t>Population estimate</t>
  </si>
  <si>
    <t>United Nations</t>
  </si>
  <si>
    <t>Labour force</t>
  </si>
  <si>
    <t>LABF</t>
  </si>
  <si>
    <t>Economically active population.</t>
  </si>
  <si>
    <t>National Statistical Office</t>
  </si>
  <si>
    <t>Recorded unemployment (%)</t>
  </si>
  <si>
    <t>UNEM</t>
  </si>
  <si>
    <t>Recorded official unemployment as a percentage of total labour force.</t>
  </si>
  <si>
    <t>GDP per head</t>
  </si>
  <si>
    <t>YPCA</t>
  </si>
  <si>
    <t>Nominal GDP divided by population.  Derived from National Statistical Office data and period-average exchange rate.</t>
  </si>
  <si>
    <t>Derived from Korean National Statistical Office, Major Statistics of Korean Economy</t>
  </si>
  <si>
    <t>Private consumption per head</t>
  </si>
  <si>
    <t>PCPC</t>
  </si>
  <si>
    <t>Private consumption expenditure divided by population.  Derived National Statistical Office data and period-average exchange rate.</t>
  </si>
  <si>
    <t>Derived from IMF, International Financial Statistics; Korean National Statistical Office, Major Statistics of Korean Economy</t>
  </si>
  <si>
    <t>GDP per head ($ at PPP)</t>
  </si>
  <si>
    <t>YPCP</t>
  </si>
  <si>
    <t>GDP at purchasing power parity (PPP), divided by population.</t>
  </si>
  <si>
    <t>Real GDP growth per head (% pa)</t>
  </si>
  <si>
    <t>RYPC</t>
  </si>
  <si>
    <t>Percentage change in real gross domestic product per head.</t>
  </si>
  <si>
    <t>Derived from Bank of Korea; Korean National Statistical Office, Major Statistics of Korean Economy.</t>
  </si>
  <si>
    <t>Personal disposable income</t>
  </si>
  <si>
    <t>DILC</t>
  </si>
  <si>
    <t>The total value of personal income after taxes and deductions.</t>
  </si>
  <si>
    <t>Derived from OECD; IMF, International Financial Statistics</t>
  </si>
  <si>
    <t>PDIN</t>
  </si>
  <si>
    <t>The total value of personal income after taxes and deductions, in US$.</t>
  </si>
  <si>
    <t>OECD, Economic Outlook</t>
  </si>
  <si>
    <t>Real personal disposable income (% change pa)</t>
  </si>
  <si>
    <t>RPDI</t>
  </si>
  <si>
    <t>Real growth rate of total personal income after taxes and deductions.</t>
  </si>
  <si>
    <t>Current-account balance</t>
  </si>
  <si>
    <t>BALC</t>
  </si>
  <si>
    <t>Trade balance, plus net services, plus net primary income, plus net secondary income.</t>
  </si>
  <si>
    <t>Break in series, before 2005 IMF balance of payments Manual 5, after 2005 IMF Balance of Payments Manual 6.</t>
  </si>
  <si>
    <t>Goods: exports fob</t>
  </si>
  <si>
    <t>MEXP</t>
  </si>
  <si>
    <t>Exports of goods, free-on-board (fob) basis.</t>
  </si>
  <si>
    <t>Goods: imports fob</t>
  </si>
  <si>
    <t>MIMP</t>
  </si>
  <si>
    <t>Imports of goods, free-on-board (fob) basis.</t>
  </si>
  <si>
    <t>Trade balance</t>
  </si>
  <si>
    <t>BALM</t>
  </si>
  <si>
    <t>Exports of goods (fob) less imports of goods (fob).</t>
  </si>
  <si>
    <t>Services: credit</t>
  </si>
  <si>
    <t>XSER</t>
  </si>
  <si>
    <t>Payments received for services rendered to overseas residents and companies.</t>
  </si>
  <si>
    <t>Services: debit</t>
  </si>
  <si>
    <t>MSER</t>
  </si>
  <si>
    <t>Payments made for overseas services rendered to domestic residents and companies.</t>
  </si>
  <si>
    <t>Services: balance</t>
  </si>
  <si>
    <t>BALS</t>
  </si>
  <si>
    <t>Services credit less services debit.</t>
  </si>
  <si>
    <t>Income: credit</t>
  </si>
  <si>
    <t>XIPD</t>
  </si>
  <si>
    <t>Repatriated earnings on overseas investments, including interest, profit and dividends, plus all forms of employee compensation.</t>
  </si>
  <si>
    <t>Income: debit</t>
  </si>
  <si>
    <t>MIPD</t>
  </si>
  <si>
    <t>Payments abroad in respect of foreign-owned investments in the domestic economy, including interest, profit and dividends, plus all forms of employee compensation.</t>
  </si>
  <si>
    <t>Income: balance</t>
  </si>
  <si>
    <t>BALI</t>
  </si>
  <si>
    <t>Primary income credit less income debt.</t>
  </si>
  <si>
    <t>Current transfers: credit</t>
  </si>
  <si>
    <t>GNTR</t>
  </si>
  <si>
    <t>Secondary income credits, including workers remittances, and foreign aid grants.</t>
  </si>
  <si>
    <t>Current transfers: debit</t>
  </si>
  <si>
    <t>PNTR</t>
  </si>
  <si>
    <t>Secondary income debits, including general government transfers, workers remittances and aid abroad.</t>
  </si>
  <si>
    <t>Current transfers: balance</t>
  </si>
  <si>
    <t>BNTR</t>
  </si>
  <si>
    <t>Secondary income credit less secondary income debit.</t>
  </si>
  <si>
    <t>Inward direct investment</t>
  </si>
  <si>
    <t>INDV</t>
  </si>
  <si>
    <t>Net flows of direct investment capital by non-residents into the country.</t>
  </si>
  <si>
    <t>Break in series, before 2005 IMF Balance of Payments Manual 5, after 2005 IMF Balance of Payments Manual 6.</t>
  </si>
  <si>
    <t>Outward direct investment</t>
  </si>
  <si>
    <t>OUDV</t>
  </si>
  <si>
    <t>Net flows of direct investment capital by domestic residents out of the country.</t>
  </si>
  <si>
    <t>Net direct investment flows</t>
  </si>
  <si>
    <t>INVF</t>
  </si>
  <si>
    <t>Net flows of direct investment.</t>
  </si>
  <si>
    <t>Inward FDI stock</t>
  </si>
  <si>
    <t>INSU</t>
  </si>
  <si>
    <t>Stock of direct investment by non-residents into the country at current prices.</t>
  </si>
  <si>
    <t>Current account balance/GDP</t>
  </si>
  <si>
    <t>CARA</t>
  </si>
  <si>
    <t>Current-account balance as a percentage of GDP.</t>
  </si>
  <si>
    <t>Derived from IMF, International Financial Statistics</t>
  </si>
  <si>
    <t>Inward FDI flow/GDP (%)</t>
  </si>
  <si>
    <t>INVR</t>
  </si>
  <si>
    <t>Net flows of direct investment capital by non-residents into the country, as a percentage of GDP.</t>
  </si>
  <si>
    <t>Inward FDI flow (% of fixed investment)</t>
  </si>
  <si>
    <t>INVI</t>
  </si>
  <si>
    <t>Net flows of direct investment capital by non-residents into the country, as a percentage of fixed investment.</t>
  </si>
  <si>
    <t>Inward FDI stock per head</t>
  </si>
  <si>
    <t>INSC</t>
  </si>
  <si>
    <t>Stock of direct investment by non-residents into the country divided by total population.</t>
  </si>
  <si>
    <t>Inward FDI stock/GDP (%)</t>
  </si>
  <si>
    <t>INSR</t>
  </si>
  <si>
    <t>Stock of direct investment by non-residents into the country as a percentage of GDP.</t>
  </si>
  <si>
    <t>Total foreign debt</t>
  </si>
  <si>
    <t>TDBT</t>
  </si>
  <si>
    <t>Total external debt stock, comprising public and publicly guaranteed long-term debt, private non-guaranteed debt, use of IMF credit and Special Drawing Right (SDR) allocations and short-term debt, at end-period.</t>
  </si>
  <si>
    <t>OECD, External Debt Statistics. Bank of Korea website. EIU.</t>
  </si>
  <si>
    <t>Total debt/exports of G&amp;S</t>
  </si>
  <si>
    <t>TDPX</t>
  </si>
  <si>
    <t>Total external debt stock as a percentage of exports of goods, non-factor services, primary income, and workers remittances.</t>
  </si>
  <si>
    <t>Derived from IMF, International Financial Statistics;  World Bank, International Debt Statistics; OECD, External Debt Statistics</t>
  </si>
  <si>
    <t>Total debt/GDP</t>
  </si>
  <si>
    <t>TDPY</t>
  </si>
  <si>
    <t>Total external debt at end-period as a percentage of nominal GDP.</t>
  </si>
  <si>
    <t>Debt-service ratio, paid</t>
  </si>
  <si>
    <t>TSPX</t>
  </si>
  <si>
    <t>Total external debt service paid as a percentage of exports of goods, non-factor services, primary income and workers remittances.</t>
  </si>
  <si>
    <t>Derived from IMF, International Financial Statistics; World Bank, International Debt Statistics; OECD, External Debt Statistics; EIU</t>
  </si>
  <si>
    <t>Export prices (% change pa; US$)</t>
  </si>
  <si>
    <t>DIPX</t>
  </si>
  <si>
    <t>Percentage growth over previous year in the US$ export price index of goods.  Index year 1990=100.</t>
  </si>
  <si>
    <t>Derived from National Statistics Office.</t>
  </si>
  <si>
    <t>Import prices (% change pa; US$)</t>
  </si>
  <si>
    <t>DIPM</t>
  </si>
  <si>
    <t>Percentage growth over previous year in the US$ import price index of goods.  Index year 1990=100.</t>
  </si>
  <si>
    <t>Terms of trade (1990=100)</t>
  </si>
  <si>
    <t>NBTT</t>
  </si>
  <si>
    <t>Ratio of the export price index to the import price index (1990=100).</t>
  </si>
  <si>
    <t>Copyright © 2015 The Economist Intelligence Unit.</t>
    <phoneticPr fontId="1" type="noConversion"/>
  </si>
  <si>
    <t>과                        목</t>
  </si>
  <si>
    <t>자산</t>
  </si>
  <si>
    <t>Ⅰ.유동자산</t>
  </si>
  <si>
    <t>(1)당좌자산</t>
  </si>
  <si>
    <t>1.현금및현금성자산(주석2,7,17,21)</t>
  </si>
  <si>
    <t>2.단기금융상품(주석3)</t>
  </si>
  <si>
    <t>3.매출채권(주석13,16,11,21)</t>
  </si>
  <si>
    <t> 대손충당금(주석2)</t>
  </si>
  <si>
    <t>4.단기대여금</t>
  </si>
  <si>
    <t>5.미수금</t>
  </si>
  <si>
    <t> 대손충당금</t>
  </si>
  <si>
    <t>6.미수수익</t>
  </si>
  <si>
    <t>7.선급금(주석16,21)</t>
  </si>
  <si>
    <t>8.선급비용</t>
  </si>
  <si>
    <t>9.유동성이연법인세자산(주석2,14)</t>
  </si>
  <si>
    <t>(2)재고자산(주석2)</t>
  </si>
  <si>
    <t>1.상품</t>
  </si>
  <si>
    <t> 재고자산평가충당금</t>
  </si>
  <si>
    <t>Ⅱ.비유동자산</t>
  </si>
  <si>
    <t>(1)투자자산</t>
  </si>
  <si>
    <t>1.매도가능증권(주석2,4,19)</t>
  </si>
  <si>
    <t>2.장기금융상품(주석3)</t>
  </si>
  <si>
    <t>(2)유형자산(주석2,5)</t>
  </si>
  <si>
    <t> 감가상각누계액</t>
  </si>
  <si>
    <t>(3)무형자산(주석2,6)</t>
  </si>
  <si>
    <t>(4)기타비유동자산</t>
  </si>
  <si>
    <t>1.회원권</t>
  </si>
  <si>
    <t>2.보증금(주석16)</t>
  </si>
  <si>
    <t>3.이연법인세자산(주석2,14)</t>
  </si>
  <si>
    <t>자산총계</t>
  </si>
  <si>
    <t>부채</t>
  </si>
  <si>
    <t>Ⅰ.유동부채</t>
  </si>
  <si>
    <t>1.매입채무(주석16,21,23)</t>
  </si>
  <si>
    <t>2.단기차입금(주석 7)</t>
  </si>
  <si>
    <t>3.당기법인세부채(주석14)</t>
  </si>
  <si>
    <t>4.부가세예수금</t>
  </si>
  <si>
    <t>5.미지급금(주석16,23)</t>
  </si>
  <si>
    <t>6.선수금(주석13,16)</t>
  </si>
  <si>
    <t>7.예수금</t>
  </si>
  <si>
    <t>8.하자보수충당부채(주석2,13)</t>
  </si>
  <si>
    <t>9.프로젝트손실충당부채(주석2,13)</t>
  </si>
  <si>
    <t>Ⅱ.비유동부채</t>
  </si>
  <si>
    <t>1.퇴직급여충당부채(주석2,8)</t>
  </si>
  <si>
    <t>2.퇴직연금운용자산(주석2,8)</t>
  </si>
  <si>
    <t>부채총계</t>
  </si>
  <si>
    <t>자본</t>
  </si>
  <si>
    <t>Ⅰ.자본금(주석1,9)</t>
  </si>
  <si>
    <t>1.보통주자본금</t>
  </si>
  <si>
    <t>Ⅱ.이익잉여금(주석10)</t>
  </si>
  <si>
    <t>1.이익준비금</t>
  </si>
  <si>
    <t>2.미처분이익잉여금</t>
  </si>
  <si>
    <t>자본총계</t>
  </si>
  <si>
    <t>부채와자본총계</t>
  </si>
  <si>
    <t>Ⅰ.매출액(주석2,13,16)</t>
  </si>
  <si>
    <t>1.상품매출</t>
  </si>
  <si>
    <t>2.용역매출</t>
  </si>
  <si>
    <t>3.용역수수료매출(주석22)</t>
  </si>
  <si>
    <t>Ⅱ.매출원가(주석16,24)</t>
  </si>
  <si>
    <t>1.상품매출원가</t>
  </si>
  <si>
    <t>기초상품재고액</t>
  </si>
  <si>
    <t>당기상품매입액</t>
  </si>
  <si>
    <t>계</t>
  </si>
  <si>
    <t>기말상품재고액</t>
  </si>
  <si>
    <t>2.용역매출원가</t>
  </si>
  <si>
    <t>3.용역수수료매출원가(주석22)</t>
  </si>
  <si>
    <t>Ⅲ.매출총이익</t>
  </si>
  <si>
    <t>Ⅳ.판매비와관리비(주석24)</t>
  </si>
  <si>
    <t>1.급여</t>
  </si>
  <si>
    <t>2.퇴직급여</t>
  </si>
  <si>
    <t>3.복리후생비</t>
  </si>
  <si>
    <t>4.임차료(주석16)</t>
  </si>
  <si>
    <t>5.접대비</t>
  </si>
  <si>
    <t>6.감가상각비</t>
  </si>
  <si>
    <t>7.세금과공과</t>
  </si>
  <si>
    <t>8.광고선전비</t>
  </si>
  <si>
    <t>9.대손상각비</t>
  </si>
  <si>
    <t>10.차량유지비</t>
  </si>
  <si>
    <t>11.교육훈련비</t>
  </si>
  <si>
    <t>12.여비교통비</t>
  </si>
  <si>
    <t>13.운반비</t>
  </si>
  <si>
    <t>14.보험료</t>
  </si>
  <si>
    <t>15.통신비</t>
  </si>
  <si>
    <t>16.수도광열비</t>
  </si>
  <si>
    <t>17.소모품비</t>
  </si>
  <si>
    <t>18.무형자산상각비</t>
  </si>
  <si>
    <t>19.지급수수료</t>
  </si>
  <si>
    <t>20.사무용품비</t>
  </si>
  <si>
    <t>21.도서인쇄비</t>
  </si>
  <si>
    <t>22.판촉비</t>
  </si>
  <si>
    <t>23.회의비</t>
  </si>
  <si>
    <t>Ⅴ.영업이익</t>
  </si>
  <si>
    <t>Ⅵ.영업외수익</t>
  </si>
  <si>
    <t>1.이자수익</t>
  </si>
  <si>
    <t>2.외환차익</t>
  </si>
  <si>
    <t>3.외화환산이익</t>
  </si>
  <si>
    <t>4.유형자산처분이익</t>
  </si>
  <si>
    <t>5.하자보수충당부채환입</t>
  </si>
  <si>
    <t>6.잡이익</t>
  </si>
  <si>
    <t>7.채무면제이익</t>
  </si>
  <si>
    <t>8.퇴직연금운용수익</t>
  </si>
  <si>
    <t>Ⅶ.영업외비용</t>
  </si>
  <si>
    <t>1.이자비용</t>
  </si>
  <si>
    <t>2.외환차손</t>
  </si>
  <si>
    <t>3.외화환산손실</t>
  </si>
  <si>
    <t>4.유형자산처분손실</t>
  </si>
  <si>
    <t>5.기부금</t>
  </si>
  <si>
    <t>6.잡손실</t>
  </si>
  <si>
    <t>7.단기매매증권처분손실</t>
  </si>
  <si>
    <t>8.회원권손상차손</t>
  </si>
  <si>
    <t>Ⅷ.법인세비용차감전순이익</t>
  </si>
  <si>
    <t>Ⅸ.법인세비용(주석2,14)</t>
  </si>
  <si>
    <t>Ⅹ.당기순이익(주석11)</t>
  </si>
  <si>
    <t>ⅩI.주당손익(주석15)</t>
  </si>
  <si>
    <t>1.기본주당순이익</t>
  </si>
  <si>
    <t>Ⅰ.영업활동으로 인한 현금흐름</t>
  </si>
  <si>
    <t>1.당기순이익</t>
  </si>
  <si>
    <t>2.현금의유출이 없는 비용등의 가산</t>
  </si>
  <si>
    <t>퇴직급여</t>
  </si>
  <si>
    <t>감가상각비</t>
  </si>
  <si>
    <t>대손상각비</t>
  </si>
  <si>
    <t>무형자산상각비</t>
  </si>
  <si>
    <t>유형자산처분손실</t>
  </si>
  <si>
    <t>재고자산평가손실</t>
  </si>
  <si>
    <t>하자보수충당부채전입액</t>
  </si>
  <si>
    <t>프로젝트손실충당부채전입액</t>
  </si>
  <si>
    <t>외화환산손실</t>
  </si>
  <si>
    <t>회원권손상차손</t>
  </si>
  <si>
    <t>3.현금의유입이 없는 수익등의 차감</t>
  </si>
  <si>
    <t>유형자산처분이익</t>
  </si>
  <si>
    <t>하자보수충당부채환입</t>
  </si>
  <si>
    <t>프로젝트손실충당부채환입</t>
  </si>
  <si>
    <t>외화환산이익</t>
  </si>
  <si>
    <t>4.영업활동으로 인한 자산부채의 변동</t>
  </si>
  <si>
    <t>매출채권의 감소(증가)</t>
  </si>
  <si>
    <t>미수금의 감소(증가)</t>
  </si>
  <si>
    <t>미수수익의 감소(증가)</t>
  </si>
  <si>
    <t>선급금의 감소(증가)</t>
  </si>
  <si>
    <t>유동성이연법인세자산의 감소(증가)</t>
  </si>
  <si>
    <t>선급비용의 감소(증가)</t>
  </si>
  <si>
    <t>재고자산의 감소(증가)</t>
  </si>
  <si>
    <t>비유동성이연법인세자산의 감소(증가)</t>
  </si>
  <si>
    <t>매입채무의 증가(감소)</t>
  </si>
  <si>
    <t>당기법인세부채의 증가(감소)</t>
  </si>
  <si>
    <t>부가세예수금의 증가(감소)</t>
  </si>
  <si>
    <t>미지급금의 증가(감소)</t>
  </si>
  <si>
    <t>선수금의 증가(감소)</t>
  </si>
  <si>
    <t>예수금의 증가(감소)</t>
  </si>
  <si>
    <t>퇴직금의 지급</t>
  </si>
  <si>
    <t>프로젝트손실금의 지급</t>
  </si>
  <si>
    <t>퇴직연금운용자산의 증가</t>
  </si>
  <si>
    <t>Ⅱ.투자활동으로 인한 현금흐름</t>
  </si>
  <si>
    <t>1.투자활동으로 인한 현금유입액</t>
  </si>
  <si>
    <t>단기금융상품의 감소</t>
  </si>
  <si>
    <t>단기대여금의 감소</t>
  </si>
  <si>
    <t>차량운반구의 처분</t>
  </si>
  <si>
    <t>집기비품의 처분</t>
  </si>
  <si>
    <t>운용리스자산의 처분</t>
  </si>
  <si>
    <t>보증금의 감소</t>
  </si>
  <si>
    <t>2.투자활동으로 인한 현금유출액</t>
  </si>
  <si>
    <t>단기금융상품의 증가</t>
  </si>
  <si>
    <t>매도가능증권의 취득</t>
  </si>
  <si>
    <t>장기금융상품의 증가</t>
  </si>
  <si>
    <t>단기대여금의 증가</t>
  </si>
  <si>
    <t>토지의 취득</t>
  </si>
  <si>
    <t>기계장치의 취득</t>
  </si>
  <si>
    <t>차량운반구의 취득</t>
  </si>
  <si>
    <t>집기비품의 취득</t>
  </si>
  <si>
    <t>시설장치의 취득</t>
  </si>
  <si>
    <t>운용리스자산의취득</t>
  </si>
  <si>
    <t>건설중인자산의 취득</t>
  </si>
  <si>
    <t>소프트웨어의 취득</t>
  </si>
  <si>
    <t>회원권의 취득</t>
  </si>
  <si>
    <t>보증금의 증가</t>
  </si>
  <si>
    <t>Ⅲ.재무활동으로 인한 현금흐름</t>
  </si>
  <si>
    <t>1.재무활동으로 인한 현금유입액</t>
  </si>
  <si>
    <t>단기차입금의 증가</t>
  </si>
  <si>
    <t>2.재무활동으로 인한 현금유출액</t>
  </si>
  <si>
    <t>배당금의 지급</t>
  </si>
  <si>
    <t>Ⅳ.현금의 증가(감소)(Ⅰ+Ⅱ+Ⅲ)</t>
  </si>
  <si>
    <t>Ⅴ.기초의 현금(주석17)</t>
  </si>
  <si>
    <t>Ⅵ.기말의 현금(주석17)</t>
  </si>
  <si>
    <t>재무상태표</t>
    <phoneticPr fontId="1" type="noConversion"/>
  </si>
  <si>
    <t>1.토지</t>
    <phoneticPr fontId="1" type="noConversion"/>
  </si>
  <si>
    <t>2.기계장치</t>
    <phoneticPr fontId="1" type="noConversion"/>
  </si>
  <si>
    <t>3.차량운반구(주석18)</t>
    <phoneticPr fontId="1" type="noConversion"/>
  </si>
  <si>
    <t>4.집기비품</t>
    <phoneticPr fontId="1" type="noConversion"/>
  </si>
  <si>
    <t>5.시설장치</t>
    <phoneticPr fontId="1" type="noConversion"/>
  </si>
  <si>
    <t>6.운용리스자산(주석22)</t>
    <phoneticPr fontId="1" type="noConversion"/>
  </si>
  <si>
    <t>7.조형물</t>
    <phoneticPr fontId="1" type="noConversion"/>
  </si>
  <si>
    <t>8.건설중인자산</t>
    <phoneticPr fontId="1" type="noConversion"/>
  </si>
  <si>
    <t>손익계산서</t>
    <phoneticPr fontId="1" type="noConversion"/>
  </si>
  <si>
    <t>현금흐름표</t>
    <phoneticPr fontId="1" type="noConversion"/>
  </si>
  <si>
    <t xml:space="preserve">   단기차입금의 상환</t>
    <phoneticPr fontId="1" type="noConversion"/>
  </si>
  <si>
    <t>2011A</t>
  </si>
  <si>
    <t>2012A</t>
  </si>
  <si>
    <t>2013A</t>
  </si>
  <si>
    <t>2014A</t>
  </si>
  <si>
    <t>K-GAAP</t>
  </si>
  <si>
    <t>Audited</t>
  </si>
  <si>
    <t>매출액</t>
  </si>
  <si>
    <t>매출원가</t>
  </si>
  <si>
    <t>매출총이익</t>
  </si>
  <si>
    <t>법인세비용차감전순이익</t>
  </si>
  <si>
    <t>KRW</t>
    <phoneticPr fontId="1" type="noConversion"/>
  </si>
  <si>
    <t>과                   목</t>
    <phoneticPr fontId="1" type="noConversion"/>
  </si>
  <si>
    <t>2011A</t>
    <phoneticPr fontId="1" type="noConversion"/>
  </si>
  <si>
    <t>2012A</t>
    <phoneticPr fontId="1" type="noConversion"/>
  </si>
  <si>
    <t>2013A</t>
    <phoneticPr fontId="1" type="noConversion"/>
  </si>
  <si>
    <t>2014A</t>
    <phoneticPr fontId="1" type="noConversion"/>
  </si>
  <si>
    <t>손익개관</t>
    <phoneticPr fontId="1" type="noConversion"/>
  </si>
  <si>
    <t>최초적용</t>
    <phoneticPr fontId="1" type="noConversion"/>
  </si>
  <si>
    <t>인터뷰 및 명세개관 등</t>
    <phoneticPr fontId="1" type="noConversion"/>
  </si>
  <si>
    <t>확정사항</t>
    <phoneticPr fontId="1" type="noConversion"/>
  </si>
  <si>
    <t>분류</t>
    <phoneticPr fontId="1" type="noConversion"/>
  </si>
  <si>
    <t>기타</t>
    <phoneticPr fontId="1" type="noConversion"/>
  </si>
  <si>
    <t>상품매출</t>
    <phoneticPr fontId="4" type="noConversion"/>
  </si>
  <si>
    <t>용역매출</t>
    <phoneticPr fontId="4" type="noConversion"/>
  </si>
  <si>
    <t>용역수수료매출</t>
    <phoneticPr fontId="4" type="noConversion"/>
  </si>
  <si>
    <t>상품매출원가</t>
    <phoneticPr fontId="4" type="noConversion"/>
  </si>
  <si>
    <t>용역매출원가</t>
    <phoneticPr fontId="4" type="noConversion"/>
  </si>
  <si>
    <t>용역수수료매출원가</t>
    <phoneticPr fontId="4" type="noConversion"/>
  </si>
  <si>
    <t>급여</t>
    <phoneticPr fontId="1" type="noConversion"/>
  </si>
  <si>
    <t>인건비</t>
    <phoneticPr fontId="1" type="noConversion"/>
  </si>
  <si>
    <t>퇴직급여</t>
    <phoneticPr fontId="1" type="noConversion"/>
  </si>
  <si>
    <t>복리후생비</t>
    <phoneticPr fontId="1" type="noConversion"/>
  </si>
  <si>
    <t>접대비</t>
    <phoneticPr fontId="1" type="noConversion"/>
  </si>
  <si>
    <t>판매비</t>
    <phoneticPr fontId="1" type="noConversion"/>
  </si>
  <si>
    <t>상각비</t>
    <phoneticPr fontId="1" type="noConversion"/>
  </si>
  <si>
    <t>영업외수익</t>
    <phoneticPr fontId="1" type="noConversion"/>
  </si>
  <si>
    <t>영업외비용</t>
    <phoneticPr fontId="1" type="noConversion"/>
  </si>
  <si>
    <t>당기순이익</t>
    <phoneticPr fontId="1" type="noConversion"/>
  </si>
  <si>
    <t>Dep(감가&amp;무형)</t>
    <phoneticPr fontId="1" type="noConversion"/>
  </si>
  <si>
    <t>임차료(주석16)</t>
    <phoneticPr fontId="1" type="noConversion"/>
  </si>
  <si>
    <t>세금과공과</t>
    <phoneticPr fontId="1" type="noConversion"/>
  </si>
  <si>
    <t>광고선전비</t>
    <phoneticPr fontId="1" type="noConversion"/>
  </si>
  <si>
    <t>대손상각비</t>
    <phoneticPr fontId="1" type="noConversion"/>
  </si>
  <si>
    <t>차량유지비</t>
    <phoneticPr fontId="1" type="noConversion"/>
  </si>
  <si>
    <t>교육훈련비</t>
    <phoneticPr fontId="1" type="noConversion"/>
  </si>
  <si>
    <t>여비교통비</t>
    <phoneticPr fontId="1" type="noConversion"/>
  </si>
  <si>
    <t>운반비</t>
    <phoneticPr fontId="1" type="noConversion"/>
  </si>
  <si>
    <t>보험료</t>
    <phoneticPr fontId="1" type="noConversion"/>
  </si>
  <si>
    <t>통신비</t>
    <phoneticPr fontId="1" type="noConversion"/>
  </si>
  <si>
    <t>수도광열비</t>
    <phoneticPr fontId="1" type="noConversion"/>
  </si>
  <si>
    <t>소모품비</t>
    <phoneticPr fontId="1" type="noConversion"/>
  </si>
  <si>
    <t>무형자산상각비</t>
    <phoneticPr fontId="1" type="noConversion"/>
  </si>
  <si>
    <t>지급수수료</t>
    <phoneticPr fontId="1" type="noConversion"/>
  </si>
  <si>
    <t>사무용품비</t>
    <phoneticPr fontId="1" type="noConversion"/>
  </si>
  <si>
    <t>도서인쇄비</t>
    <phoneticPr fontId="1" type="noConversion"/>
  </si>
  <si>
    <t>판촉비</t>
    <phoneticPr fontId="1" type="noConversion"/>
  </si>
  <si>
    <t>회의비</t>
    <phoneticPr fontId="1" type="noConversion"/>
  </si>
  <si>
    <t>이자수익</t>
    <phoneticPr fontId="1" type="noConversion"/>
  </si>
  <si>
    <t>외환차익</t>
    <phoneticPr fontId="1" type="noConversion"/>
  </si>
  <si>
    <t>외화환산이익</t>
    <phoneticPr fontId="1" type="noConversion"/>
  </si>
  <si>
    <t>유형자산처분이익</t>
    <phoneticPr fontId="1" type="noConversion"/>
  </si>
  <si>
    <t>하자보수충당부채환입</t>
    <phoneticPr fontId="1" type="noConversion"/>
  </si>
  <si>
    <t>잡이익</t>
    <phoneticPr fontId="1" type="noConversion"/>
  </si>
  <si>
    <t>채무면제이익</t>
    <phoneticPr fontId="1" type="noConversion"/>
  </si>
  <si>
    <t>퇴직연금운용수익</t>
    <phoneticPr fontId="1" type="noConversion"/>
  </si>
  <si>
    <t>이자비용</t>
    <phoneticPr fontId="1" type="noConversion"/>
  </si>
  <si>
    <t>외환차손</t>
    <phoneticPr fontId="1" type="noConversion"/>
  </si>
  <si>
    <t>외화환산손실</t>
    <phoneticPr fontId="1" type="noConversion"/>
  </si>
  <si>
    <t>유형자산처분손실</t>
    <phoneticPr fontId="1" type="noConversion"/>
  </si>
  <si>
    <t>기부금</t>
    <phoneticPr fontId="1" type="noConversion"/>
  </si>
  <si>
    <t>잡손실</t>
    <phoneticPr fontId="1" type="noConversion"/>
  </si>
  <si>
    <t>단기매매증권처분손실</t>
    <phoneticPr fontId="1" type="noConversion"/>
  </si>
  <si>
    <t>회원권손상차손</t>
    <phoneticPr fontId="1" type="noConversion"/>
  </si>
  <si>
    <t>Audited</t>
    <phoneticPr fontId="1" type="noConversion"/>
  </si>
  <si>
    <t>자산</t>
    <phoneticPr fontId="1" type="noConversion"/>
  </si>
  <si>
    <t>매도가능증권</t>
    <phoneticPr fontId="1" type="noConversion"/>
  </si>
  <si>
    <t>무형자산</t>
    <phoneticPr fontId="1" type="noConversion"/>
  </si>
  <si>
    <t>매입채무</t>
    <phoneticPr fontId="1" type="noConversion"/>
  </si>
  <si>
    <t>WC</t>
    <phoneticPr fontId="1" type="noConversion"/>
  </si>
  <si>
    <t>부채총계</t>
    <phoneticPr fontId="1" type="noConversion"/>
  </si>
  <si>
    <t>자본</t>
    <phoneticPr fontId="1" type="noConversion"/>
  </si>
  <si>
    <t>자본금</t>
    <phoneticPr fontId="1" type="noConversion"/>
  </si>
  <si>
    <t>재무상태표</t>
    <phoneticPr fontId="1" type="noConversion"/>
  </si>
  <si>
    <t>KRW</t>
    <phoneticPr fontId="1" type="noConversion"/>
  </si>
  <si>
    <t>자산개관</t>
    <phoneticPr fontId="1" type="noConversion"/>
  </si>
  <si>
    <t>NOA</t>
    <phoneticPr fontId="1" type="noConversion"/>
  </si>
  <si>
    <t>매출채권</t>
    <phoneticPr fontId="1" type="noConversion"/>
  </si>
  <si>
    <t>대손충당금</t>
    <phoneticPr fontId="1" type="noConversion"/>
  </si>
  <si>
    <t>기타채권</t>
    <phoneticPr fontId="1" type="noConversion"/>
  </si>
  <si>
    <t>미수수익</t>
    <phoneticPr fontId="1" type="noConversion"/>
  </si>
  <si>
    <t>미수금</t>
    <phoneticPr fontId="1" type="noConversion"/>
  </si>
  <si>
    <t>재고자산</t>
    <phoneticPr fontId="1" type="noConversion"/>
  </si>
  <si>
    <t>기타유동비금융자산</t>
    <phoneticPr fontId="1" type="noConversion"/>
  </si>
  <si>
    <t>선급금</t>
    <phoneticPr fontId="1" type="noConversion"/>
  </si>
  <si>
    <t>유동성이연법인세자산</t>
    <phoneticPr fontId="1" type="noConversion"/>
  </si>
  <si>
    <t>비유동자산</t>
    <phoneticPr fontId="1" type="noConversion"/>
  </si>
  <si>
    <t>유형자산</t>
    <phoneticPr fontId="1" type="noConversion"/>
  </si>
  <si>
    <t>자산총계</t>
    <phoneticPr fontId="1" type="noConversion"/>
  </si>
  <si>
    <t>부채</t>
    <phoneticPr fontId="1" type="noConversion"/>
  </si>
  <si>
    <t>유동부채</t>
    <phoneticPr fontId="1" type="noConversion"/>
  </si>
  <si>
    <t>WC</t>
    <phoneticPr fontId="1" type="noConversion"/>
  </si>
  <si>
    <t>기타채무</t>
    <phoneticPr fontId="1" type="noConversion"/>
  </si>
  <si>
    <t>미지급금</t>
    <phoneticPr fontId="1" type="noConversion"/>
  </si>
  <si>
    <t>단기차입금</t>
    <phoneticPr fontId="1" type="noConversion"/>
  </si>
  <si>
    <t>당기법인세부채</t>
    <phoneticPr fontId="1" type="noConversion"/>
  </si>
  <si>
    <t>기타유동부채</t>
    <phoneticPr fontId="1" type="noConversion"/>
  </si>
  <si>
    <t>선수금</t>
    <phoneticPr fontId="1" type="noConversion"/>
  </si>
  <si>
    <t>비유동부채</t>
    <phoneticPr fontId="1" type="noConversion"/>
  </si>
  <si>
    <t>이익잉여금(미처리결손금)</t>
    <phoneticPr fontId="1" type="noConversion"/>
  </si>
  <si>
    <t>이익준비금</t>
    <phoneticPr fontId="1" type="noConversion"/>
  </si>
  <si>
    <t>미처분이익잉여금</t>
    <phoneticPr fontId="1" type="noConversion"/>
  </si>
  <si>
    <t>자본총계</t>
    <phoneticPr fontId="1" type="noConversion"/>
  </si>
  <si>
    <t>비영업용자산</t>
    <phoneticPr fontId="1" type="noConversion"/>
  </si>
  <si>
    <t>이자부부채</t>
    <phoneticPr fontId="1" type="noConversion"/>
  </si>
  <si>
    <t>단기대여금</t>
    <phoneticPr fontId="1" type="noConversion"/>
  </si>
  <si>
    <t>상품</t>
    <phoneticPr fontId="1" type="noConversion"/>
  </si>
  <si>
    <t>재고자산평가충당금</t>
    <phoneticPr fontId="1" type="noConversion"/>
  </si>
  <si>
    <t> 기타비유동자산</t>
    <phoneticPr fontId="1" type="noConversion"/>
  </si>
  <si>
    <t>회원권</t>
    <phoneticPr fontId="1" type="noConversion"/>
  </si>
  <si>
    <t>보증금(주석16)</t>
    <phoneticPr fontId="1" type="noConversion"/>
  </si>
  <si>
    <t>이연법인세자산(주석2,14)</t>
    <phoneticPr fontId="1" type="noConversion"/>
  </si>
  <si>
    <t>투자자산</t>
    <phoneticPr fontId="1" type="noConversion"/>
  </si>
  <si>
    <t>장기금융상품</t>
    <phoneticPr fontId="1" type="noConversion"/>
  </si>
  <si>
    <t>토지</t>
    <phoneticPr fontId="1" type="noConversion"/>
  </si>
  <si>
    <t>기계장치</t>
    <phoneticPr fontId="1" type="noConversion"/>
  </si>
  <si>
    <t>차량운반구(주석18)</t>
    <phoneticPr fontId="1" type="noConversion"/>
  </si>
  <si>
    <t>집기비품</t>
    <phoneticPr fontId="1" type="noConversion"/>
  </si>
  <si>
    <t>시설장치</t>
    <phoneticPr fontId="1" type="noConversion"/>
  </si>
  <si>
    <t>운용리스자산(주석22)</t>
    <phoneticPr fontId="1" type="noConversion"/>
  </si>
  <si>
    <t>조형물</t>
    <phoneticPr fontId="1" type="noConversion"/>
  </si>
  <si>
    <t>건설중인자산</t>
    <phoneticPr fontId="1" type="noConversion"/>
  </si>
  <si>
    <t>산업재산권</t>
    <phoneticPr fontId="1" type="noConversion"/>
  </si>
  <si>
    <t>소프트웨어</t>
    <phoneticPr fontId="1" type="noConversion"/>
  </si>
  <si>
    <t>예수금</t>
    <phoneticPr fontId="1" type="noConversion"/>
  </si>
  <si>
    <t>부가세예수금</t>
    <phoneticPr fontId="1" type="noConversion"/>
  </si>
  <si>
    <t>하자보수충당부채(주석2,13)</t>
    <phoneticPr fontId="1" type="noConversion"/>
  </si>
  <si>
    <t>프로젝트손실충당부채(주석2,13)</t>
    <phoneticPr fontId="1" type="noConversion"/>
  </si>
  <si>
    <t>퇴직급여충당부채</t>
    <phoneticPr fontId="1" type="noConversion"/>
  </si>
  <si>
    <t>퇴직연금운용자산(주석2,8)</t>
    <phoneticPr fontId="1" type="noConversion"/>
  </si>
  <si>
    <t>2010A</t>
    <phoneticPr fontId="1" type="noConversion"/>
  </si>
  <si>
    <t>1.영업권</t>
    <phoneticPr fontId="1" type="noConversion"/>
  </si>
  <si>
    <t>2.산업재산권</t>
    <phoneticPr fontId="1" type="noConversion"/>
  </si>
  <si>
    <t>3.소프트웨어</t>
    <phoneticPr fontId="1" type="noConversion"/>
  </si>
  <si>
    <t>영업권</t>
    <phoneticPr fontId="1" type="noConversion"/>
  </si>
  <si>
    <t>이연법인세부채의 감소(증가)</t>
  </si>
  <si>
    <t>하자보수비의 지급</t>
  </si>
  <si>
    <t xml:space="preserve"> 상품매출</t>
    <phoneticPr fontId="1" type="noConversion"/>
  </si>
  <si>
    <t xml:space="preserve"> 용역매출</t>
    <phoneticPr fontId="1" type="noConversion"/>
  </si>
  <si>
    <t xml:space="preserve"> 용역수수료매출</t>
    <phoneticPr fontId="1" type="noConversion"/>
  </si>
  <si>
    <t>% of growth</t>
  </si>
  <si>
    <t>% of 매출액</t>
    <phoneticPr fontId="1" type="noConversion"/>
  </si>
  <si>
    <t>그룹내</t>
    <phoneticPr fontId="1" type="noConversion"/>
  </si>
  <si>
    <t>대외</t>
    <phoneticPr fontId="1" type="noConversion"/>
  </si>
  <si>
    <t>% of 상품매출</t>
    <phoneticPr fontId="1" type="noConversion"/>
  </si>
  <si>
    <t>용역수수료매출</t>
    <phoneticPr fontId="1" type="noConversion"/>
  </si>
  <si>
    <t>고정비성 경비</t>
    <phoneticPr fontId="1" type="noConversion"/>
  </si>
  <si>
    <t>대손상각비</t>
    <phoneticPr fontId="1" type="noConversion"/>
  </si>
  <si>
    <t>급여</t>
  </si>
  <si>
    <t>복리후생비</t>
  </si>
  <si>
    <t>Macro Variables</t>
  </si>
  <si>
    <t>Consumer prices (%)</t>
  </si>
  <si>
    <t>Major Variables</t>
    <phoneticPr fontId="1" type="noConversion"/>
  </si>
  <si>
    <t>상품매출</t>
    <phoneticPr fontId="1" type="noConversion"/>
  </si>
  <si>
    <t>용역매출</t>
    <phoneticPr fontId="1" type="noConversion"/>
  </si>
  <si>
    <t>용역수수료매출</t>
    <phoneticPr fontId="1" type="noConversion"/>
  </si>
  <si>
    <t>Growth in average wages</t>
    <phoneticPr fontId="1" type="noConversion"/>
  </si>
  <si>
    <t>임차료</t>
    <phoneticPr fontId="1" type="noConversion"/>
  </si>
  <si>
    <t>접대비</t>
    <phoneticPr fontId="1" type="noConversion"/>
  </si>
  <si>
    <t>세금과공과</t>
  </si>
  <si>
    <t>차량유지비</t>
  </si>
  <si>
    <t>교육훈련비</t>
  </si>
  <si>
    <t>여비교통비</t>
  </si>
  <si>
    <t>운반비</t>
  </si>
  <si>
    <t>보험료</t>
  </si>
  <si>
    <t>통신비</t>
  </si>
  <si>
    <t>수도광열비</t>
  </si>
  <si>
    <t>소모품비</t>
  </si>
  <si>
    <t>지급수수료</t>
  </si>
  <si>
    <t>사무용품비</t>
  </si>
  <si>
    <t>도서인쇄비</t>
  </si>
  <si>
    <t>판촉비</t>
  </si>
  <si>
    <t>회의비</t>
  </si>
  <si>
    <t>SOUTH KOREA</t>
  </si>
  <si>
    <t>판매관리비 배부율</t>
    <phoneticPr fontId="1" type="noConversion"/>
  </si>
  <si>
    <t>총 무형자산상각비</t>
    <phoneticPr fontId="1" type="noConversion"/>
  </si>
  <si>
    <t>NOA</t>
    <phoneticPr fontId="1" type="noConversion"/>
  </si>
  <si>
    <t>IBD</t>
    <phoneticPr fontId="1" type="noConversion"/>
  </si>
  <si>
    <t>바로가기</t>
    <phoneticPr fontId="47" type="noConversion"/>
  </si>
  <si>
    <t>(Source: http://www.kofiabond.or.kr/SGPG/index.asp?id=m05_0101)</t>
    <phoneticPr fontId="47" type="noConversion"/>
  </si>
  <si>
    <t>종류</t>
  </si>
  <si>
    <t>종류명</t>
  </si>
  <si>
    <t>신용등급</t>
  </si>
  <si>
    <t>3월</t>
  </si>
  <si>
    <t>6월</t>
  </si>
  <si>
    <t>9월</t>
  </si>
  <si>
    <t>1년</t>
  </si>
  <si>
    <t>2년</t>
  </si>
  <si>
    <t>3년</t>
  </si>
  <si>
    <t>5년</t>
  </si>
  <si>
    <t>*</t>
  </si>
  <si>
    <t>20년</t>
  </si>
  <si>
    <t>10년</t>
  </si>
  <si>
    <t>회사채 I
(공모사채)</t>
    <phoneticPr fontId="47" type="noConversion"/>
  </si>
  <si>
    <t>무보증</t>
  </si>
  <si>
    <t>차량운반구</t>
  </si>
  <si>
    <t>집기비품</t>
  </si>
  <si>
    <t>산업재산권</t>
  </si>
  <si>
    <t>SAMSUNG SDS CO LTD</t>
  </si>
  <si>
    <t>POSCO ICT CO LTD</t>
  </si>
  <si>
    <t>DONGBU CO LTD</t>
  </si>
  <si>
    <t>SHINSEGAE INFORMATION &amp; COMM</t>
  </si>
  <si>
    <t>HYUNDAI INFORMATION TECH</t>
  </si>
  <si>
    <t>HANIL NETWORKS CO LTD</t>
  </si>
  <si>
    <t>1. 국내 IT 서비스업체 중 매출액 기준 상위 32개 사 중 System Integration (SI)를 주요 사업으로 하는 회사 선정 (20개사)</t>
    <phoneticPr fontId="1" type="noConversion"/>
  </si>
  <si>
    <t>2. 상기 회사 중 다음 3가지 조건을 충족: a) 대기업 계열사 등 특수관계인 지분이 30% 이상, b) 특수관계인 매출이 20% 이상, c) SI 부문 (혹은 IT 부문)의 매출 기여도가 20% 이상</t>
    <phoneticPr fontId="1" type="noConversion"/>
  </si>
  <si>
    <t>3. 최종 유사회사로 선정된 회사(6개사)</t>
    <phoneticPr fontId="1" type="noConversion"/>
  </si>
  <si>
    <t>2015 3Q</t>
  </si>
  <si>
    <t>2015 3Q</t>
    <phoneticPr fontId="1" type="noConversion"/>
  </si>
  <si>
    <t>1month avg.</t>
  </si>
  <si>
    <t>3 month avg.</t>
  </si>
  <si>
    <t>6 month avg.</t>
  </si>
  <si>
    <t>12 month avg.</t>
  </si>
  <si>
    <t>24 month avg.</t>
  </si>
  <si>
    <t>A-</t>
    <phoneticPr fontId="1" type="noConversion"/>
  </si>
  <si>
    <t>한기평 신용등급</t>
    <phoneticPr fontId="1" type="noConversion"/>
  </si>
  <si>
    <t>CAPEX 관련 주석사항</t>
    <phoneticPr fontId="1" type="noConversion"/>
  </si>
  <si>
    <t>1) 유형자산</t>
    <phoneticPr fontId="1" type="noConversion"/>
  </si>
  <si>
    <t>구        분</t>
  </si>
  <si>
    <t>내  용  연  수</t>
  </si>
  <si>
    <t>감가상각방법</t>
  </si>
  <si>
    <t>정액법</t>
  </si>
  <si>
    <t>차  량  운 반 구</t>
  </si>
  <si>
    <t>5년              </t>
  </si>
  <si>
    <t>시   설  장   치</t>
  </si>
  <si>
    <t>기   계   장   치</t>
  </si>
  <si>
    <t>2) 무형자산</t>
    <phoneticPr fontId="1" type="noConversion"/>
  </si>
  <si>
    <t>구       분</t>
  </si>
  <si>
    <t>내용연수</t>
  </si>
  <si>
    <t>상각방법</t>
  </si>
  <si>
    <t>영업권</t>
  </si>
  <si>
    <t>비한정</t>
  </si>
  <si>
    <t>-</t>
  </si>
  <si>
    <t>소프트웨어</t>
  </si>
  <si>
    <t>회원권</t>
  </si>
  <si>
    <t>1) 유형자산</t>
    <phoneticPr fontId="1" type="noConversion"/>
  </si>
  <si>
    <t>기초</t>
  </si>
  <si>
    <t>대체</t>
  </si>
  <si>
    <t>처분</t>
  </si>
  <si>
    <t>기말</t>
  </si>
  <si>
    <t>취득</t>
  </si>
  <si>
    <t>토지</t>
  </si>
  <si>
    <t>시설장치</t>
  </si>
  <si>
    <t>건설중인 자산</t>
  </si>
  <si>
    <t>건설중인자산</t>
  </si>
  <si>
    <t>2) 무형자산</t>
    <phoneticPr fontId="1" type="noConversion"/>
  </si>
  <si>
    <t>1. 상각정책 (From FY 2014 감사보고서)</t>
    <phoneticPr fontId="1" type="noConversion"/>
  </si>
  <si>
    <t>5년              </t>
    <phoneticPr fontId="1" type="noConversion"/>
  </si>
  <si>
    <t>집 기 비 품</t>
    <phoneticPr fontId="1" type="noConversion"/>
  </si>
  <si>
    <t>5~10 년</t>
    <phoneticPr fontId="1" type="noConversion"/>
  </si>
  <si>
    <t>2~4년</t>
    <phoneticPr fontId="1" type="noConversion"/>
  </si>
  <si>
    <t>2. 변동내역(From FY 2014 PBC , FY 2013, 2012, 2011 및 2010 감사보고서)</t>
    <phoneticPr fontId="1" type="noConversion"/>
  </si>
  <si>
    <t>FY 2014</t>
    <phoneticPr fontId="1" type="noConversion"/>
  </si>
  <si>
    <t>대체</t>
    <phoneticPr fontId="1" type="noConversion"/>
  </si>
  <si>
    <t>구    분</t>
  </si>
  <si>
    <t>기계장치</t>
  </si>
  <si>
    <t>운용리스자산</t>
  </si>
  <si>
    <t>조  형  물</t>
  </si>
  <si>
    <t>합    계</t>
  </si>
  <si>
    <t>FY 2013</t>
    <phoneticPr fontId="1" type="noConversion"/>
  </si>
  <si>
    <t>(단위: 천원)</t>
    <phoneticPr fontId="1" type="noConversion"/>
  </si>
  <si>
    <t>FY 2012</t>
    <phoneticPr fontId="1" type="noConversion"/>
  </si>
  <si>
    <t>현재 당사는 비품을 운용리스로 제공하고 있으며, 리스기간은 3년 입니다. 리스이용자는 리스기간 만료시 리스자산을 구매할 수 있는 매수선택권을 가지고 있지 않습니다</t>
    <phoneticPr fontId="1" type="noConversion"/>
  </si>
  <si>
    <t> 27,360</t>
    <phoneticPr fontId="1" type="noConversion"/>
  </si>
  <si>
    <t>FY 2011</t>
    <phoneticPr fontId="1" type="noConversion"/>
  </si>
  <si>
    <t>FY 2010</t>
    <phoneticPr fontId="1" type="noConversion"/>
  </si>
  <si>
    <t>장부금액</t>
  </si>
  <si>
    <t>증가</t>
  </si>
  <si>
    <t>상각</t>
    <phoneticPr fontId="1" type="noConversion"/>
  </si>
  <si>
    <t>유형자산</t>
    <phoneticPr fontId="1" type="noConversion"/>
  </si>
  <si>
    <t>토지</t>
    <phoneticPr fontId="1" type="noConversion"/>
  </si>
  <si>
    <t>차량운반구</t>
    <phoneticPr fontId="1" type="noConversion"/>
  </si>
  <si>
    <t>시설장치</t>
    <phoneticPr fontId="1" type="noConversion"/>
  </si>
  <si>
    <t>소프트웨어</t>
    <phoneticPr fontId="1" type="noConversion"/>
  </si>
  <si>
    <t>기계장치</t>
    <phoneticPr fontId="1" type="noConversion"/>
  </si>
  <si>
    <t>조형물</t>
  </si>
  <si>
    <t>조형물</t>
    <phoneticPr fontId="1" type="noConversion"/>
  </si>
  <si>
    <t>발생 없음</t>
    <phoneticPr fontId="1" type="noConversion"/>
  </si>
  <si>
    <t>과거 5개년 평균 매출액대비 비율</t>
    <phoneticPr fontId="1" type="noConversion"/>
  </si>
  <si>
    <t>감가상각비</t>
    <phoneticPr fontId="1" type="noConversion"/>
  </si>
  <si>
    <t>감가상각비(기존 유형자산)</t>
    <phoneticPr fontId="1" type="noConversion"/>
  </si>
  <si>
    <t>감가상각비(신규 유형자산)</t>
    <phoneticPr fontId="1" type="noConversion"/>
  </si>
  <si>
    <t>무형자산상각비</t>
    <phoneticPr fontId="1" type="noConversion"/>
  </si>
  <si>
    <t>무형자산상각비(기존 무형자산)</t>
    <phoneticPr fontId="1" type="noConversion"/>
  </si>
  <si>
    <t>무형자산상각비(신규 무형자산)</t>
    <phoneticPr fontId="1" type="noConversion"/>
  </si>
  <si>
    <t>영업권</t>
    <phoneticPr fontId="1" type="noConversion"/>
  </si>
  <si>
    <t>% of 용역수수료매출</t>
    <phoneticPr fontId="1" type="noConversion"/>
  </si>
  <si>
    <t>가정</t>
  </si>
  <si>
    <t>확정</t>
  </si>
  <si>
    <t>비고</t>
  </si>
  <si>
    <t>최초적용</t>
  </si>
  <si>
    <t>추세 및 인터뷰 등</t>
  </si>
  <si>
    <t>적용사항</t>
  </si>
  <si>
    <t>유형자산-자본적지출</t>
  </si>
  <si>
    <t>유형자산-Dep</t>
  </si>
  <si>
    <t>무형자산</t>
  </si>
  <si>
    <t>무형자산-Dep</t>
  </si>
  <si>
    <t>유형감가상각비</t>
    <phoneticPr fontId="1" type="noConversion"/>
  </si>
  <si>
    <t>총 유형감가상각비</t>
    <phoneticPr fontId="1" type="noConversion"/>
  </si>
  <si>
    <t>총 무형감가상각비</t>
    <phoneticPr fontId="1" type="noConversion"/>
  </si>
  <si>
    <t>과거 5개년평균
판관비 배부 상각비비율</t>
  </si>
  <si>
    <t>2015년 9월 30일 기준 이자발생부채 적용</t>
    <phoneticPr fontId="1" type="noConversion"/>
  </si>
  <si>
    <t>재무활동으로인한현금흐름</t>
    <phoneticPr fontId="1" type="noConversion"/>
  </si>
  <si>
    <t>영업활동으로인한현금흐름</t>
    <phoneticPr fontId="1" type="noConversion"/>
  </si>
  <si>
    <t>영업에서창출된현금</t>
    <phoneticPr fontId="1" type="noConversion"/>
  </si>
  <si>
    <t>당기순이익(손실)</t>
  </si>
  <si>
    <t>현금유출없는비용등가산</t>
  </si>
  <si>
    <t>현금유입없는수익등차감</t>
  </si>
  <si>
    <t>영업활동관련자산부채변동</t>
  </si>
  <si>
    <t>투자활동으로인한현금흐름</t>
    <phoneticPr fontId="1" type="noConversion"/>
  </si>
  <si>
    <t>투자활동으로인한현금유입</t>
  </si>
  <si>
    <t>투자활동으로인한현금유출</t>
  </si>
  <si>
    <t>재무활동으로인한현금유입</t>
  </si>
  <si>
    <t>단기차입금의증가</t>
  </si>
  <si>
    <t>재무활동으로인한현금유출</t>
  </si>
  <si>
    <t>단기차입금의상환</t>
  </si>
  <si>
    <t>배당금의지급</t>
  </si>
  <si>
    <t>현금의증가(감소)</t>
    <phoneticPr fontId="1" type="noConversion"/>
  </si>
  <si>
    <t>기초의현금</t>
    <phoneticPr fontId="1" type="noConversion"/>
  </si>
  <si>
    <t>기말의현금</t>
    <phoneticPr fontId="1" type="noConversion"/>
  </si>
  <si>
    <t>(단위: 백만원)</t>
    <phoneticPr fontId="1" type="noConversion"/>
  </si>
  <si>
    <t>BV</t>
    <phoneticPr fontId="1" type="noConversion"/>
  </si>
  <si>
    <t>SALES</t>
    <phoneticPr fontId="1" type="noConversion"/>
  </si>
  <si>
    <t>EBIT</t>
    <phoneticPr fontId="1" type="noConversion"/>
  </si>
  <si>
    <t>DEP</t>
    <phoneticPr fontId="1" type="noConversion"/>
  </si>
  <si>
    <t>NI</t>
    <phoneticPr fontId="1" type="noConversion"/>
  </si>
  <si>
    <t>■ 삼성SDS</t>
    <phoneticPr fontId="1" type="noConversion"/>
  </si>
  <si>
    <t>제 31 기 3분기말</t>
  </si>
  <si>
    <t>제 30 기말</t>
  </si>
  <si>
    <t>제 29 기말</t>
  </si>
  <si>
    <t>　유동자산</t>
  </si>
  <si>
    <t>　　현금및현금성자산</t>
  </si>
  <si>
    <t>　　단기금융상품</t>
  </si>
  <si>
    <t>　　매출채권</t>
  </si>
  <si>
    <t>　　미수금</t>
  </si>
  <si>
    <t>　　선급금</t>
  </si>
  <si>
    <t>　　선급비용</t>
  </si>
  <si>
    <t>　　재고자산</t>
  </si>
  <si>
    <t>　　유동성매도가능금융자산</t>
  </si>
  <si>
    <t>　　기타유동자산</t>
  </si>
  <si>
    <t>　비유동자산</t>
  </si>
  <si>
    <t>　　장기매도가능금융자산</t>
  </si>
  <si>
    <t>　　만기보유금융자산</t>
  </si>
  <si>
    <t>　　관계기업투자주식</t>
  </si>
  <si>
    <t>　　유형자산</t>
  </si>
  <si>
    <t>　　무형자산</t>
  </si>
  <si>
    <t>　　보증금</t>
  </si>
  <si>
    <t>　　장기선급비용</t>
  </si>
  <si>
    <t>　　이연법인세자산</t>
  </si>
  <si>
    <t>　　기타비유동자산</t>
  </si>
  <si>
    <t>　자산총계</t>
  </si>
  <si>
    <t>　유동부채</t>
  </si>
  <si>
    <t>　　매입채무</t>
  </si>
  <si>
    <t>　　미지급금</t>
  </si>
  <si>
    <t>　　단기차입금</t>
  </si>
  <si>
    <t>　　선수금</t>
  </si>
  <si>
    <t>　　예수금</t>
  </si>
  <si>
    <t>　　미지급비용</t>
  </si>
  <si>
    <t>　　미지급법인세</t>
  </si>
  <si>
    <t>　　유동성장기차입금</t>
  </si>
  <si>
    <t>　　유동성충당부채</t>
  </si>
  <si>
    <t>　　기타유동부채</t>
  </si>
  <si>
    <t>　비유동부채</t>
  </si>
  <si>
    <t>　　퇴직급여부채</t>
  </si>
  <si>
    <t>　　이연법인세부채</t>
  </si>
  <si>
    <t>　　장기차입금</t>
  </si>
  <si>
    <t>　　사채</t>
  </si>
  <si>
    <t>　　장기미지급비용</t>
  </si>
  <si>
    <t>　　충당부채</t>
  </si>
  <si>
    <t>　부채총계</t>
  </si>
  <si>
    <t>　지배기업 소유지분</t>
  </si>
  <si>
    <t>　납입자본</t>
  </si>
  <si>
    <t>　　보통주납입자본</t>
  </si>
  <si>
    <t>　주식발행초과금</t>
  </si>
  <si>
    <t>　이익잉여금</t>
  </si>
  <si>
    <t>　기타자본항목</t>
  </si>
  <si>
    <t>　비지배지분</t>
  </si>
  <si>
    <t>　자본총계</t>
  </si>
  <si>
    <t>자본과부채총계</t>
  </si>
  <si>
    <t>■ 포스코ICT</t>
    <phoneticPr fontId="1" type="noConversion"/>
  </si>
  <si>
    <t>제 27 기 3분기말</t>
  </si>
  <si>
    <t>제 26 기말</t>
  </si>
  <si>
    <t>제 25 기말</t>
  </si>
  <si>
    <t>　　기타유동금융자산</t>
  </si>
  <si>
    <t>　　당기법인세자산</t>
  </si>
  <si>
    <t>　매각예정비유동자산</t>
  </si>
  <si>
    <t>　　기타금융자산</t>
  </si>
  <si>
    <t>　　장기매출채권</t>
  </si>
  <si>
    <t>　　관계기업투자</t>
  </si>
  <si>
    <t>　　투자부동산</t>
  </si>
  <si>
    <t>　　유동성사채</t>
  </si>
  <si>
    <t>　　기타유동금융부채</t>
  </si>
  <si>
    <t>　　당기법인세부채</t>
  </si>
  <si>
    <t>　　유동충당부채</t>
  </si>
  <si>
    <t>　매각예정비유동자산에 직접관련된부채</t>
  </si>
  <si>
    <t>　　장기매입채무</t>
  </si>
  <si>
    <t>　　기타비유동금융부채</t>
  </si>
  <si>
    <t>　　확정급여채무</t>
  </si>
  <si>
    <t>　　비유동충당부채</t>
  </si>
  <si>
    <t>　자본금</t>
  </si>
  <si>
    <t>　자본잉여금</t>
  </si>
  <si>
    <t>　기타포괄손익누계액</t>
  </si>
  <si>
    <t>　이익잉여금(결손금)</t>
  </si>
  <si>
    <t>　매각예정비유동자산에 직접관련된 자본</t>
  </si>
  <si>
    <t>　지배기업의 소유주에게 귀속되는 자본</t>
  </si>
  <si>
    <t>구 분</t>
  </si>
  <si>
    <t>당분기말</t>
  </si>
  <si>
    <t>전기말</t>
  </si>
  <si>
    <t>단기금융상품</t>
  </si>
  <si>
    <t>단기대여금</t>
  </si>
  <si>
    <t>미수금</t>
  </si>
  <si>
    <t>미수수익</t>
  </si>
  <si>
    <t>보증금</t>
  </si>
  <si>
    <t>유동성매도가능증권</t>
  </si>
  <si>
    <t>합   계</t>
  </si>
  <si>
    <t>제 31 기 3분기</t>
  </si>
  <si>
    <t>제 30 기 3분기</t>
  </si>
  <si>
    <t>제 30 기</t>
  </si>
  <si>
    <t>제 29 기</t>
  </si>
  <si>
    <t>3개월</t>
  </si>
  <si>
    <t>누적</t>
  </si>
  <si>
    <t>영업이익</t>
  </si>
  <si>
    <t>기타수익</t>
  </si>
  <si>
    <t>기타비용</t>
  </si>
  <si>
    <t>금융수익</t>
  </si>
  <si>
    <t>　이자수익</t>
  </si>
  <si>
    <t>　외환차익</t>
  </si>
  <si>
    <t>　외화환산이익</t>
  </si>
  <si>
    <t>금융비용</t>
  </si>
  <si>
    <t>　이자비용</t>
  </si>
  <si>
    <t>　외환차손</t>
  </si>
  <si>
    <t>　외화환산손실</t>
  </si>
  <si>
    <t>지분법관련손익</t>
  </si>
  <si>
    <t>법인세비용</t>
  </si>
  <si>
    <t>계속영업이익</t>
  </si>
  <si>
    <t>당기순이익</t>
  </si>
  <si>
    <t>주당이익</t>
  </si>
  <si>
    <t>■ 동부</t>
    <phoneticPr fontId="1" type="noConversion"/>
  </si>
  <si>
    <t>제 39 기 3분기말</t>
  </si>
  <si>
    <t>제 38 기말</t>
  </si>
  <si>
    <t>제 37 기말</t>
  </si>
  <si>
    <t>　　현금 및 현금성자산</t>
  </si>
  <si>
    <t>　　매출채권 및 기타채권</t>
  </si>
  <si>
    <t>　　매도가능금융자산</t>
  </si>
  <si>
    <t>　　미청구공사</t>
  </si>
  <si>
    <t>　　매각예정자산</t>
  </si>
  <si>
    <t>　　종속기업및관계기업투자자산</t>
  </si>
  <si>
    <t>　　매입채무 및 기타채무</t>
  </si>
  <si>
    <t>　　단기사채</t>
  </si>
  <si>
    <t>　　유동성장기부채</t>
  </si>
  <si>
    <t>　　기타금융부채</t>
  </si>
  <si>
    <t>　　초과청구공사</t>
  </si>
  <si>
    <t>　　매각예정자산과 직접 관련된 부채</t>
  </si>
  <si>
    <t>　　순확정급여부채</t>
  </si>
  <si>
    <t>　　기타비유동부채</t>
  </si>
  <si>
    <t>　기타불입자본</t>
  </si>
  <si>
    <t>　기타자본구성요소</t>
  </si>
  <si>
    <t>　매각예정자산과 관련하여 자본으로 직접 인식된 금액</t>
  </si>
  <si>
    <t>■ 신세계I&amp;C</t>
    <phoneticPr fontId="1" type="noConversion"/>
  </si>
  <si>
    <t>제 19 기 3분기말</t>
  </si>
  <si>
    <t>제 18 기말</t>
  </si>
  <si>
    <t>제 17 기말</t>
  </si>
  <si>
    <t>　　유동금융자산</t>
  </si>
  <si>
    <t>　　　단기금융상품</t>
  </si>
  <si>
    <t>　　　유동매도가능금융자산</t>
  </si>
  <si>
    <t>　　매출채권및기타채권</t>
  </si>
  <si>
    <t>　　미수수익</t>
  </si>
  <si>
    <t>　　비유동금융자산</t>
  </si>
  <si>
    <t>　　　장기금융상품</t>
  </si>
  <si>
    <t>　　　비유동매도가능금융자산</t>
  </si>
  <si>
    <t>　　관계기업에 대한 투자자산</t>
  </si>
  <si>
    <t>　　기타비유동채권</t>
  </si>
  <si>
    <t>　　　장기보증금</t>
  </si>
  <si>
    <t>　　　장기선급비용</t>
  </si>
  <si>
    <t>　　매입채무및기타채무</t>
  </si>
  <si>
    <t>　　장기예수보증금</t>
  </si>
  <si>
    <t>　　자본금</t>
  </si>
  <si>
    <t>　　자본잉여금</t>
  </si>
  <si>
    <t>　　기타자본조정</t>
  </si>
  <si>
    <t>　　기타포괄손익누계액</t>
  </si>
  <si>
    <t>■ 현대정보기술</t>
    <phoneticPr fontId="1" type="noConversion"/>
  </si>
  <si>
    <t>　　매도가능금융자산(유동)</t>
  </si>
  <si>
    <t>　　파생상품자산</t>
  </si>
  <si>
    <t>　　기타비유동금융자산</t>
  </si>
  <si>
    <t>　　장기매출채권및기타채권</t>
  </si>
  <si>
    <t>　　영업권 이외의 무형자산</t>
  </si>
  <si>
    <t>　　　기타무형자산</t>
  </si>
  <si>
    <t>　　매입채무 및 기타유동채무</t>
  </si>
  <si>
    <t>　　단기사채및단기차입금</t>
  </si>
  <si>
    <t>　　유동사채및장기차입금</t>
  </si>
  <si>
    <t>　　유동금융리스부채</t>
  </si>
  <si>
    <t>　　파생상품부채</t>
  </si>
  <si>
    <t>　　기타유동비금융부채</t>
  </si>
  <si>
    <t>　　장기매입채무 및 기타비유동채무</t>
  </si>
  <si>
    <t>　　사채및장기차입금</t>
  </si>
  <si>
    <t>　　금융리스부채</t>
  </si>
  <si>
    <t>제 18 기 3분기말</t>
  </si>
  <si>
    <t>제 16 기말</t>
  </si>
  <si>
    <t>　　기타채권</t>
  </si>
  <si>
    <t>　　장기금융상품</t>
  </si>
  <si>
    <t>　　기타채무</t>
  </si>
  <si>
    <t>　지배기업소유주지분</t>
  </si>
  <si>
    <t>　　기타불입자본</t>
  </si>
  <si>
    <t>　　기타자본구성요소</t>
  </si>
  <si>
    <t>　　이익잉여금</t>
  </si>
  <si>
    <t>　비지배지업소유주지분</t>
  </si>
  <si>
    <t>■ 한일네트웍스</t>
    <phoneticPr fontId="1" type="noConversion"/>
  </si>
  <si>
    <t>SALES</t>
  </si>
  <si>
    <t>NI</t>
  </si>
  <si>
    <t>구분</t>
  </si>
  <si>
    <t>당분기</t>
  </si>
  <si>
    <t>전분기</t>
  </si>
  <si>
    <t>분기순이익</t>
  </si>
  <si>
    <t>조정</t>
  </si>
  <si>
    <t> 외화환산손실</t>
  </si>
  <si>
    <t> 감가상각비</t>
  </si>
  <si>
    <t> 무형자산상각비</t>
  </si>
  <si>
    <t> 퇴직급여</t>
  </si>
  <si>
    <t> 외화환산이익</t>
  </si>
  <si>
    <t> 프로젝트손실충당부채환입</t>
  </si>
  <si>
    <t> 법인세비용</t>
  </si>
  <si>
    <t> 기타 조정사항</t>
  </si>
  <si>
    <t>조정사항 소계</t>
  </si>
  <si>
    <t>순운전자본의 변동</t>
  </si>
  <si>
    <t> 매출채권의 증감</t>
  </si>
  <si>
    <t> 미수금의 증감</t>
  </si>
  <si>
    <t> 선급비용의 증감</t>
  </si>
  <si>
    <t> 매입채무의 증감</t>
  </si>
  <si>
    <t> 미지급금의 증감</t>
  </si>
  <si>
    <t> 기타 증감</t>
  </si>
  <si>
    <t>순운전자본변동 소계</t>
  </si>
  <si>
    <t>영업에서 창출된 현금흐름</t>
  </si>
  <si>
    <t>LTM</t>
    <phoneticPr fontId="1" type="noConversion"/>
  </si>
  <si>
    <t>당기</t>
  </si>
  <si>
    <t>전기</t>
  </si>
  <si>
    <t>매도가능금융자산손상차손</t>
  </si>
  <si>
    <t>프로젝트손실충당부채전(환)입</t>
  </si>
  <si>
    <t>기타 조정사항</t>
  </si>
  <si>
    <t>순운전자본 변동</t>
  </si>
  <si>
    <t>매출채권의 증감</t>
  </si>
  <si>
    <t>미수금의 증감</t>
  </si>
  <si>
    <t>선급비용의 증감</t>
  </si>
  <si>
    <t>선급금의 증감</t>
  </si>
  <si>
    <t>매입채무의 증감</t>
  </si>
  <si>
    <t>미지급금의 증감</t>
  </si>
  <si>
    <t>미지급비용의 증감</t>
  </si>
  <si>
    <t>확정급여부채의 변동</t>
  </si>
  <si>
    <t>선수금의 증감</t>
  </si>
  <si>
    <t>예수금의 증감</t>
  </si>
  <si>
    <t>기타증감</t>
  </si>
  <si>
    <t>제 27 기 3분기</t>
  </si>
  <si>
    <t>제 26 기 3분기</t>
  </si>
  <si>
    <t>제 26 기</t>
  </si>
  <si>
    <t>제 25 기</t>
  </si>
  <si>
    <t>일반관리비</t>
  </si>
  <si>
    <t>판매 및 물류비</t>
  </si>
  <si>
    <t>영업이익(손실)</t>
  </si>
  <si>
    <t>기타이익</t>
  </si>
  <si>
    <t>기타손실</t>
  </si>
  <si>
    <t>금융원가</t>
  </si>
  <si>
    <t>관계기업손익</t>
  </si>
  <si>
    <t>법인세비용차감전순이익(손실)</t>
  </si>
  <si>
    <t>계속영업이익(손실)</t>
  </si>
  <si>
    <t>중단영업이익(손실)</t>
  </si>
  <si>
    <t>당기순이익(손실)의 귀속</t>
  </si>
  <si>
    <t>　지배기업의 소유주에게 귀속되는 당기순이익(손실)</t>
  </si>
  <si>
    <t>　　계속영업이익</t>
  </si>
  <si>
    <t>　　중단영업손익</t>
  </si>
  <si>
    <t>　비지배지분에 귀속되는 당기순이익(손실)</t>
  </si>
  <si>
    <t>기타포괄손익</t>
  </si>
  <si>
    <t>　당기손익으로 재분류되지 않는 세후기타포괄손익</t>
  </si>
  <si>
    <t>　　확정급여제도의 보험수리적손익의 세후기타포괄손익</t>
  </si>
  <si>
    <t>　당기손익으로 재분류되는 세후기타포괄손익</t>
  </si>
  <si>
    <t>　　외화환산외환차이</t>
  </si>
  <si>
    <t>　　지분법자본변동</t>
  </si>
  <si>
    <t>　당기손익으로 재분류되는 지분법 적용대상 관계기업과 공동기업의 세후기타포괄손익에 대한 지분</t>
  </si>
  <si>
    <t>총포괄손익</t>
  </si>
  <si>
    <t>포괄손익의 귀속</t>
  </si>
  <si>
    <t>　포괄손익, 지배기업의 소유주에게 귀속되는 지분</t>
  </si>
  <si>
    <t>　포괄손익, 비지배지분</t>
  </si>
  <si>
    <t>　지배기업 지분에 대한 주당이익(손실)</t>
  </si>
  <si>
    <t>　　계속영업기본주당이익(손실)</t>
  </si>
  <si>
    <t>　　중단영업기본주당이익(손실)</t>
  </si>
  <si>
    <t>구   분</t>
  </si>
  <si>
    <t>기타의대손상각비</t>
  </si>
  <si>
    <t>배당금수익</t>
  </si>
  <si>
    <t>유형자산감가상각비</t>
  </si>
  <si>
    <t>투자부동산감가상각비</t>
  </si>
  <si>
    <t>무형자산감가상각비</t>
  </si>
  <si>
    <t>유형자산손상차손</t>
  </si>
  <si>
    <t>무형자산처분손실</t>
  </si>
  <si>
    <t>무형자산처분이익</t>
  </si>
  <si>
    <t>무형자산손상차손</t>
  </si>
  <si>
    <t>무형자산손상차손환입</t>
  </si>
  <si>
    <t>하자보수충당부채환입액</t>
  </si>
  <si>
    <t>공사손실충당부채전입액</t>
  </si>
  <si>
    <t>공사손실충당부채환입액</t>
  </si>
  <si>
    <t>상여성충당부채전입액</t>
  </si>
  <si>
    <t>상여성충당부채환입액</t>
  </si>
  <si>
    <t>금융보증손실</t>
  </si>
  <si>
    <t>금융보증이익</t>
  </si>
  <si>
    <t>관계기업처분손실</t>
  </si>
  <si>
    <t>관계기업평가손실</t>
  </si>
  <si>
    <t>매각예정비유동자산손상차손</t>
  </si>
  <si>
    <t>이자수익</t>
  </si>
  <si>
    <t>이자비용</t>
  </si>
  <si>
    <t>지급임차료</t>
  </si>
  <si>
    <t>잡손실</t>
  </si>
  <si>
    <t>합     계</t>
  </si>
  <si>
    <t>구  분</t>
  </si>
  <si>
    <t>재고자산평가손실 및 감모손실</t>
  </si>
  <si>
    <t>매도가능증권처분이익</t>
  </si>
  <si>
    <t>매도가능증권손상차손</t>
  </si>
  <si>
    <t>지분법손실</t>
  </si>
  <si>
    <t>관계기업투자주식처분손실</t>
  </si>
  <si>
    <t>기타충당부채전입액</t>
  </si>
  <si>
    <t>잡이익</t>
  </si>
  <si>
    <t>합  계</t>
  </si>
  <si>
    <t>Ticker</t>
    <phoneticPr fontId="1" type="noConversion"/>
  </si>
  <si>
    <t>Name</t>
    <phoneticPr fontId="1" type="noConversion"/>
  </si>
  <si>
    <t>삼성에스디에스(주)</t>
  </si>
  <si>
    <t>(주)엘지씨엔에스</t>
  </si>
  <si>
    <t>SK C&amp;C</t>
  </si>
  <si>
    <t>현대오토에버(주)</t>
  </si>
  <si>
    <t>한화에스앤씨(주)</t>
  </si>
  <si>
    <t>롯데정보통신(주)</t>
  </si>
  <si>
    <t>(주)케이티디에스</t>
  </si>
  <si>
    <t>대림아이앤에스(주)</t>
  </si>
  <si>
    <t>디케이유엔씨(주)</t>
  </si>
  <si>
    <t>대우정보시스템(주)</t>
  </si>
  <si>
    <t>합계</t>
    <phoneticPr fontId="1" type="noConversion"/>
  </si>
  <si>
    <t>% of Growth</t>
    <phoneticPr fontId="1" type="noConversion"/>
  </si>
  <si>
    <t>n.a.</t>
    <phoneticPr fontId="1" type="noConversion"/>
  </si>
  <si>
    <t>% of Growth</t>
    <phoneticPr fontId="1" type="noConversion"/>
  </si>
  <si>
    <t>n.a.</t>
    <phoneticPr fontId="1" type="noConversion"/>
  </si>
  <si>
    <t>3 year CAGR</t>
    <phoneticPr fontId="1" type="noConversion"/>
  </si>
  <si>
    <t>5 year CAGR</t>
    <phoneticPr fontId="1" type="noConversion"/>
  </si>
  <si>
    <t>합계</t>
    <phoneticPr fontId="1" type="noConversion"/>
  </si>
  <si>
    <t>% of Growth</t>
    <phoneticPr fontId="1" type="noConversion"/>
  </si>
  <si>
    <t>n.a.</t>
    <phoneticPr fontId="1" type="noConversion"/>
  </si>
  <si>
    <t>% of Total</t>
    <phoneticPr fontId="1" type="noConversion"/>
  </si>
  <si>
    <t>매출총이익</t>
    <phoneticPr fontId="1" type="noConversion"/>
  </si>
  <si>
    <t>Ticker</t>
    <phoneticPr fontId="1" type="noConversion"/>
  </si>
  <si>
    <t>Name</t>
    <phoneticPr fontId="1" type="noConversion"/>
  </si>
  <si>
    <t>3 year CAGR</t>
    <phoneticPr fontId="1" type="noConversion"/>
  </si>
  <si>
    <t>5 year CAGR</t>
    <phoneticPr fontId="1" type="noConversion"/>
  </si>
  <si>
    <t>합계</t>
    <phoneticPr fontId="1" type="noConversion"/>
  </si>
  <si>
    <t>% of Growth</t>
    <phoneticPr fontId="1" type="noConversion"/>
  </si>
  <si>
    <t>n.a.</t>
    <phoneticPr fontId="1" type="noConversion"/>
  </si>
  <si>
    <t>% of Growth</t>
    <phoneticPr fontId="1" type="noConversion"/>
  </si>
  <si>
    <t>n.a.</t>
    <phoneticPr fontId="1" type="noConversion"/>
  </si>
  <si>
    <t>% of Total</t>
    <phoneticPr fontId="1" type="noConversion"/>
  </si>
  <si>
    <t>매출총이익률</t>
    <phoneticPr fontId="1" type="noConversion"/>
  </si>
  <si>
    <t>Ticker</t>
    <phoneticPr fontId="1" type="noConversion"/>
  </si>
  <si>
    <t>Name</t>
    <phoneticPr fontId="1" type="noConversion"/>
  </si>
  <si>
    <t>평균 (Average)</t>
    <phoneticPr fontId="1" type="noConversion"/>
  </si>
  <si>
    <t>평균 (중간값)</t>
    <phoneticPr fontId="1" type="noConversion"/>
  </si>
  <si>
    <t>3 year CAGR</t>
    <phoneticPr fontId="1" type="noConversion"/>
  </si>
  <si>
    <t>5 year CAGR</t>
    <phoneticPr fontId="1" type="noConversion"/>
  </si>
  <si>
    <t>합계</t>
    <phoneticPr fontId="1" type="noConversion"/>
  </si>
  <si>
    <t>% of Growth</t>
    <phoneticPr fontId="1" type="noConversion"/>
  </si>
  <si>
    <t>n.a.</t>
    <phoneticPr fontId="1" type="noConversion"/>
  </si>
  <si>
    <t>% of Growth</t>
    <phoneticPr fontId="1" type="noConversion"/>
  </si>
  <si>
    <t>n.a.</t>
    <phoneticPr fontId="1" type="noConversion"/>
  </si>
  <si>
    <t>% of Total</t>
    <phoneticPr fontId="1" type="noConversion"/>
  </si>
  <si>
    <t>영업이익률</t>
    <phoneticPr fontId="1" type="noConversion"/>
  </si>
  <si>
    <t>Ticker</t>
    <phoneticPr fontId="1" type="noConversion"/>
  </si>
  <si>
    <t>Name</t>
    <phoneticPr fontId="1" type="noConversion"/>
  </si>
  <si>
    <t>평균 (Average)</t>
    <phoneticPr fontId="1" type="noConversion"/>
  </si>
  <si>
    <t>평균 (중간값)</t>
    <phoneticPr fontId="1" type="noConversion"/>
  </si>
  <si>
    <t>당기순이익</t>
    <phoneticPr fontId="1" type="noConversion"/>
  </si>
  <si>
    <t>Ticker</t>
    <phoneticPr fontId="1" type="noConversion"/>
  </si>
  <si>
    <t>Name</t>
    <phoneticPr fontId="1" type="noConversion"/>
  </si>
  <si>
    <t>3 year CAGR</t>
    <phoneticPr fontId="1" type="noConversion"/>
  </si>
  <si>
    <t>5 year CAGR</t>
    <phoneticPr fontId="1" type="noConversion"/>
  </si>
  <si>
    <t>합계</t>
    <phoneticPr fontId="1" type="noConversion"/>
  </si>
  <si>
    <t>% of Growth</t>
    <phoneticPr fontId="1" type="noConversion"/>
  </si>
  <si>
    <t>n.a.</t>
    <phoneticPr fontId="1" type="noConversion"/>
  </si>
  <si>
    <t>% of Growth</t>
    <phoneticPr fontId="1" type="noConversion"/>
  </si>
  <si>
    <t>n.a.</t>
    <phoneticPr fontId="1" type="noConversion"/>
  </si>
  <si>
    <t>% of Total</t>
    <phoneticPr fontId="1" type="noConversion"/>
  </si>
  <si>
    <t>당기순이익률</t>
    <phoneticPr fontId="1" type="noConversion"/>
  </si>
  <si>
    <t>Consensus (Sales)</t>
    <phoneticPr fontId="1" type="noConversion"/>
  </si>
  <si>
    <t>Bloomberg</t>
    <phoneticPr fontId="1" type="noConversion"/>
  </si>
  <si>
    <t>Ticker</t>
  </si>
  <si>
    <t>회사명</t>
  </si>
  <si>
    <t>2013년</t>
    <phoneticPr fontId="1" type="noConversion"/>
  </si>
  <si>
    <t>2014년</t>
  </si>
  <si>
    <t>2015년</t>
  </si>
  <si>
    <t>2016년</t>
  </si>
  <si>
    <t>2017년</t>
  </si>
  <si>
    <t>2018년</t>
  </si>
  <si>
    <t>A004020</t>
  </si>
  <si>
    <t>현대제철</t>
  </si>
  <si>
    <t>증가율</t>
  </si>
  <si>
    <t>A010520</t>
  </si>
  <si>
    <t>현대하이스코</t>
  </si>
  <si>
    <t>A000720</t>
  </si>
  <si>
    <t>현대건설</t>
  </si>
  <si>
    <t>합계</t>
  </si>
  <si>
    <t>WISEfn</t>
    <phoneticPr fontId="1" type="noConversion"/>
  </si>
  <si>
    <t>제 39 기 3분기</t>
  </si>
  <si>
    <t>제 38 기 3분기</t>
  </si>
  <si>
    <t>제 38 기</t>
  </si>
  <si>
    <t>제 37 기</t>
  </si>
  <si>
    <t>기타영업외수익</t>
  </si>
  <si>
    <t>기타영업외비용</t>
  </si>
  <si>
    <t>관계기업투자이익(손실)</t>
  </si>
  <si>
    <t>법인세비용(수익)</t>
  </si>
  <si>
    <t>계속사업이익(손실)</t>
  </si>
  <si>
    <t>중단사업이익(손실)</t>
  </si>
  <si>
    <t>기타포괄이익(손실)</t>
  </si>
  <si>
    <t>　후속적으로 당기손익으로 재분류될 수 있는 항목:</t>
  </si>
  <si>
    <t>　　매도가능금융자산평가손익</t>
  </si>
  <si>
    <t>　　(부의)지분법자본변동</t>
  </si>
  <si>
    <t>　　지분법이익잉여금변동</t>
  </si>
  <si>
    <t>　　해외사업환산차이</t>
  </si>
  <si>
    <t>　　매각예정자산평가손익</t>
  </si>
  <si>
    <t>　후속적으로 당기손익으로 재분류되지 않는 항목:</t>
  </si>
  <si>
    <t>　　확정급여제도의 재측정요소</t>
  </si>
  <si>
    <t>당기총포괄이익(손실)</t>
  </si>
  <si>
    <t>주당손익</t>
  </si>
  <si>
    <t>　기본주 및 희석주주당이익(손실)</t>
  </si>
  <si>
    <t>　계속사업 기본주 및 희석주당이익(손실)</t>
  </si>
  <si>
    <t>영업활동현금흐름</t>
  </si>
  <si>
    <t>　영업에서창출된현금</t>
  </si>
  <si>
    <t>　당기순이익(손실)</t>
  </si>
  <si>
    <t>　가감</t>
  </si>
  <si>
    <t>　　퇴직급여</t>
  </si>
  <si>
    <t>　　감가상각비</t>
  </si>
  <si>
    <t>　　무형자산상각비</t>
  </si>
  <si>
    <t>　　대손상각비</t>
  </si>
  <si>
    <t>　　기타의 대손상각비</t>
  </si>
  <si>
    <t>　　사업처분이익</t>
  </si>
  <si>
    <t>　　사업처분손실</t>
  </si>
  <si>
    <t>　　재고자산평가손실</t>
  </si>
  <si>
    <t>　　재고자산폐기손실</t>
  </si>
  <si>
    <t>　　유형자산처분손실</t>
  </si>
  <si>
    <t>　　무형자산처분손실</t>
  </si>
  <si>
    <t>　　관계기업투자자산손상차손</t>
  </si>
  <si>
    <t>　　관계기업투자자산처분손실</t>
  </si>
  <si>
    <t>　　유형자산손상차손</t>
  </si>
  <si>
    <t>　　무형자산손상차손</t>
  </si>
  <si>
    <t>　　법인세비용(수익)</t>
  </si>
  <si>
    <t>　　이자비용</t>
  </si>
  <si>
    <t>　　매도가능금융자산손상차손</t>
  </si>
  <si>
    <t>　　매도가능금융자산처분손실</t>
  </si>
  <si>
    <t>　　만기보유금융자산손상차손</t>
  </si>
  <si>
    <t>　　당기손익인식금융자산평가손실</t>
  </si>
  <si>
    <t>　　외화환산손실</t>
  </si>
  <si>
    <t>　　파생상품평가손실</t>
  </si>
  <si>
    <t>　　파생상품거래손실</t>
  </si>
  <si>
    <t>　　관계기업투자손실</t>
  </si>
  <si>
    <t>　　지분법손실</t>
  </si>
  <si>
    <t>　　배당수익</t>
  </si>
  <si>
    <t>　　이자수익</t>
  </si>
  <si>
    <t>　　외화환산이익</t>
  </si>
  <si>
    <t>　　파생상품거래이익</t>
  </si>
  <si>
    <t>　　재고자산평가손실환입</t>
  </si>
  <si>
    <t>　　매각예정자산처분이익</t>
  </si>
  <si>
    <t>　　매도가능금융자산처분이익</t>
  </si>
  <si>
    <t>　　유형자산처분이익</t>
  </si>
  <si>
    <t>　　무형자산처분이익</t>
  </si>
  <si>
    <t>　　금융보증수익</t>
  </si>
  <si>
    <t>　　지분법이익</t>
  </si>
  <si>
    <t>　　대손충당금환입</t>
  </si>
  <si>
    <t>　　잡이익</t>
  </si>
  <si>
    <t>　　기타</t>
  </si>
  <si>
    <t>　자산,부채의 증감</t>
  </si>
  <si>
    <t>　　매출채권 및 기타채권의 감소(증가)</t>
  </si>
  <si>
    <t>　　미청구공사의 감소(증가)</t>
  </si>
  <si>
    <t>　　재고자산의 감소(증가)</t>
  </si>
  <si>
    <t>　　기타유동자산의 감소(증가)</t>
  </si>
  <si>
    <t>　　기타비유동자산의 감소(증가)</t>
  </si>
  <si>
    <t>　　매입채무 및 기타채무의 증가(감소)</t>
  </si>
  <si>
    <t>　　기타금융부채의 증가(감소)</t>
  </si>
  <si>
    <t>　　기타유동부채의 증가(감소)</t>
  </si>
  <si>
    <t>　　초과청구공사의 증가(감소)</t>
  </si>
  <si>
    <t>　　순확정급여부채의 감소</t>
  </si>
  <si>
    <t>　　기타비유동부채의 증가</t>
  </si>
  <si>
    <t>　배당금의 수취</t>
  </si>
  <si>
    <t>　이자의 수취</t>
  </si>
  <si>
    <t>　이자의 지급</t>
  </si>
  <si>
    <t>　법인세의 납부</t>
  </si>
  <si>
    <t>투자활동현금흐름</t>
  </si>
  <si>
    <t>　매각예정자산의처분</t>
  </si>
  <si>
    <t>　관계기업투자자산의 처분</t>
  </si>
  <si>
    <t>　매각예정자산 처분 계약금수령</t>
  </si>
  <si>
    <t>　매도가능금융자산의 처분</t>
  </si>
  <si>
    <t>　유형자산의 처분</t>
  </si>
  <si>
    <t>　무형자산의 처분</t>
  </si>
  <si>
    <t>　기타금융자산의 감소</t>
  </si>
  <si>
    <t>　기타금융자산의 증가</t>
  </si>
  <si>
    <t>　매도가능금융자산의 취득</t>
  </si>
  <si>
    <t>　관계기업투자주식의 취득</t>
  </si>
  <si>
    <t>　사업처분에 따른 현금유입</t>
  </si>
  <si>
    <t>　유형자산의 취득</t>
  </si>
  <si>
    <t>　무형자산의 취득</t>
  </si>
  <si>
    <t>재무활동현금흐름</t>
  </si>
  <si>
    <t>　단기차입금의 증가</t>
  </si>
  <si>
    <t>　단기사채의 증가</t>
  </si>
  <si>
    <t>　사채의 발행</t>
  </si>
  <si>
    <t>　장기차입금의 증가</t>
  </si>
  <si>
    <t>　배당금의 지급</t>
  </si>
  <si>
    <t>　단기차입금의 상환</t>
  </si>
  <si>
    <t>　단기사채의 상환</t>
  </si>
  <si>
    <t>　유동성장기부채의 상환</t>
  </si>
  <si>
    <t>　정부보조금의 감소</t>
  </si>
  <si>
    <t>현금및현금성자산의 증가(감소)</t>
  </si>
  <si>
    <t>매각예정자산으로 분류</t>
  </si>
  <si>
    <t>기초의 현금및현금성자산</t>
  </si>
  <si>
    <t>외화표시현금및현금성자산의 환율변동효과</t>
  </si>
  <si>
    <t>기말의 현금및현금성자산</t>
  </si>
  <si>
    <t>제 19 기 3분기</t>
  </si>
  <si>
    <t>제 18 기 3분기</t>
  </si>
  <si>
    <t>제 18 기</t>
  </si>
  <si>
    <t>제 17 기</t>
  </si>
  <si>
    <t>지분법손익</t>
  </si>
  <si>
    <t>　후속적으로 당기손익으로 재분류되는 항목</t>
  </si>
  <si>
    <t>　　매도가능금융자산평가이익</t>
  </si>
  <si>
    <t>　후속적으로 당기손익으로 재분류되지 않는 항목</t>
  </si>
  <si>
    <t>　　순확정급여부채의 재측정요소</t>
  </si>
  <si>
    <t>총포괄이익</t>
  </si>
  <si>
    <t>　기본주당이익(손실)</t>
  </si>
  <si>
    <t>　　계속사업기본주당이익(손실)</t>
  </si>
  <si>
    <t>　당기순이익</t>
  </si>
  <si>
    <t>　당기순이익조정을 위한 가감</t>
  </si>
  <si>
    <t>　　대손상각비(환입)</t>
  </si>
  <si>
    <t>　　유형자산폐기손실</t>
  </si>
  <si>
    <t>　　손상차손인식액</t>
  </si>
  <si>
    <t>　　법인세비용</t>
  </si>
  <si>
    <t>　　매출채권의 감소(증가)</t>
  </si>
  <si>
    <t>　　미수금의 감소(증가)</t>
  </si>
  <si>
    <t>　　기타자산의 감소(증가)</t>
  </si>
  <si>
    <t>　　매입채무의 증가(감소)</t>
  </si>
  <si>
    <t>　　미지급금의 증가(감소)</t>
  </si>
  <si>
    <t>　　미지급비용의 증가(감소)</t>
  </si>
  <si>
    <t>　　기타부채의 증가(감소)</t>
  </si>
  <si>
    <t>　　판매보증충당부채의 증가(감소)</t>
  </si>
  <si>
    <t>　　퇴직급여부채의 증가(감소)</t>
  </si>
  <si>
    <t>　이자수취</t>
  </si>
  <si>
    <t>　법인세납부(환급)</t>
  </si>
  <si>
    <t>　장단기금융상품의 감소</t>
  </si>
  <si>
    <t>　장단기금융상품의 증가</t>
  </si>
  <si>
    <t>　매도가능증권의 처분</t>
  </si>
  <si>
    <t>　매도가능증권의 취득</t>
  </si>
  <si>
    <t>　지분법적용 투자지분의 취득</t>
  </si>
  <si>
    <t>　보증금의 감소</t>
  </si>
  <si>
    <t>　보증금의 증가</t>
  </si>
  <si>
    <t>　예수보증금의 증가(감소)</t>
  </si>
  <si>
    <t>　배당금지급</t>
  </si>
  <si>
    <t>기초현금및현금성자산</t>
  </si>
  <si>
    <t>기말현금및현금성자산</t>
  </si>
  <si>
    <t>지분법 적용대상인 관계기업과 조인트벤처의 당기순손익에 대한 지분</t>
  </si>
  <si>
    <t>　　법인세비용차감후기타포괄손익, 확정급여제도의 재측정손익</t>
  </si>
  <si>
    <t>　　당기손익으로 재분류되지 않는 항목의 법인세</t>
  </si>
  <si>
    <t>　　해외사업환산손익</t>
  </si>
  <si>
    <t>　　당기손익으로 재분류될 수 있는 항목의 법인세</t>
  </si>
  <si>
    <t>　지배기업 지분에 대한 주당순이익(손실)</t>
  </si>
  <si>
    <t>　　매출채권처분손실</t>
  </si>
  <si>
    <t>　　파생상품평가이익</t>
  </si>
  <si>
    <t>　　공사손실충당부채전입액</t>
  </si>
  <si>
    <t>　　하자보수충당부채전입액</t>
  </si>
  <si>
    <t>　　공사손실충당부채환입액</t>
  </si>
  <si>
    <t>　　하자보수충당부채환입액</t>
  </si>
  <si>
    <t>　　손해배상충당부채전입액</t>
  </si>
  <si>
    <t>　　배당금수익</t>
  </si>
  <si>
    <t>　　매도가능금융자산손상차손환입</t>
  </si>
  <si>
    <t>　　잡손실</t>
  </si>
  <si>
    <t>　　매출채권 및 기타유동채권의 감소(증가)</t>
  </si>
  <si>
    <t>　　단기미수금의 감소(증가)</t>
  </si>
  <si>
    <t>　　단기선급비용의 감소(증가)</t>
  </si>
  <si>
    <t>　　파생상품자산의 감소</t>
  </si>
  <si>
    <t>　　단기선급금의 감소(증가)</t>
  </si>
  <si>
    <t>　　원재료의 감소(증가)</t>
  </si>
  <si>
    <t>　　장기미수금의 감소(증가)</t>
  </si>
  <si>
    <t>　　장기선급비용의 감소(증가)</t>
  </si>
  <si>
    <t>　　선수수익의 감소</t>
  </si>
  <si>
    <t>　　초과청구공사의 감소(증가)</t>
  </si>
  <si>
    <t>　　파생상품부채의 감소</t>
  </si>
  <si>
    <t>　　선수금의 증가(감소)</t>
  </si>
  <si>
    <t>　　예수금의 증가(감소)</t>
  </si>
  <si>
    <t>　　보증금의 감소</t>
  </si>
  <si>
    <t>　　충당부채의 증가(감소)</t>
  </si>
  <si>
    <t>　　퇴직금의 지급</t>
  </si>
  <si>
    <t>　　사외적립자산의공정가치의 증가(감소)</t>
  </si>
  <si>
    <t>　　퇴직급여채무의 증가(감소)</t>
  </si>
  <si>
    <t>　이자지급</t>
  </si>
  <si>
    <t>　배당금수취</t>
  </si>
  <si>
    <t>　단기금융상품의 감소</t>
  </si>
  <si>
    <t>　단기대여금및수취채권의 처분</t>
  </si>
  <si>
    <t>　만기보유금융자산의 처분</t>
  </si>
  <si>
    <t>　장기금융상품의 처분</t>
  </si>
  <si>
    <t>　장기대여금및수취채권의 처분</t>
  </si>
  <si>
    <t>　기타금융자산의 처분</t>
  </si>
  <si>
    <t>　임차보증금의 감소</t>
  </si>
  <si>
    <t>　기계장치의 처분</t>
  </si>
  <si>
    <t>　차량운반구의 처분</t>
  </si>
  <si>
    <t>　집기의 처분</t>
  </si>
  <si>
    <t>　기타무형자산의 처분</t>
  </si>
  <si>
    <t>　단기금융상품의 취득</t>
  </si>
  <si>
    <t>　단기대여금및수취채권의 취득</t>
  </si>
  <si>
    <t>　장기금융상품의 취득</t>
  </si>
  <si>
    <t>　기타금융자산의 취득</t>
  </si>
  <si>
    <t>　관계기업에 대한 투자자산의 취득</t>
  </si>
  <si>
    <t>　기계장치의 취득</t>
  </si>
  <si>
    <t>　저작권, 특허권, 기타 산업재산권, 용역운영권의 취득</t>
  </si>
  <si>
    <t>　집기의 취득</t>
  </si>
  <si>
    <t>　건설중인자산의 취득</t>
  </si>
  <si>
    <t>　금융리스자산의 취득</t>
  </si>
  <si>
    <t>　기타무형자산의 취득</t>
  </si>
  <si>
    <t>　임차보증금의 증가</t>
  </si>
  <si>
    <t>　임대보증금의 증가(감소)</t>
  </si>
  <si>
    <t>　종속기업처분 순현금유입</t>
  </si>
  <si>
    <t>　건물의 취득</t>
  </si>
  <si>
    <t>　구축물의 취득</t>
  </si>
  <si>
    <t>　개발 중인 무형자산의 취득</t>
  </si>
  <si>
    <t>　선물계약, 선도계약, 옵션계약 및 스왑계약에 따른 현금유출</t>
  </si>
  <si>
    <t>　선물계약, 선도계약, 옵션계약 및 스왑계약에 따른 현금유입</t>
  </si>
  <si>
    <t>　단기사채의 발행</t>
  </si>
  <si>
    <t>　금융리스부채의 증가</t>
  </si>
  <si>
    <t>　유동성장기부채의 감소</t>
  </si>
  <si>
    <t>　유동성사채의 상환</t>
  </si>
  <si>
    <t>　장기차입금의 상환</t>
  </si>
  <si>
    <t>　장기리스미지급금의 증가</t>
  </si>
  <si>
    <t>　장기리스미지급금의 감소</t>
  </si>
  <si>
    <t>　종속기업에 대한 투자자산의 취득</t>
  </si>
  <si>
    <t>환율변동효과 반영전 현금및현금성자산의 순증가(감소)</t>
  </si>
  <si>
    <t>현금및현금성자산에 대한 환율변동효과</t>
  </si>
  <si>
    <t>현금및현금성자산의순증가(감소)</t>
  </si>
  <si>
    <t>제 17 기 3분기</t>
  </si>
  <si>
    <t>제 16 기</t>
  </si>
  <si>
    <t>구     분</t>
  </si>
  <si>
    <t>대손상각비(대손충당금환입액)</t>
  </si>
  <si>
    <t>-    </t>
  </si>
  <si>
    <t>주식보상비용</t>
  </si>
  <si>
    <t>당    기</t>
  </si>
  <si>
    <t>전    기</t>
  </si>
  <si>
    <t>지에스아이티엠</t>
  </si>
  <si>
    <t>지에스아이티엠</t>
    <phoneticPr fontId="1" type="noConversion"/>
  </si>
  <si>
    <t>(주)포스코아이씨티</t>
  </si>
  <si>
    <t>한전케이디엔(주)</t>
  </si>
  <si>
    <t>씨제이올리브네트웍스(주)</t>
  </si>
  <si>
    <t>우리에프아이에스(주)</t>
  </si>
  <si>
    <t>(주)동부</t>
  </si>
  <si>
    <t>(주)코스콤</t>
  </si>
  <si>
    <t>(주)지에스아이티엠</t>
  </si>
  <si>
    <t>아시아나아이디티(주)</t>
  </si>
  <si>
    <t>(주)신세계아이앤씨</t>
  </si>
  <si>
    <t>쌍용정보통신(주)</t>
  </si>
  <si>
    <t>대보정보통신(주)</t>
  </si>
  <si>
    <t>현대정보기술(주)</t>
  </si>
  <si>
    <t>동양네트웍스(주)</t>
  </si>
  <si>
    <t>한일네트웍스(주)</t>
  </si>
  <si>
    <t>C39451</t>
  </si>
  <si>
    <t>2015년 12월 31일 기준, 과거 1개월 평균 10년 만기 국공채 이자율 적용 (Source: Bloomberg)</t>
    <phoneticPr fontId="1" type="noConversion"/>
  </si>
  <si>
    <t>2015년 12월 31일 기준, 대상회사의 신용등급 A+를 고려한 5년 만기 무보증 공모사채 이자율을 적용(Source: KOFIA BIS)</t>
    <phoneticPr fontId="1" type="noConversion"/>
  </si>
  <si>
    <t>기준일: 2015-12-31</t>
    <phoneticPr fontId="1" type="noConversion"/>
  </si>
  <si>
    <t>Not Audited</t>
    <phoneticPr fontId="1" type="noConversion"/>
  </si>
  <si>
    <t>선급세금</t>
    <phoneticPr fontId="1" type="noConversion"/>
  </si>
  <si>
    <t>원가명세서</t>
    <phoneticPr fontId="1" type="noConversion"/>
  </si>
  <si>
    <t>과         목</t>
    <phoneticPr fontId="1" type="noConversion"/>
  </si>
  <si>
    <t xml:space="preserve"> 1. 원재료비</t>
    <phoneticPr fontId="47" type="noConversion"/>
  </si>
  <si>
    <t xml:space="preserve"> 4. 경비</t>
    <phoneticPr fontId="47" type="noConversion"/>
  </si>
  <si>
    <t xml:space="preserve"> 2. 노무비</t>
    <phoneticPr fontId="47" type="noConversion"/>
  </si>
  <si>
    <t>1) 급료와임금</t>
    <phoneticPr fontId="1" type="noConversion"/>
  </si>
  <si>
    <t>2) 상여금</t>
    <phoneticPr fontId="1" type="noConversion"/>
  </si>
  <si>
    <t>3) 잡급</t>
    <phoneticPr fontId="1" type="noConversion"/>
  </si>
  <si>
    <t>4) 퇴직급여</t>
    <phoneticPr fontId="1" type="noConversion"/>
  </si>
  <si>
    <t xml:space="preserve"> 3. 외주용역비</t>
    <phoneticPr fontId="47" type="noConversion"/>
  </si>
  <si>
    <t xml:space="preserve">1) 복리후생비 </t>
    <phoneticPr fontId="1" type="noConversion"/>
  </si>
  <si>
    <t xml:space="preserve">2) 임차료 </t>
    <phoneticPr fontId="1" type="noConversion"/>
  </si>
  <si>
    <t xml:space="preserve">3) 접대비 </t>
    <phoneticPr fontId="1" type="noConversion"/>
  </si>
  <si>
    <t xml:space="preserve">4) 세금과공과 </t>
    <phoneticPr fontId="1" type="noConversion"/>
  </si>
  <si>
    <t xml:space="preserve">5) 광고선전비 </t>
    <phoneticPr fontId="1" type="noConversion"/>
  </si>
  <si>
    <t>6) 판촉비</t>
    <phoneticPr fontId="1" type="noConversion"/>
  </si>
  <si>
    <t xml:space="preserve">7) 차량유지비 </t>
    <phoneticPr fontId="1" type="noConversion"/>
  </si>
  <si>
    <t xml:space="preserve">8) 교육훈련비 </t>
    <phoneticPr fontId="1" type="noConversion"/>
  </si>
  <si>
    <t xml:space="preserve">9) 여비교통비 </t>
    <phoneticPr fontId="1" type="noConversion"/>
  </si>
  <si>
    <t xml:space="preserve">10) 운반비 </t>
    <phoneticPr fontId="1" type="noConversion"/>
  </si>
  <si>
    <t xml:space="preserve">11) 보험료 </t>
    <phoneticPr fontId="1" type="noConversion"/>
  </si>
  <si>
    <t xml:space="preserve">12) 통신비 </t>
    <phoneticPr fontId="1" type="noConversion"/>
  </si>
  <si>
    <t xml:space="preserve">13) 수도광열비 </t>
    <phoneticPr fontId="1" type="noConversion"/>
  </si>
  <si>
    <t>14) 소모품비</t>
    <phoneticPr fontId="1" type="noConversion"/>
  </si>
  <si>
    <t>15) 수선비</t>
    <phoneticPr fontId="1" type="noConversion"/>
  </si>
  <si>
    <t>16) 지급수수료</t>
    <phoneticPr fontId="1" type="noConversion"/>
  </si>
  <si>
    <t xml:space="preserve">17) 사무용품비 </t>
    <phoneticPr fontId="1" type="noConversion"/>
  </si>
  <si>
    <t xml:space="preserve">18) 도서인쇄비 </t>
    <phoneticPr fontId="1" type="noConversion"/>
  </si>
  <si>
    <t xml:space="preserve">19) 회의비 </t>
    <phoneticPr fontId="1" type="noConversion"/>
  </si>
  <si>
    <t xml:space="preserve">20) 유형자산감가상각비 </t>
    <phoneticPr fontId="1" type="noConversion"/>
  </si>
  <si>
    <t xml:space="preserve">21) 무형자산감가상각비 </t>
    <phoneticPr fontId="1" type="noConversion"/>
  </si>
  <si>
    <t>1) 원재료비</t>
    <phoneticPr fontId="1" type="noConversion"/>
  </si>
  <si>
    <t>1) 외주용역비</t>
    <phoneticPr fontId="1" type="noConversion"/>
  </si>
  <si>
    <t>SI</t>
    <phoneticPr fontId="1" type="noConversion"/>
  </si>
  <si>
    <t>SM</t>
    <phoneticPr fontId="1" type="noConversion"/>
  </si>
  <si>
    <t>5) 판촉비</t>
    <phoneticPr fontId="1" type="noConversion"/>
  </si>
  <si>
    <t xml:space="preserve">6) 차량유지비 </t>
    <phoneticPr fontId="1" type="noConversion"/>
  </si>
  <si>
    <t xml:space="preserve">7) 교육훈련비 </t>
    <phoneticPr fontId="1" type="noConversion"/>
  </si>
  <si>
    <t xml:space="preserve">8) 여비교통비 </t>
    <phoneticPr fontId="1" type="noConversion"/>
  </si>
  <si>
    <t xml:space="preserve">9) 운반비 </t>
    <phoneticPr fontId="1" type="noConversion"/>
  </si>
  <si>
    <t xml:space="preserve">10) 보험료 </t>
    <phoneticPr fontId="1" type="noConversion"/>
  </si>
  <si>
    <t xml:space="preserve">11) 통신비 </t>
    <phoneticPr fontId="1" type="noConversion"/>
  </si>
  <si>
    <t xml:space="preserve">12) 수도광열비 </t>
    <phoneticPr fontId="1" type="noConversion"/>
  </si>
  <si>
    <t>13) 소모품비</t>
    <phoneticPr fontId="1" type="noConversion"/>
  </si>
  <si>
    <t>14) 지급수수료</t>
    <phoneticPr fontId="1" type="noConversion"/>
  </si>
  <si>
    <t xml:space="preserve">15) 사무용품비 </t>
    <phoneticPr fontId="1" type="noConversion"/>
  </si>
  <si>
    <t xml:space="preserve">16) 도서인쇄비 </t>
    <phoneticPr fontId="1" type="noConversion"/>
  </si>
  <si>
    <t xml:space="preserve">17) 회의비 </t>
    <phoneticPr fontId="1" type="noConversion"/>
  </si>
  <si>
    <t xml:space="preserve">18) 하자보수비 </t>
    <phoneticPr fontId="1" type="noConversion"/>
  </si>
  <si>
    <t xml:space="preserve">19) 프로젝트손실비 </t>
    <phoneticPr fontId="1" type="noConversion"/>
  </si>
  <si>
    <t>20) 프로젝트충당금환입</t>
    <phoneticPr fontId="1" type="noConversion"/>
  </si>
  <si>
    <t>용역비용 합계</t>
    <phoneticPr fontId="47" type="noConversion"/>
  </si>
  <si>
    <t>용역수수료비용 합계</t>
    <phoneticPr fontId="47" type="noConversion"/>
  </si>
  <si>
    <t>상품매출</t>
    <phoneticPr fontId="1" type="noConversion"/>
  </si>
  <si>
    <t>[단위 : 원]</t>
    <phoneticPr fontId="1" type="noConversion"/>
  </si>
  <si>
    <t>사업년도</t>
    <phoneticPr fontId="1" type="noConversion"/>
  </si>
  <si>
    <t>사업실</t>
    <phoneticPr fontId="1" type="noConversion"/>
  </si>
  <si>
    <t>매출액</t>
    <phoneticPr fontId="1" type="noConversion"/>
  </si>
  <si>
    <t>매출원가</t>
    <phoneticPr fontId="1" type="noConversion"/>
  </si>
  <si>
    <t>매출총이익</t>
    <phoneticPr fontId="1" type="noConversion"/>
  </si>
  <si>
    <t>자재비</t>
  </si>
  <si>
    <t>외주비</t>
  </si>
  <si>
    <t>인건비</t>
  </si>
  <si>
    <t>직접경비</t>
  </si>
  <si>
    <t>2011년</t>
    <phoneticPr fontId="1" type="noConversion"/>
  </si>
  <si>
    <t>2012년</t>
  </si>
  <si>
    <t>2013년</t>
  </si>
  <si>
    <t>SI사업실</t>
    <phoneticPr fontId="1" type="noConversion"/>
  </si>
  <si>
    <t>SI 사업부</t>
    <phoneticPr fontId="1" type="noConversion"/>
  </si>
  <si>
    <t>매출</t>
    <phoneticPr fontId="1" type="noConversion"/>
  </si>
  <si>
    <t>SM사업실</t>
    <phoneticPr fontId="1" type="noConversion"/>
  </si>
  <si>
    <t>합계</t>
    <phoneticPr fontId="1" type="noConversion"/>
  </si>
  <si>
    <t>자재비</t>
    <phoneticPr fontId="1" type="noConversion"/>
  </si>
  <si>
    <t>외주비</t>
    <phoneticPr fontId="1" type="noConversion"/>
  </si>
  <si>
    <t>인건비</t>
    <phoneticPr fontId="1" type="noConversion"/>
  </si>
  <si>
    <t>경비</t>
    <phoneticPr fontId="1" type="noConversion"/>
  </si>
  <si>
    <t>SI사업실</t>
    <phoneticPr fontId="1" type="noConversion"/>
  </si>
  <si>
    <t>SM 사업부</t>
    <phoneticPr fontId="1" type="noConversion"/>
  </si>
  <si>
    <t>매출</t>
    <phoneticPr fontId="1" type="noConversion"/>
  </si>
  <si>
    <t>[단위 : 원]</t>
    <phoneticPr fontId="1" type="noConversion"/>
  </si>
  <si>
    <t>자재비</t>
    <phoneticPr fontId="1" type="noConversion"/>
  </si>
  <si>
    <t>검증</t>
    <phoneticPr fontId="1" type="noConversion"/>
  </si>
  <si>
    <t>원가</t>
    <phoneticPr fontId="1" type="noConversion"/>
  </si>
  <si>
    <t>■ 2010년 ~ 2014년 4대 원가 현황</t>
    <phoneticPr fontId="1" type="noConversion"/>
  </si>
  <si>
    <t>2014년</t>
    <phoneticPr fontId="1" type="noConversion"/>
  </si>
  <si>
    <t>2012년</t>
    <phoneticPr fontId="1" type="noConversion"/>
  </si>
  <si>
    <t>2010년</t>
    <phoneticPr fontId="1" type="noConversion"/>
  </si>
  <si>
    <t>상품원가</t>
    <phoneticPr fontId="1" type="noConversion"/>
  </si>
  <si>
    <t>당기년도말</t>
    <phoneticPr fontId="47" type="noConversion"/>
  </si>
  <si>
    <t>집기비품 합계</t>
    <phoneticPr fontId="47" type="noConversion"/>
  </si>
  <si>
    <t>말일 기준월</t>
    <phoneticPr fontId="47" type="noConversion"/>
  </si>
  <si>
    <t>차량운반구 합계</t>
    <phoneticPr fontId="47" type="noConversion"/>
  </si>
  <si>
    <t>평가 기준일</t>
    <phoneticPr fontId="1" type="noConversion"/>
  </si>
  <si>
    <t>소프트웨어 합계</t>
    <phoneticPr fontId="47" type="noConversion"/>
  </si>
  <si>
    <t>상표권 합계</t>
    <phoneticPr fontId="47" type="noConversion"/>
  </si>
  <si>
    <t>구  분</t>
    <phoneticPr fontId="47" type="noConversion"/>
  </si>
  <si>
    <t>계정과목명</t>
    <phoneticPr fontId="47" type="noConversion"/>
  </si>
  <si>
    <t>취득일자</t>
    <phoneticPr fontId="47" type="noConversion"/>
  </si>
  <si>
    <t>내용연수</t>
    <phoneticPr fontId="47" type="noConversion"/>
  </si>
  <si>
    <t>잔존연수</t>
    <phoneticPr fontId="47" type="noConversion"/>
  </si>
  <si>
    <t>당기 상각일수</t>
    <phoneticPr fontId="47" type="noConversion"/>
  </si>
  <si>
    <t>당기상각비율</t>
    <phoneticPr fontId="47" type="noConversion"/>
  </si>
  <si>
    <t>상각율</t>
    <phoneticPr fontId="47" type="noConversion"/>
  </si>
  <si>
    <t>취득원가</t>
    <phoneticPr fontId="47" type="noConversion"/>
  </si>
  <si>
    <t>전기감가상각누계액</t>
    <phoneticPr fontId="47" type="noConversion"/>
  </si>
  <si>
    <t>전기감액누계액</t>
    <phoneticPr fontId="1" type="noConversion"/>
  </si>
  <si>
    <t>전기누적증감액</t>
    <phoneticPr fontId="1" type="noConversion"/>
  </si>
  <si>
    <t>기초잔액</t>
    <phoneticPr fontId="47" type="noConversion"/>
  </si>
  <si>
    <t>당기증가액</t>
    <phoneticPr fontId="47" type="noConversion"/>
  </si>
  <si>
    <t>당기감소액</t>
    <phoneticPr fontId="47" type="noConversion"/>
  </si>
  <si>
    <t>당기상각액</t>
    <phoneticPr fontId="47" type="noConversion"/>
  </si>
  <si>
    <t>기말장부가액</t>
    <phoneticPr fontId="47" type="noConversion"/>
  </si>
  <si>
    <t>장부가액 검증</t>
    <phoneticPr fontId="47" type="noConversion"/>
  </si>
  <si>
    <t>2011-12-15</t>
  </si>
  <si>
    <t>기계장치</t>
    <phoneticPr fontId="47" type="noConversion"/>
  </si>
  <si>
    <t>Server(EDM/KMS)</t>
  </si>
  <si>
    <t>Server(EMS/DB)</t>
  </si>
  <si>
    <t>IDC 기계장치</t>
  </si>
  <si>
    <t>IDC 기계장치2</t>
  </si>
  <si>
    <t>IDC 기계장치3</t>
  </si>
  <si>
    <t>Svr(DNS-관계사)</t>
  </si>
  <si>
    <t>Svr(Backup-관계사)</t>
  </si>
  <si>
    <t>Svr(VPN-관계사)</t>
  </si>
  <si>
    <t>VPN</t>
  </si>
  <si>
    <t>VPN2</t>
  </si>
  <si>
    <t>서버부속장비</t>
  </si>
  <si>
    <t>모니터공유기</t>
  </si>
  <si>
    <t>POP프린터</t>
  </si>
  <si>
    <t>POP프린터2</t>
  </si>
  <si>
    <t>POP프린터3</t>
  </si>
  <si>
    <t>사내 ERP Server</t>
  </si>
  <si>
    <t>스위치</t>
  </si>
  <si>
    <t>메신저서버(1)</t>
  </si>
  <si>
    <t>메신저서버(2)</t>
  </si>
  <si>
    <t>관계사 Toffice 서버 통합 백업 (랜카드)</t>
  </si>
  <si>
    <t>관계사 Toffice 서버 통합 백업 (설치비)</t>
  </si>
  <si>
    <t>관계사 Toffice 서버 통합 백업 (백업스토리지)</t>
  </si>
  <si>
    <t>관계사 Toffice 서버 통합 백업 (업그레이드)</t>
  </si>
  <si>
    <t>관계사 Toffice 서버 통합 백업 (스위치)</t>
  </si>
  <si>
    <t>GS홀딩스 보안강화 Web 서버</t>
  </si>
  <si>
    <t>GS그룹 임원인사시스템 보안강화 서버</t>
  </si>
  <si>
    <t>센트럴모터스 SSL VPN Gateway 3050</t>
  </si>
  <si>
    <t>AW-T7400V XR816 (테스트용)</t>
  </si>
  <si>
    <t>AS-PER410 (개발 및 운영 지원 서버)</t>
  </si>
  <si>
    <t>WS-C2960-24TT-L 외</t>
  </si>
  <si>
    <t>PA-2FE-TX</t>
  </si>
  <si>
    <t>DL380 G6 QC 2.40 외(채용시스템)</t>
  </si>
  <si>
    <t xml:space="preserve">WinSvr 외 (채용시스템) </t>
  </si>
  <si>
    <t>SPAM 서버 (x3550, Xeon E5405 외)</t>
  </si>
  <si>
    <t>전자세금계산서 시스템(자사)</t>
  </si>
  <si>
    <t>테스트용서버(BA기술지원팀_201003)_UNIX서버 (HP rx2660)</t>
  </si>
  <si>
    <t>테스트용서버(BA기술지원팀_201003)_UNIX 터미널 SW (Xmanager Ent 3.x Lic)</t>
  </si>
  <si>
    <t>HP XW4600 WORKST 외</t>
  </si>
  <si>
    <t>RACK 구입 및 LAN공사(GS 통합 IT 서비스를 하기위해)</t>
  </si>
  <si>
    <t>GSITM IDC 네트워크 안정성 및 보안개선</t>
  </si>
  <si>
    <t>테스트용 Window 서버 DELL PowerEdge r410(BA기술지원팀)</t>
  </si>
  <si>
    <t>네트워크 라우터(네트워크 회선 증설 운영장비)</t>
  </si>
  <si>
    <t>자사 ITSM 구축</t>
  </si>
  <si>
    <t>애플리케이션 서버(HP DL380G1 1대, HP DL360G7 6대)</t>
  </si>
  <si>
    <t>GS ITM 통합 IDC용 네트워크 장비 구축</t>
  </si>
  <si>
    <t>통합데이터센터(서버)</t>
  </si>
  <si>
    <t>GS ITM IDC GSbill 통신서버(dell poweredge R410 6core)</t>
  </si>
  <si>
    <t>수원대학교/과학대학 차세대 학사 행정 시스템 구축 프로젝트 서버</t>
  </si>
  <si>
    <t>베르데 서버 2대분</t>
  </si>
  <si>
    <t>AMS2100</t>
  </si>
  <si>
    <t>PMS/e-HR용 서버</t>
  </si>
  <si>
    <t>스팸메일차단솔루션 L4 스위치</t>
  </si>
  <si>
    <t>DELL서버_지스마트광장 채권 현물변제</t>
  </si>
  <si>
    <t>STS 납품설치 및 전원작업_IDC</t>
  </si>
  <si>
    <t>GSITM 가산 DC HS23 HDD증설</t>
  </si>
  <si>
    <t>GSITM 가산 IDC 서버 디스크 확장</t>
  </si>
  <si>
    <t>GSITM 가산 IDC VPN장비 구매 발주</t>
  </si>
  <si>
    <t>2006-7-1</t>
  </si>
  <si>
    <t>2008-2-15</t>
  </si>
  <si>
    <t>2008-6-30</t>
  </si>
  <si>
    <t>2008-9-26</t>
  </si>
  <si>
    <t>2008-9-29</t>
  </si>
  <si>
    <t>2008-9-22</t>
  </si>
  <si>
    <t>2008-9-30</t>
  </si>
  <si>
    <t>2008-10-7</t>
  </si>
  <si>
    <t>2008-12-6</t>
  </si>
  <si>
    <t>2009-6-26</t>
  </si>
  <si>
    <t>2009-9-29</t>
  </si>
  <si>
    <t>2009-10-1</t>
  </si>
  <si>
    <t>2009-10-30</t>
  </si>
  <si>
    <t>2009-12-2</t>
  </si>
  <si>
    <t>2009-12-31</t>
  </si>
  <si>
    <t>2010-3-9</t>
  </si>
  <si>
    <t>2010-3-10</t>
  </si>
  <si>
    <t>2010-3-19</t>
  </si>
  <si>
    <t>2010-5-18</t>
  </si>
  <si>
    <t>2010-6-30</t>
  </si>
  <si>
    <t>2010-6-16</t>
  </si>
  <si>
    <t>2010-12-1</t>
  </si>
  <si>
    <t>2010-12-8</t>
  </si>
  <si>
    <t>2011-5-24</t>
  </si>
  <si>
    <t>2011-5-31</t>
  </si>
  <si>
    <t>2012-1-1</t>
  </si>
  <si>
    <t>2012-2-9</t>
  </si>
  <si>
    <t>2012-10-31</t>
  </si>
  <si>
    <t>2013-4-24</t>
  </si>
  <si>
    <t>2013-6-21</t>
  </si>
  <si>
    <t>2014-1-31</t>
  </si>
  <si>
    <t>2014-12-30</t>
  </si>
  <si>
    <t>2015-3-2</t>
  </si>
  <si>
    <t>2015-5-28</t>
  </si>
  <si>
    <t>2015-4-30</t>
  </si>
  <si>
    <t>2015-6-25</t>
  </si>
  <si>
    <t>2015-8-26</t>
  </si>
  <si>
    <t>2014년 말</t>
    <phoneticPr fontId="1" type="noConversion"/>
  </si>
  <si>
    <t>2015년 11월</t>
    <phoneticPr fontId="1" type="noConversion"/>
  </si>
  <si>
    <t>2015년 12월</t>
    <phoneticPr fontId="1" type="noConversion"/>
  </si>
  <si>
    <t>연말잔액</t>
    <phoneticPr fontId="1" type="noConversion"/>
  </si>
  <si>
    <t>상각대상액</t>
    <phoneticPr fontId="47" type="noConversion"/>
  </si>
  <si>
    <t>기계장치 합계</t>
    <phoneticPr fontId="47" type="noConversion"/>
  </si>
  <si>
    <t>그랜져 HG -1</t>
  </si>
  <si>
    <t>그랜져 HG -2</t>
  </si>
  <si>
    <t>그랜져 HG -3</t>
  </si>
  <si>
    <t>에쿠스 VS380</t>
  </si>
  <si>
    <t>제네시스 B7714DH000020</t>
  </si>
  <si>
    <t>레인지로버 스포츠(28두 9973/14년 12월)</t>
  </si>
  <si>
    <t>2013-1-29</t>
  </si>
  <si>
    <t>2013-2-25</t>
  </si>
  <si>
    <t>2013-12-26</t>
  </si>
  <si>
    <t>2014-3-31</t>
  </si>
  <si>
    <t>2015-11-18</t>
  </si>
  <si>
    <t>집기비품</t>
    <phoneticPr fontId="1" type="noConversion"/>
  </si>
  <si>
    <t>X61 7673-DA2</t>
  </si>
  <si>
    <t>상품-&gt;내부직원용 대체(10대)</t>
  </si>
  <si>
    <t>T61w 7663-A17</t>
  </si>
  <si>
    <t>프로젝터 (EB-1720)</t>
  </si>
  <si>
    <t>T400 2864-RT9</t>
  </si>
  <si>
    <t>R460-K.A287L (8대)</t>
  </si>
  <si>
    <t>R460-K.A287L 외</t>
  </si>
  <si>
    <t>R460-K.A 노트북 외</t>
  </si>
  <si>
    <t>T500 2081-RM6</t>
  </si>
  <si>
    <t>스마트카드 프린터기</t>
  </si>
  <si>
    <t>R470-K.A 노트북(4대)</t>
  </si>
  <si>
    <t>R460-K.A287L 노트북(3대)</t>
  </si>
  <si>
    <t>Mac Book(애플 노트북) 및 주변기기-카드</t>
  </si>
  <si>
    <t>Mac Book 4대 및 소프트웨어,주변기기-카드</t>
  </si>
  <si>
    <t>R570-U.AR 노트북</t>
  </si>
  <si>
    <t>R570-U.AR 노트북(2대)</t>
  </si>
  <si>
    <t>R570-U.AR 노트북(3대)</t>
  </si>
  <si>
    <t>iPad 구매</t>
  </si>
  <si>
    <t>S30NP-AR5711 PC</t>
  </si>
  <si>
    <t>R570-U.AR 노트북(7대)</t>
  </si>
  <si>
    <t>R570-U.AR 노트북(1대)</t>
  </si>
  <si>
    <t>R570-U.AR 노트북(5대)</t>
  </si>
  <si>
    <t>R570-U.AR 노트북(1대) 및 외장하드</t>
  </si>
  <si>
    <t>ThinkPad X201 노트북(2대)</t>
  </si>
  <si>
    <t>ThinkPad X201 노트북(1대)</t>
  </si>
  <si>
    <t>R570-U.AR 노트북(19대)</t>
  </si>
  <si>
    <t>ThinkPad EDGE13 02502LK 노트북(3대)</t>
  </si>
  <si>
    <t>ThinkPad EDGE13 02502LK 노트북(1대)</t>
  </si>
  <si>
    <t>HP XD091PA(프로북6550b)</t>
  </si>
  <si>
    <t>ThinkPad X201</t>
  </si>
  <si>
    <t>TP T510 4349P61 노트북(3대)</t>
  </si>
  <si>
    <t>LG전자 Z20NH (데스크탑) 교육용(2대)</t>
  </si>
  <si>
    <t>TP T510 4349NW3 노트북(9대)</t>
  </si>
  <si>
    <t>TP T510 4349NW3 노트북(3대)</t>
  </si>
  <si>
    <t>SONY VPC-EB37FK/W 노트북(1대)</t>
  </si>
  <si>
    <t>Dell PE-R310(경영지원팀 백업)</t>
  </si>
  <si>
    <t>ThinkPad x201 3626-NF1 노트북(1대)</t>
  </si>
  <si>
    <t>임원용 책상</t>
  </si>
  <si>
    <t>LQ440PA #AB1 노트북(1대)</t>
  </si>
  <si>
    <t>TP T510 4349NW3 노트북(5대)</t>
  </si>
  <si>
    <t>SONY VAIO VPC-CB17FK/B</t>
  </si>
  <si>
    <t>TP T520 4242A88(7대) 개발자용 노트북</t>
  </si>
  <si>
    <t>TP T520 4242A88(3대) 개발자용 노트북</t>
  </si>
  <si>
    <t>SONY VPC-SB16FK 노트북(1대)</t>
  </si>
  <si>
    <t>E2250V PN LCD 모니터(6대)</t>
  </si>
  <si>
    <t>TP T420 4180R61 노트북(3대)</t>
  </si>
  <si>
    <t>가산 IDC 사무실 가구</t>
  </si>
  <si>
    <t>TP T420 4180R61 노트북(1대)</t>
  </si>
  <si>
    <t>TP T420 4180PR7 노트북(11대)</t>
  </si>
  <si>
    <t>모바일 App. 개발 및 Test 장비</t>
  </si>
  <si>
    <t>IBM(LENOVO) Thinkpad T420 노트북(2대)</t>
  </si>
  <si>
    <t>업무용컴퓨터(8대) LCD모니터(2대)</t>
  </si>
  <si>
    <t>E2360V PN LCD (모니터10대)</t>
  </si>
  <si>
    <t>EPSON 프로젝터 EB-177W</t>
  </si>
  <si>
    <t>TP T520 4241A21 노트북(1대)</t>
  </si>
  <si>
    <t>SONY VPC-CB17FK 노트북(1대)</t>
  </si>
  <si>
    <t>X220 4286-RS8 노트북(1대)</t>
  </si>
  <si>
    <t>Z50PH PC 컴퓨터 E2360V LCD 모니터</t>
  </si>
  <si>
    <t>Canon IR-2530A 프린터 복합기</t>
  </si>
  <si>
    <t>HP LJ P4015N 프린터</t>
  </si>
  <si>
    <t>HP LJ 5200 N 프린터</t>
  </si>
  <si>
    <t>교육실 의자, 책상 가구</t>
  </si>
  <si>
    <t>5세대 e-HR DB 서버</t>
  </si>
  <si>
    <t>HP-8560P-LJ781PA 노트북(1대)</t>
  </si>
  <si>
    <t>TP T420 4180PR7 노트북(2대)</t>
  </si>
  <si>
    <t>Z50PH LG PC,B55NQ LG PC 컴퓨터(2대),모니터(3대)</t>
  </si>
  <si>
    <t>CH3300 중역의자</t>
  </si>
  <si>
    <t>본사 2층 책상 및 의자 (교육실, 회의실)</t>
  </si>
  <si>
    <t xml:space="preserve">회의실(워룸) 테이블 외 </t>
  </si>
  <si>
    <t>사장실 TV(32LW5700 LED TV)</t>
  </si>
  <si>
    <t>TP T420 4180R61 노트북(2대)</t>
  </si>
  <si>
    <t xml:space="preserve">워룸 모니터 및 컨트롤러 장치 </t>
  </si>
  <si>
    <t xml:space="preserve">워룸 컨퍼런스폰 </t>
  </si>
  <si>
    <t>캠코터(가방포함)</t>
  </si>
  <si>
    <t>워룸 컨퍼런스폰 1대</t>
  </si>
  <si>
    <t>TP T420 4180R61 노트북(5대)</t>
  </si>
  <si>
    <t>TP T420 4180R61 노트북(8대)</t>
  </si>
  <si>
    <t xml:space="preserve">여수 독신자 숙소 가구 및 집기 </t>
  </si>
  <si>
    <t>가산 IDC 컨퍼런스폰 1대</t>
  </si>
  <si>
    <t>1사업부 컨퍼런스폰 1대</t>
  </si>
  <si>
    <t>본사 2층 중역의자3개, 파티션 설치</t>
  </si>
  <si>
    <t xml:space="preserve">TP T420 4180R61 노트북 (1대) </t>
  </si>
  <si>
    <t>IDC 사무실 영상시스템 및 인테리어 가구</t>
  </si>
  <si>
    <t>니콘 D7000 카메라 (1대)</t>
  </si>
  <si>
    <t>B15NH PC 컴퓨터(1대), E2360V PN LCD 모니터(1대)</t>
  </si>
  <si>
    <t>EB-1775W 프로젝터</t>
  </si>
  <si>
    <t>컴퓨터 및 주변기기</t>
  </si>
  <si>
    <t xml:space="preserve">TP T420 4180R61 노트북 (18대) </t>
  </si>
  <si>
    <t xml:space="preserve">TP T420 4180R61 노트북 (3대) </t>
  </si>
  <si>
    <t xml:space="preserve">TP T420 4180R61 노트북 (2대) </t>
  </si>
  <si>
    <t xml:space="preserve">TP T420 4180R63 노트북 (1대) </t>
  </si>
  <si>
    <t>B50PV LG PC(1대), E2360V LCD(2대)</t>
  </si>
  <si>
    <t>EB-1775W 빔프로젝터</t>
  </si>
  <si>
    <t>IBM서버 x3550 (ITSM 고도화 구축 서버)</t>
  </si>
  <si>
    <t>사장실 컨퍼런스폰(VTX-1000+Mic)</t>
  </si>
  <si>
    <t xml:space="preserve">TP T420 4180R61 노트북 (5대) </t>
  </si>
  <si>
    <t>B50PV LG PC(1대), IPS236V 모티너(1대)</t>
  </si>
  <si>
    <t>본사 고속 스케너</t>
  </si>
  <si>
    <t xml:space="preserve">TP X220 4290P39 노트북 (1대) </t>
  </si>
  <si>
    <t>Macbook Pro 15형</t>
  </si>
  <si>
    <t>TP T42 4180R61 노트북 (13대)</t>
  </si>
  <si>
    <t>EPSON 프로젝터 EB-1775W 외</t>
  </si>
  <si>
    <t xml:space="preserve">TP T420 4180R61 외 노트북 (2대) </t>
  </si>
  <si>
    <t xml:space="preserve">HP LJ M602N 프린터 (1대) </t>
  </si>
  <si>
    <t xml:space="preserve">IPS236V모니터 (22대) </t>
  </si>
  <si>
    <t>TP T420 4180R61 노트북 (5대)</t>
  </si>
  <si>
    <t>SONY NPCSA35GK/B 노트북(1대)</t>
  </si>
  <si>
    <t>TP T420 4180R61 노트북 (1대)</t>
  </si>
  <si>
    <t>TP T420 4180R61 노트북 (4대)</t>
  </si>
  <si>
    <t>TP T420 4180R61 노트북 (6대)</t>
  </si>
  <si>
    <t>IBM(LENOVO) Thinkpad T430 노트북(1대)</t>
  </si>
  <si>
    <t>TP X230 2324A81 노트북 (1대)</t>
  </si>
  <si>
    <t>삼성 NT900X3C-A54(1대)</t>
  </si>
  <si>
    <t>네트워크하드//시놀로지 DS212 6TB</t>
  </si>
  <si>
    <t>조립PC</t>
  </si>
  <si>
    <t>기가바이트 U2442V Win7</t>
  </si>
  <si>
    <t>Z350-G.AE50K</t>
  </si>
  <si>
    <t xml:space="preserve">LGPC-산학협력용 </t>
  </si>
  <si>
    <t>Z350-G 노트북 외</t>
  </si>
  <si>
    <t>엡손 EB-1950(빔프로젝터)</t>
  </si>
  <si>
    <t>프린터 HP LJ M602N</t>
  </si>
  <si>
    <t xml:space="preserve">PC-E2351VQ외 </t>
  </si>
  <si>
    <t>Z350 노트북 외</t>
  </si>
  <si>
    <t>TP T430 2347C74</t>
  </si>
  <si>
    <t>TP T430 2347A55</t>
  </si>
  <si>
    <t>Z350-G(2대)</t>
  </si>
  <si>
    <t>HP LJ M602N(프린터</t>
  </si>
  <si>
    <t>Z350-G.AE30K(3대)</t>
  </si>
  <si>
    <t>B50PV.AR74B2A(i7/2600)</t>
  </si>
  <si>
    <t>고정자산 구입 - TP T430 2347A55 외</t>
  </si>
  <si>
    <t>고정자산 구입 - TP T430 2347A55(20대)</t>
  </si>
  <si>
    <t>전동페이드기</t>
  </si>
  <si>
    <t>Z450 외 3건</t>
  </si>
  <si>
    <t>HP LJ M602N</t>
  </si>
  <si>
    <t>Z50PS+IPS236V 외</t>
  </si>
  <si>
    <t>TP T430 2347A55 외</t>
  </si>
  <si>
    <t>HP CLJ M276W</t>
  </si>
  <si>
    <t>EPSON EB-1776W</t>
  </si>
  <si>
    <t>Z460 노트북 외</t>
  </si>
  <si>
    <t>N/T 4G DDR3 PC-12800</t>
  </si>
  <si>
    <t>LG IPS236V 모니터</t>
  </si>
  <si>
    <t>HP LJ M401N</t>
  </si>
  <si>
    <t>IPScan Probe 100A</t>
  </si>
  <si>
    <t>SoundStation2 EX 2ea</t>
  </si>
  <si>
    <t>SoundStation2 EX 1ea</t>
  </si>
  <si>
    <t>Brother MFC-8910DW</t>
  </si>
  <si>
    <t>HP CLJ CP4025N</t>
  </si>
  <si>
    <t>Z450 외 0건</t>
  </si>
  <si>
    <t>IPS236V-PN외 2건</t>
  </si>
  <si>
    <t>IPS236V-PN외 3건</t>
  </si>
  <si>
    <t>Z450 및 FW434</t>
  </si>
  <si>
    <t>TP T430 2347A55 외3건</t>
  </si>
  <si>
    <t>Z450 및 컨버터</t>
  </si>
  <si>
    <t>Z50PS(Win7PRO)+IPS236V-PN</t>
  </si>
  <si>
    <t>TP T430 2347A55 3건</t>
  </si>
  <si>
    <t>Z450외 1건</t>
  </si>
  <si>
    <t>IPS236V 2대</t>
  </si>
  <si>
    <t>IPS236V(모니터)</t>
  </si>
  <si>
    <t xml:space="preserve">컴퓨터 및 주변기기 외 </t>
  </si>
  <si>
    <t>Sony VAIO SVS15136PK/B외</t>
  </si>
  <si>
    <t>Z50PS(i5)+LG23EN43V</t>
  </si>
  <si>
    <t>LG 23EN43V</t>
  </si>
  <si>
    <t>갤럭시S1외 9(B2C모바일 &amp; SI파트)</t>
  </si>
  <si>
    <t>23EA53VQ 외 1건</t>
  </si>
  <si>
    <t>Z450 외 1건</t>
  </si>
  <si>
    <t>U460 외 0건</t>
  </si>
  <si>
    <t>Z360 외 1건</t>
  </si>
  <si>
    <t>U460 외 1건</t>
  </si>
  <si>
    <t>13Z930-GH60K 외 0건</t>
  </si>
  <si>
    <t>LG 23EA53VQ</t>
  </si>
  <si>
    <t>H9-1190KR 외 0건</t>
  </si>
  <si>
    <t>X1Carbon3443-8TK</t>
  </si>
  <si>
    <t>X1Carbon3443-8TK 외</t>
  </si>
  <si>
    <t>삼성 NT900X3F-K54(1대)</t>
  </si>
  <si>
    <t>사무용 가구(한샘비츠)</t>
  </si>
  <si>
    <t>삼성NT900X4D-K58S 노트북</t>
  </si>
  <si>
    <t>삼성NT900X3G 7대</t>
  </si>
  <si>
    <t>TP440 20AWA07KKR 노트북 8대</t>
  </si>
  <si>
    <t>EPSON EB-1776W 프로젝터 1대</t>
  </si>
  <si>
    <t xml:space="preserve">TP X240s 20AJ00JKR 노트북 1대 </t>
  </si>
  <si>
    <t>LG 23EA53VQ 노트북 1대</t>
  </si>
  <si>
    <t>TP T440p 20AWA07KKR 노트북 1대</t>
  </si>
  <si>
    <t>Epson DS510 Scanner</t>
  </si>
  <si>
    <t>삼성 NT900X3G-K78S/K58S 노트북 2대</t>
  </si>
  <si>
    <t>B70RH 컴퓨터1, 모니터2 대 등</t>
  </si>
  <si>
    <t>B70RH 컴퓨터1, 모니터2 대</t>
  </si>
  <si>
    <t>TP T440p 20AWA07KKR 노트북 7대</t>
  </si>
  <si>
    <t>TP T440p 20AWA07KKR 외 노트북 2대</t>
  </si>
  <si>
    <t>삼성 NT900X3G-K78S 노트북 1대</t>
  </si>
  <si>
    <t xml:space="preserve">13ZD940-GH70K 노트북 1대 </t>
  </si>
  <si>
    <t>TP T440p 20AWA0XSKR 노트북 3대</t>
  </si>
  <si>
    <t>TP T440p 20AWA0XSKR 노트북 1대</t>
  </si>
  <si>
    <t>TP X240 20AMA0CTKR 노트북 1대</t>
  </si>
  <si>
    <t xml:space="preserve">NT900X3G-K59S 노트북 3대 </t>
  </si>
  <si>
    <t xml:space="preserve">B70RH 데스크탑 1대 + 모니터 1대 </t>
  </si>
  <si>
    <t xml:space="preserve">NT900X3G-K59S 노트북 1대 </t>
  </si>
  <si>
    <t>HP LaserJet Ent 500 Color M551n Printer</t>
  </si>
  <si>
    <t>13ZD940-GX70K 노트북 1대</t>
  </si>
  <si>
    <t xml:space="preserve">TP T440p 20AWA0XSKR 노트북 3대 </t>
  </si>
  <si>
    <t xml:space="preserve">TP T440p 20AWA0XSKR 노트북 1대 </t>
  </si>
  <si>
    <t>본사 2층 임원실 가구</t>
  </si>
  <si>
    <t>TP T440p 20AWA0XSKR 노트북 9대</t>
  </si>
  <si>
    <t xml:space="preserve">삼성 NT900X3G-K79S 노트북 2대 </t>
  </si>
  <si>
    <t>Del Media Tape Cartridge 5-pack</t>
  </si>
  <si>
    <t xml:space="preserve">삼성 NT900X3G-K79S 노트북 3대 </t>
  </si>
  <si>
    <t>삼성 NT870Z5G-K27S 노트북 1대</t>
  </si>
  <si>
    <t>삼성 NT900X3G-K79S 노트북 1대</t>
  </si>
  <si>
    <t>삼성 NT900X3G-K79S 노트북 2대</t>
  </si>
  <si>
    <t>삼성 NT900X3K-58S 노트북 3대</t>
  </si>
  <si>
    <t>LG Z70CV(i5) PC 1대, 모니터 1대</t>
  </si>
  <si>
    <t>NT900X3G-K519C 노트북 1대</t>
  </si>
  <si>
    <t>14Z950-M.AF5BL(i5/5200U) 노트북 5대</t>
  </si>
  <si>
    <t>14Z950-M.AF5BL(i5/5200U) 노트북 1대</t>
  </si>
  <si>
    <t>14Z950-M 노트북 1대</t>
  </si>
  <si>
    <t>TPX1 Carbon 20BT001CKR 노트북 1대</t>
  </si>
  <si>
    <t>삼성 NT911S3K 노트북 외</t>
  </si>
  <si>
    <t>14Z950-M 2대</t>
  </si>
  <si>
    <t>TPX1 Carbon 20BT001CKR 노트북 3대</t>
  </si>
  <si>
    <t>14Z950-M 1대</t>
  </si>
  <si>
    <t>LG GRAM 14Z950-M, AF56L 1대</t>
  </si>
  <si>
    <t>LG GRAM 14Z950-M, AF56L(8G) 1대</t>
  </si>
  <si>
    <t>LG GRAM 14Z950-M, AF56L(8G) 2대</t>
  </si>
  <si>
    <t>TPT450s 20BWA0ARKR 1대_마우스&amp;가방</t>
  </si>
  <si>
    <t>TPT450s 20BWA0ATKR 1대_마우스&amp;가방</t>
  </si>
  <si>
    <t>LG GRAM 14Z950-M, AF56L 1대// N/T 8G DDR3 pc-12800</t>
  </si>
  <si>
    <t>삼환빌딩 가구 비용_사무용</t>
  </si>
  <si>
    <t>삼환빌딩 가구 비용_디자인</t>
  </si>
  <si>
    <t>삼환빌딩_회장님실가구구입</t>
  </si>
  <si>
    <t>조직개편에 따른 삼환빌딩 가구 추가 구입건</t>
  </si>
  <si>
    <t>삼환빌딩 가구 추가 구입건_회장실</t>
  </si>
  <si>
    <t>LG GRAM 14Z950-M.AF56L</t>
  </si>
  <si>
    <t>DELL서버파트_디스크증설</t>
  </si>
  <si>
    <t>TPT450s 20BWA0BPKR_노트북</t>
  </si>
  <si>
    <t>TP T450s 20BWA0BPKR 노트북</t>
  </si>
  <si>
    <t>TPT450s 20BWA0BPKR_노트북_5대</t>
  </si>
  <si>
    <t>TPT450s 20BWA0BPKR_노트북_3대</t>
  </si>
  <si>
    <t>TPT450s 20BWA0BPKR_노트북_1대</t>
  </si>
  <si>
    <t>LG23MP57HQ</t>
  </si>
  <si>
    <t>조립//LG MNT 24EA57VQ</t>
  </si>
  <si>
    <t>2008-12-23</t>
  </si>
  <si>
    <t>2008-12-1</t>
  </si>
  <si>
    <t>2008-12-31</t>
  </si>
  <si>
    <t>2009-6-19</t>
  </si>
  <si>
    <t>2009-8-12</t>
  </si>
  <si>
    <t>2009-8-27</t>
  </si>
  <si>
    <t>2009-10-9</t>
  </si>
  <si>
    <t>2009-11-26</t>
  </si>
  <si>
    <t>2010-1-22</t>
  </si>
  <si>
    <t>2010-2-12</t>
  </si>
  <si>
    <t>2010-3-22</t>
  </si>
  <si>
    <t>2010-4-6</t>
  </si>
  <si>
    <t>2010-4-5</t>
  </si>
  <si>
    <t>2010-4-30</t>
  </si>
  <si>
    <t>2010-5-11</t>
  </si>
  <si>
    <t>2010-5-25</t>
  </si>
  <si>
    <t>2010-6-8</t>
  </si>
  <si>
    <t>2010-6-22</t>
  </si>
  <si>
    <t>2010-7-2</t>
  </si>
  <si>
    <t>2010-7-12</t>
  </si>
  <si>
    <t>2010-7-23</t>
  </si>
  <si>
    <t>2010-8-5</t>
  </si>
  <si>
    <t>2010-8-19</t>
  </si>
  <si>
    <t>2010-9-7</t>
  </si>
  <si>
    <t>2010-9-16</t>
  </si>
  <si>
    <t>2010-9-29</t>
  </si>
  <si>
    <t>2010-10-1</t>
  </si>
  <si>
    <t>2010-10-8</t>
  </si>
  <si>
    <t>2010-10-12</t>
  </si>
  <si>
    <t>2010-10-19</t>
  </si>
  <si>
    <t>2010-12-18</t>
  </si>
  <si>
    <t>2010-12-27</t>
  </si>
  <si>
    <t>2011-1-10</t>
  </si>
  <si>
    <t>2011-1-24</t>
  </si>
  <si>
    <t>2011-2-9</t>
  </si>
  <si>
    <t>2011-2-17</t>
  </si>
  <si>
    <t>2011-2-24</t>
  </si>
  <si>
    <t>2011-2-28</t>
  </si>
  <si>
    <t>2011-3-4</t>
  </si>
  <si>
    <t>2011-3-21</t>
  </si>
  <si>
    <t>2011-4-8</t>
  </si>
  <si>
    <t>2011-4-29</t>
  </si>
  <si>
    <t>2011-5-4</t>
  </si>
  <si>
    <t>2011-5-11</t>
  </si>
  <si>
    <t>2011-6-2</t>
  </si>
  <si>
    <t>2011-6-27</t>
  </si>
  <si>
    <t>2011-7-4</t>
  </si>
  <si>
    <t>2011-7-5</t>
  </si>
  <si>
    <t>2011-7-19</t>
  </si>
  <si>
    <t>2011-7-20</t>
  </si>
  <si>
    <t>2011-7-11</t>
  </si>
  <si>
    <t>2011-7-21</t>
  </si>
  <si>
    <t>2011-8-12</t>
  </si>
  <si>
    <t>2011-8-16</t>
  </si>
  <si>
    <t>2011-8-17</t>
  </si>
  <si>
    <t>2011-8-24</t>
  </si>
  <si>
    <t>2011-8-19</t>
  </si>
  <si>
    <t>2011-8-31</t>
  </si>
  <si>
    <t>2011-9-1</t>
  </si>
  <si>
    <t>2011-9-6</t>
  </si>
  <si>
    <t>2011-9-7</t>
  </si>
  <si>
    <t>2011-9-9</t>
  </si>
  <si>
    <t>2011-9-20</t>
  </si>
  <si>
    <t>2011-9-26</t>
  </si>
  <si>
    <t>2011-10-11</t>
  </si>
  <si>
    <t>2011-10-13</t>
  </si>
  <si>
    <t>2011-10-17</t>
  </si>
  <si>
    <t>2011-10-5</t>
  </si>
  <si>
    <t>2011-10-6</t>
  </si>
  <si>
    <t>2011-10-28</t>
  </si>
  <si>
    <t>2011-10-20</t>
  </si>
  <si>
    <t>2011-10-26</t>
  </si>
  <si>
    <t>2011-10-31</t>
  </si>
  <si>
    <t>2011-11-7</t>
  </si>
  <si>
    <t>2011-11-11</t>
  </si>
  <si>
    <t>2011-11-14</t>
  </si>
  <si>
    <t>2011-11-16</t>
  </si>
  <si>
    <t>2011-11-18</t>
  </si>
  <si>
    <t>2011-11-22</t>
  </si>
  <si>
    <t>2011-11-29</t>
  </si>
  <si>
    <t>2011-11-23</t>
  </si>
  <si>
    <t>2011-12-9</t>
  </si>
  <si>
    <t>2011-12-1</t>
  </si>
  <si>
    <t>2011-12-16</t>
  </si>
  <si>
    <t>2011-12-28</t>
  </si>
  <si>
    <t>2011-12-13</t>
  </si>
  <si>
    <t>2011-12-30</t>
  </si>
  <si>
    <t>2012-1-5</t>
  </si>
  <si>
    <t>2012-1-13</t>
  </si>
  <si>
    <t>2012-1-9</t>
  </si>
  <si>
    <t>2012-1-27</t>
  </si>
  <si>
    <t>2012-1-31</t>
  </si>
  <si>
    <t>2012-1-18</t>
  </si>
  <si>
    <t>2012-2-8</t>
  </si>
  <si>
    <t>2012-2-20</t>
  </si>
  <si>
    <t>2012-2-16</t>
  </si>
  <si>
    <t>2012-3-22</t>
  </si>
  <si>
    <t>2012-3-30</t>
  </si>
  <si>
    <t>2012-4-3</t>
  </si>
  <si>
    <t>2012-4-4</t>
  </si>
  <si>
    <t>2012-4-5</t>
  </si>
  <si>
    <t>2012-4-9</t>
  </si>
  <si>
    <t>2012-4-10</t>
  </si>
  <si>
    <t>2012-4-19</t>
  </si>
  <si>
    <t>2012-4-23</t>
  </si>
  <si>
    <t>2012-5-2</t>
  </si>
  <si>
    <t>2012-5-10</t>
  </si>
  <si>
    <t>2012-5-16</t>
  </si>
  <si>
    <t>2012-5-25</t>
  </si>
  <si>
    <t>2012-5-31</t>
  </si>
  <si>
    <t>2012-6-1</t>
  </si>
  <si>
    <t>2012-6-11</t>
  </si>
  <si>
    <t>2012-6-5</t>
  </si>
  <si>
    <t>2012-6-29</t>
  </si>
  <si>
    <t>2012-6-27</t>
  </si>
  <si>
    <t>2012-7-20</t>
  </si>
  <si>
    <t>2012-7-13</t>
  </si>
  <si>
    <t>2012-8-24</t>
  </si>
  <si>
    <t>2012-9-12</t>
  </si>
  <si>
    <t>2012-9-28</t>
  </si>
  <si>
    <t>2012-9-25</t>
  </si>
  <si>
    <t>2012-9-20</t>
  </si>
  <si>
    <t>2012-10-30</t>
  </si>
  <si>
    <t>2012-11-28</t>
  </si>
  <si>
    <t>2012-11-30</t>
  </si>
  <si>
    <t>2012-12-3</t>
  </si>
  <si>
    <t>2012-12-5</t>
  </si>
  <si>
    <t>2012-12-17</t>
  </si>
  <si>
    <t>2012-12-26</t>
  </si>
  <si>
    <t>2012-12-27</t>
  </si>
  <si>
    <t>2013-1-11</t>
  </si>
  <si>
    <t>2013-1-28</t>
  </si>
  <si>
    <t>2013-1-30</t>
  </si>
  <si>
    <t>2013-1-31</t>
  </si>
  <si>
    <t>2013-2-19</t>
  </si>
  <si>
    <t>2013-2-15</t>
  </si>
  <si>
    <t>2013-2-7</t>
  </si>
  <si>
    <t>2013-2-12</t>
  </si>
  <si>
    <t>2013-2-13</t>
  </si>
  <si>
    <t>2013-2-6</t>
  </si>
  <si>
    <t>2013-2-8</t>
  </si>
  <si>
    <t>2013-2-21</t>
  </si>
  <si>
    <t>2013-2-20</t>
  </si>
  <si>
    <t>2013-2-28</t>
  </si>
  <si>
    <t>2013-2-14</t>
  </si>
  <si>
    <t>2013-2-5</t>
  </si>
  <si>
    <t>2013-3-6</t>
  </si>
  <si>
    <t>2013-3-11</t>
  </si>
  <si>
    <t>2013-3-13</t>
  </si>
  <si>
    <t>2013-3-22</t>
  </si>
  <si>
    <t>2013-3-4</t>
  </si>
  <si>
    <t>2013-3-5</t>
  </si>
  <si>
    <t>2013-3-7</t>
  </si>
  <si>
    <t>2013-3-8</t>
  </si>
  <si>
    <t>2013-4-1</t>
  </si>
  <si>
    <t>2013-4-25</t>
  </si>
  <si>
    <t>2013-4-23</t>
  </si>
  <si>
    <t>2013-4-4</t>
  </si>
  <si>
    <t>2013-5-2</t>
  </si>
  <si>
    <t>2013-5-6</t>
  </si>
  <si>
    <t>2013-5-7</t>
  </si>
  <si>
    <t>2013-5-20</t>
  </si>
  <si>
    <t>2013-5-16</t>
  </si>
  <si>
    <t>2013-5-31</t>
  </si>
  <si>
    <t>2013-5-24</t>
  </si>
  <si>
    <t>2013-5-30</t>
  </si>
  <si>
    <t>2013-6-18</t>
  </si>
  <si>
    <t>2013-6-26</t>
  </si>
  <si>
    <t>2013-6-4</t>
  </si>
  <si>
    <t>2013-7-9</t>
  </si>
  <si>
    <t>2013-7-10</t>
  </si>
  <si>
    <t>2013-7-16</t>
  </si>
  <si>
    <t>2013-7-23</t>
  </si>
  <si>
    <t>2013-7-30</t>
  </si>
  <si>
    <t>2013-7-17</t>
  </si>
  <si>
    <t>2013-8-12</t>
  </si>
  <si>
    <t>2013-8-26</t>
  </si>
  <si>
    <t>2013-9-6</t>
  </si>
  <si>
    <t>2013-9-9</t>
  </si>
  <si>
    <t>2013-9-13</t>
  </si>
  <si>
    <t>2013-10-28</t>
  </si>
  <si>
    <t>2013-10-29</t>
  </si>
  <si>
    <t>2013-11-20</t>
  </si>
  <si>
    <t>2013-12-2</t>
  </si>
  <si>
    <t>2013-12-11</t>
  </si>
  <si>
    <t>2013-12-19</t>
  </si>
  <si>
    <t>2014-1-16</t>
  </si>
  <si>
    <t>2014-1-15</t>
  </si>
  <si>
    <t>2014-1-9</t>
  </si>
  <si>
    <t>2014-1-3</t>
  </si>
  <si>
    <t>2014-2-12</t>
  </si>
  <si>
    <t>2014-3-11</t>
  </si>
  <si>
    <t>2014-3-26</t>
  </si>
  <si>
    <t>2014-3-27</t>
  </si>
  <si>
    <t>2014-4-24</t>
  </si>
  <si>
    <t>2014-4-21</t>
  </si>
  <si>
    <t>2014-4-8</t>
  </si>
  <si>
    <t>2014-4-9</t>
  </si>
  <si>
    <t>2014-4-7</t>
  </si>
  <si>
    <t>2014-4-17</t>
  </si>
  <si>
    <t>2014-5-14</t>
  </si>
  <si>
    <t>2014-5-20</t>
  </si>
  <si>
    <t>2014-5-23</t>
  </si>
  <si>
    <t>2014-6-9</t>
  </si>
  <si>
    <t>2014-6-2</t>
  </si>
  <si>
    <t>2014-6-19</t>
  </si>
  <si>
    <t>2014-7-7</t>
  </si>
  <si>
    <t>2014-7-8</t>
  </si>
  <si>
    <t>2014-7-11</t>
  </si>
  <si>
    <t>2014-7-21</t>
  </si>
  <si>
    <t>2014-7-22</t>
  </si>
  <si>
    <t>2014-7-28</t>
  </si>
  <si>
    <t>2014-8-7</t>
  </si>
  <si>
    <t>2014-8-11</t>
  </si>
  <si>
    <t>2014-8-13</t>
  </si>
  <si>
    <t>2014-8-19</t>
  </si>
  <si>
    <t>2014-8-25</t>
  </si>
  <si>
    <t>2014-8-29</t>
  </si>
  <si>
    <t>2014-9-25</t>
  </si>
  <si>
    <t>2014-9-29</t>
  </si>
  <si>
    <t>2014-10-31</t>
  </si>
  <si>
    <t>2014-10-1</t>
  </si>
  <si>
    <t>2014-10-15</t>
  </si>
  <si>
    <t>2014-10-17</t>
  </si>
  <si>
    <t>2014-10-21</t>
  </si>
  <si>
    <t>2014-11-12</t>
  </si>
  <si>
    <t>2014-11-3</t>
  </si>
  <si>
    <t>2014-11-13</t>
  </si>
  <si>
    <t>2014-11-17</t>
  </si>
  <si>
    <t>2014-11-25</t>
  </si>
  <si>
    <t>2014-12-3</t>
  </si>
  <si>
    <t>2015-1-7</t>
  </si>
  <si>
    <t>2015-1-8</t>
  </si>
  <si>
    <t>2015-2-2</t>
  </si>
  <si>
    <t>2015-2-9</t>
  </si>
  <si>
    <t>2015-2-16</t>
  </si>
  <si>
    <t>2015-2-27</t>
  </si>
  <si>
    <t>2015-3-18</t>
  </si>
  <si>
    <t>2015-3-24</t>
  </si>
  <si>
    <t>2015-3-27</t>
  </si>
  <si>
    <t>2015-4-2</t>
  </si>
  <si>
    <t>2015-4-13</t>
  </si>
  <si>
    <t>2015-4-17</t>
  </si>
  <si>
    <t>2015-4-20</t>
  </si>
  <si>
    <t>2015-5-6</t>
  </si>
  <si>
    <t>2015-5-13</t>
  </si>
  <si>
    <t>2015-5-12</t>
  </si>
  <si>
    <t>2015-5-18</t>
  </si>
  <si>
    <t>2015-5-15</t>
  </si>
  <si>
    <t>2015-5-29</t>
  </si>
  <si>
    <t>2015-6-2</t>
  </si>
  <si>
    <t>2015-6-11</t>
  </si>
  <si>
    <t>2015-6-15</t>
  </si>
  <si>
    <t>2015-6-26</t>
  </si>
  <si>
    <t>2015-7-7</t>
  </si>
  <si>
    <t>2015-7-3</t>
  </si>
  <si>
    <t>2015-4-1</t>
  </si>
  <si>
    <t>2015-8-17</t>
  </si>
  <si>
    <t>2015-8-5</t>
  </si>
  <si>
    <t>2015-8-12</t>
  </si>
  <si>
    <t>2015-8-24</t>
  </si>
  <si>
    <t>2015-8-27</t>
  </si>
  <si>
    <t>2015-8-31</t>
  </si>
  <si>
    <t>2015-9-11</t>
  </si>
  <si>
    <t>2015-9-18</t>
  </si>
  <si>
    <t>2015-10-2</t>
  </si>
  <si>
    <t>2015-10-12</t>
  </si>
  <si>
    <t>2015-10-16</t>
  </si>
  <si>
    <t>2015-10-22</t>
  </si>
  <si>
    <t>2015-10-26</t>
  </si>
  <si>
    <t>2015-11-5</t>
  </si>
  <si>
    <t>2015-11-19</t>
  </si>
  <si>
    <t>2015-11-20</t>
  </si>
  <si>
    <t>시설장치</t>
    <phoneticPr fontId="1" type="noConversion"/>
  </si>
  <si>
    <t>사무실인테리어</t>
  </si>
  <si>
    <t>통신/전원공사</t>
  </si>
  <si>
    <t>키폰 LGP-200</t>
  </si>
  <si>
    <t>지상1층인테리어공사</t>
  </si>
  <si>
    <t>전화 교환기</t>
  </si>
  <si>
    <t>본사(재동) 2층 리모델링 인테리어</t>
  </si>
  <si>
    <t xml:space="preserve">본사(재동) 회의실 및 워룸 인테리어 </t>
  </si>
  <si>
    <t>사장실 차음벽 보강 공사</t>
  </si>
  <si>
    <t xml:space="preserve">본사 1층 네트워크 공사 </t>
  </si>
  <si>
    <t>본사 여사원 휴게실 인테리어(소파/테이블)</t>
  </si>
  <si>
    <t>컨퍼런스 콜 장비(동일빌딩)</t>
  </si>
  <si>
    <t>동일빌딩 네트워크 공사</t>
  </si>
  <si>
    <t>동일빌딩 리모델링 작업- 가구 구입, 파티션 설치 외</t>
  </si>
  <si>
    <t>동일빌딩 5층 LAN, 인터넷 전화, 전원작업</t>
  </si>
  <si>
    <t>동일빌딩 5층 인테리어 공사</t>
  </si>
  <si>
    <t>본사 및 동일빌딩 4층, 강남빌딩 LAN, 전화, 전원작업</t>
  </si>
  <si>
    <t>GSITM- 본사 인테리어 공사</t>
  </si>
  <si>
    <t>가구대금</t>
  </si>
  <si>
    <t>의자 fch9801</t>
  </si>
  <si>
    <t>회의실 Video Wall System 이전 설치</t>
  </si>
  <si>
    <t xml:space="preserve">사운드마스킹 시스템 </t>
  </si>
  <si>
    <t>본사인테리어비용</t>
  </si>
  <si>
    <t>3단 사물함</t>
  </si>
  <si>
    <t>교육실 에어컨 및 환기시설 인테리어 공사</t>
  </si>
  <si>
    <t>1층 에어컨 및 전열기구 전원작업</t>
  </si>
  <si>
    <t>대회의실 에어컨</t>
  </si>
  <si>
    <t>2층 임원실 구성 공사</t>
  </si>
  <si>
    <t>삼환빌딩 10층 GSITM 소방공사</t>
  </si>
  <si>
    <t>삼환빌딩 10층 GSITM 공조공사</t>
  </si>
  <si>
    <t>삼환빌딩 10층 LAN,전화,전원작업</t>
  </si>
  <si>
    <t>삼환빌딩 냉난방기 설치공사</t>
  </si>
  <si>
    <t>인테리어공사(삼환빌딩10층)_1</t>
  </si>
  <si>
    <t>인테리어공사(삼환빌딩10층)_2</t>
  </si>
  <si>
    <t>인테리어공사(삼환빌딩10층)_3</t>
  </si>
  <si>
    <t>인테리어공사(삼환빌딩추가_회장실계약금)</t>
  </si>
  <si>
    <t>인테리어공사(삼환빌딩추가_회장실중도금)</t>
  </si>
  <si>
    <t>인테리어공사(삼환빌딩추가_회장실잔금)</t>
  </si>
  <si>
    <t>인테리어공사(삼환빌딩추가_회장실잔금_2)</t>
  </si>
  <si>
    <t>삼환빌딩 회장실 LAN, 전화작업건</t>
  </si>
  <si>
    <t>2008-4-9</t>
  </si>
  <si>
    <t>2011-7-28</t>
  </si>
  <si>
    <t>2011-8-30</t>
  </si>
  <si>
    <t>2011-11-1</t>
  </si>
  <si>
    <t>2011-12-26</t>
  </si>
  <si>
    <t>2012-10-23</t>
  </si>
  <si>
    <t>2012-12-28</t>
  </si>
  <si>
    <t>2012-12-31</t>
  </si>
  <si>
    <t>2013-1-7</t>
  </si>
  <si>
    <t>2013-1-10</t>
  </si>
  <si>
    <t>2013-2-18</t>
  </si>
  <si>
    <t>2013-5-13</t>
  </si>
  <si>
    <t>2013-6-11</t>
  </si>
  <si>
    <t>2013-6-13</t>
  </si>
  <si>
    <t>2014-7-30</t>
  </si>
  <si>
    <t>2014-8-22</t>
  </si>
  <si>
    <t>2015-3-30</t>
  </si>
  <si>
    <t>2015-3-31</t>
  </si>
  <si>
    <t>2015-5-20</t>
  </si>
  <si>
    <t>2015-7-6</t>
  </si>
  <si>
    <t>시설장치 합계</t>
    <phoneticPr fontId="47" type="noConversion"/>
  </si>
  <si>
    <t>영업권</t>
    <phoneticPr fontId="1" type="noConversion"/>
  </si>
  <si>
    <t>영업권(COSMOINET양수)</t>
  </si>
  <si>
    <t>영업권(ITMEX양수)</t>
  </si>
  <si>
    <t>영업권 합계</t>
    <phoneticPr fontId="47" type="noConversion"/>
  </si>
  <si>
    <t>상표권</t>
    <phoneticPr fontId="1" type="noConversion"/>
  </si>
  <si>
    <t>상표권 (ITMEXSYI)</t>
  </si>
  <si>
    <t>산업재산권</t>
    <phoneticPr fontId="1" type="noConversion"/>
  </si>
  <si>
    <t>산업재산권 합계</t>
    <phoneticPr fontId="47" type="noConversion"/>
  </si>
  <si>
    <t>탱크화물차의 배송물품도난 경보 시스템 및 그 방법(특허 출원 제 10-2010-0098173호)</t>
  </si>
  <si>
    <t>소프트웨어</t>
    <phoneticPr fontId="1" type="noConversion"/>
  </si>
  <si>
    <t>관제시스템</t>
  </si>
  <si>
    <t>메일서버용 S/W</t>
  </si>
  <si>
    <t>Creative Suites Prem</t>
  </si>
  <si>
    <t>MS Office</t>
  </si>
  <si>
    <t>V3Pro</t>
  </si>
  <si>
    <t>MS OS</t>
  </si>
  <si>
    <t>회계 S/W</t>
  </si>
  <si>
    <t>백신프로그램</t>
  </si>
  <si>
    <t>교육운영시스템S/W</t>
  </si>
  <si>
    <t>V3 Server</t>
  </si>
  <si>
    <t>MS Svr2003</t>
  </si>
  <si>
    <t>MS Svr 2003EXTRN</t>
  </si>
  <si>
    <t>MS H F/F CD,V3 WIN</t>
  </si>
  <si>
    <t>MS H SQL Svr 2000</t>
  </si>
  <si>
    <t>E-HR 시스템용 S/W</t>
  </si>
  <si>
    <t>e-biz운영팀 s/w 라이</t>
  </si>
  <si>
    <t>Anti-Virus (시맨텍)</t>
  </si>
  <si>
    <t>토피스2 KMS/ EDM 라이선스</t>
  </si>
  <si>
    <t>MS S/W 구입(e-BIZ 운</t>
  </si>
  <si>
    <t>ERP 구축 SAP 라이센</t>
  </si>
  <si>
    <t>ERP 구축 Win Server</t>
  </si>
  <si>
    <t>백업 소프트웨어(SAP</t>
  </si>
  <si>
    <t>백업솔루션_센트럴모터스</t>
  </si>
  <si>
    <t>백업솔루션_서라벌도시가스</t>
  </si>
  <si>
    <t>백업솔루션_휴먼에스네트웍</t>
  </si>
  <si>
    <t xml:space="preserve">소프트웨어 ITMEXSYI 내부 SW </t>
  </si>
  <si>
    <t>SAP 라이센스_비에스지파트너스</t>
  </si>
  <si>
    <t>백업솔루션_GS EPS (그룹웨어/오라클)</t>
  </si>
  <si>
    <t>Toad Professional 외</t>
  </si>
  <si>
    <t>ADOBE 프리미엄 라이센스 외</t>
  </si>
  <si>
    <t>테스트용 서버용 O/S(BA기술지원팀)</t>
  </si>
  <si>
    <t>ADOBE S/W 업그레이드 외</t>
  </si>
  <si>
    <t>한누리디지탈 salespoint SFA 고객 및 인맥관리 솔루션</t>
  </si>
  <si>
    <t>IDC 백업 솔루션 도입</t>
  </si>
  <si>
    <t>토피스2 KMS/ EDM 라이선스 추가분</t>
  </si>
  <si>
    <t>GS ITM 그룹웨어(토피스) 에디터 라이선스</t>
  </si>
  <si>
    <t>GS ITM E-HR XPLATFORM RIA Edition 라이선스</t>
  </si>
  <si>
    <t>MS TrueUp &amp; EA</t>
  </si>
  <si>
    <t>WinSvrStd 2008R2 SNGL MVL 외 1건</t>
  </si>
  <si>
    <t>WinSvrEnt 2008R2 SNGL MVL 외 3건</t>
  </si>
  <si>
    <t>Win 7 Pro(MS S/W구매)</t>
  </si>
  <si>
    <t>Prjct 2013 SNGL MVL 외 4건(MS S/W구매)</t>
  </si>
  <si>
    <t>한글 2010 SE+Lic</t>
  </si>
  <si>
    <t>한글 2014 15 Copy</t>
  </si>
  <si>
    <t>PV SYST 소프트웨어 License </t>
  </si>
  <si>
    <t>SpamSniper 5.X License </t>
  </si>
  <si>
    <t>AutoCAD 2016 LT외 1건</t>
  </si>
  <si>
    <t>Visual Studio 라이선스 1copy</t>
  </si>
  <si>
    <t>GSITM 시만텍 S/W 라이선스</t>
  </si>
  <si>
    <t>2007-8-31</t>
  </si>
  <si>
    <t>2007-9-18</t>
  </si>
  <si>
    <t>2007-10-9</t>
  </si>
  <si>
    <t>2007-11-15</t>
  </si>
  <si>
    <t>2007-11-30</t>
  </si>
  <si>
    <t>2007-12-28</t>
  </si>
  <si>
    <t>2008-2-22</t>
  </si>
  <si>
    <t>2008-3-31</t>
  </si>
  <si>
    <t>2008-7-16</t>
  </si>
  <si>
    <t>2009-5-12</t>
  </si>
  <si>
    <t>2009-6-25</t>
  </si>
  <si>
    <t>2009-9-30</t>
  </si>
  <si>
    <t>2010-8-17</t>
  </si>
  <si>
    <t>2010-8-30</t>
  </si>
  <si>
    <t>2011-3-28</t>
  </si>
  <si>
    <t>2011-4-5</t>
  </si>
  <si>
    <t>2011-6-13</t>
  </si>
  <si>
    <t>2011-11-30</t>
  </si>
  <si>
    <t>2012-4-30</t>
  </si>
  <si>
    <t>2013-4-26</t>
  </si>
  <si>
    <t>2014-5-27</t>
  </si>
  <si>
    <t>2015-1-22</t>
  </si>
  <si>
    <t>2015-11-24</t>
  </si>
  <si>
    <t>조형물</t>
    <phoneticPr fontId="1" type="noConversion"/>
  </si>
  <si>
    <t>예술창작품_1</t>
  </si>
  <si>
    <t>조형물 합계</t>
    <phoneticPr fontId="47" type="noConversion"/>
  </si>
  <si>
    <t>운용리스</t>
    <phoneticPr fontId="1" type="noConversion"/>
  </si>
  <si>
    <t>운용리스 자산 목록 리스트 잔고</t>
  </si>
  <si>
    <t>과 목</t>
  </si>
  <si>
    <t>자산 총계</t>
  </si>
  <si>
    <t>유동자산</t>
  </si>
  <si>
    <t>현금성자산</t>
  </si>
  <si>
    <t>매출채권</t>
  </si>
  <si>
    <t>재고자산</t>
  </si>
  <si>
    <t>기타유동자산</t>
  </si>
  <si>
    <t>비유동자산</t>
  </si>
  <si>
    <t>유무형자산</t>
  </si>
  <si>
    <t>기타비유동자산</t>
  </si>
  <si>
    <t>유동부채</t>
  </si>
  <si>
    <t>매입채무</t>
  </si>
  <si>
    <t>기타유동부채</t>
  </si>
  <si>
    <t>비유동부채</t>
  </si>
  <si>
    <t>자본금</t>
  </si>
  <si>
    <t>기타자본</t>
  </si>
  <si>
    <t>부채비율</t>
  </si>
  <si>
    <r>
      <t>과거</t>
    </r>
    <r>
      <rPr>
        <sz val="11"/>
        <color rgb="FF00338D"/>
        <rFont val="Calibri"/>
        <family val="2"/>
      </rPr>
      <t xml:space="preserve"> </t>
    </r>
    <r>
      <rPr>
        <sz val="11"/>
        <color rgb="FF00338D"/>
        <rFont val="맑은 고딕"/>
        <family val="3"/>
        <charset val="129"/>
        <scheme val="minor"/>
      </rPr>
      <t>재무상태표</t>
    </r>
  </si>
  <si>
    <t>유동비율</t>
    <phoneticPr fontId="1" type="noConversion"/>
  </si>
  <si>
    <r>
      <t>2015</t>
    </r>
    <r>
      <rPr>
        <b/>
        <vertAlign val="superscript"/>
        <sz val="8"/>
        <color rgb="FF000000"/>
        <rFont val="Calibri"/>
        <family val="2"/>
      </rPr>
      <t>1)</t>
    </r>
  </si>
  <si>
    <r>
      <t xml:space="preserve">SI </t>
    </r>
    <r>
      <rPr>
        <sz val="8"/>
        <color rgb="FF000000"/>
        <rFont val="맑은 고딕"/>
        <family val="3"/>
        <charset val="129"/>
      </rPr>
      <t>매출</t>
    </r>
  </si>
  <si>
    <r>
      <t xml:space="preserve">SM </t>
    </r>
    <r>
      <rPr>
        <sz val="8"/>
        <color rgb="FF000000"/>
        <rFont val="맑은 고딕"/>
        <family val="3"/>
        <charset val="129"/>
      </rPr>
      <t>매출</t>
    </r>
  </si>
  <si>
    <t>상품 매출</t>
  </si>
  <si>
    <r>
      <t xml:space="preserve">SI </t>
    </r>
    <r>
      <rPr>
        <sz val="8"/>
        <color rgb="FF000000"/>
        <rFont val="맑은 고딕"/>
        <family val="3"/>
        <charset val="129"/>
      </rPr>
      <t>원가</t>
    </r>
  </si>
  <si>
    <r>
      <t>SM</t>
    </r>
    <r>
      <rPr>
        <sz val="8"/>
        <color rgb="FF000000"/>
        <rFont val="맑은 고딕"/>
        <family val="3"/>
        <charset val="129"/>
      </rPr>
      <t>원가</t>
    </r>
  </si>
  <si>
    <r>
      <t>상품</t>
    </r>
    <r>
      <rPr>
        <sz val="8"/>
        <color rgb="FF000000"/>
        <rFont val="Calibri"/>
        <family val="2"/>
      </rPr>
      <t xml:space="preserve"> </t>
    </r>
    <r>
      <rPr>
        <sz val="8"/>
        <color rgb="FF000000"/>
        <rFont val="맑은 고딕"/>
        <family val="3"/>
        <charset val="129"/>
      </rPr>
      <t>원가</t>
    </r>
  </si>
  <si>
    <t>% of Sales</t>
  </si>
  <si>
    <t>영업외손익</t>
  </si>
  <si>
    <r>
      <t>과거</t>
    </r>
    <r>
      <rPr>
        <sz val="11"/>
        <color rgb="FF00338D"/>
        <rFont val="Calibri"/>
        <family val="2"/>
      </rPr>
      <t xml:space="preserve"> </t>
    </r>
    <r>
      <rPr>
        <sz val="11"/>
        <color rgb="FF00338D"/>
        <rFont val="맑은 고딕"/>
        <family val="3"/>
        <charset val="129"/>
      </rPr>
      <t>손익계산서</t>
    </r>
    <phoneticPr fontId="1" type="noConversion"/>
  </si>
  <si>
    <t>순자산비율</t>
    <phoneticPr fontId="1" type="noConversion"/>
  </si>
  <si>
    <t>차액</t>
    <phoneticPr fontId="1" type="noConversion"/>
  </si>
  <si>
    <t>순자산분석</t>
    <phoneticPr fontId="1" type="noConversion"/>
  </si>
  <si>
    <t>순운전자본</t>
    <phoneticPr fontId="1" type="noConversion"/>
  </si>
  <si>
    <t>비영업용자산</t>
    <phoneticPr fontId="1" type="noConversion"/>
  </si>
  <si>
    <t>유무형자산</t>
    <phoneticPr fontId="1" type="noConversion"/>
  </si>
  <si>
    <t>기타</t>
    <phoneticPr fontId="1" type="noConversion"/>
  </si>
  <si>
    <t>자본총계</t>
    <phoneticPr fontId="1" type="noConversion"/>
  </si>
  <si>
    <t>페럼인프라</t>
    <phoneticPr fontId="1" type="noConversion"/>
  </si>
  <si>
    <t>비중</t>
    <phoneticPr fontId="1" type="noConversion"/>
  </si>
  <si>
    <t>과거 3개년 영업이익 분석</t>
    <phoneticPr fontId="1" type="noConversion"/>
  </si>
  <si>
    <t>영업이익</t>
    <phoneticPr fontId="1" type="noConversion"/>
  </si>
  <si>
    <t>판관비</t>
    <phoneticPr fontId="1" type="noConversion"/>
  </si>
  <si>
    <t>임차료(주석16)</t>
  </si>
  <si>
    <t>접대비</t>
  </si>
  <si>
    <t>광고선전비</t>
  </si>
  <si>
    <t>순운전자본 추이</t>
    <phoneticPr fontId="1" type="noConversion"/>
  </si>
  <si>
    <t>매출채권(순액)</t>
  </si>
  <si>
    <t>운용리스 합계</t>
  </si>
  <si>
    <t>운용리스 합계</t>
    <phoneticPr fontId="47" type="noConversion"/>
  </si>
  <si>
    <t>소프트웨어 합계</t>
    <phoneticPr fontId="1" type="noConversion"/>
  </si>
  <si>
    <t>삼환빌딩 공사 건으로 과다발생</t>
    <phoneticPr fontId="1" type="noConversion"/>
  </si>
  <si>
    <t>2010-2014년 적용</t>
    <phoneticPr fontId="1" type="noConversion"/>
  </si>
  <si>
    <t>노무비</t>
    <phoneticPr fontId="1" type="noConversion"/>
  </si>
  <si>
    <t>급료와임금</t>
    <phoneticPr fontId="1" type="noConversion"/>
  </si>
  <si>
    <t>상여금</t>
    <phoneticPr fontId="1" type="noConversion"/>
  </si>
  <si>
    <t>잡급</t>
    <phoneticPr fontId="1" type="noConversion"/>
  </si>
  <si>
    <t>상여</t>
    <phoneticPr fontId="1" type="noConversion"/>
  </si>
  <si>
    <t>SI 매출</t>
    <phoneticPr fontId="1" type="noConversion"/>
  </si>
  <si>
    <t>SM 매출</t>
    <phoneticPr fontId="1" type="noConversion"/>
  </si>
  <si>
    <t>인건비 합계</t>
    <phoneticPr fontId="1" type="noConversion"/>
  </si>
  <si>
    <t>판관비</t>
    <phoneticPr fontId="1" type="noConversion"/>
  </si>
  <si>
    <t>인건비 집계</t>
    <phoneticPr fontId="1" type="noConversion"/>
  </si>
  <si>
    <t>인원수</t>
    <phoneticPr fontId="1" type="noConversion"/>
  </si>
  <si>
    <t>명수</t>
    <phoneticPr fontId="1" type="noConversion"/>
  </si>
  <si>
    <t>매출원가부분</t>
    <phoneticPr fontId="1" type="noConversion"/>
  </si>
  <si>
    <t>판관비부분</t>
    <phoneticPr fontId="1" type="noConversion"/>
  </si>
  <si>
    <t>인건비성경비</t>
  </si>
  <si>
    <t>1인당매출</t>
    <phoneticPr fontId="1" type="noConversion"/>
  </si>
  <si>
    <t>1인당급여</t>
    <phoneticPr fontId="1" type="noConversion"/>
  </si>
  <si>
    <t>% of 급여</t>
    <phoneticPr fontId="1" type="noConversion"/>
  </si>
  <si>
    <t>인건비 - 판관비</t>
    <phoneticPr fontId="1" type="noConversion"/>
  </si>
  <si>
    <t>페럼인프라 유상증자 출자</t>
    <phoneticPr fontId="1" type="noConversion"/>
  </si>
  <si>
    <t>회원권</t>
    <phoneticPr fontId="1" type="noConversion"/>
  </si>
  <si>
    <t>변동비성 경비</t>
    <phoneticPr fontId="1" type="noConversion"/>
  </si>
  <si>
    <t>유무형자산 상각비</t>
    <phoneticPr fontId="1" type="noConversion"/>
  </si>
  <si>
    <t>상품매출</t>
    <phoneticPr fontId="1" type="noConversion"/>
  </si>
  <si>
    <t>용역수수료매출</t>
    <phoneticPr fontId="1" type="noConversion"/>
  </si>
  <si>
    <t>SM</t>
  </si>
  <si>
    <t>총 합계</t>
    <phoneticPr fontId="1" type="noConversion"/>
  </si>
  <si>
    <t>SM</t>
    <phoneticPr fontId="1" type="noConversion"/>
  </si>
  <si>
    <t>판관비</t>
    <phoneticPr fontId="1" type="noConversion"/>
  </si>
  <si>
    <t>기계장치 합계 (SM)</t>
    <phoneticPr fontId="47" type="noConversion"/>
  </si>
  <si>
    <t>집기비품 합계 (SM)</t>
    <phoneticPr fontId="47" type="noConversion"/>
  </si>
  <si>
    <t>소프트웨어 합계 (SM)</t>
    <phoneticPr fontId="1" type="noConversion"/>
  </si>
  <si>
    <t>유무형자산 상각비 (SM)</t>
    <phoneticPr fontId="1" type="noConversion"/>
  </si>
  <si>
    <t>하자보수비: SI 매출금액의 0.2%</t>
    <phoneticPr fontId="1" type="noConversion"/>
  </si>
  <si>
    <t xml:space="preserve">프로젝트손실비: 내역은 존재. CP (TBD, 추가반영비용) </t>
    <phoneticPr fontId="1" type="noConversion"/>
  </si>
  <si>
    <t>보험료</t>
    <phoneticPr fontId="1" type="noConversion"/>
  </si>
  <si>
    <t>인건비 - 매출원가 (SI)</t>
    <phoneticPr fontId="1" type="noConversion"/>
  </si>
  <si>
    <t>인건비 - 매출원가 (SM)</t>
    <phoneticPr fontId="1" type="noConversion"/>
  </si>
  <si>
    <t>% of growth</t>
    <phoneticPr fontId="1" type="noConversion"/>
  </si>
  <si>
    <t>% of sales</t>
    <phoneticPr fontId="1" type="noConversion"/>
  </si>
  <si>
    <t>Nominal GDP Growth</t>
  </si>
  <si>
    <t>Growth in average wages</t>
  </si>
  <si>
    <t xml:space="preserve"> 당기상품매입액</t>
    <phoneticPr fontId="1" type="noConversion"/>
  </si>
  <si>
    <t>% of growth</t>
    <phoneticPr fontId="1" type="noConversion"/>
  </si>
  <si>
    <t>변동비</t>
    <phoneticPr fontId="1" type="noConversion"/>
  </si>
  <si>
    <t>매출의 0.2%</t>
  </si>
  <si>
    <t>울산영업소, 동일빌딩 14년 철수로 15년 값이 가장 근접할 것으로 예상됨</t>
  </si>
  <si>
    <t>고정비</t>
  </si>
  <si>
    <t>고정비</t>
    <phoneticPr fontId="1" type="noConversion"/>
  </si>
  <si>
    <t>차량 관련 활동은 현상태 유지</t>
    <phoneticPr fontId="1" type="noConversion"/>
  </si>
  <si>
    <t>15년 규모 축소지만 향후 적정수준 유지 전망됨</t>
    <phoneticPr fontId="1" type="noConversion"/>
  </si>
  <si>
    <t>택배 등</t>
    <phoneticPr fontId="1" type="noConversion"/>
  </si>
  <si>
    <t>원가배분 아직 (2014년 )</t>
    <phoneticPr fontId="1" type="noConversion"/>
  </si>
  <si>
    <t>매출연동 접대성격으로 보기 어려움</t>
    <phoneticPr fontId="1" type="noConversion"/>
  </si>
  <si>
    <t>4대보험 회사부담분</t>
  </si>
  <si>
    <t>노무비 연계</t>
    <phoneticPr fontId="1" type="noConversion"/>
  </si>
  <si>
    <t>% of 인건비성경비</t>
    <phoneticPr fontId="1" type="noConversion"/>
  </si>
  <si>
    <t>항공, 택시 등 교통비</t>
    <phoneticPr fontId="1" type="noConversion"/>
  </si>
  <si>
    <t>빌딩 가스료, 전기료</t>
    <phoneticPr fontId="1" type="noConversion"/>
  </si>
  <si>
    <t>사무용품비</t>
    <phoneticPr fontId="1" type="noConversion"/>
  </si>
  <si>
    <t>비경상적비용</t>
    <phoneticPr fontId="1" type="noConversion"/>
  </si>
  <si>
    <t>지급수수료</t>
    <phoneticPr fontId="1" type="noConversion"/>
  </si>
  <si>
    <t>경상비용 - 업무용역비가 대부분</t>
    <phoneticPr fontId="1" type="noConversion"/>
  </si>
  <si>
    <t>GS Caltex</t>
  </si>
  <si>
    <t>GS HS</t>
  </si>
  <si>
    <t>GS R</t>
  </si>
  <si>
    <t>GS 건설</t>
  </si>
  <si>
    <t>GS 기타</t>
  </si>
  <si>
    <t>3. 용역수수료 매출(SM) 추정</t>
    <phoneticPr fontId="1" type="noConversion"/>
  </si>
  <si>
    <t>Step1. 지속적으로 발생가능한 SM 매출 선별.  -&gt; 회사와 인터뷰 및 과거 발생내역 검토 결과, 2015년에 발생한 SM 매출이 지속적으로 발생가능할 것으로 판단됨.</t>
    <phoneticPr fontId="1" type="noConversion"/>
  </si>
  <si>
    <t>Step2. 2016년 발생가능한 SM 계획 검토. -&gt; 회사로 부터 2016년 SM용역 계획 수령 시 해당 내역을 2015년 발생 List와 검토하여 적절성 검토.</t>
    <phoneticPr fontId="1" type="noConversion"/>
  </si>
  <si>
    <t>Step3. 거래처별로 구분하여 FY 2015년 발생액 또는 FY 2016년 발생계획액을 기준으로 생산자물가상승률 만큼 연 상승한다고 가정.</t>
    <phoneticPr fontId="1" type="noConversion"/>
  </si>
  <si>
    <t>1. 상품매출 추정</t>
    <phoneticPr fontId="1" type="noConversion"/>
  </si>
  <si>
    <t>GS Caltex</t>
    <phoneticPr fontId="1" type="noConversion"/>
  </si>
  <si>
    <t>GS HS</t>
    <phoneticPr fontId="1" type="noConversion"/>
  </si>
  <si>
    <t>GS R</t>
    <phoneticPr fontId="1" type="noConversion"/>
  </si>
  <si>
    <t>GS 기타</t>
    <phoneticPr fontId="1" type="noConversion"/>
  </si>
  <si>
    <t>Step1. 대내 매출은 지속가능한 상품매출 확정. -&gt;FY 2015&amp;2016 계획 동시검토</t>
    <phoneticPr fontId="1" type="noConversion"/>
  </si>
  <si>
    <t>Step2. 대외 매출은 총액 기준으로 SM+SI 기준 검토</t>
    <phoneticPr fontId="1" type="noConversion"/>
  </si>
  <si>
    <t>2. SI 매출</t>
    <phoneticPr fontId="1" type="noConversion"/>
  </si>
  <si>
    <t>Step1. 대내 각 부분별 매출추정: 회사 계획을 근거로 각 부분별 매출 추정-&gt; 거래처별 비교 검토</t>
    <phoneticPr fontId="1" type="noConversion"/>
  </si>
  <si>
    <t>Step2. 대외 각 부분별 매출추정: 회사 계획을 근거로 각 부분별 매출 추정-&gt; 거래처별 비교 검토</t>
    <phoneticPr fontId="1" type="noConversion"/>
  </si>
  <si>
    <t>플랜트IT</t>
    <phoneticPr fontId="1" type="noConversion"/>
  </si>
  <si>
    <t>대학</t>
    <phoneticPr fontId="1" type="noConversion"/>
  </si>
  <si>
    <t>ICT/통신공사</t>
    <phoneticPr fontId="1" type="noConversion"/>
  </si>
  <si>
    <t>홈넷</t>
    <phoneticPr fontId="1" type="noConversion"/>
  </si>
  <si>
    <t>태양광</t>
    <phoneticPr fontId="1" type="noConversion"/>
  </si>
  <si>
    <t>SI- 거래처별</t>
    <phoneticPr fontId="1" type="noConversion"/>
  </si>
  <si>
    <t>매출(SI)- 거래처별</t>
    <phoneticPr fontId="1" type="noConversion"/>
  </si>
  <si>
    <t>% of 매출</t>
    <phoneticPr fontId="1" type="noConversion"/>
  </si>
  <si>
    <t xml:space="preserve"> 상품</t>
    <phoneticPr fontId="1" type="noConversion"/>
  </si>
  <si>
    <t xml:space="preserve"> SI</t>
    <phoneticPr fontId="1" type="noConversion"/>
  </si>
  <si>
    <t xml:space="preserve"> SM</t>
    <phoneticPr fontId="1" type="noConversion"/>
  </si>
  <si>
    <t>매출원가 계</t>
    <phoneticPr fontId="1" type="noConversion"/>
  </si>
  <si>
    <t>% of COGS</t>
    <phoneticPr fontId="1" type="noConversion"/>
  </si>
  <si>
    <t>1. 상품매출원가 추정</t>
    <phoneticPr fontId="1" type="noConversion"/>
  </si>
  <si>
    <t>상품매출원가</t>
    <phoneticPr fontId="1" type="noConversion"/>
  </si>
  <si>
    <t>상품매출원가(재료비)</t>
    <phoneticPr fontId="1" type="noConversion"/>
  </si>
  <si>
    <t>SI매출원가</t>
    <phoneticPr fontId="1" type="noConversion"/>
  </si>
  <si>
    <t>재료비+외주비</t>
    <phoneticPr fontId="1" type="noConversion"/>
  </si>
  <si>
    <t>SM매출원가</t>
    <phoneticPr fontId="1" type="noConversion"/>
  </si>
  <si>
    <t xml:space="preserve">  2016년 취득</t>
    <phoneticPr fontId="1" type="noConversion"/>
  </si>
  <si>
    <t xml:space="preserve">  2017년 취득</t>
    <phoneticPr fontId="1" type="noConversion"/>
  </si>
  <si>
    <t xml:space="preserve">  2018년 취득</t>
    <phoneticPr fontId="1" type="noConversion"/>
  </si>
  <si>
    <t xml:space="preserve">  2019년 취득</t>
    <phoneticPr fontId="1" type="noConversion"/>
  </si>
  <si>
    <t xml:space="preserve">  2020년 취득</t>
    <phoneticPr fontId="1" type="noConversion"/>
  </si>
  <si>
    <t>4대보험 보험료인지 확인</t>
    <phoneticPr fontId="1" type="noConversion"/>
  </si>
  <si>
    <t>취득원가</t>
    <phoneticPr fontId="1" type="noConversion"/>
  </si>
  <si>
    <t>SM부분</t>
    <phoneticPr fontId="1" type="noConversion"/>
  </si>
  <si>
    <t>기계장치</t>
    <phoneticPr fontId="1" type="noConversion"/>
  </si>
  <si>
    <t>집기비품</t>
    <phoneticPr fontId="1" type="noConversion"/>
  </si>
  <si>
    <t>소프트웨어</t>
    <phoneticPr fontId="1" type="noConversion"/>
  </si>
  <si>
    <t>취득가액 대비 SM 부분</t>
    <phoneticPr fontId="1" type="noConversion"/>
  </si>
  <si>
    <t>감가상각비(신규)</t>
    <phoneticPr fontId="1" type="noConversion"/>
  </si>
  <si>
    <t>무형자산상각비(신규)</t>
    <phoneticPr fontId="1" type="noConversion"/>
  </si>
  <si>
    <t>Depreciation &amp; Amortization- 판관비</t>
    <phoneticPr fontId="1" type="noConversion"/>
  </si>
  <si>
    <t>Depreciation &amp; Amortization-매출원가</t>
    <phoneticPr fontId="1" type="noConversion"/>
  </si>
  <si>
    <t>운욜리스 상각비 어디에 포함되는지 확인할 것</t>
    <phoneticPr fontId="1" type="noConversion"/>
  </si>
  <si>
    <t>그룹사 Earning Estimate</t>
    <phoneticPr fontId="1" type="noConversion"/>
  </si>
  <si>
    <t>회사명</t>
    <phoneticPr fontId="1" type="noConversion"/>
  </si>
  <si>
    <t>A005380</t>
  </si>
  <si>
    <t>GS 상장사 매출액</t>
    <phoneticPr fontId="1" type="noConversion"/>
  </si>
  <si>
    <t>GS홈쇼핑</t>
    <phoneticPr fontId="1" type="noConversion"/>
  </si>
  <si>
    <t>GS리테일</t>
    <phoneticPr fontId="1" type="noConversion"/>
  </si>
  <si>
    <t>GS건설</t>
    <phoneticPr fontId="1" type="noConversion"/>
  </si>
  <si>
    <t>GS글로벌</t>
  </si>
  <si>
    <t>GS글로벌</t>
    <phoneticPr fontId="1" type="noConversion"/>
  </si>
  <si>
    <t>코스모화학</t>
    <phoneticPr fontId="1" type="noConversion"/>
  </si>
  <si>
    <t>삼양통상</t>
    <phoneticPr fontId="1" type="noConversion"/>
  </si>
  <si>
    <t>코스모신소재</t>
    <phoneticPr fontId="1" type="noConversion"/>
  </si>
  <si>
    <t>GS</t>
    <phoneticPr fontId="1" type="noConversion"/>
  </si>
  <si>
    <t>Consensus Structure</t>
    <phoneticPr fontId="1" type="noConversion"/>
  </si>
  <si>
    <t>Code</t>
    <phoneticPr fontId="1" type="noConversion"/>
  </si>
  <si>
    <t>3M</t>
  </si>
  <si>
    <t>Consensus Date</t>
    <phoneticPr fontId="1" type="noConversion"/>
  </si>
  <si>
    <t>CPD-1TD [20140805]</t>
    <phoneticPr fontId="1" type="noConversion"/>
  </si>
  <si>
    <t>Korean</t>
  </si>
  <si>
    <t>E121000.M</t>
  </si>
  <si>
    <t>2015AS</t>
  </si>
  <si>
    <t>2016AS</t>
  </si>
  <si>
    <t>2017AS</t>
  </si>
  <si>
    <t>2018AS</t>
  </si>
  <si>
    <t>Consensus Data</t>
    <phoneticPr fontId="1" type="noConversion"/>
  </si>
  <si>
    <t>Date</t>
  </si>
  <si>
    <t>Security</t>
  </si>
  <si>
    <t>Analyst</t>
  </si>
  <si>
    <t>한국투자증권</t>
  </si>
  <si>
    <t>삼성증권</t>
  </si>
  <si>
    <t>현대증권</t>
  </si>
  <si>
    <t>유진투자증권</t>
  </si>
  <si>
    <t>SK증권</t>
  </si>
  <si>
    <t>우리투자증권</t>
  </si>
  <si>
    <t>동부증권</t>
  </si>
  <si>
    <t>신한금융투자</t>
  </si>
  <si>
    <t>교보증권</t>
  </si>
  <si>
    <t>대신증권</t>
  </si>
  <si>
    <t>2019AS</t>
    <phoneticPr fontId="1" type="noConversion"/>
  </si>
  <si>
    <t>이베스트투자증권</t>
  </si>
  <si>
    <t>유안타증권</t>
  </si>
  <si>
    <t>메리츠증권</t>
  </si>
  <si>
    <t>NH투자증권</t>
  </si>
  <si>
    <t>하이투자증권</t>
  </si>
  <si>
    <t>대우증권</t>
  </si>
  <si>
    <t>오린아</t>
  </si>
  <si>
    <t>김기영</t>
  </si>
  <si>
    <t>김태홍</t>
  </si>
  <si>
    <t>유주연</t>
  </si>
  <si>
    <t>박희진</t>
  </si>
  <si>
    <t>남옥진</t>
  </si>
  <si>
    <t>김지효</t>
  </si>
  <si>
    <t>김근종</t>
  </si>
  <si>
    <t>이지영</t>
  </si>
  <si>
    <t>유정현</t>
  </si>
  <si>
    <t>여영상</t>
  </si>
  <si>
    <t>민영상</t>
  </si>
  <si>
    <t>이준기</t>
  </si>
  <si>
    <t>박진</t>
  </si>
  <si>
    <t>Last Update : 2016-01-25</t>
    <phoneticPr fontId="1" type="noConversion"/>
  </si>
  <si>
    <t>미래에셋증권</t>
  </si>
  <si>
    <t>임동근</t>
  </si>
  <si>
    <t>한화증권</t>
  </si>
  <si>
    <t>김경기</t>
  </si>
  <si>
    <t>윤석모</t>
  </si>
  <si>
    <t>김형근</t>
  </si>
  <si>
    <t>정상협</t>
  </si>
  <si>
    <t>조동필</t>
  </si>
  <si>
    <t>이광수</t>
  </si>
  <si>
    <t>조윤호</t>
  </si>
  <si>
    <t>강승민</t>
  </si>
  <si>
    <t>이선일</t>
  </si>
  <si>
    <t>이경자</t>
  </si>
  <si>
    <t>박용희</t>
  </si>
  <si>
    <t>백광제</t>
  </si>
  <si>
    <t>박상연</t>
  </si>
  <si>
    <t>장문준</t>
  </si>
  <si>
    <t>김열매</t>
  </si>
  <si>
    <t>이상우</t>
  </si>
  <si>
    <t>박형렬</t>
  </si>
  <si>
    <t>이민재</t>
  </si>
  <si>
    <t>권해순</t>
  </si>
  <si>
    <t>한승재</t>
  </si>
  <si>
    <t>황유식</t>
  </si>
  <si>
    <t>박연주</t>
  </si>
  <si>
    <t>손지우</t>
  </si>
  <si>
    <t>김동양</t>
  </si>
  <si>
    <t>이다솔</t>
  </si>
  <si>
    <t>권영배</t>
  </si>
  <si>
    <t>이희철</t>
  </si>
  <si>
    <t>윤재성</t>
  </si>
  <si>
    <t>이응주</t>
  </si>
  <si>
    <t>백영찬</t>
  </si>
  <si>
    <t>양정훈</t>
  </si>
  <si>
    <t>최남곤</t>
  </si>
  <si>
    <t>김승우</t>
  </si>
  <si>
    <t>곽진희</t>
  </si>
  <si>
    <t>007070</t>
    <phoneticPr fontId="1" type="noConversion"/>
  </si>
  <si>
    <t>028150</t>
    <phoneticPr fontId="1" type="noConversion"/>
  </si>
  <si>
    <t>006360</t>
    <phoneticPr fontId="1" type="noConversion"/>
  </si>
  <si>
    <t>001250</t>
    <phoneticPr fontId="1" type="noConversion"/>
  </si>
  <si>
    <t>005420</t>
    <phoneticPr fontId="1" type="noConversion"/>
  </si>
  <si>
    <t>002170</t>
    <phoneticPr fontId="1" type="noConversion"/>
  </si>
  <si>
    <t>005070</t>
    <phoneticPr fontId="1" type="noConversion"/>
  </si>
  <si>
    <t>0078930</t>
    <phoneticPr fontId="1" type="noConversion"/>
  </si>
  <si>
    <t>Real GDP Growth</t>
    <phoneticPr fontId="1" type="noConversion"/>
  </si>
  <si>
    <t>국내 SI 성장률</t>
    <phoneticPr fontId="1" type="noConversion"/>
  </si>
  <si>
    <t>source: IDC(2014), http://www.etnews.com/20141023000161</t>
    <phoneticPr fontId="1" type="noConversion"/>
  </si>
  <si>
    <t>국내 IT서비스 성장률</t>
    <phoneticPr fontId="1" type="noConversion"/>
  </si>
  <si>
    <t>source: 한국 IDC, Korea IT Services 2014 Review and 2015-2019 Forecast</t>
    <phoneticPr fontId="1" type="noConversion"/>
  </si>
  <si>
    <t>GS E&amp;C</t>
  </si>
  <si>
    <t>GS E&amp;C</t>
    <phoneticPr fontId="1" type="noConversion"/>
  </si>
  <si>
    <t>% of SI매출</t>
    <phoneticPr fontId="1" type="noConversion"/>
  </si>
  <si>
    <t>공사</t>
    <phoneticPr fontId="1" type="noConversion"/>
  </si>
  <si>
    <t>2016년 사업 계획</t>
    <phoneticPr fontId="1" type="noConversion"/>
  </si>
  <si>
    <t>(단위:천원)</t>
  </si>
  <si>
    <t>그룹</t>
    <phoneticPr fontId="1" type="noConversion"/>
  </si>
  <si>
    <t>관계사구분</t>
    <phoneticPr fontId="1" type="noConversion"/>
  </si>
  <si>
    <t>거래처</t>
  </si>
  <si>
    <t>Desc.</t>
    <phoneticPr fontId="1" type="noConversion"/>
  </si>
  <si>
    <t>사업영역</t>
  </si>
  <si>
    <t>구분</t>
    <phoneticPr fontId="4" type="noConversion"/>
  </si>
  <si>
    <t>2016년
매출액</t>
    <phoneticPr fontId="1" type="noConversion"/>
  </si>
  <si>
    <t>서비스 구분</t>
    <phoneticPr fontId="1" type="noConversion"/>
  </si>
  <si>
    <t>기확보</t>
    <phoneticPr fontId="1" type="noConversion"/>
  </si>
  <si>
    <t>관계사</t>
    <phoneticPr fontId="1" type="noConversion"/>
  </si>
  <si>
    <t>GSC</t>
  </si>
  <si>
    <t>GSC SI프로젝트_'15년 이월건(통합 법무, U2L, 여신 금융법 대응 등)</t>
  </si>
  <si>
    <t>매출</t>
    <phoneticPr fontId="4" type="noConversion"/>
  </si>
  <si>
    <t>신규</t>
  </si>
  <si>
    <t>GSC_본사 패널 SI 프로젝트</t>
  </si>
  <si>
    <t>신규</t>
    <phoneticPr fontId="1" type="noConversion"/>
  </si>
  <si>
    <t>정유 PA 고도화</t>
    <phoneticPr fontId="1" type="noConversion"/>
  </si>
  <si>
    <t>m-Doumi개선</t>
    <phoneticPr fontId="1" type="noConversion"/>
  </si>
  <si>
    <t>영업 물류 관련 SI</t>
    <phoneticPr fontId="1" type="noConversion"/>
  </si>
  <si>
    <t>온라인설문시스템 구축</t>
    <phoneticPr fontId="1" type="noConversion"/>
  </si>
  <si>
    <t>마케팅웹사이트리뉴얼</t>
    <phoneticPr fontId="1" type="noConversion"/>
  </si>
  <si>
    <t>공장 시스템 고도화</t>
    <phoneticPr fontId="1" type="noConversion"/>
  </si>
  <si>
    <t>GS ITM</t>
  </si>
  <si>
    <t>사업계획수립</t>
    <phoneticPr fontId="1" type="noConversion"/>
  </si>
  <si>
    <t>관계사</t>
  </si>
  <si>
    <t>신사업 발굴 필요 (TBD)</t>
    <phoneticPr fontId="1" type="noConversion"/>
  </si>
  <si>
    <t>GSHS</t>
  </si>
  <si>
    <t>ivalue 러시아</t>
    <phoneticPr fontId="1" type="noConversion"/>
  </si>
  <si>
    <t>SMTC DB 구조개선</t>
  </si>
  <si>
    <t>SMTC DB 구조개선내에서 병행</t>
    <phoneticPr fontId="1" type="noConversion"/>
  </si>
  <si>
    <t>이기종 시스템 인터페이스 구조개선(ESB/EAI)</t>
  </si>
  <si>
    <t>주문/결제 인터페이스 구조개선(헤르메스)</t>
  </si>
  <si>
    <t>데이터 홈쇼핑 플렛폼 확장</t>
  </si>
  <si>
    <t>신물류시스템구축</t>
    <phoneticPr fontId="1" type="noConversion"/>
  </si>
  <si>
    <t>TBD</t>
  </si>
  <si>
    <t>TBD(GSHS 해외 사업(태국, 말레이 등))</t>
  </si>
  <si>
    <t>GS기타</t>
  </si>
  <si>
    <t>GS E&amp;R</t>
    <phoneticPr fontId="1" type="noConversion"/>
  </si>
  <si>
    <t>GS E&amp;R 설비관리(MAXIMO)시스템 고도화</t>
    <phoneticPr fontId="1" type="noConversion"/>
  </si>
  <si>
    <t>발전 SI</t>
    <phoneticPr fontId="1" type="noConversion"/>
  </si>
  <si>
    <t>주GS</t>
    <phoneticPr fontId="1" type="noConversion"/>
  </si>
  <si>
    <t>주GS 홈페이지 리뉴얼</t>
    <phoneticPr fontId="1" type="noConversion"/>
  </si>
  <si>
    <t>일반</t>
    <phoneticPr fontId="1" type="noConversion"/>
  </si>
  <si>
    <t>주GS 파일차단 솔루션</t>
    <phoneticPr fontId="1" type="noConversion"/>
  </si>
  <si>
    <t>GS엠비즈</t>
    <phoneticPr fontId="1" type="noConversion"/>
  </si>
  <si>
    <t>TBD(GS엠비즈 자산관리, 그룹웨어 개선 등)</t>
  </si>
  <si>
    <t>해양도시가스</t>
    <phoneticPr fontId="1" type="noConversion"/>
  </si>
  <si>
    <t>TBD(해양도시가스 문서집중화, GSC 재단 ERP 개선 등)</t>
  </si>
  <si>
    <t>Mobile GIS</t>
    <phoneticPr fontId="1" type="noConversion"/>
  </si>
  <si>
    <t>운전정보 Upgrade</t>
    <phoneticPr fontId="1" type="noConversion"/>
  </si>
  <si>
    <t>GS동해전력</t>
    <phoneticPr fontId="1" type="noConversion"/>
  </si>
  <si>
    <t>설비관리시스템
(TBD)</t>
  </si>
  <si>
    <t>설비관리</t>
    <phoneticPr fontId="1" type="noConversion"/>
  </si>
  <si>
    <t>ERP시스템</t>
    <phoneticPr fontId="1" type="noConversion"/>
  </si>
  <si>
    <t>북평화력 1,2호기 건설사업관리시스템구축 용역</t>
    <phoneticPr fontId="1" type="noConversion"/>
  </si>
  <si>
    <t>TBD</t>
    <phoneticPr fontId="1" type="noConversion"/>
  </si>
  <si>
    <t>GSC 도급 계약</t>
  </si>
  <si>
    <t>GSC 정보시스템 통합유지보수</t>
    <phoneticPr fontId="1" type="noConversion"/>
  </si>
  <si>
    <t>GSR</t>
  </si>
  <si>
    <t>도급 (SLA, 인력도급)</t>
    <phoneticPr fontId="1" type="noConversion"/>
  </si>
  <si>
    <t>SM (유지보수)</t>
    <phoneticPr fontId="1" type="noConversion"/>
  </si>
  <si>
    <t>유지보수</t>
    <phoneticPr fontId="1" type="noConversion"/>
  </si>
  <si>
    <t>GSHS 16년 운영유지보수</t>
  </si>
  <si>
    <t>GSHS 16년  PD</t>
  </si>
  <si>
    <t xml:space="preserve">기간계, MC/PC PD 통합 </t>
    <phoneticPr fontId="1" type="noConversion"/>
  </si>
  <si>
    <t>GSHS 16년 인프라유지보수</t>
  </si>
  <si>
    <t>50:50(영총배분)</t>
    <phoneticPr fontId="1" type="noConversion"/>
  </si>
  <si>
    <t>GSTS</t>
    <phoneticPr fontId="1" type="noConversion"/>
  </si>
  <si>
    <t>GSTS 16년 인프라유지보수</t>
    <phoneticPr fontId="1" type="noConversion"/>
  </si>
  <si>
    <t>기확보</t>
  </si>
  <si>
    <t>주GS</t>
  </si>
  <si>
    <t>주GS 2016년 정보시스템 유지보수</t>
  </si>
  <si>
    <t>대외</t>
  </si>
  <si>
    <t>E1</t>
  </si>
  <si>
    <t>E1_연말정산 서비스</t>
  </si>
  <si>
    <t>GS엠비즈</t>
  </si>
  <si>
    <t>GS엠비즈 주유소 영업장비 통합유지보수 14년-16년</t>
  </si>
  <si>
    <t>GS글로벌 2016년 정보시스템 유지보수</t>
  </si>
  <si>
    <t>GS에너지</t>
  </si>
  <si>
    <t>GSE 시스템 운영 및 IT Infra 관리 업무도급 계약 2016년</t>
  </si>
  <si>
    <t>GS에너지 전용회선 서비스 계약(15년 - 16년)</t>
  </si>
  <si>
    <t>GS엠비즈 데이타센터 서비스 이용 계약(3년 14. 11-17.10)</t>
  </si>
  <si>
    <t>GS엠비즈 도급업무계약 2015년</t>
  </si>
  <si>
    <t>GS엠비즈 도급업무계약 2016년</t>
  </si>
  <si>
    <t>GS E&amp;R</t>
  </si>
  <si>
    <t>2015년 GS E&amp;R 3사 정보시스템 유지정비 계약</t>
  </si>
  <si>
    <t>2016년 GS E&amp;R 3사 정보시스템 유지정비 계약</t>
  </si>
  <si>
    <t>GS이피에스</t>
  </si>
  <si>
    <t>GS EPS 2016년 통합유지보수</t>
  </si>
  <si>
    <t>칼텍스재단</t>
  </si>
  <si>
    <t>칼텍스재단 2015~2016년 도급계약</t>
  </si>
  <si>
    <t>GS파워</t>
  </si>
  <si>
    <t>GS파워 2016년 네트워크 관제서비스</t>
  </si>
  <si>
    <t>GS파워 서버하드웨어 유지보수 2016년</t>
  </si>
  <si>
    <t>지에스파워 2016년 정보시스템 유지정비용역</t>
  </si>
  <si>
    <t>개나리벽지</t>
  </si>
  <si>
    <t>개나리벽지 전산시스템 2016년 유지보수</t>
  </si>
  <si>
    <t>경남에너지</t>
  </si>
  <si>
    <t>경남에너지 e-HR 유지보수</t>
  </si>
  <si>
    <t>마루망코리아</t>
  </si>
  <si>
    <t xml:space="preserve">마루망코리아 2016년 통합유지보수 </t>
  </si>
  <si>
    <t>삼양인터내셔날</t>
  </si>
  <si>
    <t>프린팅아웃소싱(MPS)계약</t>
  </si>
  <si>
    <t>삼양인터내셔날 2016년 정보시스템 유지보수</t>
  </si>
  <si>
    <t>서라벌도시가스</t>
  </si>
  <si>
    <t>서라벌도시가스 통합유지보수 2016년</t>
  </si>
  <si>
    <t>센트럴모터스</t>
  </si>
  <si>
    <t>센트럴모터스 2016년 정보시스템 유지보수</t>
  </si>
  <si>
    <t>SKC솔믹스</t>
  </si>
  <si>
    <t>SKC솔믹스 e-HR 유지보수</t>
  </si>
  <si>
    <t>영유통</t>
  </si>
  <si>
    <t>영유통 2016년 전자세금계산서 유지보수</t>
  </si>
  <si>
    <t>옥산유통</t>
  </si>
  <si>
    <t>옥산유통 2016년 정보시스템 유지보수</t>
  </si>
  <si>
    <t>주GS 공시시스템 VPN Client 사용 계약</t>
  </si>
  <si>
    <t>주GS 임원리더십진단 및 조직역량서베이</t>
  </si>
  <si>
    <t>파르나스호텔</t>
  </si>
  <si>
    <t>2016년 파르나스호텔 정보시스템 유지보수</t>
  </si>
  <si>
    <t>해양도시가스</t>
  </si>
  <si>
    <t>해양도시가스 2016 통합유지보수</t>
  </si>
  <si>
    <t>Gsbill 유지보수</t>
  </si>
  <si>
    <t>GS파워</t>
    <phoneticPr fontId="1" type="noConversion"/>
  </si>
  <si>
    <t>GS파워 PI 유지보수</t>
    <phoneticPr fontId="1" type="noConversion"/>
  </si>
  <si>
    <t>PI</t>
    <phoneticPr fontId="1" type="noConversion"/>
  </si>
  <si>
    <t>북평화력 1,2호기 건설사업관리시스템구축 추가용역 (보안시스템)</t>
    <phoneticPr fontId="1" type="noConversion"/>
  </si>
  <si>
    <t>㈜엔디에스</t>
    <phoneticPr fontId="1" type="noConversion"/>
  </si>
  <si>
    <t>결제 인프라 개선 사업</t>
    <phoneticPr fontId="1" type="noConversion"/>
  </si>
  <si>
    <t>GSR 고객분석 모델 구축</t>
  </si>
  <si>
    <t>BI/DW</t>
    <phoneticPr fontId="1" type="noConversion"/>
  </si>
  <si>
    <t>TBD(GSC M-Doumi Renewal)</t>
  </si>
  <si>
    <t>GSC '15년 패널 프로젝트(U2L, 켐페인 등)</t>
  </si>
  <si>
    <t>GSC 패널 사업</t>
  </si>
  <si>
    <t>GSR 통합 고객 DW</t>
  </si>
  <si>
    <t>GSR iSuper 재구축</t>
  </si>
  <si>
    <t>쇼핑몰</t>
    <phoneticPr fontId="1" type="noConversion"/>
  </si>
  <si>
    <t>GSR 편의점 차세대 사업</t>
  </si>
  <si>
    <t>GSR 패널 프로젝트</t>
  </si>
  <si>
    <t>㈜왓슨스코리아</t>
    <phoneticPr fontId="1" type="noConversion"/>
  </si>
  <si>
    <t>왓슨스 패널 프로젝트</t>
    <phoneticPr fontId="1" type="noConversion"/>
  </si>
  <si>
    <t>GSHS iValue 러시아 Roll-Out 프로젝트</t>
  </si>
  <si>
    <t>GSHS SMTC 구조개선(헤르메스,위드넷)</t>
  </si>
  <si>
    <t>GSHS 신물류시스템 구축</t>
  </si>
  <si>
    <t>GSHS 패널 프로젝트</t>
  </si>
  <si>
    <t>TBD(GS엠비즈 자산관리, 그룹웨어 개선 등)</t>
    <phoneticPr fontId="1" type="noConversion"/>
  </si>
  <si>
    <t>서한사</t>
    <phoneticPr fontId="1" type="noConversion"/>
  </si>
  <si>
    <t>앰배서더호텔 HMS 업그레이드</t>
    <phoneticPr fontId="1" type="noConversion"/>
  </si>
  <si>
    <t>LGCNS</t>
    <phoneticPr fontId="1" type="noConversion"/>
  </si>
  <si>
    <t>우아한형제들 e-HR구축</t>
    <phoneticPr fontId="1" type="noConversion"/>
  </si>
  <si>
    <t>한일시멘트</t>
    <phoneticPr fontId="1" type="noConversion"/>
  </si>
  <si>
    <t>보안인프라 구축</t>
    <phoneticPr fontId="1" type="noConversion"/>
  </si>
  <si>
    <t>정보보안 구축(DLP)</t>
    <phoneticPr fontId="1" type="noConversion"/>
  </si>
  <si>
    <t>16년 사업(출입관리, 통합문서 관리 등)</t>
    <phoneticPr fontId="1" type="noConversion"/>
  </si>
  <si>
    <t>TBD(e-HR 시스템 구축)</t>
    <phoneticPr fontId="1" type="noConversion"/>
  </si>
  <si>
    <t>e-HR</t>
    <phoneticPr fontId="1" type="noConversion"/>
  </si>
  <si>
    <t>TBD(쇼핑몰 사업)</t>
    <phoneticPr fontId="1" type="noConversion"/>
  </si>
  <si>
    <t>TBD(일반, BI/DW, 물류)</t>
    <phoneticPr fontId="1" type="noConversion"/>
  </si>
  <si>
    <t>GSC</t>
    <phoneticPr fontId="1" type="noConversion"/>
  </si>
  <si>
    <t>관세환급고도화</t>
    <phoneticPr fontId="1" type="noConversion"/>
  </si>
  <si>
    <t>삼성SDS</t>
    <phoneticPr fontId="1" type="noConversion"/>
  </si>
  <si>
    <t>한화토탈 ERP고도화</t>
    <phoneticPr fontId="1" type="noConversion"/>
  </si>
  <si>
    <t>한일네트웍스</t>
    <phoneticPr fontId="1" type="noConversion"/>
  </si>
  <si>
    <t>사랑의열매 통합정보시스템</t>
    <phoneticPr fontId="1" type="noConversion"/>
  </si>
  <si>
    <t>보령LNG터미널</t>
    <phoneticPr fontId="1" type="noConversion"/>
  </si>
  <si>
    <t>보령LNG터미널 통합정보시스템</t>
    <phoneticPr fontId="1" type="noConversion"/>
  </si>
  <si>
    <t>STE 컨설팅</t>
    <phoneticPr fontId="1" type="noConversion"/>
  </si>
  <si>
    <t>우즈베키스타 U-Zone 프로젝트</t>
    <phoneticPr fontId="1" type="noConversion"/>
  </si>
  <si>
    <t>삼천리 ES</t>
    <phoneticPr fontId="1" type="noConversion"/>
  </si>
  <si>
    <t>삼천리 공사현장관리 고도화 (TBD)</t>
    <phoneticPr fontId="1" type="noConversion"/>
  </si>
  <si>
    <t>한일시멘트 물류,구매관리 고도화 (TBD)</t>
    <phoneticPr fontId="1" type="noConversion"/>
  </si>
  <si>
    <t>서라벌도시가스</t>
    <phoneticPr fontId="1" type="noConversion"/>
  </si>
  <si>
    <t>ERP Upgrade</t>
    <phoneticPr fontId="1" type="noConversion"/>
  </si>
  <si>
    <t>동해전력</t>
    <phoneticPr fontId="1" type="noConversion"/>
  </si>
  <si>
    <t>ERP 구축 (TBD)</t>
    <phoneticPr fontId="1" type="noConversion"/>
  </si>
  <si>
    <t>한화토탈</t>
    <phoneticPr fontId="1" type="noConversion"/>
  </si>
  <si>
    <t>설비포탈 고도화</t>
    <phoneticPr fontId="1" type="noConversion"/>
  </si>
  <si>
    <t>EWM 구축 (TBD)</t>
    <phoneticPr fontId="1" type="noConversion"/>
  </si>
  <si>
    <t>GSR</t>
    <phoneticPr fontId="1" type="noConversion"/>
  </si>
  <si>
    <t>ERP 고도화 (TBD)</t>
    <phoneticPr fontId="1" type="noConversion"/>
  </si>
  <si>
    <t>현대오일뱅크</t>
    <phoneticPr fontId="1" type="noConversion"/>
  </si>
  <si>
    <t>현대케미칼 ERP 구축</t>
    <phoneticPr fontId="1" type="noConversion"/>
  </si>
  <si>
    <t>구매포탈 구축(TBD)</t>
    <phoneticPr fontId="1" type="noConversion"/>
  </si>
  <si>
    <t>설비포탈고도화</t>
    <phoneticPr fontId="1" type="noConversion"/>
  </si>
  <si>
    <t>설비포탈</t>
    <phoneticPr fontId="1" type="noConversion"/>
  </si>
  <si>
    <t>대한유화</t>
    <phoneticPr fontId="1" type="noConversion"/>
  </si>
  <si>
    <t>설비관리시스템</t>
    <phoneticPr fontId="1" type="noConversion"/>
  </si>
  <si>
    <t>한화종합화학</t>
    <phoneticPr fontId="1" type="noConversion"/>
  </si>
  <si>
    <t>도면관리시스템</t>
    <phoneticPr fontId="1" type="noConversion"/>
  </si>
  <si>
    <t>도면관리</t>
    <phoneticPr fontId="1" type="noConversion"/>
  </si>
  <si>
    <t>설비관리시스템
(TBD)</t>
    <phoneticPr fontId="1" type="noConversion"/>
  </si>
  <si>
    <t>검사이력관리시스템</t>
    <phoneticPr fontId="1" type="noConversion"/>
  </si>
  <si>
    <t>플랜트 SI</t>
    <phoneticPr fontId="1" type="noConversion"/>
  </si>
  <si>
    <t>POSCO E&amp;C</t>
    <phoneticPr fontId="1" type="noConversion"/>
  </si>
  <si>
    <t>포스코건설_사우디 SRLF PJT 시공관리시스템 용역</t>
    <phoneticPr fontId="1" type="noConversion"/>
  </si>
  <si>
    <t>설계 IT</t>
    <phoneticPr fontId="1" type="noConversion"/>
  </si>
  <si>
    <t>포스코건설_사우디 SRLF PJT BIM 용역 (TBD)</t>
    <phoneticPr fontId="1" type="noConversion"/>
  </si>
  <si>
    <t>3D Remodeling (TBD)</t>
    <phoneticPr fontId="1" type="noConversion"/>
  </si>
  <si>
    <t>3D Remodeling</t>
    <phoneticPr fontId="1" type="noConversion"/>
  </si>
  <si>
    <t>POSCO A&amp;C 외</t>
    <phoneticPr fontId="1" type="noConversion"/>
  </si>
  <si>
    <t>3D설계 및 BIM</t>
    <phoneticPr fontId="1" type="noConversion"/>
  </si>
  <si>
    <t>wind Tunnel</t>
    <phoneticPr fontId="1" type="noConversion"/>
  </si>
  <si>
    <t>신규사업</t>
    <phoneticPr fontId="1" type="noConversion"/>
  </si>
  <si>
    <t>GS E&amp;C_ERC PJT LIMS외(TBD)</t>
  </si>
  <si>
    <t>CMMS</t>
    <phoneticPr fontId="1" type="noConversion"/>
  </si>
  <si>
    <t>현대오일뱅크 화학물질관리 및 DR 구축(TBD)</t>
    <phoneticPr fontId="1" type="noConversion"/>
  </si>
  <si>
    <t>현대케미컬 DR구축(TBD)</t>
    <phoneticPr fontId="1" type="noConversion"/>
  </si>
  <si>
    <t>GS E&amp;C_오만 LPIC PKG3 PJT - Maintenance Study, CMMS</t>
  </si>
  <si>
    <t>LG화학</t>
    <phoneticPr fontId="1" type="noConversion"/>
  </si>
  <si>
    <t>LG화학 APP 교체</t>
    <phoneticPr fontId="1" type="noConversion"/>
  </si>
  <si>
    <t>APP</t>
    <phoneticPr fontId="1" type="noConversion"/>
  </si>
  <si>
    <t>금호석유화학</t>
    <phoneticPr fontId="1" type="noConversion"/>
  </si>
  <si>
    <t>여수1에너지 및 여수정밀화학공장 PI PIMS 구축</t>
    <phoneticPr fontId="1" type="noConversion"/>
  </si>
  <si>
    <t>SC엔지니어링</t>
    <phoneticPr fontId="1" type="noConversion"/>
  </si>
  <si>
    <t>금호석유화학 중합G-LINE NB LATEX 병행 생산설비 구축 관련 PI 추가 용역</t>
    <phoneticPr fontId="1" type="noConversion"/>
  </si>
  <si>
    <t>하니웰</t>
    <phoneticPr fontId="1" type="noConversion"/>
  </si>
  <si>
    <t>BASF Ultrason PI 구축(확장)</t>
    <phoneticPr fontId="1" type="noConversion"/>
  </si>
  <si>
    <t>STX중공업</t>
    <phoneticPr fontId="1" type="noConversion"/>
  </si>
  <si>
    <t>STX중공업 - 북평화력 1,2호기 건설사업관리시스템구축 용역[PMIS 시스템 구축]</t>
    <phoneticPr fontId="1" type="noConversion"/>
  </si>
  <si>
    <t>GS E&amp;C_UAE Ra/Sn Phase-III Project AIMS/CMMS 수행</t>
  </si>
  <si>
    <t>포스코건설_사우디 SRLF PJT 설계 IT 용역</t>
    <phoneticPr fontId="1" type="noConversion"/>
  </si>
  <si>
    <t>GSC APP 교체</t>
  </si>
  <si>
    <t>산기대</t>
    <phoneticPr fontId="1" type="noConversion"/>
  </si>
  <si>
    <t>차세대시스템구축</t>
    <phoneticPr fontId="1" type="noConversion"/>
  </si>
  <si>
    <t>조선대</t>
    <phoneticPr fontId="1" type="noConversion"/>
  </si>
  <si>
    <t>경희대</t>
    <phoneticPr fontId="1" type="noConversion"/>
  </si>
  <si>
    <t>산학협력시스템구축</t>
    <phoneticPr fontId="1" type="noConversion"/>
  </si>
  <si>
    <t>원격검침제어반</t>
    <phoneticPr fontId="1" type="noConversion"/>
  </si>
  <si>
    <t>원격검침</t>
    <phoneticPr fontId="1" type="noConversion"/>
  </si>
  <si>
    <t>GS포천열병합</t>
    <phoneticPr fontId="1" type="noConversion"/>
  </si>
  <si>
    <t>원격검침시스템</t>
    <phoneticPr fontId="1" type="noConversion"/>
  </si>
  <si>
    <t>원격검침시스템 Upgrade</t>
    <phoneticPr fontId="1" type="noConversion"/>
  </si>
  <si>
    <t>현대건설</t>
    <phoneticPr fontId="1" type="noConversion"/>
  </si>
  <si>
    <t>이라크 카라발라 CCTV</t>
    <phoneticPr fontId="1" type="noConversion"/>
  </si>
  <si>
    <t>인프라</t>
    <phoneticPr fontId="1" type="noConversion"/>
  </si>
  <si>
    <t>여수공장 외곽CCTV</t>
    <phoneticPr fontId="1" type="noConversion"/>
  </si>
  <si>
    <t>물류센터 정전기방지</t>
    <phoneticPr fontId="1" type="noConversion"/>
  </si>
  <si>
    <t>자동제어</t>
    <phoneticPr fontId="1" type="noConversion"/>
  </si>
  <si>
    <t>현대오토에버</t>
    <phoneticPr fontId="1" type="noConversion"/>
  </si>
  <si>
    <t>HDGSK_IRAQ KRP Project Site Office 구축 (1차)</t>
    <phoneticPr fontId="1" type="noConversion"/>
  </si>
  <si>
    <t>NI 공사</t>
    <phoneticPr fontId="1" type="noConversion"/>
  </si>
  <si>
    <t>GS E&amp;C KNPC(쿠웨이트) 해외 인력파견</t>
  </si>
  <si>
    <t>인력파견</t>
    <phoneticPr fontId="1" type="noConversion"/>
  </si>
  <si>
    <t>GS E&amp;C Rabigh II  Project 해외인력파견</t>
  </si>
  <si>
    <t>GS E&amp;C 이라크 KARBALA IT운영인력 파견(김진영)</t>
  </si>
  <si>
    <t>GS E&amp;C_이집트 ERC PJT 현장 IT엔지니어 파견</t>
  </si>
  <si>
    <t>해외 IT 인프라유지보수업무(한영진)</t>
    <phoneticPr fontId="1" type="noConversion"/>
  </si>
  <si>
    <t>POSCO ICT</t>
    <phoneticPr fontId="1" type="noConversion"/>
  </si>
  <si>
    <t>포스코ICT_포스코 SNG 공장 PI시스템 유지보수</t>
    <phoneticPr fontId="1" type="noConversion"/>
  </si>
  <si>
    <t>현대오일뱅크_설비통합관리시스템 유지보수</t>
    <phoneticPr fontId="1" type="noConversion"/>
  </si>
  <si>
    <t xml:space="preserve">설비 </t>
    <phoneticPr fontId="1" type="noConversion"/>
  </si>
  <si>
    <t>한화케미칼</t>
    <phoneticPr fontId="1" type="noConversion"/>
  </si>
  <si>
    <t>힌화케미칼 울산공장 PI 유지보수</t>
    <phoneticPr fontId="1" type="noConversion"/>
  </si>
  <si>
    <t>힌화케미칼 여수공장 PI 유지보수</t>
    <phoneticPr fontId="1" type="noConversion"/>
  </si>
  <si>
    <t>대림산업</t>
    <phoneticPr fontId="1" type="noConversion"/>
  </si>
  <si>
    <t>대림산업 여수공장 PI 유지보수</t>
    <phoneticPr fontId="1" type="noConversion"/>
  </si>
  <si>
    <t>롯데케미칼</t>
    <phoneticPr fontId="1" type="noConversion"/>
  </si>
  <si>
    <t>롯데케미칼 울산공장 PI 유지보수</t>
    <phoneticPr fontId="1" type="noConversion"/>
  </si>
  <si>
    <t>휴켐스</t>
    <phoneticPr fontId="1" type="noConversion"/>
  </si>
  <si>
    <t>휴켐스 여수공장 PI 유지보수</t>
    <phoneticPr fontId="1" type="noConversion"/>
  </si>
  <si>
    <t>S-Oil</t>
    <phoneticPr fontId="1" type="noConversion"/>
  </si>
  <si>
    <t>S-Oil 울산공장 PI 유지보수</t>
    <phoneticPr fontId="1" type="noConversion"/>
  </si>
  <si>
    <t>사랑의열매</t>
    <phoneticPr fontId="1" type="noConversion"/>
  </si>
  <si>
    <t>SAP License &amp; 통합유지보수</t>
    <phoneticPr fontId="1" type="noConversion"/>
  </si>
  <si>
    <t>TBD (TBD)</t>
    <phoneticPr fontId="1" type="noConversion"/>
  </si>
  <si>
    <t>수원대</t>
    <phoneticPr fontId="1" type="noConversion"/>
  </si>
  <si>
    <t>차세대 SM유지보수</t>
    <phoneticPr fontId="1" type="noConversion"/>
  </si>
  <si>
    <t>수원과학대</t>
    <phoneticPr fontId="1" type="noConversion"/>
  </si>
  <si>
    <t>수원대/과학대</t>
    <phoneticPr fontId="1" type="noConversion"/>
  </si>
  <si>
    <t>차세대 SM 추가</t>
    <phoneticPr fontId="1" type="noConversion"/>
  </si>
  <si>
    <t>조선일보 태양광</t>
    <phoneticPr fontId="1" type="noConversion"/>
  </si>
  <si>
    <t>신재생에너지</t>
    <phoneticPr fontId="1" type="noConversion"/>
  </si>
  <si>
    <t>청평플러스원 정보통신공사</t>
    <phoneticPr fontId="1" type="noConversion"/>
  </si>
  <si>
    <t>IBS</t>
    <phoneticPr fontId="1" type="noConversion"/>
  </si>
  <si>
    <t>방이동 오피스텔 정보통신공사</t>
    <phoneticPr fontId="1" type="noConversion"/>
  </si>
  <si>
    <t>IBS 사업</t>
    <phoneticPr fontId="1" type="noConversion"/>
  </si>
  <si>
    <t>에너지절감</t>
    <phoneticPr fontId="1" type="noConversion"/>
  </si>
  <si>
    <t>ESCO</t>
    <phoneticPr fontId="1" type="noConversion"/>
  </si>
  <si>
    <t>포스코건설</t>
    <phoneticPr fontId="1" type="noConversion"/>
  </si>
  <si>
    <t>엘시티 통신공사</t>
    <phoneticPr fontId="1" type="noConversion"/>
  </si>
  <si>
    <t>미정</t>
    <phoneticPr fontId="1" type="noConversion"/>
  </si>
  <si>
    <t>여수 호텔 통신공사</t>
    <phoneticPr fontId="1" type="noConversion"/>
  </si>
  <si>
    <t>대외공사 TBD</t>
    <phoneticPr fontId="1" type="noConversion"/>
  </si>
  <si>
    <t>현대산업개발</t>
    <phoneticPr fontId="1" type="noConversion"/>
  </si>
  <si>
    <t>서교호텔 통신공사</t>
    <phoneticPr fontId="1" type="noConversion"/>
  </si>
  <si>
    <t>대외 공사사업 TBD</t>
    <phoneticPr fontId="1" type="noConversion"/>
  </si>
  <si>
    <t>KT</t>
    <phoneticPr fontId="1" type="noConversion"/>
  </si>
  <si>
    <t>창원감계4차 정보통신공사</t>
    <phoneticPr fontId="1" type="noConversion"/>
  </si>
  <si>
    <t>창원감계2차 정보통신공사</t>
    <phoneticPr fontId="1" type="noConversion"/>
  </si>
  <si>
    <t>태전지구 정보통신공사</t>
    <phoneticPr fontId="1" type="noConversion"/>
  </si>
  <si>
    <t>세종시 정보통신공사</t>
    <phoneticPr fontId="1" type="noConversion"/>
  </si>
  <si>
    <t>대회</t>
    <phoneticPr fontId="1" type="noConversion"/>
  </si>
  <si>
    <t>MA</t>
    <phoneticPr fontId="1" type="noConversion"/>
  </si>
  <si>
    <t>유지보수 MA</t>
    <phoneticPr fontId="1" type="noConversion"/>
  </si>
  <si>
    <t>식음료협회</t>
    <phoneticPr fontId="1" type="noConversion"/>
  </si>
  <si>
    <t>남양, 동서외</t>
    <phoneticPr fontId="1" type="noConversion"/>
  </si>
  <si>
    <t>엔플러스술루션스</t>
    <phoneticPr fontId="1" type="noConversion"/>
  </si>
  <si>
    <t>EBS유지보수</t>
    <phoneticPr fontId="1" type="noConversion"/>
  </si>
  <si>
    <t>삼일제약</t>
    <phoneticPr fontId="1" type="noConversion"/>
  </si>
  <si>
    <t>삼일제약 유지보수</t>
    <phoneticPr fontId="1" type="noConversion"/>
  </si>
  <si>
    <t>제약사</t>
    <phoneticPr fontId="1" type="noConversion"/>
  </si>
  <si>
    <t>GSHS 인프라유지보수</t>
  </si>
  <si>
    <t>GS텔레서비스 인프라유지보수</t>
    <phoneticPr fontId="1" type="noConversion"/>
  </si>
  <si>
    <t>GS E&amp;C 화상회의 및 해외IT관제 유지보수</t>
  </si>
  <si>
    <t>GS E&amp;C PC유지보수 운영</t>
  </si>
  <si>
    <t>GS E&amp;C 정보보안포탈 유지보수</t>
  </si>
  <si>
    <t>GS E&amp;C 메일서버 유지보수</t>
  </si>
  <si>
    <t>GS E&amp;C 보안인력 SM</t>
  </si>
  <si>
    <t>GS E&amp;C 기간시스템 유지보수 (LGCNS와 계약)</t>
  </si>
  <si>
    <t>서브원</t>
    <phoneticPr fontId="1" type="noConversion"/>
  </si>
  <si>
    <t>GS E&amp;C 본사 강당 AV유지보수 (서브원과 계약)</t>
  </si>
  <si>
    <t>고려대학교</t>
    <phoneticPr fontId="1" type="noConversion"/>
  </si>
  <si>
    <t>고려대학교 현대자동차경영관 IT/AV유지보수 계약</t>
    <phoneticPr fontId="1" type="noConversion"/>
  </si>
  <si>
    <t>한양대학교</t>
    <phoneticPr fontId="1" type="noConversion"/>
  </si>
  <si>
    <t>동국대학교</t>
    <phoneticPr fontId="1" type="noConversion"/>
  </si>
  <si>
    <t>경인여자대학교</t>
    <phoneticPr fontId="1" type="noConversion"/>
  </si>
  <si>
    <t>성균관대학교</t>
    <phoneticPr fontId="1" type="noConversion"/>
  </si>
  <si>
    <t>건국대학교글로컬캠퍼스</t>
    <phoneticPr fontId="1" type="noConversion"/>
  </si>
  <si>
    <t>상명대학교</t>
    <phoneticPr fontId="1" type="noConversion"/>
  </si>
  <si>
    <t>아주대학교</t>
    <phoneticPr fontId="1" type="noConversion"/>
  </si>
  <si>
    <t>GSC 인프라 상품 사업</t>
    <phoneticPr fontId="1" type="noConversion"/>
  </si>
  <si>
    <t>상품</t>
  </si>
  <si>
    <t>세중그룹외</t>
    <phoneticPr fontId="1" type="noConversion"/>
  </si>
  <si>
    <t>GS텔레서비스 별정사업(080 통신사업)  </t>
    <phoneticPr fontId="1" type="noConversion"/>
  </si>
  <si>
    <t>상품TBD</t>
  </si>
  <si>
    <t>GS글로벌 2016년 안티바이러스 갱신</t>
    <phoneticPr fontId="1" type="noConversion"/>
  </si>
  <si>
    <t>GS글로벌 2015년 MS EA 리뉴얼(3년)</t>
    <phoneticPr fontId="1" type="noConversion"/>
  </si>
  <si>
    <t>GS엠비즈 2016년 SAP 라이선스 M/A</t>
    <phoneticPr fontId="1" type="noConversion"/>
  </si>
  <si>
    <t>GSEPS</t>
    <phoneticPr fontId="1" type="noConversion"/>
  </si>
  <si>
    <t>지에스이피에스 MS EA</t>
    <phoneticPr fontId="1" type="noConversion"/>
  </si>
  <si>
    <t>지에스파워 SAP License MA</t>
    <phoneticPr fontId="1" type="noConversion"/>
  </si>
  <si>
    <t>매출</t>
  </si>
  <si>
    <t>GS파워 MS EA</t>
    <phoneticPr fontId="1" type="noConversion"/>
  </si>
  <si>
    <t>GS파워 2016년 안티바이러스공급</t>
    <phoneticPr fontId="1" type="noConversion"/>
  </si>
  <si>
    <t>서라벌도시가스 2016년 안티바이러스 갱신</t>
    <phoneticPr fontId="1" type="noConversion"/>
  </si>
  <si>
    <t>주GS 한글 2014 VP 납품</t>
    <phoneticPr fontId="1" type="noConversion"/>
  </si>
  <si>
    <t>GS EPS 안티바이러스 공급</t>
    <phoneticPr fontId="1" type="noConversion"/>
  </si>
  <si>
    <t>해양도시가스 MS EA</t>
    <phoneticPr fontId="1" type="noConversion"/>
  </si>
  <si>
    <t>해양도시가스 안티바이러스 공급</t>
    <phoneticPr fontId="1" type="noConversion"/>
  </si>
  <si>
    <t>EWM Licesne (TBD)</t>
    <phoneticPr fontId="1" type="noConversion"/>
  </si>
  <si>
    <t>Hybris Licesne (TBD)</t>
    <phoneticPr fontId="1" type="noConversion"/>
  </si>
  <si>
    <t>SAP License</t>
    <phoneticPr fontId="1" type="noConversion"/>
  </si>
  <si>
    <t>군장에너지</t>
    <phoneticPr fontId="1" type="noConversion"/>
  </si>
  <si>
    <t>원격검침회선</t>
    <phoneticPr fontId="1" type="noConversion"/>
  </si>
  <si>
    <t>회선</t>
    <phoneticPr fontId="1" type="noConversion"/>
  </si>
  <si>
    <t>H/W 및 S/W</t>
    <phoneticPr fontId="1" type="noConversion"/>
  </si>
  <si>
    <t>통합유지보수</t>
    <phoneticPr fontId="1" type="noConversion"/>
  </si>
  <si>
    <t>단국대학교</t>
    <phoneticPr fontId="1" type="noConversion"/>
  </si>
  <si>
    <t>킨텍스 납품사업</t>
    <phoneticPr fontId="1" type="noConversion"/>
  </si>
  <si>
    <t>총판</t>
  </si>
  <si>
    <t>파라다이스씨티 납품사업</t>
    <phoneticPr fontId="1" type="noConversion"/>
  </si>
  <si>
    <t>문정동 7구역 총판사업</t>
    <phoneticPr fontId="1" type="noConversion"/>
  </si>
  <si>
    <t>한국타이어 납품사업</t>
    <phoneticPr fontId="1" type="noConversion"/>
  </si>
  <si>
    <t>현대오토에버 납품사업</t>
    <phoneticPr fontId="1" type="noConversion"/>
  </si>
  <si>
    <t>NHN 납품사업</t>
    <phoneticPr fontId="1" type="noConversion"/>
  </si>
  <si>
    <t>한화빌딩 납품사업</t>
    <phoneticPr fontId="1" type="noConversion"/>
  </si>
  <si>
    <t>Leviton 총판사업</t>
  </si>
  <si>
    <t>관계사 외 대외</t>
  </si>
  <si>
    <t>관계사 외 대외</t>
    <phoneticPr fontId="1" type="noConversion"/>
  </si>
  <si>
    <t>현대해상 외</t>
    <phoneticPr fontId="1" type="noConversion"/>
  </si>
  <si>
    <t>FA, OA, IPT 네트워크 구축 사업</t>
    <phoneticPr fontId="1" type="noConversion"/>
  </si>
  <si>
    <t>시스템 보안 사업(문서, 사용자 제어)</t>
    <phoneticPr fontId="1" type="noConversion"/>
  </si>
  <si>
    <t>보안</t>
    <phoneticPr fontId="1" type="noConversion"/>
  </si>
  <si>
    <t>물리적 보안 시스템 구축 사업(인원, 차량)</t>
    <phoneticPr fontId="1" type="noConversion"/>
  </si>
  <si>
    <t>GSR 편의점 POS 외</t>
  </si>
  <si>
    <t>사업계획수립</t>
  </si>
  <si>
    <t>GSR 상품공급</t>
  </si>
  <si>
    <t>세중그룹외</t>
  </si>
  <si>
    <t>대외유통</t>
    <phoneticPr fontId="1" type="noConversion"/>
  </si>
  <si>
    <t>식음료</t>
    <phoneticPr fontId="1" type="noConversion"/>
  </si>
  <si>
    <t>솔루션</t>
    <phoneticPr fontId="1" type="noConversion"/>
  </si>
  <si>
    <t>솔루션판매</t>
    <phoneticPr fontId="1" type="noConversion"/>
  </si>
  <si>
    <t>병원</t>
    <phoneticPr fontId="1" type="noConversion"/>
  </si>
  <si>
    <t>안산시화</t>
    <phoneticPr fontId="1" type="noConversion"/>
  </si>
  <si>
    <t>HW</t>
    <phoneticPr fontId="1" type="noConversion"/>
  </si>
  <si>
    <t>HW판매</t>
    <phoneticPr fontId="1" type="noConversion"/>
  </si>
  <si>
    <t>GS텔레서비스 별정사업(080통신사업)</t>
  </si>
  <si>
    <t>일반</t>
  </si>
  <si>
    <t>GS E&amp;C San스토리지 및 백업 장비</t>
  </si>
  <si>
    <t>GS E&amp;C SysMaster 서버 임대</t>
  </si>
  <si>
    <t>GS E&amp;C PC유지보수 수리</t>
  </si>
  <si>
    <t>GS E&amp;C 현장 IT장비 납품</t>
  </si>
  <si>
    <t>경희대학교</t>
    <phoneticPr fontId="1" type="noConversion"/>
  </si>
  <si>
    <t>기업형 SNS (Push 포함)</t>
    <phoneticPr fontId="1" type="noConversion"/>
  </si>
  <si>
    <t>DB모니터링</t>
    <phoneticPr fontId="1" type="noConversion"/>
  </si>
  <si>
    <t>선문대,인하공전</t>
    <phoneticPr fontId="1" type="noConversion"/>
  </si>
  <si>
    <t>전자출결</t>
    <phoneticPr fontId="1" type="noConversion"/>
  </si>
  <si>
    <t>세종대학교</t>
    <phoneticPr fontId="1" type="noConversion"/>
  </si>
  <si>
    <t>비교과</t>
    <phoneticPr fontId="1" type="noConversion"/>
  </si>
  <si>
    <t>숭실대학교</t>
    <phoneticPr fontId="1" type="noConversion"/>
  </si>
  <si>
    <t>서강대학교</t>
    <phoneticPr fontId="1" type="noConversion"/>
  </si>
  <si>
    <t>협성대학교</t>
    <phoneticPr fontId="1" type="noConversion"/>
  </si>
  <si>
    <t>기업형 SNS(Push 포함)</t>
    <phoneticPr fontId="1" type="noConversion"/>
  </si>
  <si>
    <t>WAS 구성관리</t>
    <phoneticPr fontId="1" type="noConversion"/>
  </si>
  <si>
    <t>대내</t>
    <phoneticPr fontId="1" type="noConversion"/>
  </si>
  <si>
    <t>GSHS</t>
    <phoneticPr fontId="1" type="noConversion"/>
  </si>
  <si>
    <t>GS기타</t>
    <phoneticPr fontId="1" type="noConversion"/>
  </si>
  <si>
    <t>Hit Ratio</t>
    <phoneticPr fontId="1" type="noConversion"/>
  </si>
  <si>
    <t>상품/SI+SM매출</t>
    <phoneticPr fontId="1" type="noConversion"/>
  </si>
  <si>
    <t>% of 대내상품매출</t>
    <phoneticPr fontId="1" type="noConversion"/>
  </si>
  <si>
    <t>대내상품/SI+SM매출</t>
    <phoneticPr fontId="1" type="noConversion"/>
  </si>
  <si>
    <t>대외상품/SI+SM매출</t>
    <phoneticPr fontId="1" type="noConversion"/>
  </si>
  <si>
    <t>대내</t>
    <phoneticPr fontId="1" type="noConversion"/>
  </si>
  <si>
    <t>SI</t>
    <phoneticPr fontId="1" type="noConversion"/>
  </si>
  <si>
    <t>SM</t>
    <phoneticPr fontId="1" type="noConversion"/>
  </si>
  <si>
    <t>상품</t>
    <phoneticPr fontId="1" type="noConversion"/>
  </si>
  <si>
    <t>대외</t>
    <phoneticPr fontId="1" type="noConversion"/>
  </si>
  <si>
    <t>대내외 매출구분</t>
    <phoneticPr fontId="1" type="noConversion"/>
  </si>
  <si>
    <t>% of 대내매출</t>
    <phoneticPr fontId="1" type="noConversion"/>
  </si>
  <si>
    <t>% of 대외매출</t>
    <phoneticPr fontId="1" type="noConversion"/>
  </si>
  <si>
    <t>SI(공사포함)</t>
    <phoneticPr fontId="1" type="noConversion"/>
  </si>
  <si>
    <t>GS 상장사 영업이익</t>
    <phoneticPr fontId="1" type="noConversion"/>
  </si>
  <si>
    <t>영업이익</t>
    <phoneticPr fontId="1" type="noConversion"/>
  </si>
  <si>
    <t>박유미</t>
  </si>
  <si>
    <t>당기순이익</t>
    <phoneticPr fontId="1" type="noConversion"/>
  </si>
  <si>
    <t>GS 상장사 당기순이익</t>
    <phoneticPr fontId="1" type="noConversion"/>
  </si>
  <si>
    <t>Growth in real wages</t>
    <phoneticPr fontId="1" type="noConversion"/>
  </si>
  <si>
    <t>그룹사 CapEx</t>
    <phoneticPr fontId="1" type="noConversion"/>
  </si>
  <si>
    <t>GS그룹사 CapEx</t>
    <phoneticPr fontId="1" type="noConversion"/>
  </si>
  <si>
    <t>GS리테일</t>
  </si>
  <si>
    <t>2015 3Q</t>
    <phoneticPr fontId="1" type="noConversion"/>
  </si>
  <si>
    <t>GS칼텍스</t>
    <phoneticPr fontId="1" type="noConversion"/>
  </si>
  <si>
    <t>GS건설</t>
    <phoneticPr fontId="1" type="noConversion"/>
  </si>
  <si>
    <t>GS그룹사 SI 매출</t>
    <phoneticPr fontId="1" type="noConversion"/>
  </si>
  <si>
    <t>GS그룹사 SI 매출/CapEx</t>
    <phoneticPr fontId="1" type="noConversion"/>
  </si>
  <si>
    <t>GS그룹사 Sales</t>
    <phoneticPr fontId="1" type="noConversion"/>
  </si>
  <si>
    <t>GS그룹사 CapEx/Sales</t>
    <phoneticPr fontId="1" type="noConversion"/>
  </si>
  <si>
    <t>매출액 Consensus 비례증가/2019년 이후 2018년 성장률</t>
    <phoneticPr fontId="1" type="noConversion"/>
  </si>
  <si>
    <t>국내 정유회사 매출액</t>
    <phoneticPr fontId="1" type="noConversion"/>
  </si>
  <si>
    <t>SK에너지</t>
    <phoneticPr fontId="1" type="noConversion"/>
  </si>
  <si>
    <t>S-Oil</t>
    <phoneticPr fontId="1" type="noConversion"/>
  </si>
  <si>
    <t>현대오일뱅크</t>
    <phoneticPr fontId="1" type="noConversion"/>
  </si>
  <si>
    <t>SK이노베이션</t>
    <phoneticPr fontId="1" type="noConversion"/>
  </si>
  <si>
    <t>이제훈</t>
  </si>
  <si>
    <t>최지환</t>
  </si>
  <si>
    <t>손영주</t>
  </si>
  <si>
    <t>이동욱</t>
  </si>
  <si>
    <t>황규원</t>
  </si>
  <si>
    <t>김선우</t>
  </si>
  <si>
    <t>태양광</t>
    <phoneticPr fontId="1" type="noConversion"/>
  </si>
  <si>
    <t>태양과 외 IT공사</t>
    <phoneticPr fontId="1" type="noConversion"/>
  </si>
  <si>
    <t>태양광 산업자료</t>
    <phoneticPr fontId="1" type="noConversion"/>
  </si>
  <si>
    <t>GW</t>
    <phoneticPr fontId="1" type="noConversion"/>
  </si>
  <si>
    <t>고정비</t>
    <phoneticPr fontId="1" type="noConversion"/>
  </si>
  <si>
    <t>발생X</t>
    <phoneticPr fontId="1" type="noConversion"/>
  </si>
  <si>
    <t>감가상각비</t>
    <phoneticPr fontId="1" type="noConversion"/>
  </si>
  <si>
    <t>세금과공과</t>
    <phoneticPr fontId="1" type="noConversion"/>
  </si>
  <si>
    <t>% of SI COGS</t>
    <phoneticPr fontId="1" type="noConversion"/>
  </si>
  <si>
    <t>% of SM COGS</t>
    <phoneticPr fontId="1" type="noConversion"/>
  </si>
  <si>
    <t xml:space="preserve"> 상품매출원가</t>
    <phoneticPr fontId="1" type="noConversion"/>
  </si>
  <si>
    <t>감사보고서상 상품매출원가서 기존 녹아져 있는 운용리스감가상각비 제거</t>
    <phoneticPr fontId="1" type="noConversion"/>
  </si>
  <si>
    <t>인건비성 경비</t>
    <phoneticPr fontId="1" type="noConversion"/>
  </si>
  <si>
    <t>Guideline Transaction Method</t>
    <phoneticPr fontId="1" type="noConversion"/>
  </si>
  <si>
    <t>Announce 
Date</t>
    <phoneticPr fontId="1" type="noConversion"/>
  </si>
  <si>
    <t>Deal Price
(KRW Mil)</t>
    <phoneticPr fontId="4" type="noConversion"/>
  </si>
  <si>
    <t>Acquisition Ratio</t>
    <phoneticPr fontId="4" type="noConversion"/>
  </si>
  <si>
    <t>Enterprise 
Value</t>
    <phoneticPr fontId="4" type="noConversion"/>
  </si>
  <si>
    <t>Equity Value</t>
    <phoneticPr fontId="4" type="noConversion"/>
  </si>
  <si>
    <t>NI</t>
    <phoneticPr fontId="4" type="noConversion"/>
  </si>
  <si>
    <t>EBITDA</t>
    <phoneticPr fontId="4" type="noConversion"/>
  </si>
  <si>
    <t>Multiples</t>
    <phoneticPr fontId="1" type="noConversion"/>
  </si>
  <si>
    <t>Ratio</t>
    <phoneticPr fontId="15" type="noConversion"/>
  </si>
  <si>
    <t>of Equity(MM)</t>
    <phoneticPr fontId="15" type="noConversion"/>
  </si>
  <si>
    <t>EV(MM)</t>
    <phoneticPr fontId="15" type="noConversion"/>
  </si>
  <si>
    <t>EV(MM)</t>
    <phoneticPr fontId="15" type="noConversion"/>
  </si>
  <si>
    <t>PER</t>
    <phoneticPr fontId="1" type="noConversion"/>
  </si>
  <si>
    <t>EV/EBITDA</t>
  </si>
  <si>
    <t>아남정보기술</t>
  </si>
  <si>
    <t>KESS</t>
  </si>
  <si>
    <t>유한회사 아남 외 8인</t>
    <phoneticPr fontId="1" type="noConversion"/>
  </si>
  <si>
    <t>09/30/2015</t>
    <phoneticPr fontId="1" type="noConversion"/>
  </si>
  <si>
    <t>코마스</t>
    <phoneticPr fontId="1" type="noConversion"/>
  </si>
  <si>
    <t>대우정보시스템</t>
    <phoneticPr fontId="1" type="noConversion"/>
  </si>
  <si>
    <t>대림 I&amp;S</t>
  </si>
  <si>
    <t>대림코퍼레이션</t>
    <phoneticPr fontId="1" type="noConversion"/>
  </si>
  <si>
    <t>코오롱아이넷</t>
  </si>
  <si>
    <t>코오롱건설</t>
  </si>
  <si>
    <t>Guideline Transaction Method</t>
    <phoneticPr fontId="15" type="noConversion"/>
  </si>
  <si>
    <t>Transaction Multiple</t>
    <phoneticPr fontId="4" type="noConversion"/>
  </si>
  <si>
    <t>EV/EBITDA</t>
    <phoneticPr fontId="15" type="noConversion"/>
  </si>
  <si>
    <t>Mean</t>
    <phoneticPr fontId="1" type="noConversion"/>
  </si>
  <si>
    <t>Comparable Transaction Method</t>
    <phoneticPr fontId="15" type="noConversion"/>
  </si>
  <si>
    <t>Multiple</t>
    <phoneticPr fontId="4" type="noConversion"/>
  </si>
  <si>
    <t>Maxamum</t>
    <phoneticPr fontId="1" type="noConversion"/>
  </si>
  <si>
    <t>Company Financials</t>
    <phoneticPr fontId="1" type="noConversion"/>
  </si>
  <si>
    <t>EBITDA</t>
    <phoneticPr fontId="1" type="noConversion"/>
  </si>
  <si>
    <t>Enterprise Value</t>
    <phoneticPr fontId="1" type="noConversion"/>
  </si>
  <si>
    <t>Mean</t>
  </si>
  <si>
    <t>Net Debt</t>
    <phoneticPr fontId="1" type="noConversion"/>
  </si>
  <si>
    <t>주식가치</t>
    <phoneticPr fontId="1" type="noConversion"/>
  </si>
  <si>
    <t>PER</t>
    <phoneticPr fontId="15" type="noConversion"/>
  </si>
  <si>
    <t>10/30/2015</t>
  </si>
  <si>
    <t>05/15/2015</t>
  </si>
  <si>
    <t>04/22/2015</t>
  </si>
  <si>
    <t>09/28/2011</t>
  </si>
  <si>
    <t>Guideline Public Company Method</t>
    <phoneticPr fontId="47" type="noConversion"/>
  </si>
  <si>
    <t>Guideline Public Company</t>
    <phoneticPr fontId="47" type="noConversion"/>
  </si>
  <si>
    <t>Ticker</t>
    <phoneticPr fontId="47" type="noConversion"/>
  </si>
  <si>
    <t>Country</t>
    <phoneticPr fontId="47" type="noConversion"/>
  </si>
  <si>
    <t>Currency
(Millions)</t>
    <phoneticPr fontId="47" type="noConversion"/>
  </si>
  <si>
    <t>MKT Cap</t>
    <phoneticPr fontId="4" type="noConversion"/>
  </si>
  <si>
    <t>Net Debt</t>
    <phoneticPr fontId="15" type="noConversion"/>
  </si>
  <si>
    <t>Enterprise
Value</t>
    <phoneticPr fontId="4" type="noConversion"/>
  </si>
  <si>
    <t>LTM</t>
    <phoneticPr fontId="15" type="noConversion"/>
  </si>
  <si>
    <t>Multiples</t>
    <phoneticPr fontId="15" type="noConversion"/>
  </si>
  <si>
    <t>of Equity(MM)</t>
    <phoneticPr fontId="15" type="noConversion"/>
  </si>
  <si>
    <t>BV</t>
    <phoneticPr fontId="15" type="noConversion"/>
  </si>
  <si>
    <t>Sales</t>
    <phoneticPr fontId="47" type="noConversion"/>
  </si>
  <si>
    <t>EBIT</t>
    <phoneticPr fontId="47" type="noConversion"/>
  </si>
  <si>
    <t>Dep.</t>
    <phoneticPr fontId="15" type="noConversion"/>
  </si>
  <si>
    <t>EBITDA</t>
    <phoneticPr fontId="15" type="noConversion"/>
  </si>
  <si>
    <t>Net Income</t>
    <phoneticPr fontId="15" type="noConversion"/>
  </si>
  <si>
    <t>PBR</t>
    <phoneticPr fontId="4" type="noConversion"/>
  </si>
  <si>
    <t>EV/Sales</t>
    <phoneticPr fontId="15" type="noConversion"/>
  </si>
  <si>
    <t>EV/EBIT</t>
    <phoneticPr fontId="15" type="noConversion"/>
  </si>
  <si>
    <t>EV/EBITDA</t>
    <phoneticPr fontId="47" type="noConversion"/>
  </si>
  <si>
    <t>PER</t>
    <phoneticPr fontId="15" type="noConversion"/>
  </si>
  <si>
    <t>Guideline Public Company Method</t>
    <phoneticPr fontId="15" type="noConversion"/>
  </si>
  <si>
    <t>Multiples</t>
    <phoneticPr fontId="4" type="noConversion"/>
  </si>
  <si>
    <t>PBR</t>
    <phoneticPr fontId="47" type="noConversion"/>
  </si>
  <si>
    <t>EV/Sales</t>
    <phoneticPr fontId="15" type="noConversion"/>
  </si>
  <si>
    <t>EV/EBIT</t>
    <phoneticPr fontId="15" type="noConversion"/>
  </si>
  <si>
    <t>EV/EBITDA</t>
    <phoneticPr fontId="15" type="noConversion"/>
  </si>
  <si>
    <t>PER</t>
    <phoneticPr fontId="4" type="noConversion"/>
  </si>
  <si>
    <t>Median</t>
    <phoneticPr fontId="47" type="noConversion"/>
  </si>
  <si>
    <t>Mean</t>
    <phoneticPr fontId="47" type="noConversion"/>
  </si>
  <si>
    <t>018260 KS Equity</t>
  </si>
  <si>
    <t>022100 KS Equity</t>
  </si>
  <si>
    <t>012030 KS Equity</t>
  </si>
  <si>
    <t>035510 KS Equity</t>
  </si>
  <si>
    <t>026180 KS Equity</t>
  </si>
  <si>
    <t>046110 KS Equity</t>
  </si>
  <si>
    <t>Minority
Interest</t>
    <phoneticPr fontId="15" type="noConversion"/>
  </si>
  <si>
    <t>Book Value</t>
  </si>
  <si>
    <t>Net Income</t>
  </si>
  <si>
    <t>대상회사</t>
    <phoneticPr fontId="47" type="noConversion"/>
  </si>
  <si>
    <t>Enterprise Value</t>
    <phoneticPr fontId="4" type="noConversion"/>
  </si>
  <si>
    <t>PBR</t>
  </si>
  <si>
    <t>EV/Sales</t>
  </si>
  <si>
    <t>EV/EBIT</t>
  </si>
  <si>
    <t>PER</t>
  </si>
  <si>
    <t>NOA</t>
    <phoneticPr fontId="47" type="noConversion"/>
  </si>
  <si>
    <t>IBD</t>
    <phoneticPr fontId="47" type="noConversion"/>
  </si>
  <si>
    <t>Net Debt</t>
    <phoneticPr fontId="47" type="noConversion"/>
  </si>
  <si>
    <t>2016 Consensus</t>
    <phoneticPr fontId="1" type="noConversion"/>
  </si>
  <si>
    <t>2017 Consensus</t>
    <phoneticPr fontId="1" type="noConversion"/>
  </si>
  <si>
    <t>GS E&amp;C</t>
    <phoneticPr fontId="1" type="noConversion"/>
  </si>
  <si>
    <t>GSC</t>
    <phoneticPr fontId="1" type="noConversion"/>
  </si>
  <si>
    <t>직접 변동비</t>
    <phoneticPr fontId="1" type="noConversion"/>
  </si>
  <si>
    <t>재료비+외주비</t>
    <phoneticPr fontId="1" type="noConversion"/>
  </si>
  <si>
    <t>상품 재료비</t>
    <phoneticPr fontId="1" type="noConversion"/>
  </si>
  <si>
    <t>=MAX(ROUNDUP(K46/K84,0),J83)</t>
    <phoneticPr fontId="1" type="noConversion"/>
  </si>
  <si>
    <t>=MAX(ROUNDUP(K47/K118,0),J117)</t>
    <phoneticPr fontId="1" type="noConversion"/>
  </si>
  <si>
    <t>=MAX(ROUNDUP(K44/K152,0),J151)</t>
    <phoneticPr fontId="1" type="noConversion"/>
  </si>
  <si>
    <t>프로젝트 Site 숙소 임차; 매출비례 X</t>
    <phoneticPr fontId="1" type="noConversion"/>
  </si>
  <si>
    <t>% of SI COGS</t>
    <phoneticPr fontId="1" type="noConversion"/>
  </si>
  <si>
    <t>% of SM COGS</t>
    <phoneticPr fontId="1" type="noConversion"/>
  </si>
  <si>
    <t>2015A</t>
    <phoneticPr fontId="1" type="noConversion"/>
  </si>
  <si>
    <t>2015년</t>
    <phoneticPr fontId="1" type="noConversion"/>
  </si>
  <si>
    <t>2016/01/01 ~ 2020/12/31, 5년</t>
    <phoneticPr fontId="1" type="noConversion"/>
  </si>
  <si>
    <t>재료비+외주비</t>
    <phoneticPr fontId="1" type="noConversion"/>
  </si>
  <si>
    <t>SI 변동비성 경비</t>
    <phoneticPr fontId="1" type="noConversion"/>
  </si>
  <si>
    <t>하자보수비</t>
    <phoneticPr fontId="1" type="noConversion"/>
  </si>
  <si>
    <t>% of SI 매출액</t>
    <phoneticPr fontId="1" type="noConversion"/>
  </si>
  <si>
    <t>SI 매출의 0.2%</t>
    <phoneticPr fontId="1" type="noConversion"/>
  </si>
  <si>
    <t xml:space="preserve">임차료 </t>
    <phoneticPr fontId="1" type="noConversion"/>
  </si>
  <si>
    <t>SI 변동비성 경비</t>
    <phoneticPr fontId="1" type="noConversion"/>
  </si>
  <si>
    <t>SI 고정비성 경비</t>
    <phoneticPr fontId="1" type="noConversion"/>
  </si>
  <si>
    <t>SI 고정비성 경비</t>
    <phoneticPr fontId="1" type="noConversion"/>
  </si>
  <si>
    <t xml:space="preserve">접대비 </t>
    <phoneticPr fontId="1" type="noConversion"/>
  </si>
  <si>
    <t>판촉비</t>
    <phoneticPr fontId="1" type="noConversion"/>
  </si>
  <si>
    <t xml:space="preserve">차량유지비 </t>
    <phoneticPr fontId="1" type="noConversion"/>
  </si>
  <si>
    <t xml:space="preserve">교육훈련비 </t>
    <phoneticPr fontId="1" type="noConversion"/>
  </si>
  <si>
    <t xml:space="preserve">여비교통비 </t>
    <phoneticPr fontId="1" type="noConversion"/>
  </si>
  <si>
    <t xml:space="preserve">운반비 </t>
    <phoneticPr fontId="1" type="noConversion"/>
  </si>
  <si>
    <t xml:space="preserve">통신비 </t>
    <phoneticPr fontId="1" type="noConversion"/>
  </si>
  <si>
    <t xml:space="preserve">수도광열비 </t>
    <phoneticPr fontId="1" type="noConversion"/>
  </si>
  <si>
    <t>소모품비</t>
    <phoneticPr fontId="1" type="noConversion"/>
  </si>
  <si>
    <t>지급수수료</t>
    <phoneticPr fontId="1" type="noConversion"/>
  </si>
  <si>
    <t xml:space="preserve">사무용품비 </t>
    <phoneticPr fontId="1" type="noConversion"/>
  </si>
  <si>
    <t xml:space="preserve">도서인쇄비 </t>
    <phoneticPr fontId="1" type="noConversion"/>
  </si>
  <si>
    <t xml:space="preserve">회의비 </t>
    <phoneticPr fontId="1" type="noConversion"/>
  </si>
  <si>
    <t xml:space="preserve">프로젝트손실비 </t>
    <phoneticPr fontId="1" type="noConversion"/>
  </si>
  <si>
    <t>프로젝트충당금환입</t>
    <phoneticPr fontId="1" type="noConversion"/>
  </si>
  <si>
    <t>% of SM 매출액</t>
    <phoneticPr fontId="1" type="noConversion"/>
  </si>
  <si>
    <t>SM 고정비성 경비</t>
  </si>
  <si>
    <t>SM 고정비성 경비</t>
    <phoneticPr fontId="1" type="noConversion"/>
  </si>
  <si>
    <t>SM 유무형 상각비</t>
    <phoneticPr fontId="1" type="noConversion"/>
  </si>
  <si>
    <t xml:space="preserve">유형자산감가상각비 </t>
    <phoneticPr fontId="1" type="noConversion"/>
  </si>
  <si>
    <t xml:space="preserve">무형자산감가상각비 </t>
    <phoneticPr fontId="1" type="noConversion"/>
  </si>
  <si>
    <t xml:space="preserve">임차료 </t>
    <phoneticPr fontId="1" type="noConversion"/>
  </si>
  <si>
    <t xml:space="preserve">접대비 </t>
    <phoneticPr fontId="1" type="noConversion"/>
  </si>
  <si>
    <t xml:space="preserve">광고선전비 </t>
    <phoneticPr fontId="1" type="noConversion"/>
  </si>
  <si>
    <t>2015년 무안태양광 24억 대손설정</t>
    <phoneticPr fontId="1" type="noConversion"/>
  </si>
  <si>
    <t>수선비</t>
    <phoneticPr fontId="1" type="noConversion"/>
  </si>
  <si>
    <t>협력매출 사라진 2015년 매출원가율 유지 가정</t>
    <phoneticPr fontId="1" type="noConversion"/>
  </si>
  <si>
    <t>회원권 손상 조정</t>
    <phoneticPr fontId="1" type="noConversion"/>
  </si>
  <si>
    <t>2016년 급여동결</t>
    <phoneticPr fontId="1" type="noConversion"/>
  </si>
  <si>
    <t>1인당상여</t>
    <phoneticPr fontId="1" type="noConversion"/>
  </si>
  <si>
    <t>매출액 대비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</si>
</sst>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4">
    <numFmt numFmtId="41" formatCode="_-* #,##0_-;\-* #,##0_-;_-* &quot;-&quot;_-;_-@_-"/>
    <numFmt numFmtId="44" formatCode="_-&quot;₩&quot;* #,##0.00_-;\-&quot;₩&quot;* #,##0.00_-;_-&quot;₩&quot;* &quot;-&quot;??_-;_-@_-"/>
    <numFmt numFmtId="43" formatCode="_-* #,##0.00_-;\-* #,##0.00_-;_-* &quot;-&quot;??_-;_-@_-"/>
    <numFmt numFmtId="176" formatCode="_(* #,##0_);_(* \(#,##0\);_(* &quot;-&quot;_);_(@_)"/>
    <numFmt numFmtId="177" formatCode="_(* #,##0.00_);_(* \(#,##0.00\);_(* &quot;-&quot;??_);_(@_)"/>
    <numFmt numFmtId="178" formatCode="#,##0.000;[Red]\-#,##0.000"/>
    <numFmt numFmtId="179" formatCode="_(* #,##0_);_(* \(#,##0\);_(* &quot;-&quot;??_);_(@_)"/>
    <numFmt numFmtId="180" formatCode="#,##0_ "/>
    <numFmt numFmtId="181" formatCode="_-* #,##0.000_-;\-* #,##0.000_-;_-* &quot;-&quot;_-;_-@_-"/>
    <numFmt numFmtId="182" formatCode="#\F"/>
    <numFmt numFmtId="183" formatCode="_-* #,##0.0_-;\-* #,##0.0_-;_-* &quot;-&quot;_-;_-@_-"/>
    <numFmt numFmtId="184" formatCode="0.0%"/>
    <numFmt numFmtId="185" formatCode="_-* #,##0.00_-;\-* #,##0.00_-;_-* &quot;-&quot;_-;_-@_-"/>
    <numFmt numFmtId="186" formatCode="#,##0_);[Red]\(#,##0\)"/>
    <numFmt numFmtId="187" formatCode="0.000_ "/>
    <numFmt numFmtId="188" formatCode="#\A"/>
    <numFmt numFmtId="189" formatCode="#\E"/>
    <numFmt numFmtId="190" formatCode="#,##0.00_ "/>
    <numFmt numFmtId="191" formatCode="#,##0.000_ "/>
    <numFmt numFmtId="192" formatCode="#,##0.0&quot;x&quot;\ "/>
    <numFmt numFmtId="193" formatCode="#,##0_);[Red]\(#,##0\);\-_)"/>
    <numFmt numFmtId="194" formatCode="0.0000%"/>
    <numFmt numFmtId="195" formatCode="#,##0,,;\(#,##0,,\);\-"/>
    <numFmt numFmtId="196" formatCode="#,##0_);[Red]\(#,##0\);\-"/>
    <numFmt numFmtId="197" formatCode="0\A"/>
    <numFmt numFmtId="198" formatCode="0\E"/>
    <numFmt numFmtId="199" formatCode="0\F"/>
    <numFmt numFmtId="200" formatCode="#,##0_ ;[Red]\-#,##0\ "/>
    <numFmt numFmtId="201" formatCode="#&quot;년&quot;"/>
    <numFmt numFmtId="202" formatCode="#,##0&quot;일&quot;"/>
    <numFmt numFmtId="203" formatCode="#,##0.000000_);[Red]\(#,##0.000000\);\-"/>
    <numFmt numFmtId="204" formatCode="####\F"/>
    <numFmt numFmtId="205" formatCode="0.0\x"/>
    <numFmt numFmtId="206" formatCode="0.0\x;[Red]\(0.0\x\);&quot;- &quot;;@"/>
  </numFmts>
  <fonts count="184" x14ac:knownFonts="1">
    <font>
      <sz val="11"/>
      <color theme="1"/>
      <name val="맑은 고딕"/>
      <family val="2"/>
      <charset val="129"/>
      <scheme val="minor"/>
    </font>
    <font>
      <sz val="8"/>
      <name val="맑은 고딕"/>
      <family val="2"/>
      <charset val="129"/>
      <scheme val="minor"/>
    </font>
    <font>
      <sz val="10"/>
      <name val="맑은 고딕"/>
      <family val="3"/>
      <charset val="129"/>
      <scheme val="major"/>
    </font>
    <font>
      <sz val="28"/>
      <name val="Arial"/>
      <family val="2"/>
    </font>
    <font>
      <sz val="8"/>
      <name val="돋움"/>
      <family val="3"/>
      <charset val="129"/>
    </font>
    <font>
      <sz val="10"/>
      <name val="Arial"/>
      <family val="2"/>
    </font>
    <font>
      <sz val="11"/>
      <name val="Arial"/>
      <family val="2"/>
    </font>
    <font>
      <sz val="18"/>
      <name val="Arial"/>
      <family val="2"/>
    </font>
    <font>
      <sz val="10"/>
      <color theme="1"/>
      <name val="맑은 고딕"/>
      <family val="3"/>
      <charset val="129"/>
      <scheme val="major"/>
    </font>
    <font>
      <b/>
      <sz val="20"/>
      <color theme="0"/>
      <name val="맑은 고딕"/>
      <family val="3"/>
      <charset val="129"/>
      <scheme val="major"/>
    </font>
    <font>
      <b/>
      <sz val="16"/>
      <color theme="0"/>
      <name val="맑은 고딕"/>
      <family val="3"/>
      <charset val="129"/>
      <scheme val="major"/>
    </font>
    <font>
      <b/>
      <sz val="14"/>
      <color theme="0"/>
      <name val="맑은 고딕"/>
      <family val="3"/>
      <charset val="129"/>
      <scheme val="major"/>
    </font>
    <font>
      <b/>
      <sz val="9"/>
      <color theme="0"/>
      <name val="맑은 고딕"/>
      <family val="3"/>
      <charset val="129"/>
      <scheme val="major"/>
    </font>
    <font>
      <sz val="9"/>
      <name val="맑은 고딕"/>
      <family val="3"/>
      <charset val="129"/>
      <scheme val="major"/>
    </font>
    <font>
      <b/>
      <sz val="10"/>
      <color theme="0"/>
      <name val="맑은 고딕"/>
      <family val="3"/>
      <charset val="129"/>
      <scheme val="major"/>
    </font>
    <font>
      <sz val="8"/>
      <name val="Arial"/>
      <family val="2"/>
    </font>
    <font>
      <sz val="10"/>
      <color theme="1"/>
      <name val="맑은 고딕"/>
      <family val="3"/>
      <charset val="129"/>
      <scheme val="minor"/>
    </font>
    <font>
      <sz val="10"/>
      <color indexed="22"/>
      <name val="Arial"/>
      <family val="2"/>
    </font>
    <font>
      <sz val="16"/>
      <color indexed="22"/>
      <name val="Arial"/>
      <family val="2"/>
    </font>
    <font>
      <b/>
      <sz val="10"/>
      <color theme="1"/>
      <name val="맑은 고딕"/>
      <family val="3"/>
      <charset val="129"/>
      <scheme val="major"/>
    </font>
    <font>
      <b/>
      <sz val="20"/>
      <color rgb="FFFFFFFF"/>
      <name val="맑은 고딕"/>
      <family val="3"/>
      <charset val="129"/>
      <scheme val="major"/>
    </font>
    <font>
      <sz val="10"/>
      <color rgb="FFFFFFFF"/>
      <name val="맑은 고딕"/>
      <family val="3"/>
      <charset val="129"/>
      <scheme val="major"/>
    </font>
    <font>
      <b/>
      <sz val="12"/>
      <color theme="0"/>
      <name val="맑은 고딕"/>
      <family val="3"/>
      <charset val="129"/>
      <scheme val="major"/>
    </font>
    <font>
      <sz val="9"/>
      <color theme="1"/>
      <name val="맑은 고딕"/>
      <family val="3"/>
      <charset val="129"/>
      <scheme val="minor"/>
    </font>
    <font>
      <b/>
      <sz val="9"/>
      <color theme="1"/>
      <name val="맑은 고딕"/>
      <family val="3"/>
      <charset val="129"/>
      <scheme val="minor"/>
    </font>
    <font>
      <b/>
      <sz val="10"/>
      <color theme="1"/>
      <name val="맑은 고딕"/>
      <family val="3"/>
      <charset val="129"/>
      <scheme val="minor"/>
    </font>
    <font>
      <b/>
      <sz val="9"/>
      <color indexed="9"/>
      <name val="맑은 고딕"/>
      <family val="3"/>
      <charset val="129"/>
      <scheme val="major"/>
    </font>
    <font>
      <sz val="8"/>
      <name val="맑은 고딕"/>
      <family val="3"/>
      <charset val="129"/>
      <scheme val="minor"/>
    </font>
    <font>
      <sz val="9"/>
      <color rgb="FF00338D"/>
      <name val="맑은 고딕"/>
      <family val="3"/>
      <charset val="129"/>
      <scheme val="major"/>
    </font>
    <font>
      <b/>
      <sz val="9"/>
      <name val="맑은 고딕"/>
      <family val="3"/>
      <charset val="129"/>
      <scheme val="major"/>
    </font>
    <font>
      <sz val="9"/>
      <color indexed="12"/>
      <name val="맑은 고딕"/>
      <family val="3"/>
      <charset val="129"/>
      <scheme val="major"/>
    </font>
    <font>
      <b/>
      <u/>
      <sz val="9"/>
      <name val="맑은 고딕"/>
      <family val="3"/>
      <charset val="129"/>
      <scheme val="major"/>
    </font>
    <font>
      <b/>
      <u/>
      <vertAlign val="subscript"/>
      <sz val="9"/>
      <name val="맑은 고딕"/>
      <family val="3"/>
      <charset val="129"/>
      <scheme val="major"/>
    </font>
    <font>
      <b/>
      <vertAlign val="superscript"/>
      <sz val="9"/>
      <color indexed="9"/>
      <name val="맑은 고딕"/>
      <family val="3"/>
      <charset val="129"/>
      <scheme val="major"/>
    </font>
    <font>
      <b/>
      <i/>
      <sz val="16"/>
      <color theme="0"/>
      <name val="맑은 고딕"/>
      <family val="3"/>
      <charset val="129"/>
      <scheme val="major"/>
    </font>
    <font>
      <i/>
      <sz val="9"/>
      <name val="맑은 고딕"/>
      <family val="3"/>
      <charset val="129"/>
      <scheme val="major"/>
    </font>
    <font>
      <b/>
      <sz val="10"/>
      <color rgb="FFFF0000"/>
      <name val="맑은 고딕"/>
      <family val="3"/>
      <charset val="129"/>
      <scheme val="major"/>
    </font>
    <font>
      <b/>
      <sz val="10"/>
      <name val="맑은 고딕"/>
      <family val="3"/>
      <charset val="129"/>
      <scheme val="major"/>
    </font>
    <font>
      <sz val="9"/>
      <color theme="1"/>
      <name val="맑은 고딕"/>
      <family val="3"/>
      <charset val="129"/>
      <scheme val="major"/>
    </font>
    <font>
      <b/>
      <sz val="9"/>
      <color rgb="FF000000"/>
      <name val="맑은 고딕"/>
      <family val="3"/>
      <charset val="129"/>
      <scheme val="major"/>
    </font>
    <font>
      <sz val="9"/>
      <color rgb="FF000000"/>
      <name val="맑은 고딕"/>
      <family val="3"/>
      <charset val="129"/>
      <scheme val="major"/>
    </font>
    <font>
      <i/>
      <sz val="9"/>
      <color theme="3"/>
      <name val="맑은 고딕"/>
      <family val="3"/>
      <charset val="129"/>
      <scheme val="major"/>
    </font>
    <font>
      <b/>
      <sz val="11"/>
      <color theme="1"/>
      <name val="맑은 고딕"/>
      <family val="3"/>
      <charset val="129"/>
      <scheme val="minor"/>
    </font>
    <font>
      <sz val="10"/>
      <name val="맑은 고딕"/>
      <family val="3"/>
      <charset val="129"/>
      <scheme val="minor"/>
    </font>
    <font>
      <sz val="9"/>
      <color theme="1"/>
      <name val="맑은 고딕"/>
      <family val="2"/>
      <charset val="129"/>
      <scheme val="minor"/>
    </font>
    <font>
      <b/>
      <sz val="10"/>
      <color rgb="FFFFFFFF"/>
      <name val="맑은 고딕"/>
      <family val="3"/>
      <charset val="129"/>
      <scheme val="minor"/>
    </font>
    <font>
      <sz val="8"/>
      <name val="맑은 고딕"/>
      <family val="3"/>
      <charset val="129"/>
      <scheme val="major"/>
    </font>
    <font>
      <sz val="8"/>
      <name val="맑은 고딕"/>
      <family val="3"/>
      <charset val="129"/>
    </font>
    <font>
      <sz val="8"/>
      <color theme="1"/>
      <name val="맑은 고딕"/>
      <family val="2"/>
      <charset val="129"/>
      <scheme val="minor"/>
    </font>
    <font>
      <sz val="9"/>
      <color rgb="FFFF0000"/>
      <name val="맑은 고딕"/>
      <family val="3"/>
      <charset val="129"/>
      <scheme val="major"/>
    </font>
    <font>
      <sz val="9"/>
      <name val="맑은 고딕"/>
      <family val="3"/>
      <charset val="129"/>
      <scheme val="minor"/>
    </font>
    <font>
      <b/>
      <sz val="14"/>
      <color rgb="FFFFFFFF"/>
      <name val="맑은 고딕"/>
      <family val="3"/>
      <charset val="129"/>
      <scheme val="major"/>
    </font>
    <font>
      <b/>
      <sz val="16"/>
      <color rgb="FFFFFFFF"/>
      <name val="맑은 고딕"/>
      <family val="3"/>
      <charset val="129"/>
      <scheme val="major"/>
    </font>
    <font>
      <sz val="8"/>
      <color rgb="FF000000"/>
      <name val="맑은 고딕"/>
      <family val="3"/>
      <charset val="129"/>
      <scheme val="major"/>
    </font>
    <font>
      <sz val="14"/>
      <name val="Arial"/>
      <family val="2"/>
    </font>
    <font>
      <b/>
      <sz val="9"/>
      <color theme="3"/>
      <name val="맑은 고딕"/>
      <family val="3"/>
      <charset val="129"/>
      <scheme val="minor"/>
    </font>
    <font>
      <b/>
      <sz val="20"/>
      <color theme="0"/>
      <name val="맑은 고딕"/>
      <family val="3"/>
      <charset val="129"/>
      <scheme val="minor"/>
    </font>
    <font>
      <b/>
      <sz val="16"/>
      <color theme="0"/>
      <name val="맑은 고딕"/>
      <family val="3"/>
      <charset val="129"/>
      <scheme val="minor"/>
    </font>
    <font>
      <b/>
      <sz val="14"/>
      <color theme="0"/>
      <name val="맑은 고딕"/>
      <family val="3"/>
      <charset val="129"/>
      <scheme val="minor"/>
    </font>
    <font>
      <sz val="9"/>
      <color theme="0"/>
      <name val="맑은 고딕"/>
      <family val="3"/>
      <charset val="129"/>
      <scheme val="minor"/>
    </font>
    <font>
      <sz val="9"/>
      <color theme="3"/>
      <name val="맑은 고딕"/>
      <family val="3"/>
      <charset val="129"/>
      <scheme val="minor"/>
    </font>
    <font>
      <b/>
      <i/>
      <sz val="9"/>
      <color theme="0" tint="-0.249977111117893"/>
      <name val="맑은 고딕"/>
      <family val="3"/>
      <charset val="129"/>
      <scheme val="major"/>
    </font>
    <font>
      <b/>
      <sz val="9"/>
      <color theme="0" tint="-0.249977111117893"/>
      <name val="맑은 고딕"/>
      <family val="3"/>
      <charset val="129"/>
      <scheme val="major"/>
    </font>
    <font>
      <b/>
      <sz val="9"/>
      <color theme="1"/>
      <name val="맑은 고딕"/>
      <family val="3"/>
      <charset val="129"/>
      <scheme val="major"/>
    </font>
    <font>
      <sz val="11"/>
      <color theme="0"/>
      <name val="Arial"/>
      <family val="2"/>
    </font>
    <font>
      <sz val="7"/>
      <color theme="0" tint="-0.14999847407452621"/>
      <name val="맑은 고딕"/>
      <family val="2"/>
      <charset val="129"/>
      <scheme val="minor"/>
    </font>
    <font>
      <sz val="10"/>
      <color theme="0" tint="-0.249977111117893"/>
      <name val="맑은 고딕"/>
      <family val="3"/>
      <charset val="129"/>
      <scheme val="major"/>
    </font>
    <font>
      <b/>
      <sz val="16"/>
      <color theme="0" tint="-0.249977111117893"/>
      <name val="맑은 고딕"/>
      <family val="3"/>
      <charset val="129"/>
      <scheme val="major"/>
    </font>
    <font>
      <sz val="9"/>
      <color theme="0" tint="-0.249977111117893"/>
      <name val="맑은 고딕"/>
      <family val="3"/>
      <charset val="129"/>
      <scheme val="major"/>
    </font>
    <font>
      <b/>
      <sz val="9"/>
      <color theme="3"/>
      <name val="맑은 고딕"/>
      <family val="3"/>
      <charset val="129"/>
      <scheme val="major"/>
    </font>
    <font>
      <sz val="9"/>
      <color theme="3"/>
      <name val="맑은 고딕"/>
      <family val="3"/>
      <charset val="129"/>
      <scheme val="major"/>
    </font>
    <font>
      <sz val="9"/>
      <color theme="4" tint="0.39997558519241921"/>
      <name val="맑은 고딕"/>
      <family val="3"/>
      <charset val="129"/>
      <scheme val="major"/>
    </font>
    <font>
      <i/>
      <sz val="9"/>
      <color rgb="FFFF0000"/>
      <name val="맑은 고딕"/>
      <family val="3"/>
      <charset val="129"/>
      <scheme val="major"/>
    </font>
    <font>
      <sz val="9"/>
      <color theme="0"/>
      <name val="맑은 고딕"/>
      <family val="3"/>
      <charset val="129"/>
      <scheme val="major"/>
    </font>
    <font>
      <sz val="9"/>
      <color theme="0" tint="-0.14999847407452621"/>
      <name val="맑은 고딕"/>
      <family val="3"/>
      <charset val="129"/>
      <scheme val="major"/>
    </font>
    <font>
      <i/>
      <sz val="9"/>
      <color theme="1"/>
      <name val="맑은 고딕"/>
      <family val="3"/>
      <charset val="129"/>
      <scheme val="major"/>
    </font>
    <font>
      <sz val="8"/>
      <color theme="1"/>
      <name val="맑은 고딕"/>
      <family val="3"/>
      <charset val="129"/>
      <scheme val="minor"/>
    </font>
    <font>
      <b/>
      <sz val="9"/>
      <color theme="0"/>
      <name val="맑은 고딕"/>
      <family val="3"/>
      <charset val="129"/>
      <scheme val="minor"/>
    </font>
    <font>
      <b/>
      <i/>
      <sz val="9"/>
      <color theme="1"/>
      <name val="맑은 고딕"/>
      <family val="3"/>
      <charset val="129"/>
      <scheme val="major"/>
    </font>
    <font>
      <i/>
      <sz val="10"/>
      <color theme="1"/>
      <name val="맑은 고딕"/>
      <family val="3"/>
      <charset val="129"/>
      <scheme val="major"/>
    </font>
    <font>
      <sz val="11"/>
      <color theme="1"/>
      <name val="맑은 고딕"/>
      <family val="3"/>
      <charset val="129"/>
      <scheme val="major"/>
    </font>
    <font>
      <b/>
      <sz val="14"/>
      <color theme="3"/>
      <name val="맑은 고딕"/>
      <family val="3"/>
      <charset val="129"/>
      <scheme val="major"/>
    </font>
    <font>
      <sz val="11"/>
      <color theme="3"/>
      <name val="맑은 고딕"/>
      <family val="3"/>
      <charset val="129"/>
      <scheme val="major"/>
    </font>
    <font>
      <b/>
      <sz val="11"/>
      <color theme="1"/>
      <name val="맑은 고딕"/>
      <family val="3"/>
      <charset val="129"/>
      <scheme val="major"/>
    </font>
    <font>
      <u/>
      <sz val="11"/>
      <color theme="10"/>
      <name val="맑은 고딕"/>
      <family val="2"/>
      <charset val="129"/>
      <scheme val="minor"/>
    </font>
    <font>
      <b/>
      <sz val="8"/>
      <color theme="1"/>
      <name val="Verdana"/>
      <family val="2"/>
    </font>
    <font>
      <sz val="8"/>
      <color theme="1"/>
      <name val="Verdana"/>
      <family val="2"/>
    </font>
    <font>
      <b/>
      <sz val="9"/>
      <color rgb="FFFFFFFF"/>
      <name val="맑은 고딕"/>
      <family val="3"/>
      <charset val="129"/>
      <scheme val="major"/>
    </font>
    <font>
      <i/>
      <sz val="9"/>
      <color rgb="FF00B050"/>
      <name val="맑은 고딕"/>
      <family val="3"/>
      <charset val="129"/>
      <scheme val="major"/>
    </font>
    <font>
      <i/>
      <sz val="9"/>
      <color theme="0" tint="-0.249977111117893"/>
      <name val="맑은 고딕"/>
      <family val="3"/>
      <charset val="129"/>
      <scheme val="major"/>
    </font>
    <font>
      <b/>
      <sz val="9"/>
      <color rgb="FF00338D"/>
      <name val="맑은 고딕"/>
      <family val="3"/>
      <charset val="129"/>
    </font>
    <font>
      <sz val="9"/>
      <color rgb="FF000000"/>
      <name val="맑은 고딕"/>
      <family val="3"/>
      <charset val="129"/>
    </font>
    <font>
      <i/>
      <sz val="9"/>
      <color theme="3"/>
      <name val="맑은 고딕"/>
      <family val="3"/>
      <charset val="129"/>
      <scheme val="minor"/>
    </font>
    <font>
      <i/>
      <sz val="7"/>
      <color theme="0" tint="-0.34998626667073579"/>
      <name val="맑은 고딕"/>
      <family val="3"/>
      <charset val="129"/>
      <scheme val="minor"/>
    </font>
    <font>
      <b/>
      <vertAlign val="subscript"/>
      <sz val="9"/>
      <color rgb="FF00338D"/>
      <name val="맑은 고딕"/>
      <family val="3"/>
      <charset val="129"/>
    </font>
    <font>
      <sz val="2"/>
      <color rgb="FF000000"/>
      <name val="맑은 고딕"/>
      <family val="3"/>
      <charset val="129"/>
    </font>
    <font>
      <b/>
      <sz val="9"/>
      <color theme="0"/>
      <name val="맑은 고딕"/>
      <family val="2"/>
      <charset val="129"/>
      <scheme val="minor"/>
    </font>
    <font>
      <sz val="9"/>
      <color rgb="FFFF0000"/>
      <name val="맑은 고딕"/>
      <family val="3"/>
      <charset val="129"/>
      <scheme val="minor"/>
    </font>
    <font>
      <b/>
      <sz val="9"/>
      <color indexed="9"/>
      <name val="맑은 고딕"/>
      <family val="3"/>
      <charset val="129"/>
      <scheme val="minor"/>
    </font>
    <font>
      <b/>
      <sz val="9"/>
      <color theme="0" tint="-0.249977111117893"/>
      <name val="맑은 고딕"/>
      <family val="3"/>
      <charset val="129"/>
      <scheme val="minor"/>
    </font>
    <font>
      <b/>
      <sz val="8"/>
      <color theme="0" tint="-0.249977111117893"/>
      <name val="맑은 고딕"/>
      <family val="3"/>
      <charset val="129"/>
      <scheme val="minor"/>
    </font>
    <font>
      <b/>
      <sz val="8"/>
      <color theme="0"/>
      <name val="맑은 고딕"/>
      <family val="3"/>
      <charset val="129"/>
      <scheme val="minor"/>
    </font>
    <font>
      <b/>
      <sz val="8"/>
      <color theme="1"/>
      <name val="맑은 고딕"/>
      <family val="3"/>
      <charset val="129"/>
      <scheme val="minor"/>
    </font>
    <font>
      <i/>
      <sz val="9"/>
      <color theme="0"/>
      <name val="맑은 고딕"/>
      <family val="3"/>
      <charset val="129"/>
      <scheme val="major"/>
    </font>
    <font>
      <i/>
      <sz val="8"/>
      <color theme="0" tint="-0.249977111117893"/>
      <name val="맑은 고딕"/>
      <family val="3"/>
      <charset val="129"/>
      <scheme val="major"/>
    </font>
    <font>
      <b/>
      <sz val="10"/>
      <color rgb="FFFFFFFF"/>
      <name val="맑은 고딕"/>
      <family val="3"/>
      <charset val="129"/>
      <scheme val="major"/>
    </font>
    <font>
      <i/>
      <sz val="8"/>
      <color theme="0" tint="-0.249977111117893"/>
      <name val="맑은 고딕"/>
      <family val="3"/>
      <charset val="129"/>
      <scheme val="minor"/>
    </font>
    <font>
      <b/>
      <i/>
      <sz val="10"/>
      <color theme="0" tint="-0.249977111117893"/>
      <name val="맑은 고딕"/>
      <family val="3"/>
      <charset val="129"/>
      <scheme val="major"/>
    </font>
    <font>
      <b/>
      <i/>
      <sz val="9"/>
      <color theme="0" tint="-0.249977111117893"/>
      <name val="맑은 고딕"/>
      <family val="3"/>
      <charset val="129"/>
      <scheme val="minor"/>
    </font>
    <font>
      <sz val="11"/>
      <color theme="1"/>
      <name val="맑은 고딕"/>
      <family val="2"/>
      <charset val="129"/>
      <scheme val="minor"/>
    </font>
    <font>
      <b/>
      <sz val="12"/>
      <name val="맑은 고딕"/>
      <family val="3"/>
      <charset val="129"/>
      <scheme val="minor"/>
    </font>
    <font>
      <sz val="11"/>
      <color rgb="FF000000"/>
      <name val="굴림"/>
      <family val="3"/>
      <charset val="129"/>
    </font>
    <font>
      <sz val="10"/>
      <color theme="1"/>
      <name val="맑은 고딕"/>
      <family val="3"/>
      <charset val="129"/>
    </font>
    <font>
      <b/>
      <sz val="16"/>
      <color theme="0"/>
      <name val="맑은 고딕"/>
      <family val="3"/>
      <charset val="129"/>
    </font>
    <font>
      <b/>
      <sz val="10"/>
      <color theme="0"/>
      <name val="맑은 고딕"/>
      <family val="3"/>
      <charset val="129"/>
    </font>
    <font>
      <b/>
      <sz val="10"/>
      <name val="맑은 고딕"/>
      <family val="3"/>
      <charset val="129"/>
      <scheme val="minor"/>
    </font>
    <font>
      <b/>
      <sz val="10"/>
      <name val="맑은 고딕"/>
      <family val="3"/>
      <charset val="129"/>
    </font>
    <font>
      <b/>
      <sz val="10"/>
      <color theme="1"/>
      <name val="맑은 고딕"/>
      <family val="3"/>
      <charset val="129"/>
    </font>
    <font>
      <b/>
      <sz val="10"/>
      <color rgb="FF000000"/>
      <name val="맑은 고딕"/>
      <family val="3"/>
      <charset val="129"/>
    </font>
    <font>
      <sz val="10"/>
      <color rgb="FF000000"/>
      <name val="맑은 고딕"/>
      <family val="3"/>
      <charset val="129"/>
    </font>
    <font>
      <sz val="10"/>
      <color rgb="FFFF0000"/>
      <name val="맑은 고딕"/>
      <family val="3"/>
      <charset val="129"/>
    </font>
    <font>
      <sz val="10"/>
      <name val="맑은 고딕"/>
      <family val="3"/>
      <charset val="129"/>
    </font>
    <font>
      <i/>
      <sz val="9"/>
      <color rgb="FF00B050"/>
      <name val="맑은 고딕"/>
      <family val="3"/>
      <charset val="129"/>
      <scheme val="minor"/>
    </font>
    <font>
      <i/>
      <sz val="9"/>
      <color rgb="FF0070C0"/>
      <name val="맑은 고딕"/>
      <family val="3"/>
      <charset val="129"/>
      <scheme val="minor"/>
    </font>
    <font>
      <i/>
      <sz val="9"/>
      <color rgb="FFFF0000"/>
      <name val="맑은 고딕"/>
      <family val="3"/>
      <charset val="129"/>
      <scheme val="minor"/>
    </font>
    <font>
      <b/>
      <u/>
      <sz val="15"/>
      <color theme="6"/>
      <name val="HY견고딕"/>
      <family val="1"/>
      <charset val="129"/>
    </font>
    <font>
      <b/>
      <sz val="10"/>
      <color rgb="FF687595"/>
      <name val="맑은 고딕"/>
      <family val="3"/>
      <charset val="129"/>
      <scheme val="minor"/>
    </font>
    <font>
      <sz val="10"/>
      <color rgb="FF000000"/>
      <name val="맑은 고딕"/>
      <family val="3"/>
      <charset val="129"/>
      <scheme val="minor"/>
    </font>
    <font>
      <b/>
      <sz val="10"/>
      <color rgb="FFFF0000"/>
      <name val="맑은 고딕"/>
      <family val="3"/>
      <charset val="129"/>
      <scheme val="minor"/>
    </font>
    <font>
      <b/>
      <sz val="9"/>
      <color rgb="FF000000"/>
      <name val="맑은 고딕"/>
      <family val="3"/>
      <charset val="129"/>
      <scheme val="minor"/>
    </font>
    <font>
      <sz val="9"/>
      <color rgb="FF000000"/>
      <name val="맑은 고딕"/>
      <family val="3"/>
      <charset val="129"/>
      <scheme val="minor"/>
    </font>
    <font>
      <b/>
      <i/>
      <sz val="9"/>
      <color rgb="FFFF0000"/>
      <name val="맑은 고딕"/>
      <family val="3"/>
      <charset val="129"/>
      <scheme val="minor"/>
    </font>
    <font>
      <b/>
      <sz val="9"/>
      <color indexed="8"/>
      <name val="맑은 고딕"/>
      <family val="3"/>
      <charset val="129"/>
      <scheme val="major"/>
    </font>
    <font>
      <i/>
      <sz val="9"/>
      <color indexed="56"/>
      <name val="맑은 고딕"/>
      <family val="3"/>
      <charset val="129"/>
      <scheme val="major"/>
    </font>
    <font>
      <i/>
      <sz val="9"/>
      <color rgb="FF0C2D83"/>
      <name val="맑은 고딕"/>
      <family val="3"/>
      <charset val="129"/>
      <scheme val="major"/>
    </font>
    <font>
      <i/>
      <sz val="9"/>
      <name val="맑은 고딕"/>
      <family val="3"/>
      <charset val="129"/>
      <scheme val="minor"/>
    </font>
    <font>
      <b/>
      <sz val="9"/>
      <color rgb="FF000000"/>
      <name val="맑은 고딕"/>
      <family val="3"/>
      <charset val="129"/>
    </font>
    <font>
      <b/>
      <sz val="10"/>
      <color theme="1"/>
      <name val="맑은 고딕"/>
      <family val="2"/>
      <charset val="129"/>
      <scheme val="minor"/>
    </font>
    <font>
      <sz val="10"/>
      <color rgb="FF000000"/>
      <name val="맑은 고딕"/>
      <family val="3"/>
      <charset val="129"/>
      <scheme val="major"/>
    </font>
    <font>
      <b/>
      <sz val="10"/>
      <color rgb="FF000000"/>
      <name val="맑은 고딕"/>
      <family val="3"/>
      <charset val="129"/>
      <scheme val="major"/>
    </font>
    <font>
      <b/>
      <sz val="10"/>
      <color rgb="FF000000"/>
      <name val="맑은 고딕"/>
      <family val="3"/>
      <charset val="129"/>
      <scheme val="minor"/>
    </font>
    <font>
      <b/>
      <sz val="11"/>
      <color rgb="FF000000"/>
      <name val="맑은 고딕"/>
      <family val="3"/>
      <charset val="129"/>
      <scheme val="major"/>
    </font>
    <font>
      <sz val="11"/>
      <color rgb="FF000000"/>
      <name val="맑은 고딕"/>
      <family val="3"/>
      <charset val="129"/>
      <scheme val="major"/>
    </font>
    <font>
      <b/>
      <sz val="9"/>
      <color theme="1"/>
      <name val="맑은 고딕"/>
      <family val="2"/>
      <charset val="129"/>
      <scheme val="minor"/>
    </font>
    <font>
      <b/>
      <i/>
      <sz val="9"/>
      <color theme="3"/>
      <name val="맑은 고딕"/>
      <family val="3"/>
      <charset val="129"/>
      <scheme val="minor"/>
    </font>
    <font>
      <b/>
      <sz val="9"/>
      <color indexed="81"/>
      <name val="Tahoma"/>
      <family val="2"/>
    </font>
    <font>
      <sz val="9"/>
      <color indexed="81"/>
      <name val="Tahoma"/>
      <family val="2"/>
    </font>
    <font>
      <sz val="9"/>
      <color indexed="81"/>
      <name val="돋움"/>
      <family val="3"/>
      <charset val="129"/>
    </font>
    <font>
      <b/>
      <sz val="9"/>
      <color indexed="81"/>
      <name val="돋움"/>
      <family val="3"/>
      <charset val="129"/>
    </font>
    <font>
      <b/>
      <sz val="10"/>
      <color theme="0"/>
      <name val="맑은 고딕"/>
      <family val="3"/>
      <charset val="129"/>
      <scheme val="minor"/>
    </font>
    <font>
      <sz val="11"/>
      <name val="돋움"/>
      <family val="3"/>
      <charset val="129"/>
    </font>
    <font>
      <b/>
      <sz val="20"/>
      <color theme="1"/>
      <name val="맑은 고딕"/>
      <family val="3"/>
      <charset val="129"/>
      <scheme val="minor"/>
    </font>
    <font>
      <sz val="10"/>
      <color theme="1"/>
      <name val="맑은 고딕"/>
      <family val="2"/>
      <charset val="129"/>
      <scheme val="minor"/>
    </font>
    <font>
      <sz val="11"/>
      <color theme="1"/>
      <name val="맑은 고딕"/>
      <family val="3"/>
      <charset val="129"/>
      <scheme val="minor"/>
    </font>
    <font>
      <sz val="7"/>
      <color theme="0" tint="-0.499984740745262"/>
      <name val="맑은 고딕"/>
      <family val="3"/>
      <charset val="129"/>
      <scheme val="minor"/>
    </font>
    <font>
      <b/>
      <i/>
      <sz val="10"/>
      <name val="Arial"/>
      <family val="2"/>
    </font>
    <font>
      <b/>
      <sz val="8"/>
      <color rgb="FF000000"/>
      <name val="맑은 고딕"/>
      <family val="3"/>
      <charset val="129"/>
    </font>
    <font>
      <b/>
      <sz val="8"/>
      <color rgb="FF000000"/>
      <name val="Calibri"/>
      <family val="2"/>
    </font>
    <font>
      <sz val="8"/>
      <color rgb="FF000000"/>
      <name val="Calibri"/>
      <family val="2"/>
    </font>
    <font>
      <sz val="8"/>
      <color rgb="FF000000"/>
      <name val="맑은 고딕"/>
      <family val="3"/>
      <charset val="129"/>
    </font>
    <font>
      <sz val="11"/>
      <color rgb="FF00338D"/>
      <name val="맑은 고딕"/>
      <family val="3"/>
      <charset val="129"/>
      <scheme val="minor"/>
    </font>
    <font>
      <sz val="11"/>
      <color rgb="FF00338D"/>
      <name val="Calibri"/>
      <family val="2"/>
    </font>
    <font>
      <b/>
      <vertAlign val="superscript"/>
      <sz val="8"/>
      <color rgb="FF000000"/>
      <name val="Calibri"/>
      <family val="2"/>
    </font>
    <font>
      <i/>
      <sz val="8"/>
      <color rgb="FF000000"/>
      <name val="Calibri"/>
      <family val="2"/>
    </font>
    <font>
      <sz val="11"/>
      <color rgb="FF00338D"/>
      <name val="맑은 고딕"/>
      <family val="3"/>
      <charset val="129"/>
    </font>
    <font>
      <i/>
      <sz val="11"/>
      <color rgb="FF00B050"/>
      <name val="맑은 고딕"/>
      <family val="3"/>
      <charset val="129"/>
      <scheme val="minor"/>
    </font>
    <font>
      <b/>
      <sz val="9"/>
      <color rgb="FF404040"/>
      <name val="맑은 고딕"/>
      <family val="3"/>
      <charset val="129"/>
      <scheme val="minor"/>
    </font>
    <font>
      <b/>
      <sz val="9"/>
      <color rgb="FFBFBFBF"/>
      <name val="맑은 고딕"/>
      <family val="3"/>
      <charset val="129"/>
      <scheme val="minor"/>
    </font>
    <font>
      <sz val="9"/>
      <color rgb="FFFFFFFF"/>
      <name val="맑은 고딕"/>
      <family val="3"/>
      <charset val="129"/>
      <scheme val="minor"/>
    </font>
    <font>
      <b/>
      <sz val="12"/>
      <color theme="2" tint="-0.89999084444715716"/>
      <name val="맑은 고딕"/>
      <family val="3"/>
      <charset val="129"/>
      <scheme val="minor"/>
    </font>
    <font>
      <b/>
      <sz val="9"/>
      <color theme="2" tint="-0.89999084444715716"/>
      <name val="맑은 고딕"/>
      <family val="3"/>
      <charset val="129"/>
      <scheme val="minor"/>
    </font>
    <font>
      <b/>
      <sz val="9"/>
      <name val="맑은 고딕"/>
      <family val="3"/>
      <charset val="129"/>
      <scheme val="minor"/>
    </font>
    <font>
      <sz val="9"/>
      <color theme="2" tint="-0.89999084444715716"/>
      <name val="맑은 고딕"/>
      <family val="3"/>
      <charset val="129"/>
      <scheme val="minor"/>
    </font>
    <font>
      <sz val="10"/>
      <color theme="2" tint="-0.89999084444715716"/>
      <name val="맑은 고딕"/>
      <family val="3"/>
      <charset val="129"/>
      <scheme val="minor"/>
    </font>
    <font>
      <b/>
      <sz val="10"/>
      <color theme="2" tint="-0.89999084444715716"/>
      <name val="맑은 고딕"/>
      <family val="3"/>
      <charset val="129"/>
      <scheme val="minor"/>
    </font>
    <font>
      <b/>
      <sz val="9"/>
      <color rgb="FFFFFFFF"/>
      <name val="맑은 고딕"/>
      <family val="3"/>
      <charset val="129"/>
      <scheme val="minor"/>
    </font>
    <font>
      <b/>
      <sz val="10"/>
      <color indexed="9"/>
      <name val="맑은 고딕"/>
      <family val="3"/>
      <charset val="129"/>
      <scheme val="minor"/>
    </font>
    <font>
      <b/>
      <sz val="10"/>
      <color theme="3"/>
      <name val="맑은 고딕"/>
      <family val="3"/>
      <charset val="129"/>
      <scheme val="minor"/>
    </font>
    <font>
      <sz val="10"/>
      <color theme="3"/>
      <name val="맑은 고딕"/>
      <family val="3"/>
      <charset val="129"/>
      <scheme val="minor"/>
    </font>
    <font>
      <sz val="10"/>
      <color indexed="32"/>
      <name val="맑은 고딕"/>
      <family val="3"/>
      <charset val="129"/>
      <scheme val="minor"/>
    </font>
    <font>
      <sz val="10"/>
      <color rgb="FF00338D"/>
      <name val="맑은 고딕"/>
      <family val="3"/>
      <charset val="129"/>
      <scheme val="minor"/>
    </font>
    <font>
      <sz val="7"/>
      <color theme="0" tint="-0.249977111117893"/>
      <name val="맑은 고딕"/>
      <family val="3"/>
      <charset val="129"/>
      <scheme val="major"/>
    </font>
    <font>
      <sz val="9"/>
      <color indexed="8"/>
      <name val="맑은 고딕"/>
      <family val="3"/>
      <charset val="129"/>
      <scheme val="minor"/>
    </font>
    <font>
      <b/>
      <sz val="9"/>
      <color rgb="FFFF0000"/>
      <name val="맑은 고딕"/>
      <family val="3"/>
      <charset val="129"/>
      <scheme val="minor"/>
    </font>
  </fonts>
  <fills count="50">
    <fill>
      <patternFill patternType="none"/>
    </fill>
    <fill>
      <patternFill patternType="gray125"/>
    </fill>
    <fill>
      <patternFill patternType="solid">
        <fgColor theme="0" tint="-0.34998626667073579"/>
        <bgColor indexed="64"/>
      </patternFill>
    </fill>
    <fill>
      <patternFill patternType="solid">
        <fgColor indexed="9"/>
        <bgColor indexed="64"/>
      </patternFill>
    </fill>
    <fill>
      <patternFill patternType="solid">
        <fgColor rgb="FF409DAD"/>
        <bgColor indexed="64"/>
      </patternFill>
    </fill>
    <fill>
      <patternFill patternType="solid">
        <fgColor theme="0"/>
        <bgColor indexed="64"/>
      </patternFill>
    </fill>
    <fill>
      <patternFill patternType="solid">
        <fgColor rgb="FFFFFFFF"/>
        <bgColor indexed="64"/>
      </patternFill>
    </fill>
    <fill>
      <patternFill patternType="solid">
        <fgColor theme="4" tint="0.39994506668294322"/>
        <bgColor indexed="64"/>
      </patternFill>
    </fill>
    <fill>
      <patternFill patternType="solid">
        <fgColor rgb="FF8099C6"/>
        <bgColor indexed="64"/>
      </patternFill>
    </fill>
    <fill>
      <patternFill patternType="solid">
        <fgColor rgb="FF00338D"/>
        <bgColor indexed="64"/>
      </patternFill>
    </fill>
    <fill>
      <patternFill patternType="solid">
        <fgColor rgb="FF007C92"/>
        <bgColor indexed="64"/>
      </patternFill>
    </fill>
    <fill>
      <patternFill patternType="solid">
        <fgColor rgb="FF80BEC9"/>
        <bgColor indexed="64"/>
      </patternFill>
    </fill>
    <fill>
      <patternFill patternType="solid">
        <fgColor rgb="FFBFDEE4"/>
        <bgColor indexed="64"/>
      </patternFill>
    </fill>
    <fill>
      <patternFill patternType="solid">
        <fgColor rgb="FFE5F2F4"/>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3"/>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E3A780"/>
        <bgColor indexed="64"/>
      </patternFill>
    </fill>
    <fill>
      <patternFill patternType="solid">
        <fgColor rgb="FF99FF99"/>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rgb="FFEFF2FA"/>
        <bgColor indexed="64"/>
      </patternFill>
    </fill>
    <fill>
      <patternFill patternType="solid">
        <fgColor theme="5" tint="0.39997558519241921"/>
        <bgColor indexed="64"/>
      </patternFill>
    </fill>
    <fill>
      <patternFill patternType="solid">
        <fgColor theme="4"/>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rgb="FFFF0000"/>
        <bgColor indexed="64"/>
      </patternFill>
    </fill>
    <fill>
      <patternFill patternType="solid">
        <fgColor rgb="FFDCDCDC"/>
        <bgColor indexed="64"/>
      </patternFill>
    </fill>
    <fill>
      <patternFill patternType="solid">
        <fgColor rgb="FFFFCC00"/>
        <bgColor indexed="64"/>
      </patternFill>
    </fill>
    <fill>
      <patternFill patternType="solid">
        <fgColor rgb="FFFFC000"/>
        <bgColor indexed="64"/>
      </patternFill>
    </fill>
    <fill>
      <patternFill patternType="solid">
        <fgColor rgb="FF99CCFF"/>
        <bgColor indexed="64"/>
      </patternFill>
    </fill>
    <fill>
      <patternFill patternType="solid">
        <fgColor theme="5" tint="0.79998168889431442"/>
        <bgColor indexed="64"/>
      </patternFill>
    </fill>
    <fill>
      <patternFill patternType="solid">
        <fgColor rgb="FFC84E00"/>
        <bgColor indexed="64"/>
      </patternFill>
    </fill>
    <fill>
      <patternFill patternType="solid">
        <fgColor rgb="FF8E258D"/>
        <bgColor indexed="64"/>
      </patternFill>
    </fill>
    <fill>
      <patternFill patternType="solid">
        <fgColor rgb="FFC792C6"/>
        <bgColor indexed="64"/>
      </patternFill>
    </fill>
    <fill>
      <patternFill patternType="solid">
        <fgColor rgb="FFC9CBCA"/>
        <bgColor indexed="64"/>
      </patternFill>
    </fill>
    <fill>
      <patternFill patternType="solid">
        <fgColor theme="8"/>
        <bgColor indexed="64"/>
      </patternFill>
    </fill>
    <fill>
      <patternFill patternType="solid">
        <fgColor theme="4" tint="0.59996337778862885"/>
        <bgColor indexed="64"/>
      </patternFill>
    </fill>
    <fill>
      <patternFill patternType="solid">
        <fgColor theme="6" tint="0.39994506668294322"/>
        <bgColor indexed="64"/>
      </patternFill>
    </fill>
    <fill>
      <patternFill patternType="solid">
        <fgColor theme="9" tint="0.39997558519241921"/>
        <bgColor indexed="64"/>
      </patternFill>
    </fill>
    <fill>
      <patternFill patternType="solid">
        <fgColor rgb="FFCCD6E3"/>
        <bgColor indexed="64"/>
      </patternFill>
    </fill>
    <fill>
      <patternFill patternType="solid">
        <fgColor theme="1"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6" tint="0.79998168889431442"/>
        <bgColor indexed="64"/>
      </patternFill>
    </fill>
  </fills>
  <borders count="348">
    <border>
      <left/>
      <right/>
      <top/>
      <bottom/>
      <diagonal/>
    </border>
    <border>
      <left style="thick">
        <color indexed="32"/>
      </left>
      <right/>
      <top style="thick">
        <color indexed="32"/>
      </top>
      <bottom/>
      <diagonal/>
    </border>
    <border>
      <left/>
      <right/>
      <top style="thick">
        <color indexed="32"/>
      </top>
      <bottom/>
      <diagonal/>
    </border>
    <border>
      <left/>
      <right style="thick">
        <color indexed="32"/>
      </right>
      <top style="thick">
        <color indexed="32"/>
      </top>
      <bottom/>
      <diagonal/>
    </border>
    <border>
      <left style="thick">
        <color indexed="32"/>
      </left>
      <right/>
      <top/>
      <bottom/>
      <diagonal/>
    </border>
    <border>
      <left/>
      <right style="thick">
        <color indexed="32"/>
      </right>
      <top/>
      <bottom/>
      <diagonal/>
    </border>
    <border>
      <left style="thick">
        <color indexed="32"/>
      </left>
      <right/>
      <top/>
      <bottom style="thick">
        <color indexed="32"/>
      </bottom>
      <diagonal/>
    </border>
    <border>
      <left/>
      <right/>
      <top/>
      <bottom style="thick">
        <color indexed="32"/>
      </bottom>
      <diagonal/>
    </border>
    <border>
      <left/>
      <right style="thick">
        <color indexed="32"/>
      </right>
      <top/>
      <bottom style="thick">
        <color indexed="32"/>
      </bottom>
      <diagonal/>
    </border>
    <border>
      <left style="thin">
        <color indexed="24"/>
      </left>
      <right/>
      <top/>
      <bottom style="medium">
        <color indexed="24"/>
      </bottom>
      <diagonal/>
    </border>
    <border>
      <left/>
      <right/>
      <top/>
      <bottom style="medium">
        <color indexed="24"/>
      </bottom>
      <diagonal/>
    </border>
    <border>
      <left/>
      <right style="thin">
        <color indexed="24"/>
      </right>
      <top/>
      <bottom style="medium">
        <color indexed="24"/>
      </bottom>
      <diagonal/>
    </border>
    <border>
      <left/>
      <right/>
      <top style="thin">
        <color theme="4" tint="0.39994506668294322"/>
      </top>
      <bottom/>
      <diagonal/>
    </border>
    <border>
      <left style="thin">
        <color theme="4" tint="0.39991454817346722"/>
      </left>
      <right/>
      <top style="thin">
        <color theme="4" tint="0.39991454817346722"/>
      </top>
      <bottom/>
      <diagonal/>
    </border>
    <border>
      <left style="thin">
        <color theme="4" tint="0.39991454817346722"/>
      </left>
      <right/>
      <top style="thin">
        <color theme="4" tint="0.39991454817346722"/>
      </top>
      <bottom style="thin">
        <color theme="4" tint="0.39991454817346722"/>
      </bottom>
      <diagonal/>
    </border>
    <border>
      <left/>
      <right/>
      <top/>
      <bottom style="thin">
        <color theme="4" tint="0.39994506668294322"/>
      </bottom>
      <diagonal/>
    </border>
    <border>
      <left style="thin">
        <color theme="4" tint="0.39994506668294322"/>
      </left>
      <right/>
      <top style="thin">
        <color theme="4" tint="0.39994506668294322"/>
      </top>
      <bottom/>
      <diagonal/>
    </border>
    <border>
      <left/>
      <right style="thin">
        <color theme="4" tint="0.39994506668294322"/>
      </right>
      <top style="thin">
        <color theme="4" tint="0.39994506668294322"/>
      </top>
      <bottom/>
      <diagonal/>
    </border>
    <border>
      <left style="thin">
        <color theme="4" tint="0.39994506668294322"/>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right style="thin">
        <color theme="4" tint="0.39994506668294322"/>
      </right>
      <top/>
      <bottom/>
      <diagonal/>
    </border>
    <border>
      <left/>
      <right style="thin">
        <color theme="4" tint="0.39994506668294322"/>
      </right>
      <top/>
      <bottom style="thin">
        <color theme="4" tint="0.39994506668294322"/>
      </bottom>
      <diagonal/>
    </border>
    <border>
      <left style="thin">
        <color theme="4" tint="0.39994506668294322"/>
      </left>
      <right/>
      <top/>
      <bottom style="thin">
        <color theme="4" tint="0.39994506668294322"/>
      </bottom>
      <diagonal/>
    </border>
    <border>
      <left/>
      <right/>
      <top style="thin">
        <color theme="4" tint="0.39991454817346722"/>
      </top>
      <bottom style="thin">
        <color theme="4" tint="0.39991454817346722"/>
      </bottom>
      <diagonal/>
    </border>
    <border>
      <left/>
      <right style="thin">
        <color theme="4" tint="0.39991454817346722"/>
      </right>
      <top style="thin">
        <color theme="4" tint="0.39991454817346722"/>
      </top>
      <bottom style="thin">
        <color theme="4" tint="0.39991454817346722"/>
      </bottom>
      <diagonal/>
    </border>
    <border>
      <left/>
      <right/>
      <top/>
      <bottom style="thin">
        <color theme="4" tint="0.39988402966399123"/>
      </bottom>
      <diagonal/>
    </border>
    <border>
      <left/>
      <right style="thin">
        <color theme="4" tint="0.39988402966399123"/>
      </right>
      <top/>
      <bottom style="thin">
        <color theme="4" tint="0.39988402966399123"/>
      </bottom>
      <diagonal/>
    </border>
    <border>
      <left style="thin">
        <color theme="4" tint="0.39985351115451523"/>
      </left>
      <right/>
      <top style="thin">
        <color theme="4" tint="0.39985351115451523"/>
      </top>
      <bottom/>
      <diagonal/>
    </border>
    <border>
      <left/>
      <right/>
      <top style="thin">
        <color theme="4" tint="0.39985351115451523"/>
      </top>
      <bottom/>
      <diagonal/>
    </border>
    <border>
      <left/>
      <right style="thin">
        <color theme="4" tint="0.39985351115451523"/>
      </right>
      <top style="thin">
        <color theme="4" tint="0.39985351115451523"/>
      </top>
      <bottom/>
      <diagonal/>
    </border>
    <border>
      <left style="thin">
        <color theme="4" tint="0.39985351115451523"/>
      </left>
      <right/>
      <top/>
      <bottom style="thin">
        <color theme="4" tint="0.39985351115451523"/>
      </bottom>
      <diagonal/>
    </border>
    <border>
      <left/>
      <right/>
      <top/>
      <bottom style="thin">
        <color theme="4" tint="0.39985351115451523"/>
      </bottom>
      <diagonal/>
    </border>
    <border>
      <left/>
      <right style="thin">
        <color theme="4" tint="0.39985351115451523"/>
      </right>
      <top/>
      <bottom style="thin">
        <color theme="4" tint="0.39985351115451523"/>
      </bottom>
      <diagonal/>
    </border>
    <border>
      <left style="thin">
        <color theme="4" tint="0.39985351115451523"/>
      </left>
      <right/>
      <top/>
      <bottom/>
      <diagonal/>
    </border>
    <border>
      <left/>
      <right style="thin">
        <color theme="4" tint="0.39985351115451523"/>
      </right>
      <top/>
      <bottom/>
      <diagonal/>
    </border>
    <border>
      <left/>
      <right/>
      <top style="thin">
        <color theme="4" tint="0.39982299264503923"/>
      </top>
      <bottom/>
      <diagonal/>
    </border>
    <border>
      <left style="thin">
        <color theme="4" tint="0.39991454817346722"/>
      </left>
      <right/>
      <top/>
      <bottom style="thin">
        <color theme="4" tint="0.39991454817346722"/>
      </bottom>
      <diagonal/>
    </border>
    <border>
      <left style="thin">
        <color theme="4" tint="0.39982299264503923"/>
      </left>
      <right/>
      <top style="thin">
        <color theme="4" tint="0.39982299264503923"/>
      </top>
      <bottom style="thin">
        <color theme="4" tint="0.39982299264503923"/>
      </bottom>
      <diagonal/>
    </border>
    <border>
      <left/>
      <right/>
      <top style="thin">
        <color theme="4" tint="0.39982299264503923"/>
      </top>
      <bottom style="thin">
        <color theme="4" tint="0.39982299264503923"/>
      </bottom>
      <diagonal/>
    </border>
    <border>
      <left/>
      <right style="thin">
        <color theme="4" tint="0.39982299264503923"/>
      </right>
      <top style="thin">
        <color theme="4" tint="0.39982299264503923"/>
      </top>
      <bottom style="thin">
        <color theme="4" tint="0.39982299264503923"/>
      </bottom>
      <diagonal/>
    </border>
    <border>
      <left style="thin">
        <color theme="4" tint="0.39985351115451523"/>
      </left>
      <right/>
      <top style="thin">
        <color theme="4" tint="0.39985351115451523"/>
      </top>
      <bottom style="thin">
        <color theme="4" tint="0.39985351115451523"/>
      </bottom>
      <diagonal/>
    </border>
    <border>
      <left/>
      <right/>
      <top style="thin">
        <color theme="4" tint="0.39985351115451523"/>
      </top>
      <bottom style="thin">
        <color theme="4" tint="0.39985351115451523"/>
      </bottom>
      <diagonal/>
    </border>
    <border>
      <left/>
      <right style="thin">
        <color theme="4" tint="0.39985351115451523"/>
      </right>
      <top style="thin">
        <color theme="4" tint="0.39985351115451523"/>
      </top>
      <bottom style="thin">
        <color theme="4" tint="0.39985351115451523"/>
      </bottom>
      <diagonal/>
    </border>
    <border>
      <left/>
      <right style="thin">
        <color indexed="24"/>
      </right>
      <top/>
      <bottom/>
      <diagonal/>
    </border>
    <border>
      <left style="thin">
        <color theme="4" tint="0.39994506668294322"/>
      </left>
      <right/>
      <top style="thin">
        <color theme="4" tint="0.39994506668294322"/>
      </top>
      <bottom style="thin">
        <color theme="4" tint="0.39994506668294322"/>
      </bottom>
      <diagonal/>
    </border>
    <border>
      <left/>
      <right style="thin">
        <color theme="4" tint="0.39994506668294322"/>
      </right>
      <top style="thin">
        <color theme="4" tint="0.39994506668294322"/>
      </top>
      <bottom style="thin">
        <color theme="4" tint="0.39994506668294322"/>
      </bottom>
      <diagonal/>
    </border>
    <border>
      <left/>
      <right/>
      <top style="thin">
        <color theme="4" tint="0.39973143711661124"/>
      </top>
      <bottom/>
      <diagonal/>
    </border>
    <border>
      <left style="thin">
        <color theme="4" tint="0.39994506668294322"/>
      </left>
      <right style="thin">
        <color theme="4" tint="0.39994506668294322"/>
      </right>
      <top style="thin">
        <color theme="4" tint="0.39994506668294322"/>
      </top>
      <bottom/>
      <diagonal/>
    </border>
    <border>
      <left style="thin">
        <color theme="4" tint="0.39991454817346722"/>
      </left>
      <right/>
      <top style="thin">
        <color theme="4" tint="0.39988402966399123"/>
      </top>
      <bottom style="thin">
        <color theme="4" tint="0.39991454817346722"/>
      </bottom>
      <diagonal/>
    </border>
    <border>
      <left/>
      <right/>
      <top style="thin">
        <color theme="4" tint="0.39988402966399123"/>
      </top>
      <bottom style="thin">
        <color theme="4" tint="0.39991454817346722"/>
      </bottom>
      <diagonal/>
    </border>
    <border>
      <left/>
      <right style="thin">
        <color theme="4" tint="0.39991454817346722"/>
      </right>
      <top style="thin">
        <color theme="4" tint="0.39988402966399123"/>
      </top>
      <bottom style="thin">
        <color theme="4" tint="0.39991454817346722"/>
      </bottom>
      <diagonal/>
    </border>
    <border>
      <left style="thin">
        <color theme="4" tint="0.39994506668294322"/>
      </left>
      <right style="thin">
        <color theme="4" tint="0.39994506668294322"/>
      </right>
      <top/>
      <bottom style="thin">
        <color theme="4" tint="0.39994506668294322"/>
      </bottom>
      <diagonal/>
    </border>
    <border>
      <left style="thin">
        <color theme="4" tint="0.39994506668294322"/>
      </left>
      <right style="thin">
        <color theme="4" tint="0.39994506668294322"/>
      </right>
      <top/>
      <bottom/>
      <diagonal/>
    </border>
    <border>
      <left style="thin">
        <color theme="4" tint="0.39991454817346722"/>
      </left>
      <right style="thin">
        <color theme="4" tint="0.39994506668294322"/>
      </right>
      <top style="thin">
        <color theme="4" tint="0.39991454817346722"/>
      </top>
      <bottom style="thin">
        <color theme="4" tint="0.39991454817346722"/>
      </bottom>
      <diagonal/>
    </border>
    <border>
      <left style="thin">
        <color theme="4" tint="0.39994506668294322"/>
      </left>
      <right style="thin">
        <color theme="4" tint="0.39994506668294322"/>
      </right>
      <top style="thin">
        <color theme="4" tint="0.39991454817346722"/>
      </top>
      <bottom style="thin">
        <color theme="4" tint="0.39991454817346722"/>
      </bottom>
      <diagonal/>
    </border>
    <border>
      <left style="thin">
        <color theme="4" tint="0.39991454817346722"/>
      </left>
      <right style="thin">
        <color theme="4" tint="0.39991454817346722"/>
      </right>
      <top style="thin">
        <color theme="4" tint="0.39991454817346722"/>
      </top>
      <bottom/>
      <diagonal/>
    </border>
    <border>
      <left style="thin">
        <color theme="4" tint="0.39991454817346722"/>
      </left>
      <right style="thin">
        <color theme="4" tint="0.39991454817346722"/>
      </right>
      <top/>
      <bottom style="thin">
        <color theme="4" tint="0.39991454817346722"/>
      </bottom>
      <diagonal/>
    </border>
    <border>
      <left style="thin">
        <color theme="4" tint="0.39985351115451523"/>
      </left>
      <right style="thin">
        <color theme="4" tint="0.39985351115451523"/>
      </right>
      <top style="thin">
        <color theme="4" tint="0.39985351115451523"/>
      </top>
      <bottom/>
      <diagonal/>
    </border>
    <border>
      <left/>
      <right/>
      <top style="thin">
        <color theme="4" tint="0.39994506668294322"/>
      </top>
      <bottom style="thin">
        <color theme="4" tint="0.39994506668294322"/>
      </bottom>
      <diagonal/>
    </border>
    <border>
      <left style="thin">
        <color theme="4" tint="0.39988402966399123"/>
      </left>
      <right style="thin">
        <color theme="4" tint="0.39988402966399123"/>
      </right>
      <top style="thin">
        <color theme="4" tint="0.39988402966399123"/>
      </top>
      <bottom/>
      <diagonal/>
    </border>
    <border>
      <left style="thin">
        <color theme="4" tint="0.39988402966399123"/>
      </left>
      <right style="thin">
        <color theme="4" tint="0.39988402966399123"/>
      </right>
      <top/>
      <bottom style="thin">
        <color theme="4" tint="0.39988402966399123"/>
      </bottom>
      <diagonal/>
    </border>
    <border>
      <left/>
      <right style="thin">
        <color theme="4" tint="0.39994506668294322"/>
      </right>
      <top style="thin">
        <color theme="4" tint="0.39991454817346722"/>
      </top>
      <bottom style="thin">
        <color theme="4" tint="0.39991454817346722"/>
      </bottom>
      <diagonal/>
    </border>
    <border>
      <left style="thin">
        <color theme="4" tint="0.39994506668294322"/>
      </left>
      <right style="thin">
        <color theme="4" tint="0.39991454817346722"/>
      </right>
      <top style="thin">
        <color theme="4" tint="0.39991454817346722"/>
      </top>
      <bottom/>
      <diagonal/>
    </border>
    <border>
      <left style="thin">
        <color theme="4" tint="0.39988402966399123"/>
      </left>
      <right style="thin">
        <color theme="4" tint="0.39988402966399123"/>
      </right>
      <top/>
      <bottom/>
      <diagonal/>
    </border>
    <border>
      <left style="thin">
        <color theme="4" tint="0.39994506668294322"/>
      </left>
      <right/>
      <top/>
      <bottom style="thin">
        <color theme="4" tint="0.39982299264503923"/>
      </bottom>
      <diagonal/>
    </border>
    <border>
      <left style="thin">
        <color indexed="24"/>
      </left>
      <right style="thin">
        <color indexed="24"/>
      </right>
      <top/>
      <bottom style="thin">
        <color rgb="FF409DAD"/>
      </bottom>
      <diagonal/>
    </border>
    <border>
      <left/>
      <right style="thin">
        <color theme="4" tint="0.39970091860713525"/>
      </right>
      <top/>
      <bottom/>
      <diagonal/>
    </border>
    <border>
      <left style="thin">
        <color theme="4" tint="0.39970091860713525"/>
      </left>
      <right/>
      <top/>
      <bottom/>
      <diagonal/>
    </border>
    <border>
      <left/>
      <right/>
      <top style="thin">
        <color rgb="FF409DAD"/>
      </top>
      <bottom/>
      <diagonal/>
    </border>
    <border>
      <left/>
      <right style="thin">
        <color rgb="FF409DAD"/>
      </right>
      <top style="thin">
        <color rgb="FF409DAD"/>
      </top>
      <bottom/>
      <diagonal/>
    </border>
    <border>
      <left/>
      <right style="thin">
        <color rgb="FF409DAD"/>
      </right>
      <top/>
      <bottom/>
      <diagonal/>
    </border>
    <border>
      <left style="thin">
        <color rgb="FF409DAD"/>
      </left>
      <right style="thin">
        <color rgb="FF409DAD"/>
      </right>
      <top style="thin">
        <color rgb="FF409DAD"/>
      </top>
      <bottom/>
      <diagonal/>
    </border>
    <border>
      <left style="thin">
        <color rgb="FF409DAD"/>
      </left>
      <right style="thin">
        <color rgb="FF409DAD"/>
      </right>
      <top/>
      <bottom/>
      <diagonal/>
    </border>
    <border>
      <left style="thin">
        <color theme="4" tint="0.39967040009765925"/>
      </left>
      <right/>
      <top/>
      <bottom/>
      <diagonal/>
    </border>
    <border>
      <left/>
      <right style="thin">
        <color theme="4" tint="0.39967040009765925"/>
      </right>
      <top/>
      <bottom/>
      <diagonal/>
    </border>
    <border>
      <left/>
      <right/>
      <top/>
      <bottom style="thin">
        <color theme="4" tint="0.39967040009765925"/>
      </bottom>
      <diagonal/>
    </border>
    <border>
      <left/>
      <right style="thin">
        <color theme="4" tint="0.39967040009765925"/>
      </right>
      <top/>
      <bottom style="thin">
        <color theme="4" tint="0.39967040009765925"/>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diagonal/>
    </border>
    <border>
      <left style="thin">
        <color theme="4" tint="0.39988402966399123"/>
      </left>
      <right/>
      <top style="thin">
        <color theme="4" tint="0.39982299264503923"/>
      </top>
      <bottom style="thin">
        <color theme="4" tint="0.39988402966399123"/>
      </bottom>
      <diagonal/>
    </border>
    <border>
      <left/>
      <right/>
      <top style="thin">
        <color theme="4" tint="0.39982299264503923"/>
      </top>
      <bottom style="thin">
        <color theme="4" tint="0.39988402966399123"/>
      </bottom>
      <diagonal/>
    </border>
    <border>
      <left style="thin">
        <color theme="4" tint="0.39988402966399123"/>
      </left>
      <right/>
      <top style="thin">
        <color theme="4" tint="0.39985351115451523"/>
      </top>
      <bottom style="thin">
        <color theme="4" tint="0.39988402966399123"/>
      </bottom>
      <diagonal/>
    </border>
    <border>
      <left/>
      <right/>
      <top style="thin">
        <color theme="4" tint="0.39985351115451523"/>
      </top>
      <bottom style="thin">
        <color theme="4" tint="0.39988402966399123"/>
      </bottom>
      <diagonal/>
    </border>
    <border>
      <left style="thin">
        <color indexed="24"/>
      </left>
      <right/>
      <top style="thin">
        <color rgb="FF409DAD"/>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style="thin">
        <color theme="5"/>
      </bottom>
      <diagonal/>
    </border>
    <border>
      <left style="thin">
        <color theme="5"/>
      </left>
      <right/>
      <top/>
      <bottom/>
      <diagonal/>
    </border>
    <border>
      <left/>
      <right/>
      <top style="thin">
        <color theme="5"/>
      </top>
      <bottom/>
      <diagonal/>
    </border>
    <border>
      <left/>
      <right style="thin">
        <color theme="5"/>
      </right>
      <top/>
      <bottom/>
      <diagonal/>
    </border>
    <border>
      <left/>
      <right/>
      <top/>
      <bottom style="thin">
        <color theme="5"/>
      </bottom>
      <diagonal/>
    </border>
    <border>
      <left/>
      <right style="thin">
        <color theme="5"/>
      </right>
      <top/>
      <bottom style="thin">
        <color theme="5"/>
      </bottom>
      <diagonal/>
    </border>
    <border>
      <left style="thin">
        <color theme="5"/>
      </left>
      <right/>
      <top/>
      <bottom style="thin">
        <color theme="5"/>
      </bottom>
      <diagonal/>
    </border>
    <border>
      <left/>
      <right style="thin">
        <color theme="4" tint="0.39970091860713525"/>
      </right>
      <top style="thin">
        <color theme="4" tint="0.39973143711661124"/>
      </top>
      <bottom/>
      <diagonal/>
    </border>
    <border>
      <left style="thin">
        <color indexed="24"/>
      </left>
      <right/>
      <top/>
      <bottom style="thin">
        <color indexed="24"/>
      </bottom>
      <diagonal/>
    </border>
    <border>
      <left/>
      <right/>
      <top/>
      <bottom style="thin">
        <color indexed="24"/>
      </bottom>
      <diagonal/>
    </border>
    <border>
      <left/>
      <right style="thin">
        <color indexed="24"/>
      </right>
      <top/>
      <bottom style="thin">
        <color indexed="24"/>
      </bottom>
      <diagonal/>
    </border>
    <border>
      <left style="thin">
        <color theme="4" tint="0.39970091860713525"/>
      </left>
      <right/>
      <top style="thin">
        <color theme="4" tint="0.39973143711661124"/>
      </top>
      <bottom/>
      <diagonal/>
    </border>
    <border>
      <left/>
      <right/>
      <top/>
      <bottom style="thin">
        <color theme="4" tint="0.39973143711661124"/>
      </bottom>
      <diagonal/>
    </border>
    <border>
      <left style="thin">
        <color rgb="FF409DAD"/>
      </left>
      <right style="thin">
        <color indexed="24"/>
      </right>
      <top style="thin">
        <color rgb="FF409DAD"/>
      </top>
      <bottom/>
      <diagonal/>
    </border>
    <border>
      <left style="thin">
        <color rgb="FF409DAD"/>
      </left>
      <right style="thin">
        <color indexed="24"/>
      </right>
      <top/>
      <bottom/>
      <diagonal/>
    </border>
    <border>
      <left/>
      <right style="thin">
        <color rgb="FF409DAD"/>
      </right>
      <top/>
      <bottom style="thin">
        <color indexed="24"/>
      </bottom>
      <diagonal/>
    </border>
    <border>
      <left style="thin">
        <color theme="5"/>
      </left>
      <right/>
      <top/>
      <bottom style="hair">
        <color theme="5"/>
      </bottom>
      <diagonal/>
    </border>
    <border>
      <left/>
      <right/>
      <top/>
      <bottom style="hair">
        <color theme="5"/>
      </bottom>
      <diagonal/>
    </border>
    <border>
      <left/>
      <right style="thin">
        <color theme="5"/>
      </right>
      <top/>
      <bottom style="hair">
        <color theme="5"/>
      </bottom>
      <diagonal/>
    </border>
    <border>
      <left style="thin">
        <color rgb="FF409DAD"/>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theme="4" tint="0.39988402966399123"/>
      </left>
      <right style="thin">
        <color theme="4" tint="0.39988402966399123"/>
      </right>
      <top style="thin">
        <color theme="4" tint="0.39988402966399123"/>
      </top>
      <bottom style="thin">
        <color theme="4" tint="0.39988402966399123"/>
      </bottom>
      <diagonal/>
    </border>
    <border>
      <left style="thin">
        <color theme="4" tint="0.39991454817346722"/>
      </left>
      <right style="thin">
        <color theme="4" tint="0.39994506668294322"/>
      </right>
      <top style="thin">
        <color theme="4" tint="0.39994506668294322"/>
      </top>
      <bottom style="thin">
        <color theme="4" tint="0.39994506668294322"/>
      </bottom>
      <diagonal/>
    </border>
    <border>
      <left style="thin">
        <color theme="4" tint="0.39994506668294322"/>
      </left>
      <right/>
      <top/>
      <bottom style="hair">
        <color theme="4" tint="0.39991454817346722"/>
      </bottom>
      <diagonal/>
    </border>
    <border>
      <left/>
      <right/>
      <top/>
      <bottom style="hair">
        <color theme="4" tint="0.39991454817346722"/>
      </bottom>
      <diagonal/>
    </border>
    <border>
      <left/>
      <right style="thin">
        <color theme="4" tint="0.39994506668294322"/>
      </right>
      <top/>
      <bottom style="hair">
        <color theme="4" tint="0.39991454817346722"/>
      </bottom>
      <diagonal/>
    </border>
    <border>
      <left style="thin">
        <color theme="4" tint="0.39967040009765925"/>
      </left>
      <right/>
      <top/>
      <bottom style="thin">
        <color theme="4" tint="0.39967040009765925"/>
      </bottom>
      <diagonal/>
    </border>
    <border>
      <left style="thin">
        <color rgb="FF007C92"/>
      </left>
      <right/>
      <top/>
      <bottom/>
      <diagonal/>
    </border>
    <border>
      <left/>
      <right/>
      <top/>
      <bottom style="thin">
        <color rgb="FF409DAD"/>
      </bottom>
      <diagonal/>
    </border>
    <border>
      <left style="thin">
        <color rgb="FF409DAD"/>
      </left>
      <right/>
      <top style="thin">
        <color indexed="24"/>
      </top>
      <bottom/>
      <diagonal/>
    </border>
    <border>
      <left/>
      <right style="thin">
        <color rgb="FF409DAD"/>
      </right>
      <top style="thin">
        <color indexed="24"/>
      </top>
      <bottom/>
      <diagonal/>
    </border>
    <border>
      <left style="thin">
        <color rgb="FF409DAD"/>
      </left>
      <right/>
      <top/>
      <bottom style="thin">
        <color rgb="FF409DAD"/>
      </bottom>
      <diagonal/>
    </border>
    <border>
      <left/>
      <right style="thin">
        <color rgb="FF409DAD"/>
      </right>
      <top/>
      <bottom style="thin">
        <color rgb="FF409DAD"/>
      </bottom>
      <diagonal/>
    </border>
    <border>
      <left style="thin">
        <color theme="0"/>
      </left>
      <right/>
      <top/>
      <bottom/>
      <diagonal/>
    </border>
    <border>
      <left/>
      <right style="thin">
        <color theme="0"/>
      </right>
      <top/>
      <bottom/>
      <diagonal/>
    </border>
    <border>
      <left style="thin">
        <color theme="4" tint="0.39988402966399123"/>
      </left>
      <right/>
      <top style="thin">
        <color theme="4" tint="0.39988402966399123"/>
      </top>
      <bottom style="thin">
        <color theme="4" tint="0.39988402966399123"/>
      </bottom>
      <diagonal/>
    </border>
    <border>
      <left/>
      <right/>
      <top style="thin">
        <color theme="4" tint="0.39988402966399123"/>
      </top>
      <bottom style="thin">
        <color theme="4" tint="0.39988402966399123"/>
      </bottom>
      <diagonal/>
    </border>
    <border>
      <left/>
      <right style="thin">
        <color theme="4" tint="0.39988402966399123"/>
      </right>
      <top style="thin">
        <color theme="4" tint="0.39988402966399123"/>
      </top>
      <bottom style="thin">
        <color theme="4" tint="0.39988402966399123"/>
      </bottom>
      <diagonal/>
    </border>
    <border>
      <left/>
      <right/>
      <top/>
      <bottom style="thin">
        <color theme="4" tint="-0.24994659260841701"/>
      </bottom>
      <diagonal/>
    </border>
    <border>
      <left style="thin">
        <color indexed="24"/>
      </left>
      <right/>
      <top style="thin">
        <color indexed="24"/>
      </top>
      <bottom style="thin">
        <color indexed="24"/>
      </bottom>
      <diagonal/>
    </border>
    <border>
      <left/>
      <right/>
      <top style="thin">
        <color indexed="24"/>
      </top>
      <bottom style="thin">
        <color indexed="24"/>
      </bottom>
      <diagonal/>
    </border>
    <border>
      <left/>
      <right style="thin">
        <color indexed="24"/>
      </right>
      <top style="thin">
        <color indexed="24"/>
      </top>
      <bottom style="thin">
        <color indexed="24"/>
      </bottom>
      <diagonal/>
    </border>
    <border>
      <left style="thin">
        <color indexed="24"/>
      </left>
      <right/>
      <top style="thin">
        <color indexed="24"/>
      </top>
      <bottom/>
      <diagonal/>
    </border>
    <border>
      <left/>
      <right/>
      <top style="thin">
        <color indexed="24"/>
      </top>
      <bottom/>
      <diagonal/>
    </border>
    <border>
      <left/>
      <right style="thin">
        <color indexed="24"/>
      </right>
      <top style="thin">
        <color indexed="24"/>
      </top>
      <bottom/>
      <diagonal/>
    </border>
    <border>
      <left style="thin">
        <color indexed="24"/>
      </left>
      <right style="thin">
        <color indexed="24"/>
      </right>
      <top style="thin">
        <color indexed="24"/>
      </top>
      <bottom/>
      <diagonal/>
    </border>
    <border>
      <left style="thin">
        <color indexed="24"/>
      </left>
      <right/>
      <top/>
      <bottom/>
      <diagonal/>
    </border>
    <border>
      <left style="thin">
        <color indexed="24"/>
      </left>
      <right style="thin">
        <color indexed="24"/>
      </right>
      <top/>
      <bottom/>
      <diagonal/>
    </border>
    <border>
      <left style="thin">
        <color indexed="24"/>
      </left>
      <right/>
      <top style="thin">
        <color indexed="24"/>
      </top>
      <bottom style="thin">
        <color rgb="FF409DAD"/>
      </bottom>
      <diagonal/>
    </border>
    <border>
      <left/>
      <right/>
      <top style="thin">
        <color indexed="24"/>
      </top>
      <bottom style="thin">
        <color rgb="FF409DAD"/>
      </bottom>
      <diagonal/>
    </border>
    <border>
      <left style="thin">
        <color rgb="FF409DAD"/>
      </left>
      <right style="thin">
        <color rgb="FF409DAD"/>
      </right>
      <top/>
      <bottom style="thin">
        <color rgb="FF409DAD"/>
      </bottom>
      <diagonal/>
    </border>
    <border>
      <left/>
      <right style="thin">
        <color indexed="24"/>
      </right>
      <top style="thin">
        <color indexed="24"/>
      </top>
      <bottom style="thin">
        <color rgb="FF409DAD"/>
      </bottom>
      <diagonal/>
    </border>
    <border>
      <left/>
      <right/>
      <top style="thin">
        <color theme="4" tint="0.39991454817346722"/>
      </top>
      <bottom/>
      <diagonal/>
    </border>
    <border>
      <left/>
      <right style="thin">
        <color theme="4" tint="0.39991454817346722"/>
      </right>
      <top style="thin">
        <color theme="4" tint="0.39991454817346722"/>
      </top>
      <bottom/>
      <diagonal/>
    </border>
    <border>
      <left style="thin">
        <color theme="4" tint="0.39991454817346722"/>
      </left>
      <right/>
      <top/>
      <bottom/>
      <diagonal/>
    </border>
    <border>
      <left/>
      <right style="thin">
        <color theme="4" tint="0.39991454817346722"/>
      </right>
      <top/>
      <bottom/>
      <diagonal/>
    </border>
    <border>
      <left/>
      <right/>
      <top/>
      <bottom style="thin">
        <color theme="4" tint="0.39991454817346722"/>
      </bottom>
      <diagonal/>
    </border>
    <border>
      <left/>
      <right style="thin">
        <color theme="4" tint="0.39991454817346722"/>
      </right>
      <top/>
      <bottom style="thin">
        <color theme="4" tint="0.39991454817346722"/>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theme="4" tint="0.39991454817346722"/>
      </left>
      <right/>
      <top style="thin">
        <color theme="4" tint="0.39994506668294322"/>
      </top>
      <bottom/>
      <diagonal/>
    </border>
    <border>
      <left/>
      <right style="thin">
        <color theme="4" tint="0.39991454817346722"/>
      </right>
      <top style="thin">
        <color theme="4" tint="0.39994506668294322"/>
      </top>
      <bottom/>
      <diagonal/>
    </border>
    <border>
      <left style="thin">
        <color theme="4" tint="0.39991454817346722"/>
      </left>
      <right style="thin">
        <color theme="4" tint="0.39991454817346722"/>
      </right>
      <top/>
      <bottom/>
      <diagonal/>
    </border>
    <border>
      <left/>
      <right/>
      <top style="thin">
        <color theme="4" tint="-0.24994659260841701"/>
      </top>
      <bottom/>
      <diagonal/>
    </border>
    <border>
      <left style="thin">
        <color theme="8" tint="-0.24994659260841701"/>
      </left>
      <right style="thin">
        <color theme="8" tint="-0.24994659260841701"/>
      </right>
      <top style="thin">
        <color theme="8" tint="-0.24994659260841701"/>
      </top>
      <bottom style="thin">
        <color theme="8" tint="-0.24994659260841701"/>
      </bottom>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
      <left style="thin">
        <color theme="8" tint="-0.24994659260841701"/>
      </left>
      <right/>
      <top style="thin">
        <color theme="8" tint="-0.24994659260841701"/>
      </top>
      <bottom style="thin">
        <color theme="8" tint="-0.24994659260841701"/>
      </bottom>
      <diagonal/>
    </border>
    <border>
      <left/>
      <right/>
      <top style="thin">
        <color theme="8" tint="-0.24994659260841701"/>
      </top>
      <bottom style="thin">
        <color theme="8" tint="-0.24994659260841701"/>
      </bottom>
      <diagonal/>
    </border>
    <border>
      <left/>
      <right style="thin">
        <color theme="8" tint="-0.24994659260841701"/>
      </right>
      <top style="thin">
        <color theme="8" tint="-0.24994659260841701"/>
      </top>
      <bottom style="thin">
        <color theme="8" tint="-0.24994659260841701"/>
      </bottom>
      <diagonal/>
    </border>
    <border>
      <left style="thin">
        <color theme="8" tint="-0.24994659260841701"/>
      </left>
      <right/>
      <top/>
      <bottom style="hair">
        <color theme="8" tint="-0.24994659260841701"/>
      </bottom>
      <diagonal/>
    </border>
    <border>
      <left/>
      <right/>
      <top/>
      <bottom style="hair">
        <color theme="8" tint="-0.24994659260841701"/>
      </bottom>
      <diagonal/>
    </border>
    <border>
      <left/>
      <right style="thin">
        <color theme="8" tint="-0.24994659260841701"/>
      </right>
      <top/>
      <bottom style="hair">
        <color theme="8" tint="-0.24994659260841701"/>
      </bottom>
      <diagonal/>
    </border>
    <border>
      <left style="thin">
        <color theme="8" tint="-0.24994659260841701"/>
      </left>
      <right style="thin">
        <color theme="0"/>
      </right>
      <top style="thin">
        <color theme="8" tint="-0.24994659260841701"/>
      </top>
      <bottom style="thin">
        <color theme="0"/>
      </bottom>
      <diagonal/>
    </border>
    <border>
      <left style="thin">
        <color theme="0"/>
      </left>
      <right style="thin">
        <color theme="0"/>
      </right>
      <top style="thin">
        <color theme="8" tint="-0.24994659260841701"/>
      </top>
      <bottom style="thin">
        <color theme="0"/>
      </bottom>
      <diagonal/>
    </border>
    <border>
      <left style="thin">
        <color theme="0"/>
      </left>
      <right style="thin">
        <color theme="8" tint="-0.24994659260841701"/>
      </right>
      <top style="thin">
        <color theme="8" tint="-0.24994659260841701"/>
      </top>
      <bottom style="thin">
        <color theme="0"/>
      </bottom>
      <diagonal/>
    </border>
    <border>
      <left style="thin">
        <color theme="8" tint="-0.24994659260841701"/>
      </left>
      <right style="thin">
        <color theme="0"/>
      </right>
      <top style="thin">
        <color theme="0"/>
      </top>
      <bottom style="thin">
        <color theme="8" tint="-0.24994659260841701"/>
      </bottom>
      <diagonal/>
    </border>
    <border>
      <left style="thin">
        <color theme="0"/>
      </left>
      <right style="thin">
        <color theme="0"/>
      </right>
      <top style="thin">
        <color theme="0"/>
      </top>
      <bottom style="thin">
        <color theme="8" tint="-0.24994659260841701"/>
      </bottom>
      <diagonal/>
    </border>
    <border>
      <left style="thin">
        <color theme="0"/>
      </left>
      <right/>
      <top/>
      <bottom style="thin">
        <color theme="8" tint="-0.24994659260841701"/>
      </bottom>
      <diagonal/>
    </border>
    <border>
      <left style="thin">
        <color theme="8" tint="-0.24994659260841701"/>
      </left>
      <right style="thin">
        <color theme="8" tint="-0.24994659260841701"/>
      </right>
      <top style="thin">
        <color theme="8" tint="-0.24994659260841701"/>
      </top>
      <bottom style="thin">
        <color theme="0"/>
      </bottom>
      <diagonal/>
    </border>
    <border>
      <left style="thin">
        <color theme="8" tint="-0.24994659260841701"/>
      </left>
      <right style="thin">
        <color theme="8" tint="-0.24994659260841701"/>
      </right>
      <top/>
      <bottom style="thin">
        <color theme="8" tint="-0.24994659260841701"/>
      </bottom>
      <diagonal/>
    </border>
    <border>
      <left/>
      <right/>
      <top style="thin">
        <color theme="8" tint="-0.24994659260841701"/>
      </top>
      <bottom style="thin">
        <color theme="0"/>
      </bottom>
      <diagonal/>
    </border>
    <border>
      <left style="thin">
        <color theme="8" tint="-0.24994659260841701"/>
      </left>
      <right/>
      <top style="hair">
        <color theme="8" tint="-0.24994659260841701"/>
      </top>
      <bottom style="thin">
        <color theme="8" tint="-0.24994659260841701"/>
      </bottom>
      <diagonal/>
    </border>
    <border>
      <left/>
      <right/>
      <top style="hair">
        <color theme="8" tint="-0.24994659260841701"/>
      </top>
      <bottom style="thin">
        <color theme="8" tint="-0.24994659260841701"/>
      </bottom>
      <diagonal/>
    </border>
    <border>
      <left/>
      <right style="thin">
        <color theme="8" tint="-0.24994659260841701"/>
      </right>
      <top style="hair">
        <color theme="8" tint="-0.24994659260841701"/>
      </top>
      <bottom style="thin">
        <color theme="8" tint="-0.24994659260841701"/>
      </bottom>
      <diagonal/>
    </border>
    <border>
      <left/>
      <right style="thin">
        <color theme="0"/>
      </right>
      <top style="thin">
        <color theme="8" tint="-0.24994659260841701"/>
      </top>
      <bottom/>
      <diagonal/>
    </border>
    <border>
      <left style="thin">
        <color rgb="FF8099C6"/>
      </left>
      <right/>
      <top style="thin">
        <color rgb="FF8099C6"/>
      </top>
      <bottom/>
      <diagonal/>
    </border>
    <border>
      <left/>
      <right/>
      <top style="thin">
        <color rgb="FF8099C6"/>
      </top>
      <bottom/>
      <diagonal/>
    </border>
    <border>
      <left/>
      <right style="thin">
        <color rgb="FF8099C6"/>
      </right>
      <top style="thin">
        <color rgb="FF8099C6"/>
      </top>
      <bottom/>
      <diagonal/>
    </border>
    <border>
      <left style="thin">
        <color theme="8" tint="-0.24994659260841701"/>
      </left>
      <right/>
      <top style="thin">
        <color theme="8" tint="-0.24994659260841701"/>
      </top>
      <bottom style="medium">
        <color theme="8" tint="-0.24994659260841701"/>
      </bottom>
      <diagonal/>
    </border>
    <border>
      <left/>
      <right/>
      <top style="thin">
        <color theme="8" tint="-0.24994659260841701"/>
      </top>
      <bottom style="medium">
        <color theme="8" tint="-0.24994659260841701"/>
      </bottom>
      <diagonal/>
    </border>
    <border>
      <left/>
      <right style="thin">
        <color theme="8" tint="-0.24994659260841701"/>
      </right>
      <top style="thin">
        <color theme="8" tint="-0.24994659260841701"/>
      </top>
      <bottom style="medium">
        <color theme="8" tint="-0.24994659260841701"/>
      </bottom>
      <diagonal/>
    </border>
    <border>
      <left style="thin">
        <color theme="0"/>
      </left>
      <right style="thin">
        <color theme="0"/>
      </right>
      <top/>
      <bottom style="thin">
        <color theme="8" tint="-0.24994659260841701"/>
      </bottom>
      <diagonal/>
    </border>
    <border>
      <left style="thin">
        <color theme="8" tint="-0.24994659260841701"/>
      </left>
      <right/>
      <top/>
      <bottom style="medium">
        <color theme="8" tint="-0.24994659260841701"/>
      </bottom>
      <diagonal/>
    </border>
    <border>
      <left/>
      <right/>
      <top/>
      <bottom style="medium">
        <color theme="8" tint="-0.24994659260841701"/>
      </bottom>
      <diagonal/>
    </border>
    <border>
      <left/>
      <right style="thin">
        <color theme="8" tint="-0.24994659260841701"/>
      </right>
      <top/>
      <bottom style="medium">
        <color theme="8" tint="-0.24994659260841701"/>
      </bottom>
      <diagonal/>
    </border>
    <border>
      <left style="medium">
        <color theme="8" tint="-0.24994659260841701"/>
      </left>
      <right/>
      <top style="medium">
        <color theme="8" tint="-0.24994659260841701"/>
      </top>
      <bottom style="medium">
        <color theme="8" tint="-0.24994659260841701"/>
      </bottom>
      <diagonal/>
    </border>
    <border>
      <left/>
      <right/>
      <top style="medium">
        <color theme="8" tint="-0.24994659260841701"/>
      </top>
      <bottom style="medium">
        <color theme="8" tint="-0.24994659260841701"/>
      </bottom>
      <diagonal/>
    </border>
    <border>
      <left/>
      <right style="medium">
        <color theme="8" tint="-0.24994659260841701"/>
      </right>
      <top style="medium">
        <color theme="8" tint="-0.24994659260841701"/>
      </top>
      <bottom style="medium">
        <color theme="8" tint="-0.24994659260841701"/>
      </bottom>
      <diagonal/>
    </border>
    <border>
      <left style="thin">
        <color theme="0"/>
      </left>
      <right/>
      <top style="thin">
        <color theme="8" tint="-0.24994659260841701"/>
      </top>
      <bottom/>
      <diagonal/>
    </border>
    <border>
      <left/>
      <right/>
      <top style="hair">
        <color theme="8" tint="-0.24994659260841701"/>
      </top>
      <bottom/>
      <diagonal/>
    </border>
    <border>
      <left/>
      <right style="thin">
        <color theme="8" tint="-0.24994659260841701"/>
      </right>
      <top style="hair">
        <color theme="8" tint="-0.24994659260841701"/>
      </top>
      <bottom/>
      <diagonal/>
    </border>
    <border>
      <left style="thin">
        <color theme="0"/>
      </left>
      <right style="thin">
        <color theme="8" tint="-0.24994659260841701"/>
      </right>
      <top/>
      <bottom style="thin">
        <color theme="8" tint="-0.2499465926084170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8099C6"/>
      </left>
      <right style="thin">
        <color rgb="FF8099C6"/>
      </right>
      <top style="thin">
        <color rgb="FF8099C6"/>
      </top>
      <bottom/>
      <diagonal/>
    </border>
    <border>
      <left style="thin">
        <color rgb="FF8099C6"/>
      </left>
      <right style="thin">
        <color rgb="FF8099C6"/>
      </right>
      <top style="thin">
        <color rgb="FF8099C6"/>
      </top>
      <bottom style="thin">
        <color rgb="FF8099C6"/>
      </bottom>
      <diagonal/>
    </border>
    <border>
      <left style="thin">
        <color rgb="FF8099C6"/>
      </left>
      <right style="thin">
        <color rgb="FF8099C6"/>
      </right>
      <top/>
      <bottom/>
      <diagonal/>
    </border>
    <border>
      <left style="thin">
        <color rgb="FF8099C6"/>
      </left>
      <right style="thin">
        <color rgb="FF8099C6"/>
      </right>
      <top style="thin">
        <color rgb="FF8099C6"/>
      </top>
      <bottom style="thin">
        <color theme="0"/>
      </bottom>
      <diagonal/>
    </border>
    <border>
      <left style="thin">
        <color rgb="FF8099C6"/>
      </left>
      <right style="thin">
        <color rgb="FF8099C6"/>
      </right>
      <top/>
      <bottom style="thin">
        <color rgb="FF8099C6"/>
      </bottom>
      <diagonal/>
    </border>
    <border>
      <left style="thin">
        <color rgb="FF8099C6"/>
      </left>
      <right/>
      <top style="thin">
        <color rgb="FF8099C6"/>
      </top>
      <bottom style="thin">
        <color rgb="FF8099C6"/>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rgb="FF31869B"/>
      </right>
      <top/>
      <bottom/>
      <diagonal/>
    </border>
    <border>
      <left style="thin">
        <color rgb="FFC84E00"/>
      </left>
      <right/>
      <top style="thin">
        <color rgb="FFC84E00"/>
      </top>
      <bottom style="thin">
        <color rgb="FFC84E00"/>
      </bottom>
      <diagonal/>
    </border>
    <border>
      <left/>
      <right/>
      <top style="thin">
        <color rgb="FFC84E00"/>
      </top>
      <bottom style="thin">
        <color rgb="FFC84E00"/>
      </bottom>
      <diagonal/>
    </border>
    <border>
      <left/>
      <right style="thin">
        <color rgb="FFC84E00"/>
      </right>
      <top style="thin">
        <color rgb="FFC84E00"/>
      </top>
      <bottom style="thin">
        <color rgb="FFC84E00"/>
      </bottom>
      <diagonal/>
    </border>
    <border>
      <left style="thin">
        <color rgb="FFC84E00"/>
      </left>
      <right/>
      <top/>
      <bottom style="thin">
        <color rgb="FFC84E00"/>
      </bottom>
      <diagonal/>
    </border>
    <border>
      <left/>
      <right/>
      <top/>
      <bottom style="thin">
        <color rgb="FFC84E00"/>
      </bottom>
      <diagonal/>
    </border>
    <border>
      <left/>
      <right style="thin">
        <color rgb="FFC84E00"/>
      </right>
      <top/>
      <bottom style="thin">
        <color rgb="FFC84E00"/>
      </bottom>
      <diagonal/>
    </border>
    <border>
      <left style="thin">
        <color rgb="FFC84E00"/>
      </left>
      <right/>
      <top/>
      <bottom/>
      <diagonal/>
    </border>
    <border>
      <left/>
      <right style="thin">
        <color rgb="FFC84E00"/>
      </right>
      <top/>
      <bottom/>
      <diagonal/>
    </border>
    <border>
      <left style="thin">
        <color rgb="FF8E258D"/>
      </left>
      <right/>
      <top style="thin">
        <color rgb="FF8E258D"/>
      </top>
      <bottom style="thin">
        <color rgb="FF8E258D"/>
      </bottom>
      <diagonal/>
    </border>
    <border>
      <left/>
      <right/>
      <top style="thin">
        <color rgb="FF8E258D"/>
      </top>
      <bottom style="thin">
        <color rgb="FF8E258D"/>
      </bottom>
      <diagonal/>
    </border>
    <border>
      <left/>
      <right style="thin">
        <color rgb="FF8E258D"/>
      </right>
      <top style="thin">
        <color rgb="FF8E258D"/>
      </top>
      <bottom style="thin">
        <color rgb="FF8E258D"/>
      </bottom>
      <diagonal/>
    </border>
    <border>
      <left style="thin">
        <color rgb="FF8E258D"/>
      </left>
      <right/>
      <top/>
      <bottom style="thin">
        <color rgb="FF8E258D"/>
      </bottom>
      <diagonal/>
    </border>
    <border>
      <left/>
      <right/>
      <top/>
      <bottom style="thin">
        <color rgb="FF8E258D"/>
      </bottom>
      <diagonal/>
    </border>
    <border>
      <left/>
      <right style="thin">
        <color rgb="FF8E258D"/>
      </right>
      <top/>
      <bottom style="thin">
        <color rgb="FF8E258D"/>
      </bottom>
      <diagonal/>
    </border>
    <border>
      <left style="thin">
        <color rgb="FF8E258D"/>
      </left>
      <right/>
      <top/>
      <bottom/>
      <diagonal/>
    </border>
    <border>
      <left/>
      <right style="thin">
        <color rgb="FF8E258D"/>
      </right>
      <top/>
      <bottom/>
      <diagonal/>
    </border>
    <border>
      <left style="thin">
        <color rgb="FF95B3D7"/>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style="thin">
        <color rgb="FF808080"/>
      </left>
      <right style="thin">
        <color rgb="FF000000"/>
      </right>
      <top style="thin">
        <color rgb="FF000000"/>
      </top>
      <bottom style="thin">
        <color rgb="FF808080"/>
      </bottom>
      <diagonal/>
    </border>
    <border>
      <left style="thin">
        <color rgb="FF00000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000000"/>
      </right>
      <top style="thin">
        <color rgb="FF808080"/>
      </top>
      <bottom style="thin">
        <color rgb="FF808080"/>
      </bottom>
      <diagonal/>
    </border>
    <border>
      <left style="thin">
        <color rgb="FF000000"/>
      </left>
      <right style="thin">
        <color rgb="FF808080"/>
      </right>
      <top style="thin">
        <color rgb="FF80808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000000"/>
      </right>
      <top style="thin">
        <color rgb="FF808080"/>
      </top>
      <bottom style="thin">
        <color rgb="FF000000"/>
      </bottom>
      <diagonal/>
    </border>
    <border>
      <left/>
      <right style="thin">
        <color rgb="FF000000"/>
      </right>
      <top/>
      <bottom style="thin">
        <color rgb="FF000000"/>
      </bottom>
      <diagonal/>
    </border>
    <border>
      <left style="thin">
        <color rgb="FF000000"/>
      </left>
      <right style="thin">
        <color rgb="FF808080"/>
      </right>
      <top style="thin">
        <color rgb="FF000000"/>
      </top>
      <bottom style="thin">
        <color rgb="FF000000"/>
      </bottom>
      <diagonal/>
    </border>
    <border>
      <left style="thin">
        <color rgb="FF808080"/>
      </left>
      <right style="thin">
        <color rgb="FF808080"/>
      </right>
      <top style="thin">
        <color rgb="FF000000"/>
      </top>
      <bottom style="thin">
        <color rgb="FF000000"/>
      </bottom>
      <diagonal/>
    </border>
    <border>
      <left style="thin">
        <color rgb="FF808080"/>
      </left>
      <right style="thin">
        <color rgb="FF000000"/>
      </right>
      <top style="thin">
        <color rgb="FF000000"/>
      </top>
      <bottom style="thin">
        <color rgb="FF000000"/>
      </bottom>
      <diagonal/>
    </border>
    <border>
      <left/>
      <right/>
      <top style="thin">
        <color rgb="FF808080"/>
      </top>
      <bottom/>
      <diagonal/>
    </border>
    <border>
      <left style="thin">
        <color rgb="FF000000"/>
      </left>
      <right/>
      <top/>
      <bottom/>
      <diagonal/>
    </border>
    <border>
      <left style="thin">
        <color rgb="FF409DAD"/>
      </left>
      <right style="thin">
        <color rgb="FF409DAD"/>
      </right>
      <top style="thin">
        <color rgb="FF409DAD"/>
      </top>
      <bottom style="thin">
        <color rgb="FF409DAD"/>
      </bottom>
      <diagonal/>
    </border>
    <border>
      <left style="thin">
        <color rgb="FF409DAD"/>
      </left>
      <right/>
      <top style="thin">
        <color rgb="FF409DAD"/>
      </top>
      <bottom style="thin">
        <color rgb="FF409DAD"/>
      </bottom>
      <diagonal/>
    </border>
    <border>
      <left/>
      <right style="thin">
        <color rgb="FF409DAD"/>
      </right>
      <top style="thin">
        <color rgb="FF409DAD"/>
      </top>
      <bottom style="thin">
        <color rgb="FF409DAD"/>
      </bottom>
      <diagonal/>
    </border>
    <border>
      <left style="medium">
        <color theme="8"/>
      </left>
      <right style="thin">
        <color theme="8"/>
      </right>
      <top style="medium">
        <color theme="8"/>
      </top>
      <bottom style="thin">
        <color theme="8"/>
      </bottom>
      <diagonal/>
    </border>
    <border>
      <left style="thin">
        <color theme="8"/>
      </left>
      <right style="medium">
        <color theme="8"/>
      </right>
      <top style="medium">
        <color theme="8"/>
      </top>
      <bottom style="thin">
        <color theme="8"/>
      </bottom>
      <diagonal/>
    </border>
    <border>
      <left style="medium">
        <color theme="8"/>
      </left>
      <right style="thin">
        <color theme="8"/>
      </right>
      <top style="thin">
        <color theme="8"/>
      </top>
      <bottom style="thin">
        <color theme="8"/>
      </bottom>
      <diagonal/>
    </border>
    <border>
      <left style="thin">
        <color theme="8"/>
      </left>
      <right style="medium">
        <color theme="8"/>
      </right>
      <top style="thin">
        <color theme="8"/>
      </top>
      <bottom style="thin">
        <color theme="8"/>
      </bottom>
      <diagonal/>
    </border>
    <border>
      <left style="medium">
        <color theme="8"/>
      </left>
      <right style="thin">
        <color theme="8"/>
      </right>
      <top style="thin">
        <color theme="8"/>
      </top>
      <bottom style="medium">
        <color theme="8"/>
      </bottom>
      <diagonal/>
    </border>
    <border>
      <left style="thin">
        <color rgb="FF808080"/>
      </left>
      <right style="thin">
        <color rgb="FF808080"/>
      </right>
      <top/>
      <bottom style="thin">
        <color rgb="FF808080"/>
      </bottom>
      <diagonal/>
    </border>
    <border>
      <left/>
      <right style="thin">
        <color rgb="FF808080"/>
      </right>
      <top style="thin">
        <color rgb="FF808080"/>
      </top>
      <bottom style="thin">
        <color rgb="FF808080"/>
      </bottom>
      <diagonal/>
    </border>
    <border>
      <left style="thin">
        <color rgb="FF000000"/>
      </left>
      <right style="thin">
        <color rgb="FF808080"/>
      </right>
      <top style="thin">
        <color rgb="FF000000"/>
      </top>
      <bottom/>
      <diagonal/>
    </border>
    <border>
      <left style="thin">
        <color rgb="FF808080"/>
      </left>
      <right/>
      <top style="thin">
        <color rgb="FF000000"/>
      </top>
      <bottom style="thin">
        <color rgb="FF808080"/>
      </bottom>
      <diagonal/>
    </border>
    <border>
      <left/>
      <right style="thin">
        <color rgb="FF808080"/>
      </right>
      <top style="thin">
        <color rgb="FF000000"/>
      </top>
      <bottom style="thin">
        <color rgb="FF808080"/>
      </bottom>
      <diagonal/>
    </border>
    <border>
      <left style="thin">
        <color rgb="FF808080"/>
      </left>
      <right style="thin">
        <color rgb="FF808080"/>
      </right>
      <top style="thin">
        <color rgb="FF000000"/>
      </top>
      <bottom/>
      <diagonal/>
    </border>
    <border>
      <left style="thin">
        <color rgb="FF808080"/>
      </left>
      <right style="thin">
        <color rgb="FF000000"/>
      </right>
      <top style="thin">
        <color rgb="FF000000"/>
      </top>
      <bottom/>
      <diagonal/>
    </border>
    <border>
      <left style="thin">
        <color rgb="FF000000"/>
      </left>
      <right style="thin">
        <color rgb="FF808080"/>
      </right>
      <top/>
      <bottom style="thin">
        <color rgb="FF808080"/>
      </bottom>
      <diagonal/>
    </border>
    <border>
      <left style="thin">
        <color rgb="FF808080"/>
      </left>
      <right style="thin">
        <color rgb="FF000000"/>
      </right>
      <top/>
      <bottom style="thin">
        <color rgb="FF808080"/>
      </bottom>
      <diagonal/>
    </border>
    <border>
      <left/>
      <right style="thin">
        <color rgb="FF808080"/>
      </right>
      <top style="thin">
        <color rgb="FF808080"/>
      </top>
      <bottom style="thin">
        <color rgb="FF000000"/>
      </bottom>
      <diagonal/>
    </border>
    <border>
      <left/>
      <right/>
      <top style="thin">
        <color rgb="FF808080"/>
      </top>
      <bottom style="thin">
        <color rgb="FF808080"/>
      </bottom>
      <diagonal/>
    </border>
    <border>
      <left style="thin">
        <color rgb="FF000000"/>
      </left>
      <right/>
      <top style="thin">
        <color rgb="FF808080"/>
      </top>
      <bottom style="thin">
        <color rgb="FF808080"/>
      </bottom>
      <diagonal/>
    </border>
    <border>
      <left/>
      <right style="thin">
        <color rgb="FF000000"/>
      </right>
      <top style="thin">
        <color rgb="FF808080"/>
      </top>
      <bottom style="thin">
        <color rgb="FF808080"/>
      </bottom>
      <diagonal/>
    </border>
    <border>
      <left style="thin">
        <color theme="4" tint="0.39991454817346722"/>
      </left>
      <right style="thin">
        <color theme="4" tint="0.39991454817346722"/>
      </right>
      <top style="thin">
        <color theme="4" tint="0.39991454817346722"/>
      </top>
      <bottom style="thin">
        <color theme="4" tint="0.39991454817346722"/>
      </bottom>
      <diagonal/>
    </border>
    <border>
      <left/>
      <right/>
      <top style="thin">
        <color auto="1"/>
      </top>
      <bottom style="thin">
        <color auto="1"/>
      </bottom>
      <diagonal/>
    </border>
    <border>
      <left style="thin">
        <color auto="1"/>
      </left>
      <right style="thin">
        <color auto="1"/>
      </right>
      <top/>
      <bottom style="hair">
        <color auto="1"/>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auto="1"/>
      </left>
      <right style="thin">
        <color auto="1"/>
      </right>
      <top style="hair">
        <color auto="1"/>
      </top>
      <bottom/>
      <diagonal/>
    </border>
    <border>
      <left style="thin">
        <color indexed="64"/>
      </left>
      <right/>
      <top/>
      <bottom/>
      <diagonal/>
    </border>
    <border>
      <left/>
      <right style="thin">
        <color auto="1"/>
      </right>
      <top/>
      <bottom/>
      <diagonal/>
    </border>
    <border>
      <left style="thin">
        <color auto="1"/>
      </left>
      <right style="thin">
        <color auto="1"/>
      </right>
      <top style="thin">
        <color auto="1"/>
      </top>
      <bottom style="hair">
        <color auto="1"/>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style="thin">
        <color rgb="FFBFBFBF"/>
      </left>
      <right style="thin">
        <color rgb="FFBFBFBF"/>
      </right>
      <top style="thin">
        <color rgb="FFBFBFBF"/>
      </top>
      <bottom style="thin">
        <color rgb="FFBFBFBF"/>
      </bottom>
      <diagonal/>
    </border>
    <border>
      <left style="thin">
        <color rgb="FF007C92"/>
      </left>
      <right/>
      <top/>
      <bottom style="thin">
        <color rgb="FF007C92"/>
      </bottom>
      <diagonal/>
    </border>
    <border>
      <left/>
      <right/>
      <top/>
      <bottom style="thin">
        <color rgb="FF007C92"/>
      </bottom>
      <diagonal/>
    </border>
    <border>
      <left/>
      <right style="thin">
        <color rgb="FF007C92"/>
      </right>
      <top/>
      <bottom style="thin">
        <color rgb="FF007C92"/>
      </bottom>
      <diagonal/>
    </border>
    <border>
      <left/>
      <right style="thin">
        <color rgb="FF007C92"/>
      </right>
      <top/>
      <bottom/>
      <diagonal/>
    </border>
    <border>
      <left/>
      <right style="thin">
        <color rgb="FF007C92"/>
      </right>
      <top style="thin">
        <color rgb="FF007C92"/>
      </top>
      <bottom/>
      <diagonal/>
    </border>
    <border>
      <left/>
      <right/>
      <top style="thin">
        <color rgb="FF007C92"/>
      </top>
      <bottom/>
      <diagonal/>
    </border>
    <border>
      <left style="thin">
        <color rgb="FF007C92"/>
      </left>
      <right/>
      <top style="thin">
        <color rgb="FF007C92"/>
      </top>
      <bottom/>
      <diagonal/>
    </border>
    <border>
      <left/>
      <right style="thin">
        <color theme="8" tint="-0.24994659260841701"/>
      </right>
      <top/>
      <bottom style="thin">
        <color rgb="FF007C92"/>
      </bottom>
      <diagonal/>
    </border>
    <border>
      <left style="thin">
        <color theme="8" tint="-0.24994659260841701"/>
      </left>
      <right/>
      <top/>
      <bottom style="thin">
        <color rgb="FF007C92"/>
      </bottom>
      <diagonal/>
    </border>
    <border>
      <left style="thin">
        <color theme="8" tint="-0.24994659260841701"/>
      </left>
      <right/>
      <top style="thin">
        <color rgb="FF007C92"/>
      </top>
      <bottom/>
      <diagonal/>
    </border>
    <border>
      <left/>
      <right style="thin">
        <color theme="8" tint="-0.24994659260841701"/>
      </right>
      <top style="thin">
        <color rgb="FF007C92"/>
      </top>
      <bottom/>
      <diagonal/>
    </border>
    <border>
      <left/>
      <right style="thin">
        <color rgb="FF409DAD"/>
      </right>
      <top style="thin">
        <color rgb="FF007C92"/>
      </top>
      <bottom/>
      <diagonal/>
    </border>
    <border>
      <left/>
      <right style="thin">
        <color rgb="FF409DAD"/>
      </right>
      <top/>
      <bottom style="thin">
        <color rgb="FF007C92"/>
      </bottom>
      <diagonal/>
    </border>
    <border>
      <left style="thin">
        <color theme="8" tint="-0.24994659260841701"/>
      </left>
      <right/>
      <top style="thin">
        <color theme="4" tint="0.39973143711661124"/>
      </top>
      <bottom/>
      <diagonal/>
    </border>
    <border>
      <left/>
      <right style="thin">
        <color theme="8" tint="-0.24994659260841701"/>
      </right>
      <top style="thin">
        <color theme="4" tint="0.39973143711661124"/>
      </top>
      <bottom/>
      <diagonal/>
    </border>
    <border>
      <left style="thin">
        <color theme="8" tint="-0.24994659260841701"/>
      </left>
      <right/>
      <top/>
      <bottom style="thin">
        <color theme="4" tint="0.39967040009765925"/>
      </bottom>
      <diagonal/>
    </border>
    <border>
      <left/>
      <right style="thin">
        <color theme="8" tint="-0.24994659260841701"/>
      </right>
      <top/>
      <bottom style="thin">
        <color theme="4" tint="0.39967040009765925"/>
      </bottom>
      <diagonal/>
    </border>
    <border>
      <left/>
      <right/>
      <top style="thin">
        <color rgb="FF3664FD"/>
      </top>
      <bottom/>
      <diagonal/>
    </border>
    <border>
      <left/>
      <right/>
      <top/>
      <bottom style="thin">
        <color rgb="FF3664FD"/>
      </bottom>
      <diagonal/>
    </border>
    <border>
      <left/>
      <right/>
      <top/>
      <bottom style="dotted">
        <color rgb="FF3664FD"/>
      </bottom>
      <diagonal/>
    </border>
    <border>
      <left/>
      <right/>
      <top style="dotted">
        <color rgb="FF3664FD"/>
      </top>
      <bottom style="dotted">
        <color rgb="FF3664FD"/>
      </bottom>
      <diagonal/>
    </border>
    <border>
      <left/>
      <right style="thin">
        <color theme="5"/>
      </right>
      <top style="thin">
        <color theme="5"/>
      </top>
      <bottom/>
      <diagonal/>
    </border>
    <border>
      <left style="thin">
        <color theme="5"/>
      </left>
      <right/>
      <top style="thin">
        <color theme="5"/>
      </top>
      <bottom/>
      <diagonal/>
    </border>
    <border>
      <left style="thin">
        <color theme="4" tint="0.39976195562608724"/>
      </left>
      <right/>
      <top style="thin">
        <color theme="4" tint="0.39976195562608724"/>
      </top>
      <bottom/>
      <diagonal/>
    </border>
    <border>
      <left/>
      <right/>
      <top style="thin">
        <color theme="4" tint="0.39976195562608724"/>
      </top>
      <bottom/>
      <diagonal/>
    </border>
    <border>
      <left/>
      <right style="thin">
        <color theme="4" tint="0.39991454817346722"/>
      </right>
      <top style="thin">
        <color theme="4" tint="0.39976195562608724"/>
      </top>
      <bottom/>
      <diagonal/>
    </border>
    <border>
      <left/>
      <right style="thin">
        <color theme="4" tint="0.39976195562608724"/>
      </right>
      <top style="thin">
        <color theme="4" tint="0.39976195562608724"/>
      </top>
      <bottom style="thin">
        <color indexed="9"/>
      </bottom>
      <diagonal/>
    </border>
    <border>
      <left style="thin">
        <color theme="4" tint="0.39976195562608724"/>
      </left>
      <right/>
      <top/>
      <bottom/>
      <diagonal/>
    </border>
    <border>
      <left/>
      <right style="thin">
        <color theme="4" tint="0.39991454817346722"/>
      </right>
      <top/>
      <bottom style="thin">
        <color theme="4" tint="0.39976195562608724"/>
      </bottom>
      <diagonal/>
    </border>
    <border>
      <left/>
      <right style="thin">
        <color theme="4" tint="0.39976195562608724"/>
      </right>
      <top/>
      <bottom/>
      <diagonal/>
    </border>
    <border>
      <left/>
      <right style="thin">
        <color theme="4" tint="0.39976195562608724"/>
      </right>
      <top style="thin">
        <color theme="4" tint="0.39976195562608724"/>
      </top>
      <bottom/>
      <diagonal/>
    </border>
    <border>
      <left style="thin">
        <color theme="4" tint="0.39976195562608724"/>
      </left>
      <right/>
      <top/>
      <bottom style="thin">
        <color theme="4" tint="0.39973143711661124"/>
      </bottom>
      <diagonal/>
    </border>
    <border>
      <left/>
      <right style="thin">
        <color theme="4" tint="0.39991454817346722"/>
      </right>
      <top/>
      <bottom style="thin">
        <color theme="4" tint="0.39973143711661124"/>
      </bottom>
      <diagonal/>
    </border>
    <border>
      <left/>
      <right style="thin">
        <color theme="4" tint="0.39976195562608724"/>
      </right>
      <top/>
      <bottom style="thin">
        <color theme="4" tint="0.39973143711661124"/>
      </bottom>
      <diagonal/>
    </border>
    <border>
      <left style="thin">
        <color theme="4" tint="0.39994506668294322"/>
      </left>
      <right/>
      <top/>
      <bottom style="thin">
        <color theme="4" tint="0.39991454817346722"/>
      </bottom>
      <diagonal/>
    </border>
    <border>
      <left style="thin">
        <color theme="4" tint="0.39985351115451523"/>
      </left>
      <right/>
      <top style="thin">
        <color theme="4" tint="0.39985351115451523"/>
      </top>
      <bottom style="thin">
        <color theme="4" tint="0.39991454817346722"/>
      </bottom>
      <diagonal/>
    </border>
    <border>
      <left/>
      <right/>
      <top style="thin">
        <color theme="4" tint="0.39985351115451523"/>
      </top>
      <bottom style="thin">
        <color theme="4" tint="0.39991454817346722"/>
      </bottom>
      <diagonal/>
    </border>
    <border>
      <left/>
      <right style="thin">
        <color theme="4" tint="0.39985351115451523"/>
      </right>
      <top style="thin">
        <color theme="4" tint="0.39985351115451523"/>
      </top>
      <bottom style="thin">
        <color theme="4" tint="0.39991454817346722"/>
      </bottom>
      <diagonal/>
    </border>
    <border>
      <left style="thin">
        <color theme="4" tint="0.39994506668294322"/>
      </left>
      <right/>
      <top style="thin">
        <color theme="4" tint="0.39991454817346722"/>
      </top>
      <bottom style="thin">
        <color theme="4" tint="0.39991454817346722"/>
      </bottom>
      <diagonal/>
    </border>
    <border>
      <left style="thin">
        <color theme="4" tint="0.39988402966399123"/>
      </left>
      <right/>
      <top style="thin">
        <color theme="4" tint="0.39988402966399123"/>
      </top>
      <bottom style="thin">
        <color theme="4" tint="0.39991454817346722"/>
      </bottom>
      <diagonal/>
    </border>
    <border>
      <left/>
      <right style="thin">
        <color theme="4" tint="0.39988402966399123"/>
      </right>
      <top style="thin">
        <color theme="4" tint="0.39988402966399123"/>
      </top>
      <bottom style="thin">
        <color theme="4" tint="0.39991454817346722"/>
      </bottom>
      <diagonal/>
    </border>
    <border>
      <left style="thin">
        <color theme="4" tint="0.39988402966399123"/>
      </left>
      <right/>
      <top/>
      <bottom/>
      <diagonal/>
    </border>
    <border>
      <left/>
      <right style="thin">
        <color theme="4" tint="0.39988402966399123"/>
      </right>
      <top/>
      <bottom/>
      <diagonal/>
    </border>
    <border>
      <left style="thin">
        <color theme="4" tint="0.39988402966399123"/>
      </left>
      <right/>
      <top/>
      <bottom style="thin">
        <color theme="4" tint="0.39988402966399123"/>
      </bottom>
      <diagonal/>
    </border>
    <border>
      <left/>
      <right style="thin">
        <color theme="4" tint="0.39991454817346722"/>
      </right>
      <top style="thin">
        <color theme="4" tint="0.39994506668294322"/>
      </top>
      <bottom style="thin">
        <color theme="4" tint="0.39994506668294322"/>
      </bottom>
      <diagonal/>
    </border>
    <border>
      <left style="thin">
        <color theme="0"/>
      </left>
      <right/>
      <top style="thin">
        <color theme="4" tint="0.39991454817346722"/>
      </top>
      <bottom style="thin">
        <color indexed="9"/>
      </bottom>
      <diagonal/>
    </border>
    <border>
      <left/>
      <right/>
      <top style="thin">
        <color theme="4" tint="0.39991454817346722"/>
      </top>
      <bottom style="thin">
        <color indexed="9"/>
      </bottom>
      <diagonal/>
    </border>
    <border>
      <left/>
      <right style="thin">
        <color theme="0"/>
      </right>
      <top style="thin">
        <color theme="4" tint="0.39991454817346722"/>
      </top>
      <bottom style="thin">
        <color indexed="9"/>
      </bottom>
      <diagonal/>
    </border>
    <border>
      <left/>
      <right style="thin">
        <color theme="4" tint="0.39991454817346722"/>
      </right>
      <top style="thin">
        <color theme="4" tint="0.39991454817346722"/>
      </top>
      <bottom style="thin">
        <color indexed="9"/>
      </bottom>
      <diagonal/>
    </border>
    <border>
      <left style="thin">
        <color theme="4" tint="0.39991454817346722"/>
      </left>
      <right/>
      <top/>
      <bottom style="thin">
        <color theme="4" tint="0.39994506668294322"/>
      </bottom>
      <diagonal/>
    </border>
    <border>
      <left style="thin">
        <color theme="0"/>
      </left>
      <right/>
      <top/>
      <bottom style="thin">
        <color theme="4" tint="0.39994506668294322"/>
      </bottom>
      <diagonal/>
    </border>
    <border>
      <left/>
      <right style="thin">
        <color theme="0"/>
      </right>
      <top/>
      <bottom style="thin">
        <color theme="4" tint="0.39994506668294322"/>
      </bottom>
      <diagonal/>
    </border>
    <border>
      <left/>
      <right style="thin">
        <color theme="4" tint="0.39991454817346722"/>
      </right>
      <top/>
      <bottom style="thin">
        <color theme="4" tint="0.39994506668294322"/>
      </bottom>
      <diagonal/>
    </border>
    <border>
      <left/>
      <right/>
      <top style="thin">
        <color theme="4" tint="0.39988402966399123"/>
      </top>
      <bottom/>
      <diagonal/>
    </border>
    <border>
      <left/>
      <right style="thin">
        <color theme="4" tint="0.39994506668294322"/>
      </right>
      <top/>
      <bottom style="thin">
        <color theme="4" tint="0.39991454817346722"/>
      </bottom>
      <diagonal/>
    </border>
    <border>
      <left style="thin">
        <color theme="4" tint="0.39988402966399123"/>
      </left>
      <right/>
      <top style="thin">
        <color theme="4" tint="0.39991454817346722"/>
      </top>
      <bottom style="thin">
        <color indexed="9"/>
      </bottom>
      <diagonal/>
    </border>
    <border>
      <left style="thin">
        <color theme="4" tint="0.39988402966399123"/>
      </left>
      <right/>
      <top/>
      <bottom style="thin">
        <color theme="4" tint="0.39994506668294322"/>
      </bottom>
      <diagonal/>
    </border>
  </borders>
  <cellStyleXfs count="18">
    <xf numFmtId="0" fontId="0" fillId="0" borderId="0">
      <alignment vertical="center"/>
    </xf>
    <xf numFmtId="0" fontId="38" fillId="0" borderId="0" xfId="0" applyFont="1" applyAlignment="1">
      <alignment vertical="center"/>
    </xf>
    <xf numFmtId="0" fontId="45" fillId="7" borderId="25" xfId="0" applyFont="1" applyFill="1" applyBorder="1" applyAlignment="1">
      <alignment horizontal="center" vertical="center" wrapText="1"/>
    </xf>
    <xf numFmtId="14" fontId="23" fillId="0" borderId="19" xfId="0" quotePrefix="1" applyNumberFormat="1" applyFont="1" applyBorder="1" applyAlignment="1">
      <alignment horizontal="right" vertical="center" wrapText="1" indent="1"/>
    </xf>
    <xf numFmtId="41" fontId="109" fillId="0" borderId="0" applyFont="0" applyFill="0" applyBorder="0" applyAlignment="0" applyProtection="0">
      <alignment vertical="center"/>
    </xf>
    <xf numFmtId="0" fontId="109" fillId="0" borderId="0">
      <alignment vertical="center"/>
    </xf>
    <xf numFmtId="9" fontId="109" fillId="0" borderId="0" applyFont="0" applyFill="0" applyBorder="0" applyAlignment="0" applyProtection="0">
      <alignment vertical="center"/>
    </xf>
    <xf numFmtId="0" fontId="109" fillId="0" borderId="0">
      <alignment vertical="center"/>
    </xf>
    <xf numFmtId="9" fontId="109" fillId="0" borderId="0" applyFont="0" applyFill="0" applyBorder="0" applyAlignment="0" applyProtection="0">
      <alignment vertical="center"/>
    </xf>
    <xf numFmtId="9" fontId="109" fillId="0" borderId="0" applyFont="0" applyFill="0" applyBorder="0" applyAlignment="0" applyProtection="0">
      <alignment vertical="center"/>
    </xf>
    <xf numFmtId="0" fontId="84" fillId="0" borderId="0" applyNumberFormat="0" applyFill="0" applyBorder="0" applyAlignment="0" applyProtection="0">
      <alignment vertical="center"/>
    </xf>
    <xf numFmtId="0" fontId="150" fillId="0" borderId="0"/>
    <xf numFmtId="0" fontId="153" fillId="0" borderId="0">
      <alignment vertical="center"/>
    </xf>
    <xf numFmtId="176" fontId="155" fillId="0" borderId="0" applyFont="0" applyFill="0" applyBorder="0" applyAlignment="0" applyProtection="0"/>
    <xf numFmtId="0" fontId="150" fillId="0" borderId="0"/>
    <xf numFmtId="41" fontId="150" fillId="0" borderId="0" applyFont="0" applyFill="0" applyBorder="0" applyAlignment="0" applyProtection="0">
      <alignment vertical="center"/>
    </xf>
    <xf numFmtId="0" fontId="153" fillId="0" borderId="0">
      <alignment vertical="center"/>
    </xf>
    <xf numFmtId="0" fontId="153" fillId="0" borderId="0">
      <alignment vertical="center"/>
    </xf>
  </cellStyleXfs>
  <cellXfs count="2222">
    <xf numFmtId="0" fontId="0" fillId="0" borderId="0" xfId="0">
      <alignment vertical="center"/>
    </xf>
    <xf numFmtId="0" fontId="38" fillId="0" borderId="0" xfId="0" applyFont="1" applyAlignment="1">
      <alignment vertical="center"/>
    </xf>
    <xf numFmtId="0" fontId="45" fillId="7" borderId="25" xfId="0" applyFont="1" applyFill="1" applyBorder="1" applyAlignment="1">
      <alignment horizontal="center" vertical="center" wrapText="1"/>
    </xf>
    <xf numFmtId="14" fontId="23" fillId="0" borderId="19" xfId="0" quotePrefix="1" applyNumberFormat="1" applyFont="1" applyBorder="1" applyAlignment="1">
      <alignment horizontal="right" vertical="center" wrapText="1" indent="1"/>
    </xf>
    <xf numFmtId="184" fontId="23" fillId="0" borderId="20" xfId="0" applyNumberFormat="1" applyFont="1" applyBorder="1" applyAlignment="1">
      <alignment horizontal="right" vertical="center" wrapText="1" indent="1"/>
    </xf>
    <xf numFmtId="0" fontId="23" fillId="0" borderId="45" xfId="0" quotePrefix="1" applyFont="1" applyBorder="1" applyAlignment="1">
      <alignment horizontal="right" vertical="center" wrapText="1" indent="1"/>
    </xf>
    <xf numFmtId="184" fontId="23" fillId="0" borderId="61" xfId="0" applyNumberFormat="1" applyFont="1" applyBorder="1" applyAlignment="1">
      <alignment horizontal="right" vertical="center" wrapText="1" indent="1"/>
    </xf>
    <xf numFmtId="0" fontId="23" fillId="0" borderId="51" xfId="0" quotePrefix="1" applyFont="1" applyBorder="1" applyAlignment="1">
      <alignment horizontal="right" vertical="center" wrapText="1" indent="1"/>
    </xf>
    <xf numFmtId="0" fontId="23" fillId="0" borderId="21" xfId="0" quotePrefix="1" applyFont="1" applyBorder="1" applyAlignment="1">
      <alignment horizontal="right" vertical="center" wrapText="1" indent="1"/>
    </xf>
    <xf numFmtId="180" fontId="13" fillId="14" borderId="0" xfId="0" applyNumberFormat="1" applyFont="1" applyFill="1" applyBorder="1" applyAlignment="1">
      <alignment vertical="center"/>
    </xf>
    <xf numFmtId="0" fontId="23" fillId="0" borderId="62" xfId="0" applyFont="1" applyBorder="1" applyAlignment="1">
      <alignment vertical="center" wrapText="1"/>
    </xf>
    <xf numFmtId="184" fontId="23" fillId="0" borderId="54" xfId="0" applyNumberFormat="1" applyFont="1" applyBorder="1" applyAlignment="1">
      <alignment horizontal="right" vertical="center" wrapText="1" indent="1"/>
    </xf>
    <xf numFmtId="184" fontId="23" fillId="0" borderId="52" xfId="0" applyNumberFormat="1" applyFont="1" applyBorder="1" applyAlignment="1">
      <alignment horizontal="right" vertical="center" wrapText="1" indent="1"/>
    </xf>
    <xf numFmtId="0" fontId="45" fillId="7" borderId="0" xfId="0" applyFont="1" applyFill="1" applyAlignment="1">
      <alignment horizontal="center" vertical="center" wrapText="1"/>
    </xf>
    <xf numFmtId="184" fontId="23" fillId="0" borderId="56" xfId="0" applyNumberFormat="1" applyFont="1" applyBorder="1" applyAlignment="1">
      <alignment horizontal="center" vertical="center" wrapText="1"/>
    </xf>
    <xf numFmtId="184" fontId="23" fillId="0" borderId="55" xfId="0" applyNumberFormat="1" applyFont="1" applyBorder="1" applyAlignment="1">
      <alignment horizontal="center" vertical="center" wrapText="1"/>
    </xf>
    <xf numFmtId="184" fontId="23" fillId="0" borderId="19" xfId="0" applyNumberFormat="1" applyFont="1" applyBorder="1" applyAlignment="1">
      <alignment horizontal="center" vertical="center" wrapText="1"/>
    </xf>
    <xf numFmtId="184" fontId="23" fillId="0" borderId="52" xfId="0" applyNumberFormat="1" applyFont="1" applyBorder="1" applyAlignment="1">
      <alignment horizontal="center" vertical="center" wrapText="1"/>
    </xf>
    <xf numFmtId="0" fontId="23" fillId="0" borderId="54" xfId="0" applyFont="1" applyBorder="1" applyAlignment="1">
      <alignment vertical="center" wrapText="1"/>
    </xf>
    <xf numFmtId="0" fontId="22" fillId="8" borderId="0" xfId="0" applyFont="1" applyFill="1" applyBorder="1" applyAlignment="1">
      <alignment horizontal="right" vertical="center"/>
    </xf>
    <xf numFmtId="0" fontId="22" fillId="9" borderId="0" xfId="0" applyFont="1" applyFill="1" applyBorder="1" applyAlignment="1">
      <alignment horizontal="right" vertical="center"/>
    </xf>
    <xf numFmtId="0" fontId="3" fillId="3" borderId="0" xfId="0" applyFont="1" applyFill="1" applyBorder="1" applyAlignment="1">
      <alignment horizontal="left"/>
    </xf>
    <xf numFmtId="0" fontId="5" fillId="3" borderId="5" xfId="0" applyFont="1" applyFill="1" applyBorder="1">
      <alignment vertical="center"/>
    </xf>
    <xf numFmtId="0" fontId="6" fillId="3" borderId="0" xfId="0" applyFont="1" applyFill="1" applyBorder="1">
      <alignment vertical="center"/>
    </xf>
    <xf numFmtId="0" fontId="6" fillId="0" borderId="0" xfId="0" applyFont="1" applyBorder="1">
      <alignment vertical="center"/>
    </xf>
    <xf numFmtId="0" fontId="5" fillId="0" borderId="5" xfId="0" applyFont="1" applyBorder="1">
      <alignment vertical="center"/>
    </xf>
    <xf numFmtId="0" fontId="5" fillId="0" borderId="0" xfId="0" applyFont="1" applyBorder="1">
      <alignment vertical="center"/>
    </xf>
    <xf numFmtId="0" fontId="7" fillId="3" borderId="0" xfId="0" applyFont="1" applyFill="1" applyBorder="1" applyAlignment="1">
      <alignment horizontal="left"/>
    </xf>
    <xf numFmtId="0" fontId="5" fillId="3" borderId="0" xfId="0" applyFont="1" applyFill="1" applyBorder="1">
      <alignment vertical="center"/>
    </xf>
    <xf numFmtId="0" fontId="8" fillId="0" borderId="0" xfId="0" applyFont="1" applyFill="1">
      <alignment vertical="center"/>
    </xf>
    <xf numFmtId="0" fontId="8" fillId="0" borderId="0" xfId="0" applyFont="1">
      <alignment vertical="center"/>
    </xf>
    <xf numFmtId="0" fontId="10" fillId="0" borderId="0" xfId="0" applyFont="1" applyFill="1">
      <alignment vertical="center"/>
    </xf>
    <xf numFmtId="0" fontId="11" fillId="0" borderId="0" xfId="0" applyFont="1" applyFill="1">
      <alignment vertical="center"/>
    </xf>
    <xf numFmtId="0" fontId="5" fillId="3" borderId="0" xfId="0" quotePrefix="1" applyFont="1" applyFill="1" applyBorder="1">
      <alignment vertical="center"/>
    </xf>
    <xf numFmtId="0" fontId="17" fillId="2" borderId="0" xfId="0" applyFont="1" applyFill="1" applyAlignment="1">
      <alignment horizontal="left"/>
    </xf>
    <xf numFmtId="0" fontId="5" fillId="2" borderId="0" xfId="0" applyFont="1" applyFill="1">
      <alignment vertical="center"/>
    </xf>
    <xf numFmtId="0" fontId="6" fillId="2" borderId="0" xfId="0" applyFont="1" applyFill="1" applyAlignment="1">
      <alignment vertical="center"/>
    </xf>
    <xf numFmtId="0" fontId="6" fillId="0" borderId="0" xfId="0" applyFont="1" applyAlignment="1">
      <alignment vertical="center"/>
    </xf>
    <xf numFmtId="0" fontId="5" fillId="3" borderId="1" xfId="0" applyFont="1" applyFill="1" applyBorder="1">
      <alignment vertical="center"/>
    </xf>
    <xf numFmtId="0" fontId="5" fillId="3" borderId="2" xfId="0" applyFont="1" applyFill="1" applyBorder="1">
      <alignment vertical="center"/>
    </xf>
    <xf numFmtId="0" fontId="6" fillId="3" borderId="2" xfId="0" applyFont="1" applyFill="1" applyBorder="1">
      <alignment vertical="center"/>
    </xf>
    <xf numFmtId="0" fontId="5" fillId="3" borderId="3" xfId="0" applyFont="1" applyFill="1" applyBorder="1">
      <alignment vertical="center"/>
    </xf>
    <xf numFmtId="0" fontId="5" fillId="3" borderId="4" xfId="0" applyFont="1" applyFill="1" applyBorder="1">
      <alignment vertical="center"/>
    </xf>
    <xf numFmtId="0" fontId="18" fillId="0" borderId="0" xfId="0" applyFont="1" applyBorder="1" applyAlignment="1">
      <alignment horizontal="center"/>
    </xf>
    <xf numFmtId="0" fontId="18" fillId="0" borderId="0" xfId="0" applyFont="1" applyBorder="1">
      <alignment vertical="center"/>
    </xf>
    <xf numFmtId="0" fontId="6" fillId="0" borderId="5" xfId="0" applyFont="1" applyBorder="1">
      <alignment vertical="center"/>
    </xf>
    <xf numFmtId="0" fontId="5" fillId="3" borderId="6" xfId="0" applyFont="1" applyFill="1" applyBorder="1">
      <alignment vertical="center"/>
    </xf>
    <xf numFmtId="0" fontId="5" fillId="3" borderId="7" xfId="0" applyFont="1" applyFill="1" applyBorder="1">
      <alignment vertical="center"/>
    </xf>
    <xf numFmtId="0" fontId="6" fillId="0" borderId="7" xfId="0" applyFont="1" applyBorder="1">
      <alignment vertical="center"/>
    </xf>
    <xf numFmtId="0" fontId="6" fillId="0" borderId="8" xfId="0" applyFont="1" applyBorder="1">
      <alignment vertical="center"/>
    </xf>
    <xf numFmtId="0" fontId="8" fillId="0" borderId="0" xfId="0" applyFont="1" applyAlignment="1">
      <alignment vertical="center"/>
    </xf>
    <xf numFmtId="0" fontId="11" fillId="8" borderId="0" xfId="0" applyFont="1" applyFill="1">
      <alignment vertical="center"/>
    </xf>
    <xf numFmtId="0" fontId="19" fillId="0" borderId="0" xfId="0" applyFont="1">
      <alignment vertical="center"/>
    </xf>
    <xf numFmtId="0" fontId="8" fillId="10" borderId="0" xfId="0" applyFont="1" applyFill="1">
      <alignment vertical="center"/>
    </xf>
    <xf numFmtId="0" fontId="8" fillId="11" borderId="0" xfId="0" applyFont="1" applyFill="1">
      <alignment vertical="center"/>
    </xf>
    <xf numFmtId="0" fontId="8" fillId="12" borderId="0" xfId="0" applyFont="1" applyFill="1">
      <alignment vertical="center"/>
    </xf>
    <xf numFmtId="0" fontId="8" fillId="13" borderId="0" xfId="0" applyFont="1" applyFill="1">
      <alignment vertical="center"/>
    </xf>
    <xf numFmtId="0" fontId="9" fillId="9" borderId="0" xfId="0" applyFont="1" applyFill="1">
      <alignment vertical="center"/>
    </xf>
    <xf numFmtId="0" fontId="20" fillId="9" borderId="0" xfId="0" applyFont="1" applyFill="1">
      <alignment vertical="center"/>
    </xf>
    <xf numFmtId="0" fontId="21" fillId="9" borderId="0" xfId="0" applyFont="1" applyFill="1">
      <alignment vertical="center"/>
    </xf>
    <xf numFmtId="0" fontId="22" fillId="8" borderId="0" xfId="0" applyFont="1" applyFill="1" applyAlignment="1">
      <alignment horizontal="right" vertical="center"/>
    </xf>
    <xf numFmtId="0" fontId="22" fillId="9" borderId="0" xfId="0" applyFont="1" applyFill="1" applyAlignment="1">
      <alignment horizontal="right" vertical="center"/>
    </xf>
    <xf numFmtId="0" fontId="13" fillId="0" borderId="0" xfId="0" applyFont="1" applyFill="1" applyBorder="1" applyAlignment="1">
      <alignment vertical="center"/>
    </xf>
    <xf numFmtId="0" fontId="13" fillId="0" borderId="0" xfId="0" applyFont="1" applyFill="1" applyBorder="1" applyAlignment="1">
      <alignment horizontal="center" vertical="center"/>
    </xf>
    <xf numFmtId="0" fontId="13" fillId="0" borderId="0" xfId="0" quotePrefix="1" applyNumberFormat="1" applyFont="1" applyFill="1" applyBorder="1" applyAlignment="1">
      <alignment horizontal="center" vertical="center"/>
    </xf>
    <xf numFmtId="0" fontId="13" fillId="14" borderId="0" xfId="0" applyFont="1" applyFill="1" applyBorder="1" applyAlignment="1">
      <alignment vertical="center"/>
    </xf>
    <xf numFmtId="0" fontId="13" fillId="14" borderId="0" xfId="0" applyNumberFormat="1" applyFont="1" applyFill="1" applyBorder="1" applyAlignment="1">
      <alignment vertical="center"/>
    </xf>
    <xf numFmtId="0" fontId="13" fillId="14" borderId="0" xfId="0" applyFont="1" applyFill="1" applyBorder="1" applyAlignment="1">
      <alignment horizontal="center" vertical="center"/>
    </xf>
    <xf numFmtId="0" fontId="13" fillId="14" borderId="0" xfId="0" applyFont="1" applyFill="1" applyBorder="1" applyAlignment="1">
      <alignment horizontal="left" vertical="center"/>
    </xf>
    <xf numFmtId="0" fontId="29" fillId="0" borderId="14" xfId="0" applyFont="1" applyFill="1" applyBorder="1" applyAlignment="1">
      <alignment horizontal="left" vertical="center"/>
    </xf>
    <xf numFmtId="0" fontId="29" fillId="0" borderId="23" xfId="0" applyFont="1" applyFill="1" applyBorder="1" applyAlignment="1">
      <alignment horizontal="left" vertical="center"/>
    </xf>
    <xf numFmtId="0" fontId="29" fillId="0" borderId="23" xfId="0" applyFont="1" applyFill="1" applyBorder="1" applyAlignment="1">
      <alignment vertical="center"/>
    </xf>
    <xf numFmtId="0" fontId="29" fillId="0" borderId="23" xfId="0" applyFont="1" applyFill="1" applyBorder="1" applyAlignment="1">
      <alignment horizontal="center" vertical="center"/>
    </xf>
    <xf numFmtId="0" fontId="29" fillId="0" borderId="23" xfId="0" applyNumberFormat="1" applyFont="1" applyFill="1" applyBorder="1" applyAlignment="1">
      <alignment vertical="center"/>
    </xf>
    <xf numFmtId="0" fontId="28" fillId="0" borderId="23" xfId="0" applyFont="1" applyFill="1" applyBorder="1" applyAlignment="1">
      <alignment horizontal="right" vertical="center"/>
    </xf>
    <xf numFmtId="0" fontId="30" fillId="0" borderId="23" xfId="0" applyFont="1" applyFill="1" applyBorder="1" applyAlignment="1">
      <alignment vertical="center"/>
    </xf>
    <xf numFmtId="0" fontId="28" fillId="0" borderId="23" xfId="0" applyFont="1" applyFill="1" applyBorder="1" applyAlignment="1">
      <alignment horizontal="center" vertical="center"/>
    </xf>
    <xf numFmtId="177" fontId="29" fillId="0" borderId="24" xfId="0" applyNumberFormat="1" applyFont="1" applyFill="1" applyBorder="1" applyAlignment="1">
      <alignment horizontal="center" vertical="center"/>
    </xf>
    <xf numFmtId="0" fontId="13" fillId="0" borderId="0" xfId="0" applyNumberFormat="1" applyFont="1" applyAlignment="1">
      <alignment horizontal="center" vertical="center"/>
    </xf>
    <xf numFmtId="0" fontId="13" fillId="0" borderId="0" xfId="0" applyNumberFormat="1" applyFont="1" applyAlignment="1">
      <alignment vertical="center"/>
    </xf>
    <xf numFmtId="0" fontId="13" fillId="0" borderId="0" xfId="0" applyFont="1" applyBorder="1" applyAlignment="1">
      <alignment vertical="center"/>
    </xf>
    <xf numFmtId="177" fontId="13" fillId="0" borderId="0" xfId="0" applyNumberFormat="1" applyFont="1" applyAlignment="1">
      <alignment vertical="center"/>
    </xf>
    <xf numFmtId="0" fontId="31" fillId="0" borderId="0" xfId="0" applyFont="1" applyAlignment="1">
      <alignment vertical="center"/>
    </xf>
    <xf numFmtId="0" fontId="13" fillId="0" borderId="25" xfId="0" applyFont="1" applyBorder="1" applyAlignment="1">
      <alignment vertical="center"/>
    </xf>
    <xf numFmtId="0" fontId="13" fillId="0" borderId="25" xfId="0" applyNumberFormat="1" applyFont="1" applyBorder="1" applyAlignment="1">
      <alignment vertical="center"/>
    </xf>
    <xf numFmtId="0" fontId="28" fillId="0" borderId="25" xfId="0" applyNumberFormat="1" applyFont="1" applyBorder="1" applyAlignment="1">
      <alignment vertical="center"/>
    </xf>
    <xf numFmtId="0" fontId="28" fillId="0" borderId="25" xfId="0" applyFont="1" applyBorder="1" applyAlignment="1">
      <alignment vertical="center"/>
    </xf>
    <xf numFmtId="0" fontId="13" fillId="0" borderId="0" xfId="0" applyNumberFormat="1" applyFont="1" applyBorder="1" applyAlignment="1">
      <alignment horizontal="center" vertical="center"/>
    </xf>
    <xf numFmtId="0" fontId="13" fillId="0" borderId="0" xfId="0" applyNumberFormat="1" applyFont="1" applyBorder="1" applyAlignment="1">
      <alignment vertical="center"/>
    </xf>
    <xf numFmtId="0" fontId="31" fillId="0" borderId="0" xfId="0" applyFont="1" applyBorder="1" applyAlignment="1">
      <alignment vertical="center"/>
    </xf>
    <xf numFmtId="0" fontId="26" fillId="7" borderId="28" xfId="0" applyFont="1" applyFill="1" applyBorder="1" applyAlignment="1">
      <alignment horizontal="center" vertical="center" wrapText="1"/>
    </xf>
    <xf numFmtId="0" fontId="26" fillId="7" borderId="29" xfId="0" applyFont="1" applyFill="1" applyBorder="1" applyAlignment="1">
      <alignment horizontal="center" vertical="center" wrapText="1"/>
    </xf>
    <xf numFmtId="0" fontId="29" fillId="0" borderId="0" xfId="0" applyFont="1" applyBorder="1" applyAlignment="1">
      <alignment vertical="center"/>
    </xf>
    <xf numFmtId="0" fontId="26" fillId="7" borderId="27" xfId="0" applyFont="1" applyFill="1" applyBorder="1" applyAlignment="1">
      <alignment horizontal="center" vertical="center" wrapText="1"/>
    </xf>
    <xf numFmtId="0" fontId="26" fillId="7" borderId="28" xfId="0" applyNumberFormat="1" applyFont="1" applyFill="1" applyBorder="1" applyAlignment="1">
      <alignment horizontal="center" vertical="center"/>
    </xf>
    <xf numFmtId="0" fontId="26" fillId="7" borderId="28" xfId="0" applyFont="1" applyFill="1" applyBorder="1" applyAlignment="1">
      <alignment horizontal="center" vertical="center"/>
    </xf>
    <xf numFmtId="0" fontId="13" fillId="0" borderId="31" xfId="0" applyFont="1" applyFill="1" applyBorder="1" applyAlignment="1">
      <alignment vertical="center"/>
    </xf>
    <xf numFmtId="0" fontId="29" fillId="0" borderId="31" xfId="0" applyFont="1" applyBorder="1" applyAlignment="1">
      <alignment vertical="center"/>
    </xf>
    <xf numFmtId="0" fontId="29" fillId="0" borderId="0" xfId="0" applyFont="1" applyBorder="1" applyAlignment="1">
      <alignment horizontal="right" vertical="center"/>
    </xf>
    <xf numFmtId="0" fontId="29" fillId="0" borderId="0" xfId="0" applyFont="1" applyAlignment="1">
      <alignment horizontal="right" vertical="center"/>
    </xf>
    <xf numFmtId="0" fontId="13" fillId="0" borderId="31" xfId="0" applyFont="1" applyBorder="1" applyAlignment="1">
      <alignment vertical="center"/>
    </xf>
    <xf numFmtId="0" fontId="13" fillId="0" borderId="0" xfId="0" applyFont="1" applyBorder="1" applyAlignment="1">
      <alignment horizontal="center" vertical="center"/>
    </xf>
    <xf numFmtId="49" fontId="13" fillId="0" borderId="0" xfId="0" applyNumberFormat="1" applyFont="1" applyFill="1" applyBorder="1" applyAlignment="1">
      <alignment horizontal="center" vertical="center"/>
    </xf>
    <xf numFmtId="0" fontId="8" fillId="9" borderId="0" xfId="0" applyFont="1" applyFill="1" applyAlignment="1">
      <alignment vertical="center"/>
    </xf>
    <xf numFmtId="0" fontId="34" fillId="9" borderId="0" xfId="0" applyFont="1" applyFill="1" applyAlignment="1">
      <alignment horizontal="right" vertical="center"/>
    </xf>
    <xf numFmtId="0" fontId="8" fillId="0" borderId="0" xfId="0" applyFont="1" applyAlignment="1">
      <alignment horizontal="left" vertical="center"/>
    </xf>
    <xf numFmtId="0" fontId="19" fillId="0" borderId="0" xfId="0" applyFont="1" applyAlignment="1">
      <alignment vertical="center"/>
    </xf>
    <xf numFmtId="0" fontId="35" fillId="0" borderId="0" xfId="0" applyFont="1" applyAlignment="1">
      <alignment vertical="center"/>
    </xf>
    <xf numFmtId="0" fontId="2" fillId="0" borderId="0" xfId="0" applyFont="1" applyAlignment="1">
      <alignment horizontal="center" vertical="center"/>
    </xf>
    <xf numFmtId="0" fontId="36" fillId="0" borderId="0" xfId="0" applyFont="1" applyAlignment="1">
      <alignment vertical="center"/>
    </xf>
    <xf numFmtId="0" fontId="35" fillId="0" borderId="0" xfId="0" applyFont="1" applyAlignment="1">
      <alignment horizontal="left" vertical="center"/>
    </xf>
    <xf numFmtId="0" fontId="37" fillId="0" borderId="0" xfId="0" applyFont="1" applyAlignment="1">
      <alignment vertical="center"/>
    </xf>
    <xf numFmtId="0" fontId="2" fillId="0" borderId="0" xfId="0" applyFont="1" applyAlignment="1">
      <alignment vertical="center"/>
    </xf>
    <xf numFmtId="0" fontId="38" fillId="0" borderId="0" xfId="0" applyFont="1" applyAlignment="1">
      <alignment vertical="center"/>
    </xf>
    <xf numFmtId="0" fontId="13" fillId="0" borderId="0" xfId="0" applyFont="1" applyFill="1" applyBorder="1" applyAlignment="1" applyProtection="1">
      <alignment horizontal="left"/>
    </xf>
    <xf numFmtId="0" fontId="13" fillId="0" borderId="0" xfId="0" applyFont="1" applyFill="1" applyAlignment="1">
      <alignment vertical="center"/>
    </xf>
    <xf numFmtId="0" fontId="29" fillId="0" borderId="0" xfId="0" applyFont="1" applyFill="1" applyBorder="1" applyAlignment="1" applyProtection="1">
      <alignment horizontal="left"/>
    </xf>
    <xf numFmtId="0" fontId="13" fillId="0" borderId="0" xfId="0" applyFont="1" applyAlignment="1">
      <alignment vertical="center"/>
    </xf>
    <xf numFmtId="10" fontId="13" fillId="0" borderId="0" xfId="0" applyNumberFormat="1" applyFont="1" applyAlignment="1">
      <alignment vertical="center"/>
    </xf>
    <xf numFmtId="0" fontId="13" fillId="0" borderId="0" xfId="0" applyFont="1" applyAlignment="1">
      <alignment horizontal="left" vertical="center"/>
    </xf>
    <xf numFmtId="49" fontId="13" fillId="0" borderId="0" xfId="0" applyNumberFormat="1" applyFont="1" applyBorder="1" applyAlignment="1">
      <alignment horizontal="center" vertical="center"/>
    </xf>
    <xf numFmtId="0" fontId="39" fillId="5" borderId="0" xfId="0" applyNumberFormat="1" applyFont="1" applyFill="1" applyBorder="1" applyAlignment="1">
      <alignment horizontal="right"/>
    </xf>
    <xf numFmtId="0" fontId="39" fillId="0" borderId="0" xfId="0" applyNumberFormat="1" applyFont="1" applyFill="1" applyBorder="1" applyAlignment="1">
      <alignment horizontal="right"/>
    </xf>
    <xf numFmtId="176" fontId="40" fillId="0" borderId="0" xfId="0" quotePrefix="1" applyNumberFormat="1" applyFont="1" applyFill="1" applyBorder="1" applyAlignment="1">
      <alignment horizontal="right"/>
    </xf>
    <xf numFmtId="0" fontId="13" fillId="6" borderId="9" xfId="0" applyFont="1" applyFill="1" applyBorder="1" applyAlignment="1">
      <alignment horizontal="left" vertical="center"/>
    </xf>
    <xf numFmtId="0" fontId="13" fillId="6" borderId="10" xfId="0" applyFont="1" applyFill="1" applyBorder="1" applyAlignment="1">
      <alignment horizontal="right" vertical="center"/>
    </xf>
    <xf numFmtId="0" fontId="0" fillId="0" borderId="0" xfId="0" applyBorder="1">
      <alignment vertical="center"/>
    </xf>
    <xf numFmtId="176" fontId="13" fillId="0" borderId="0" xfId="0" applyNumberFormat="1" applyFont="1" applyFill="1" applyBorder="1" applyAlignment="1">
      <alignment vertical="center"/>
    </xf>
    <xf numFmtId="10" fontId="13" fillId="6" borderId="11" xfId="0" applyNumberFormat="1" applyFont="1" applyFill="1" applyBorder="1" applyAlignment="1">
      <alignment horizontal="right" vertical="center"/>
    </xf>
    <xf numFmtId="0" fontId="13" fillId="0" borderId="0" xfId="0" applyFont="1" applyFill="1" applyBorder="1" applyAlignment="1">
      <alignment horizontal="right" vertical="center"/>
    </xf>
    <xf numFmtId="0" fontId="48" fillId="0" borderId="0" xfId="0" applyFont="1">
      <alignment vertical="center"/>
    </xf>
    <xf numFmtId="0" fontId="49" fillId="5" borderId="0" xfId="0" applyFont="1" applyFill="1" applyAlignment="1">
      <alignment vertical="center"/>
    </xf>
    <xf numFmtId="0" fontId="26" fillId="7" borderId="39" xfId="0" applyFont="1" applyFill="1" applyBorder="1" applyAlignment="1">
      <alignment horizontal="center" vertical="center" wrapText="1"/>
    </xf>
    <xf numFmtId="0" fontId="26" fillId="7" borderId="41" xfId="0" applyNumberFormat="1" applyFont="1" applyFill="1" applyBorder="1" applyAlignment="1">
      <alignment horizontal="center" vertical="center"/>
    </xf>
    <xf numFmtId="0" fontId="26" fillId="7" borderId="41" xfId="0" applyFont="1" applyFill="1" applyBorder="1" applyAlignment="1">
      <alignment horizontal="center" vertical="center"/>
    </xf>
    <xf numFmtId="0" fontId="26" fillId="7" borderId="42" xfId="0" applyFont="1" applyFill="1" applyBorder="1" applyAlignment="1">
      <alignment horizontal="center" vertical="center" wrapText="1"/>
    </xf>
    <xf numFmtId="0" fontId="25" fillId="0" borderId="0" xfId="0" applyFont="1">
      <alignment vertical="center"/>
    </xf>
    <xf numFmtId="176" fontId="13" fillId="5" borderId="0" xfId="0" applyNumberFormat="1" applyFont="1" applyFill="1" applyBorder="1" applyAlignment="1">
      <alignment vertical="center"/>
    </xf>
    <xf numFmtId="0" fontId="11" fillId="8" borderId="0" xfId="0" applyFont="1" applyFill="1" applyAlignment="1">
      <alignment vertical="center"/>
    </xf>
    <xf numFmtId="0" fontId="51" fillId="8" borderId="0" xfId="0" applyFont="1" applyFill="1" applyAlignment="1">
      <alignment vertical="center"/>
    </xf>
    <xf numFmtId="0" fontId="52" fillId="8" borderId="0" xfId="0" applyFont="1" applyFill="1" applyAlignment="1">
      <alignment vertical="center"/>
    </xf>
    <xf numFmtId="0" fontId="0" fillId="0" borderId="0" xfId="0" applyAlignment="1">
      <alignment horizontal="center" vertical="center"/>
    </xf>
    <xf numFmtId="0" fontId="0" fillId="0" borderId="0" xfId="0">
      <alignment vertical="center"/>
    </xf>
    <xf numFmtId="0" fontId="16" fillId="0" borderId="0" xfId="0" applyFont="1">
      <alignment vertical="center"/>
    </xf>
    <xf numFmtId="0" fontId="54" fillId="3" borderId="0" xfId="0" quotePrefix="1" applyFont="1" applyFill="1" applyBorder="1">
      <alignment vertical="center"/>
    </xf>
    <xf numFmtId="0" fontId="23" fillId="0" borderId="19" xfId="0" applyFont="1" applyBorder="1" applyAlignment="1">
      <alignment vertical="center" wrapText="1"/>
    </xf>
    <xf numFmtId="0" fontId="23" fillId="0" borderId="19" xfId="0" applyFont="1" applyBorder="1" applyAlignment="1">
      <alignment horizontal="right" vertical="center" wrapText="1" indent="1"/>
    </xf>
    <xf numFmtId="0" fontId="23" fillId="0" borderId="19" xfId="0" quotePrefix="1" applyFont="1" applyBorder="1" applyAlignment="1">
      <alignment horizontal="right" vertical="center" wrapText="1" indent="1"/>
    </xf>
    <xf numFmtId="0" fontId="23" fillId="0" borderId="48" xfId="0" applyFont="1" applyBorder="1">
      <alignment vertical="center"/>
    </xf>
    <xf numFmtId="0" fontId="23" fillId="0" borderId="49" xfId="0" applyFont="1" applyBorder="1">
      <alignment vertical="center"/>
    </xf>
    <xf numFmtId="0" fontId="23" fillId="0" borderId="49" xfId="0" applyFont="1" applyBorder="1" applyAlignment="1">
      <alignment horizontal="right" vertical="center" indent="1"/>
    </xf>
    <xf numFmtId="0" fontId="23" fillId="0" borderId="50" xfId="0" applyFont="1" applyBorder="1">
      <alignment vertical="center"/>
    </xf>
    <xf numFmtId="0" fontId="23" fillId="0" borderId="51" xfId="0" applyFont="1" applyBorder="1" applyAlignment="1">
      <alignment vertical="center" wrapText="1"/>
    </xf>
    <xf numFmtId="0" fontId="23" fillId="0" borderId="51" xfId="0" applyFont="1" applyBorder="1" applyAlignment="1">
      <alignment horizontal="right" vertical="center" wrapText="1" indent="1"/>
    </xf>
    <xf numFmtId="0" fontId="23" fillId="0" borderId="19" xfId="0" applyFont="1" applyFill="1" applyBorder="1" applyAlignment="1">
      <alignment vertical="center" wrapText="1"/>
    </xf>
    <xf numFmtId="0" fontId="23" fillId="0" borderId="52" xfId="0" applyFont="1" applyBorder="1" applyAlignment="1">
      <alignment vertical="center" wrapText="1"/>
    </xf>
    <xf numFmtId="0" fontId="23" fillId="0" borderId="53" xfId="0" applyFont="1" applyBorder="1" applyAlignment="1">
      <alignment vertical="center" wrapText="1"/>
    </xf>
    <xf numFmtId="0" fontId="23" fillId="0" borderId="36" xfId="0" applyFont="1" applyBorder="1">
      <alignment vertical="center"/>
    </xf>
    <xf numFmtId="0" fontId="21" fillId="9" borderId="0" xfId="0" applyFont="1" applyFill="1" applyAlignment="1">
      <alignment horizontal="center" vertical="center"/>
    </xf>
    <xf numFmtId="0" fontId="11" fillId="8" borderId="0" xfId="0" applyFont="1" applyFill="1" applyAlignment="1">
      <alignment horizontal="center" vertical="center"/>
    </xf>
    <xf numFmtId="0" fontId="23" fillId="0" borderId="19" xfId="0" applyFont="1" applyBorder="1" applyAlignment="1">
      <alignment horizontal="center" vertical="center" wrapText="1"/>
    </xf>
    <xf numFmtId="0" fontId="23" fillId="0" borderId="49" xfId="0" applyFont="1" applyBorder="1" applyAlignment="1">
      <alignment horizontal="center" vertical="center"/>
    </xf>
    <xf numFmtId="0" fontId="23" fillId="0" borderId="52" xfId="0" applyFont="1" applyBorder="1" applyAlignment="1">
      <alignment horizontal="center" vertical="center" wrapText="1"/>
    </xf>
    <xf numFmtId="0" fontId="23" fillId="0" borderId="54" xfId="0" applyFont="1" applyBorder="1" applyAlignment="1">
      <alignment horizontal="center" vertical="center" wrapText="1"/>
    </xf>
    <xf numFmtId="14" fontId="13" fillId="5" borderId="0" xfId="0" applyNumberFormat="1" applyFont="1" applyFill="1" applyBorder="1" applyAlignment="1">
      <alignment horizontal="right" vertical="center"/>
    </xf>
    <xf numFmtId="0" fontId="13" fillId="5" borderId="0" xfId="0" applyFont="1" applyFill="1" applyAlignment="1">
      <alignment vertical="center"/>
    </xf>
    <xf numFmtId="185" fontId="13" fillId="14" borderId="0" xfId="0" applyNumberFormat="1" applyFont="1" applyFill="1" applyBorder="1" applyAlignment="1">
      <alignment horizontal="center" vertical="center"/>
    </xf>
    <xf numFmtId="184" fontId="13" fillId="14" borderId="0" xfId="0" applyNumberFormat="1" applyFont="1" applyFill="1" applyBorder="1" applyAlignment="1">
      <alignment horizontal="right" vertical="center"/>
    </xf>
    <xf numFmtId="184" fontId="28" fillId="0" borderId="23" xfId="0" applyNumberFormat="1" applyFont="1" applyFill="1" applyBorder="1" applyAlignment="1">
      <alignment horizontal="right" vertical="center"/>
    </xf>
    <xf numFmtId="185" fontId="28" fillId="0" borderId="23" xfId="0" applyNumberFormat="1" applyFont="1" applyFill="1" applyBorder="1" applyAlignment="1">
      <alignment horizontal="right" vertical="center"/>
    </xf>
    <xf numFmtId="184" fontId="29" fillId="0" borderId="26" xfId="0" applyNumberFormat="1" applyFont="1" applyBorder="1" applyAlignment="1">
      <alignment horizontal="center" vertical="center"/>
    </xf>
    <xf numFmtId="184" fontId="28" fillId="0" borderId="25" xfId="0" applyNumberFormat="1" applyFont="1" applyBorder="1" applyAlignment="1">
      <alignment horizontal="center" vertical="center"/>
    </xf>
    <xf numFmtId="184" fontId="26" fillId="7" borderId="41" xfId="0" applyNumberFormat="1" applyFont="1" applyFill="1" applyBorder="1" applyAlignment="1">
      <alignment horizontal="center" vertical="center" wrapText="1"/>
    </xf>
    <xf numFmtId="184" fontId="28" fillId="5" borderId="25" xfId="0" applyNumberFormat="1" applyFont="1" applyFill="1" applyBorder="1" applyAlignment="1">
      <alignment horizontal="center" vertical="center"/>
    </xf>
    <xf numFmtId="184" fontId="13" fillId="0" borderId="31" xfId="0" applyNumberFormat="1" applyFont="1" applyFill="1" applyBorder="1" applyAlignment="1">
      <alignment horizontal="center" vertical="center"/>
    </xf>
    <xf numFmtId="184" fontId="29" fillId="0" borderId="32" xfId="0" applyNumberFormat="1" applyFont="1" applyBorder="1" applyAlignment="1">
      <alignment horizontal="center" vertical="center"/>
    </xf>
    <xf numFmtId="184" fontId="13" fillId="0" borderId="33" xfId="0" applyNumberFormat="1" applyFont="1" applyBorder="1" applyAlignment="1">
      <alignment horizontal="center" vertical="center"/>
    </xf>
    <xf numFmtId="184" fontId="13" fillId="0" borderId="30" xfId="0" applyNumberFormat="1" applyFont="1" applyBorder="1" applyAlignment="1">
      <alignment horizontal="center" vertical="center"/>
    </xf>
    <xf numFmtId="184" fontId="13" fillId="0" borderId="0" xfId="0" applyNumberFormat="1" applyFont="1" applyBorder="1" applyAlignment="1">
      <alignment horizontal="center" vertical="center"/>
    </xf>
    <xf numFmtId="184" fontId="13" fillId="0" borderId="31" xfId="0" applyNumberFormat="1" applyFont="1" applyBorder="1" applyAlignment="1">
      <alignment horizontal="center" vertical="center"/>
    </xf>
    <xf numFmtId="184" fontId="13" fillId="0" borderId="34" xfId="0" applyNumberFormat="1" applyFont="1" applyBorder="1" applyAlignment="1">
      <alignment horizontal="center" vertical="center"/>
    </xf>
    <xf numFmtId="184" fontId="13" fillId="0" borderId="32" xfId="0" applyNumberFormat="1" applyFont="1" applyBorder="1" applyAlignment="1">
      <alignment horizontal="center" vertical="center"/>
    </xf>
    <xf numFmtId="184" fontId="41" fillId="5" borderId="0" xfId="0" applyNumberFormat="1" applyFont="1" applyFill="1" applyBorder="1" applyAlignment="1">
      <alignment horizontal="right" vertical="center"/>
    </xf>
    <xf numFmtId="0" fontId="23" fillId="0" borderId="0" xfId="0" applyFont="1">
      <alignment vertical="center"/>
    </xf>
    <xf numFmtId="0" fontId="23" fillId="0" borderId="0" xfId="0" applyFont="1" applyBorder="1">
      <alignment vertical="center"/>
    </xf>
    <xf numFmtId="0" fontId="16" fillId="0" borderId="0" xfId="0" applyFont="1" applyFill="1">
      <alignment vertical="center"/>
    </xf>
    <xf numFmtId="0" fontId="57" fillId="0" borderId="0" xfId="0" applyFont="1" applyFill="1">
      <alignment vertical="center"/>
    </xf>
    <xf numFmtId="0" fontId="58" fillId="0" borderId="0" xfId="0" applyFont="1" applyFill="1">
      <alignment vertical="center"/>
    </xf>
    <xf numFmtId="0" fontId="61" fillId="0" borderId="0" xfId="0" applyFont="1" applyAlignment="1">
      <alignment horizontal="right" vertical="center"/>
    </xf>
    <xf numFmtId="0" fontId="61" fillId="5" borderId="0" xfId="0" applyFont="1" applyFill="1" applyAlignment="1">
      <alignment horizontal="right" vertical="center"/>
    </xf>
    <xf numFmtId="0" fontId="29" fillId="0" borderId="0" xfId="0" applyFont="1" applyAlignment="1">
      <alignment horizontal="left" vertical="center"/>
    </xf>
    <xf numFmtId="0" fontId="29" fillId="0" borderId="0" xfId="0" applyFont="1" applyFill="1" applyBorder="1" applyAlignment="1">
      <alignment horizontal="left" vertical="center"/>
    </xf>
    <xf numFmtId="14" fontId="39" fillId="6" borderId="0" xfId="0" quotePrefix="1" applyNumberFormat="1" applyFont="1" applyFill="1" applyBorder="1" applyAlignment="1">
      <alignment horizontal="right"/>
    </xf>
    <xf numFmtId="0" fontId="29" fillId="5" borderId="0" xfId="0" applyFont="1" applyFill="1" applyAlignment="1">
      <alignment horizontal="left" vertical="center"/>
    </xf>
    <xf numFmtId="14" fontId="29" fillId="6" borderId="0" xfId="0" applyNumberFormat="1" applyFont="1" applyFill="1" applyBorder="1" applyAlignment="1">
      <alignment horizontal="left" vertical="center"/>
    </xf>
    <xf numFmtId="14" fontId="29" fillId="5" borderId="0" xfId="0" applyNumberFormat="1" applyFont="1" applyFill="1" applyBorder="1" applyAlignment="1">
      <alignment horizontal="left" vertical="center"/>
    </xf>
    <xf numFmtId="0" fontId="29" fillId="0" borderId="0" xfId="0" applyFont="1" applyAlignment="1">
      <alignment vertical="center"/>
    </xf>
    <xf numFmtId="0" fontId="16" fillId="0" borderId="0" xfId="0" applyFont="1" applyAlignment="1">
      <alignment horizontal="right" vertical="center"/>
    </xf>
    <xf numFmtId="3" fontId="13" fillId="0" borderId="0" xfId="0" applyNumberFormat="1" applyFont="1" applyAlignment="1">
      <alignment horizontal="right" vertical="center"/>
    </xf>
    <xf numFmtId="190" fontId="13" fillId="0" borderId="25" xfId="0" applyNumberFormat="1" applyFont="1" applyBorder="1" applyAlignment="1">
      <alignment horizontal="center" vertical="center"/>
    </xf>
    <xf numFmtId="0" fontId="23" fillId="0" borderId="19" xfId="0" applyFont="1" applyBorder="1" applyAlignment="1">
      <alignment horizontal="left" vertical="center" wrapText="1"/>
    </xf>
    <xf numFmtId="0" fontId="23" fillId="0" borderId="49" xfId="0" applyFont="1" applyBorder="1" applyAlignment="1">
      <alignment horizontal="left" vertical="center"/>
    </xf>
    <xf numFmtId="0" fontId="23" fillId="0" borderId="51" xfId="0" applyFont="1" applyBorder="1" applyAlignment="1">
      <alignment horizontal="left" vertical="center" wrapText="1"/>
    </xf>
    <xf numFmtId="0" fontId="23" fillId="0" borderId="19" xfId="0" applyFont="1" applyFill="1" applyBorder="1" applyAlignment="1">
      <alignment horizontal="left" vertical="center" wrapText="1"/>
    </xf>
    <xf numFmtId="0" fontId="0" fillId="0" borderId="0" xfId="0" applyAlignment="1">
      <alignment horizontal="left" vertical="center"/>
    </xf>
    <xf numFmtId="0" fontId="23" fillId="0" borderId="17" xfId="0" applyFont="1" applyFill="1" applyBorder="1" applyAlignment="1">
      <alignment horizontal="left" vertical="center" wrapText="1"/>
    </xf>
    <xf numFmtId="0" fontId="16" fillId="0" borderId="0" xfId="0" applyFont="1">
      <alignment vertical="center"/>
    </xf>
    <xf numFmtId="0" fontId="64" fillId="0" borderId="0" xfId="0" applyFont="1" applyAlignment="1">
      <alignment vertical="center"/>
    </xf>
    <xf numFmtId="0" fontId="42" fillId="0" borderId="0" xfId="0" applyFont="1">
      <alignment vertical="center"/>
    </xf>
    <xf numFmtId="184" fontId="41" fillId="0" borderId="0" xfId="0" applyNumberFormat="1" applyFont="1" applyFill="1" applyBorder="1" applyAlignment="1">
      <alignment horizontal="right" vertical="center"/>
    </xf>
    <xf numFmtId="186" fontId="65" fillId="0" borderId="0" xfId="0" applyNumberFormat="1" applyFont="1">
      <alignment vertical="center"/>
    </xf>
    <xf numFmtId="0" fontId="23" fillId="0" borderId="45" xfId="0" applyFont="1" applyFill="1" applyBorder="1" applyAlignment="1">
      <alignment horizontal="left" vertical="center" wrapText="1"/>
    </xf>
    <xf numFmtId="0" fontId="24" fillId="0" borderId="45" xfId="0" applyFont="1" applyFill="1" applyBorder="1" applyAlignment="1">
      <alignment horizontal="left" vertical="center" wrapText="1"/>
    </xf>
    <xf numFmtId="0" fontId="23" fillId="0" borderId="47" xfId="0" applyFont="1" applyFill="1" applyBorder="1" applyAlignment="1">
      <alignment vertical="center" wrapText="1"/>
    </xf>
    <xf numFmtId="0" fontId="23" fillId="0" borderId="49" xfId="0" applyFont="1" applyFill="1" applyBorder="1" applyAlignment="1">
      <alignment horizontal="left" vertical="center"/>
    </xf>
    <xf numFmtId="0" fontId="23" fillId="0" borderId="50" xfId="0" applyFont="1" applyFill="1" applyBorder="1">
      <alignment vertical="center"/>
    </xf>
    <xf numFmtId="0" fontId="23" fillId="0" borderId="51" xfId="0" applyFont="1" applyFill="1" applyBorder="1" applyAlignment="1">
      <alignment horizontal="left" vertical="center" wrapText="1"/>
    </xf>
    <xf numFmtId="0" fontId="23" fillId="0" borderId="51" xfId="0" applyFont="1" applyFill="1" applyBorder="1" applyAlignment="1">
      <alignment vertical="center" wrapText="1"/>
    </xf>
    <xf numFmtId="185" fontId="13" fillId="0" borderId="0" xfId="0" applyNumberFormat="1" applyFont="1" applyFill="1" applyBorder="1" applyAlignment="1">
      <alignment horizontal="right" vertical="center"/>
    </xf>
    <xf numFmtId="184" fontId="13" fillId="0" borderId="0" xfId="0" applyNumberFormat="1" applyFont="1" applyFill="1" applyBorder="1" applyAlignment="1">
      <alignment horizontal="right" vertical="center"/>
    </xf>
    <xf numFmtId="184" fontId="28" fillId="0" borderId="0" xfId="0" applyNumberFormat="1" applyFont="1" applyFill="1" applyBorder="1" applyAlignment="1">
      <alignment horizontal="right" vertical="center"/>
    </xf>
    <xf numFmtId="180" fontId="13" fillId="0" borderId="0" xfId="0" applyNumberFormat="1" applyFont="1" applyFill="1" applyBorder="1" applyAlignment="1">
      <alignment horizontal="right" vertical="center"/>
    </xf>
    <xf numFmtId="0" fontId="66" fillId="0" borderId="0" xfId="0" applyFont="1" applyFill="1" applyAlignment="1">
      <alignment vertical="center"/>
    </xf>
    <xf numFmtId="0" fontId="67" fillId="0" borderId="0" xfId="0" applyFont="1" applyFill="1" applyAlignment="1">
      <alignment vertical="center"/>
    </xf>
    <xf numFmtId="0" fontId="66" fillId="0" borderId="0" xfId="0" applyFont="1" applyAlignment="1">
      <alignment vertical="center"/>
    </xf>
    <xf numFmtId="0" fontId="68" fillId="0" borderId="0" xfId="0" applyFont="1" applyAlignment="1">
      <alignment vertical="center"/>
    </xf>
    <xf numFmtId="0" fontId="68" fillId="0" borderId="0" xfId="0" applyFont="1" applyBorder="1" applyAlignment="1">
      <alignment vertical="center"/>
    </xf>
    <xf numFmtId="0" fontId="68" fillId="0" borderId="0" xfId="0" applyFont="1" applyFill="1" applyBorder="1" applyAlignment="1">
      <alignment vertical="center"/>
    </xf>
    <xf numFmtId="0" fontId="68" fillId="0" borderId="0" xfId="0" applyFont="1" applyFill="1" applyAlignment="1">
      <alignment vertical="center"/>
    </xf>
    <xf numFmtId="0" fontId="62" fillId="0" borderId="0" xfId="0" applyFont="1" applyAlignment="1">
      <alignment vertical="center"/>
    </xf>
    <xf numFmtId="9" fontId="68" fillId="0" borderId="77" xfId="0" applyNumberFormat="1" applyFont="1" applyBorder="1" applyAlignment="1">
      <alignment vertical="center"/>
    </xf>
    <xf numFmtId="0" fontId="68" fillId="0" borderId="79" xfId="0" applyFont="1" applyBorder="1" applyAlignment="1">
      <alignment vertical="center"/>
    </xf>
    <xf numFmtId="0" fontId="68" fillId="0" borderId="78" xfId="0" applyFont="1" applyBorder="1" applyAlignment="1">
      <alignment vertical="center"/>
    </xf>
    <xf numFmtId="0" fontId="69" fillId="0" borderId="0" xfId="0" applyFont="1" applyAlignment="1">
      <alignment horizontal="left" vertical="center"/>
    </xf>
    <xf numFmtId="0" fontId="70" fillId="0" borderId="0" xfId="0" applyFont="1" applyFill="1" applyAlignment="1">
      <alignment vertical="center"/>
    </xf>
    <xf numFmtId="0" fontId="69" fillId="0" borderId="0" xfId="0" applyFont="1" applyFill="1" applyAlignment="1">
      <alignment vertical="center"/>
    </xf>
    <xf numFmtId="0" fontId="69" fillId="0" borderId="0" xfId="0" applyFont="1" applyFill="1" applyAlignment="1">
      <alignment horizontal="left" vertical="center"/>
    </xf>
    <xf numFmtId="0" fontId="70" fillId="0" borderId="0" xfId="0" applyFont="1" applyAlignment="1">
      <alignment vertical="center"/>
    </xf>
    <xf numFmtId="10" fontId="13" fillId="5" borderId="43" xfId="0" applyNumberFormat="1" applyFont="1" applyFill="1" applyBorder="1" applyAlignment="1">
      <alignment vertical="center"/>
    </xf>
    <xf numFmtId="184" fontId="29" fillId="0" borderId="0" xfId="0" applyNumberFormat="1" applyFont="1" applyBorder="1" applyAlignment="1">
      <alignment horizontal="center" vertical="center"/>
    </xf>
    <xf numFmtId="0" fontId="26" fillId="7" borderId="41" xfId="0" applyFont="1" applyFill="1" applyBorder="1" applyAlignment="1">
      <alignment horizontal="left" vertical="center"/>
    </xf>
    <xf numFmtId="185" fontId="13" fillId="0" borderId="0" xfId="0" applyNumberFormat="1" applyFont="1" applyFill="1" applyBorder="1" applyAlignment="1">
      <alignment horizontal="center" vertical="center"/>
    </xf>
    <xf numFmtId="0" fontId="13" fillId="5" borderId="0" xfId="0" applyFont="1" applyFill="1" applyBorder="1" applyAlignment="1">
      <alignment horizontal="left" vertical="center"/>
    </xf>
    <xf numFmtId="0" fontId="13" fillId="0" borderId="0" xfId="0" applyNumberFormat="1" applyFont="1" applyFill="1" applyBorder="1" applyAlignment="1">
      <alignment horizontal="right" vertical="center"/>
    </xf>
    <xf numFmtId="0" fontId="13" fillId="5" borderId="0" xfId="0" applyFont="1" applyFill="1" applyAlignment="1">
      <alignment horizontal="left" vertical="center"/>
    </xf>
    <xf numFmtId="0" fontId="13" fillId="0" borderId="0" xfId="0" quotePrefix="1" applyFont="1" applyAlignment="1">
      <alignment horizontal="center" vertical="center"/>
    </xf>
    <xf numFmtId="176" fontId="38" fillId="5" borderId="0" xfId="0" applyNumberFormat="1" applyFont="1" applyFill="1" applyBorder="1" applyAlignment="1">
      <alignment horizontal="right" vertical="center"/>
    </xf>
    <xf numFmtId="176" fontId="63" fillId="0" borderId="0" xfId="0" applyNumberFormat="1" applyFont="1" applyFill="1" applyBorder="1" applyAlignment="1">
      <alignment horizontal="right" vertical="center"/>
    </xf>
    <xf numFmtId="176" fontId="63" fillId="5" borderId="0" xfId="0" applyNumberFormat="1" applyFont="1" applyFill="1" applyBorder="1" applyAlignment="1">
      <alignment horizontal="right" vertical="center"/>
    </xf>
    <xf numFmtId="184" fontId="23" fillId="0" borderId="0" xfId="0" applyNumberFormat="1" applyFont="1" applyBorder="1" applyAlignment="1">
      <alignment vertical="center"/>
    </xf>
    <xf numFmtId="0" fontId="13" fillId="5" borderId="0" xfId="0" applyFont="1" applyFill="1" applyBorder="1" applyAlignment="1">
      <alignment vertical="center"/>
    </xf>
    <xf numFmtId="14" fontId="40" fillId="5" borderId="95" xfId="0" applyNumberFormat="1" applyFont="1" applyFill="1" applyBorder="1" applyAlignment="1">
      <alignment horizontal="left"/>
    </xf>
    <xf numFmtId="0" fontId="39" fillId="5" borderId="96" xfId="0" applyNumberFormat="1" applyFont="1" applyFill="1" applyBorder="1" applyAlignment="1">
      <alignment horizontal="right"/>
    </xf>
    <xf numFmtId="14" fontId="13" fillId="5" borderId="96" xfId="0" applyNumberFormat="1" applyFont="1" applyFill="1" applyBorder="1" applyAlignment="1">
      <alignment vertical="center"/>
    </xf>
    <xf numFmtId="176" fontId="13" fillId="5" borderId="96" xfId="0" applyNumberFormat="1" applyFont="1" applyFill="1" applyBorder="1" applyAlignment="1">
      <alignment vertical="center"/>
    </xf>
    <xf numFmtId="14" fontId="40" fillId="5" borderId="0" xfId="0" applyNumberFormat="1" applyFont="1" applyFill="1" applyBorder="1" applyAlignment="1">
      <alignment horizontal="left"/>
    </xf>
    <xf numFmtId="14" fontId="13" fillId="5" borderId="0" xfId="0" applyNumberFormat="1" applyFont="1" applyFill="1" applyBorder="1" applyAlignment="1">
      <alignment vertical="center"/>
    </xf>
    <xf numFmtId="10" fontId="13" fillId="5" borderId="0" xfId="0" applyNumberFormat="1" applyFont="1" applyFill="1" applyBorder="1" applyAlignment="1">
      <alignment horizontal="center" vertical="center"/>
    </xf>
    <xf numFmtId="14" fontId="13" fillId="0" borderId="0" xfId="0" applyNumberFormat="1" applyFont="1" applyAlignment="1">
      <alignment horizontal="right" vertical="center"/>
    </xf>
    <xf numFmtId="184" fontId="72" fillId="0" borderId="0" xfId="0" applyNumberFormat="1" applyFont="1" applyFill="1" applyBorder="1" applyAlignment="1">
      <alignment horizontal="right" vertical="center"/>
    </xf>
    <xf numFmtId="184" fontId="72" fillId="5" borderId="0" xfId="0" applyNumberFormat="1" applyFont="1" applyFill="1" applyBorder="1" applyAlignment="1">
      <alignment horizontal="right" vertical="center"/>
    </xf>
    <xf numFmtId="176" fontId="63" fillId="5" borderId="46" xfId="0" applyNumberFormat="1" applyFont="1" applyFill="1" applyBorder="1" applyAlignment="1">
      <alignment horizontal="right" vertical="center"/>
    </xf>
    <xf numFmtId="0" fontId="69" fillId="20" borderId="85" xfId="0" applyFont="1" applyFill="1" applyBorder="1">
      <alignment vertical="center"/>
    </xf>
    <xf numFmtId="188" fontId="69" fillId="20" borderId="86" xfId="0" applyNumberFormat="1" applyFont="1" applyFill="1" applyBorder="1" applyAlignment="1">
      <alignment horizontal="center" vertical="center"/>
    </xf>
    <xf numFmtId="49" fontId="69" fillId="20" borderId="86" xfId="0" applyNumberFormat="1" applyFont="1" applyFill="1" applyBorder="1" applyAlignment="1">
      <alignment horizontal="center" vertical="center"/>
    </xf>
    <xf numFmtId="189" fontId="69" fillId="20" borderId="86" xfId="0" applyNumberFormat="1" applyFont="1" applyFill="1" applyBorder="1" applyAlignment="1">
      <alignment horizontal="center" vertical="center"/>
    </xf>
    <xf numFmtId="182" fontId="69" fillId="20" borderId="86" xfId="0" applyNumberFormat="1" applyFont="1" applyFill="1" applyBorder="1" applyAlignment="1">
      <alignment horizontal="center" vertical="center"/>
    </xf>
    <xf numFmtId="182" fontId="69" fillId="20" borderId="87" xfId="0" applyNumberFormat="1" applyFont="1" applyFill="1" applyBorder="1" applyAlignment="1">
      <alignment horizontal="center" vertical="center"/>
    </xf>
    <xf numFmtId="0" fontId="63" fillId="5" borderId="98" xfId="0" applyFont="1" applyFill="1" applyBorder="1">
      <alignment vertical="center"/>
    </xf>
    <xf numFmtId="0" fontId="72" fillId="5" borderId="67" xfId="0" applyFont="1" applyFill="1" applyBorder="1" applyAlignment="1">
      <alignment horizontal="left" vertical="center" indent="1"/>
    </xf>
    <xf numFmtId="0" fontId="41" fillId="5" borderId="99" xfId="0" applyFont="1" applyFill="1" applyBorder="1" applyAlignment="1">
      <alignment horizontal="left" vertical="center" indent="1"/>
    </xf>
    <xf numFmtId="186" fontId="38" fillId="5" borderId="0" xfId="0" applyNumberFormat="1" applyFont="1" applyFill="1" applyBorder="1" applyAlignment="1">
      <alignment horizontal="right" vertical="center"/>
    </xf>
    <xf numFmtId="49" fontId="69" fillId="20" borderId="87" xfId="0" applyNumberFormat="1" applyFont="1" applyFill="1" applyBorder="1" applyAlignment="1">
      <alignment horizontal="center" vertical="center"/>
    </xf>
    <xf numFmtId="49" fontId="69" fillId="0" borderId="0" xfId="0" applyNumberFormat="1" applyFont="1" applyFill="1" applyBorder="1" applyAlignment="1">
      <alignment horizontal="center" vertical="center"/>
    </xf>
    <xf numFmtId="192" fontId="41" fillId="0" borderId="0" xfId="0" applyNumberFormat="1" applyFont="1" applyFill="1" applyBorder="1" applyAlignment="1">
      <alignment horizontal="right" vertical="center"/>
    </xf>
    <xf numFmtId="183" fontId="41" fillId="0" borderId="0" xfId="0" applyNumberFormat="1" applyFont="1" applyFill="1" applyBorder="1" applyAlignment="1">
      <alignment horizontal="right" vertical="center"/>
    </xf>
    <xf numFmtId="179" fontId="26" fillId="7" borderId="12" xfId="0" applyNumberFormat="1" applyFont="1" applyFill="1" applyBorder="1" applyAlignment="1">
      <alignment horizontal="left" vertical="center"/>
    </xf>
    <xf numFmtId="179" fontId="26" fillId="7" borderId="0" xfId="0" applyNumberFormat="1" applyFont="1" applyFill="1" applyBorder="1" applyAlignment="1">
      <alignment horizontal="left" vertical="center"/>
    </xf>
    <xf numFmtId="0" fontId="13" fillId="0" borderId="18" xfId="0" applyFont="1" applyFill="1" applyBorder="1" applyAlignment="1">
      <alignment horizontal="left" vertical="center"/>
    </xf>
    <xf numFmtId="185" fontId="13" fillId="0" borderId="20" xfId="0" applyNumberFormat="1" applyFont="1" applyFill="1" applyBorder="1" applyAlignment="1">
      <alignment horizontal="right" vertical="center"/>
    </xf>
    <xf numFmtId="0" fontId="13" fillId="14" borderId="18" xfId="0" applyFont="1" applyFill="1" applyBorder="1" applyAlignment="1">
      <alignment horizontal="left" vertical="center"/>
    </xf>
    <xf numFmtId="185" fontId="13" fillId="14" borderId="20" xfId="0" applyNumberFormat="1" applyFont="1" applyFill="1" applyBorder="1" applyAlignment="1">
      <alignment horizontal="center" vertical="center"/>
    </xf>
    <xf numFmtId="0" fontId="13" fillId="14" borderId="22" xfId="0" applyFont="1" applyFill="1" applyBorder="1" applyAlignment="1">
      <alignment horizontal="left" vertical="center"/>
    </xf>
    <xf numFmtId="0" fontId="13" fillId="14" borderId="15" xfId="0" applyFont="1" applyFill="1" applyBorder="1" applyAlignment="1">
      <alignment horizontal="left" vertical="center"/>
    </xf>
    <xf numFmtId="0" fontId="13" fillId="14" borderId="15" xfId="0" applyFont="1" applyFill="1" applyBorder="1" applyAlignment="1">
      <alignment horizontal="center" vertical="center"/>
    </xf>
    <xf numFmtId="0" fontId="13" fillId="14" borderId="15" xfId="0" applyNumberFormat="1" applyFont="1" applyFill="1" applyBorder="1" applyAlignment="1">
      <alignment vertical="center"/>
    </xf>
    <xf numFmtId="185" fontId="13" fillId="14" borderId="15" xfId="0" applyNumberFormat="1" applyFont="1" applyFill="1" applyBorder="1" applyAlignment="1">
      <alignment horizontal="center" vertical="center"/>
    </xf>
    <xf numFmtId="180" fontId="13" fillId="14" borderId="15" xfId="0" applyNumberFormat="1" applyFont="1" applyFill="1" applyBorder="1" applyAlignment="1">
      <alignment vertical="center"/>
    </xf>
    <xf numFmtId="184" fontId="13" fillId="14" borderId="15" xfId="0" applyNumberFormat="1" applyFont="1" applyFill="1" applyBorder="1" applyAlignment="1">
      <alignment horizontal="right" vertical="center"/>
    </xf>
    <xf numFmtId="185" fontId="13" fillId="14" borderId="21" xfId="0" applyNumberFormat="1" applyFont="1" applyFill="1" applyBorder="1" applyAlignment="1">
      <alignment horizontal="center" vertical="center"/>
    </xf>
    <xf numFmtId="184" fontId="23" fillId="0" borderId="0" xfId="0" applyNumberFormat="1" applyFont="1" applyFill="1" applyBorder="1" applyAlignment="1">
      <alignment vertical="center"/>
    </xf>
    <xf numFmtId="180" fontId="38" fillId="5" borderId="0" xfId="0" applyNumberFormat="1" applyFont="1" applyFill="1" applyBorder="1" applyAlignment="1">
      <alignment horizontal="right" vertical="center"/>
    </xf>
    <xf numFmtId="180" fontId="38" fillId="0" borderId="0" xfId="0" applyNumberFormat="1" applyFont="1" applyFill="1" applyBorder="1" applyAlignment="1">
      <alignment horizontal="right" vertical="center"/>
    </xf>
    <xf numFmtId="180" fontId="38" fillId="0" borderId="0" xfId="0" applyNumberFormat="1" applyFont="1" applyBorder="1" applyAlignment="1">
      <alignment horizontal="right" vertical="center"/>
    </xf>
    <xf numFmtId="0" fontId="63" fillId="0" borderId="0" xfId="0" applyFont="1">
      <alignment vertical="center"/>
    </xf>
    <xf numFmtId="0" fontId="38" fillId="0" borderId="0" xfId="0" applyFont="1" applyFill="1" applyBorder="1">
      <alignment vertical="center"/>
    </xf>
    <xf numFmtId="186" fontId="38" fillId="0" borderId="0" xfId="0" applyNumberFormat="1" applyFont="1" applyBorder="1" applyAlignment="1">
      <alignment horizontal="right" vertical="center"/>
    </xf>
    <xf numFmtId="0" fontId="63" fillId="0" borderId="0" xfId="0" applyFont="1" applyFill="1" applyBorder="1">
      <alignment vertical="center"/>
    </xf>
    <xf numFmtId="0" fontId="38" fillId="0" borderId="0" xfId="0" applyFont="1" applyFill="1" applyBorder="1" applyAlignment="1">
      <alignment horizontal="left" vertical="center" indent="1"/>
    </xf>
    <xf numFmtId="0" fontId="38" fillId="0" borderId="0" xfId="0" applyFont="1" applyBorder="1" applyAlignment="1">
      <alignment horizontal="left" vertical="center" indent="1"/>
    </xf>
    <xf numFmtId="191" fontId="38" fillId="0" borderId="0" xfId="0" applyNumberFormat="1" applyFont="1" applyBorder="1">
      <alignment vertical="center"/>
    </xf>
    <xf numFmtId="191" fontId="38" fillId="0" borderId="0" xfId="0" applyNumberFormat="1" applyFont="1" applyFill="1" applyBorder="1">
      <alignment vertical="center"/>
    </xf>
    <xf numFmtId="184" fontId="38" fillId="0" borderId="0" xfId="0" applyNumberFormat="1" applyFont="1" applyBorder="1">
      <alignment vertical="center"/>
    </xf>
    <xf numFmtId="0" fontId="38" fillId="0" borderId="0" xfId="0" applyFont="1" applyAlignment="1">
      <alignment horizontal="right" vertical="center"/>
    </xf>
    <xf numFmtId="184" fontId="73" fillId="0" borderId="0" xfId="0" applyNumberFormat="1" applyFont="1" applyAlignment="1">
      <alignment vertical="center"/>
    </xf>
    <xf numFmtId="184" fontId="38" fillId="0" borderId="0" xfId="0" applyNumberFormat="1" applyFont="1" applyAlignment="1">
      <alignment vertical="center"/>
    </xf>
    <xf numFmtId="184" fontId="63" fillId="0" borderId="0" xfId="0" applyNumberFormat="1" applyFont="1" applyAlignment="1">
      <alignment vertical="center"/>
    </xf>
    <xf numFmtId="180" fontId="63" fillId="0" borderId="0" xfId="0" applyNumberFormat="1" applyFont="1" applyFill="1" applyBorder="1" applyAlignment="1">
      <alignment horizontal="right" vertical="center"/>
    </xf>
    <xf numFmtId="186" fontId="38" fillId="0" borderId="0" xfId="0" applyNumberFormat="1" applyFont="1" applyAlignment="1">
      <alignment horizontal="right" vertical="center"/>
    </xf>
    <xf numFmtId="0" fontId="38" fillId="0" borderId="0" xfId="0" applyFont="1" applyBorder="1" applyAlignment="1">
      <alignment horizontal="right" vertical="center"/>
    </xf>
    <xf numFmtId="0" fontId="38" fillId="0" borderId="88" xfId="0" applyFont="1" applyBorder="1">
      <alignment vertical="center"/>
    </xf>
    <xf numFmtId="176" fontId="38" fillId="0" borderId="0" xfId="0" applyNumberFormat="1" applyFont="1" applyBorder="1" applyAlignment="1">
      <alignment vertical="center"/>
    </xf>
    <xf numFmtId="0" fontId="38" fillId="0" borderId="93" xfId="0" applyFont="1" applyBorder="1">
      <alignment vertical="center"/>
    </xf>
    <xf numFmtId="176" fontId="38" fillId="0" borderId="91" xfId="0" applyNumberFormat="1" applyFont="1" applyBorder="1" applyAlignment="1">
      <alignment vertical="center"/>
    </xf>
    <xf numFmtId="176" fontId="38" fillId="0" borderId="90" xfId="0" applyNumberFormat="1" applyFont="1" applyBorder="1" applyAlignment="1">
      <alignment vertical="center"/>
    </xf>
    <xf numFmtId="176" fontId="38" fillId="0" borderId="0" xfId="0" applyNumberFormat="1" applyFont="1" applyFill="1" applyBorder="1" applyAlignment="1">
      <alignment vertical="center"/>
    </xf>
    <xf numFmtId="176" fontId="38" fillId="0" borderId="92" xfId="0" applyNumberFormat="1" applyFont="1" applyBorder="1" applyAlignment="1">
      <alignment vertical="center"/>
    </xf>
    <xf numFmtId="0" fontId="49" fillId="0" borderId="0" xfId="0" applyFont="1">
      <alignment vertical="center"/>
    </xf>
    <xf numFmtId="184" fontId="38" fillId="0" borderId="0" xfId="0" applyNumberFormat="1" applyFont="1" applyBorder="1" applyAlignment="1">
      <alignment vertical="center"/>
    </xf>
    <xf numFmtId="184" fontId="38" fillId="0" borderId="0" xfId="0" applyNumberFormat="1" applyFont="1" applyBorder="1" applyAlignment="1">
      <alignment horizontal="right" vertical="center"/>
    </xf>
    <xf numFmtId="184" fontId="38" fillId="0" borderId="90" xfId="0" applyNumberFormat="1" applyFont="1" applyBorder="1" applyAlignment="1">
      <alignment vertical="center"/>
    </xf>
    <xf numFmtId="0" fontId="74" fillId="0" borderId="0" xfId="0" applyFont="1" applyAlignment="1">
      <alignment horizontal="right" vertical="center"/>
    </xf>
    <xf numFmtId="185" fontId="74" fillId="0" borderId="0" xfId="0" applyNumberFormat="1" applyFont="1">
      <alignment vertical="center"/>
    </xf>
    <xf numFmtId="184" fontId="38" fillId="0" borderId="89" xfId="0" applyNumberFormat="1" applyFont="1" applyBorder="1" applyAlignment="1">
      <alignment vertical="center"/>
    </xf>
    <xf numFmtId="0" fontId="38" fillId="0" borderId="93" xfId="0" applyFont="1" applyBorder="1" applyAlignment="1">
      <alignment horizontal="left" vertical="center" indent="1"/>
    </xf>
    <xf numFmtId="0" fontId="73" fillId="0" borderId="0" xfId="0" applyFont="1">
      <alignment vertical="center"/>
    </xf>
    <xf numFmtId="184" fontId="38" fillId="0" borderId="91" xfId="0" applyNumberFormat="1" applyFont="1" applyBorder="1" applyAlignment="1">
      <alignment vertical="center"/>
    </xf>
    <xf numFmtId="184" fontId="38" fillId="0" borderId="91" xfId="0" applyNumberFormat="1" applyFont="1" applyBorder="1" applyAlignment="1">
      <alignment horizontal="right" vertical="center"/>
    </xf>
    <xf numFmtId="184" fontId="38" fillId="0" borderId="92" xfId="0" applyNumberFormat="1" applyFont="1" applyBorder="1" applyAlignment="1">
      <alignment vertical="center"/>
    </xf>
    <xf numFmtId="176" fontId="63" fillId="0" borderId="0" xfId="0" applyNumberFormat="1" applyFont="1">
      <alignment vertical="center"/>
    </xf>
    <xf numFmtId="184" fontId="49" fillId="0" borderId="0" xfId="0" applyNumberFormat="1" applyFont="1">
      <alignment vertical="center"/>
    </xf>
    <xf numFmtId="184" fontId="38" fillId="0" borderId="0" xfId="0" applyNumberFormat="1" applyFont="1">
      <alignment vertical="center"/>
    </xf>
    <xf numFmtId="3" fontId="38" fillId="0" borderId="0" xfId="0" applyNumberFormat="1" applyFont="1">
      <alignment vertical="center"/>
    </xf>
    <xf numFmtId="192" fontId="41" fillId="21" borderId="0" xfId="0" applyNumberFormat="1" applyFont="1" applyFill="1" applyBorder="1" applyAlignment="1">
      <alignment horizontal="right" vertical="center"/>
    </xf>
    <xf numFmtId="0" fontId="63" fillId="0" borderId="0" xfId="0" applyFont="1" applyAlignment="1">
      <alignment horizontal="right" vertical="center"/>
    </xf>
    <xf numFmtId="193" fontId="38" fillId="0" borderId="0" xfId="0" applyNumberFormat="1" applyFont="1" applyBorder="1" applyAlignment="1">
      <alignment horizontal="right" vertical="center"/>
    </xf>
    <xf numFmtId="193" fontId="38" fillId="5" borderId="0" xfId="0" applyNumberFormat="1" applyFont="1" applyFill="1" applyBorder="1" applyAlignment="1">
      <alignment horizontal="right" vertical="center"/>
    </xf>
    <xf numFmtId="193" fontId="63" fillId="0" borderId="0" xfId="0" applyNumberFormat="1" applyFont="1" applyBorder="1" applyAlignment="1">
      <alignment horizontal="right" vertical="center"/>
    </xf>
    <xf numFmtId="193" fontId="63" fillId="5" borderId="0" xfId="0" applyNumberFormat="1" applyFont="1" applyFill="1" applyBorder="1" applyAlignment="1">
      <alignment horizontal="right" vertical="center"/>
    </xf>
    <xf numFmtId="0" fontId="44" fillId="0" borderId="0" xfId="0" applyFont="1">
      <alignment vertical="center"/>
    </xf>
    <xf numFmtId="41" fontId="23" fillId="0" borderId="0" xfId="1" applyNumberFormat="1" applyFont="1" applyFill="1" applyBorder="1" applyAlignment="1">
      <alignment vertical="center"/>
    </xf>
    <xf numFmtId="0" fontId="38" fillId="0" borderId="103" xfId="0" applyFont="1" applyBorder="1">
      <alignment vertical="center"/>
    </xf>
    <xf numFmtId="184" fontId="38" fillId="0" borderId="104" xfId="0" applyNumberFormat="1" applyFont="1" applyBorder="1" applyAlignment="1">
      <alignment vertical="center"/>
    </xf>
    <xf numFmtId="184" fontId="38" fillId="0" borderId="104" xfId="0" applyNumberFormat="1" applyFont="1" applyBorder="1" applyAlignment="1">
      <alignment horizontal="right" vertical="center"/>
    </xf>
    <xf numFmtId="184" fontId="38" fillId="0" borderId="105" xfId="0" applyNumberFormat="1" applyFont="1" applyBorder="1" applyAlignment="1">
      <alignment vertical="center"/>
    </xf>
    <xf numFmtId="0" fontId="75" fillId="0" borderId="0" xfId="0" applyFont="1">
      <alignment vertical="center"/>
    </xf>
    <xf numFmtId="184" fontId="75" fillId="0" borderId="0" xfId="2" applyNumberFormat="1" applyFont="1" applyFill="1" applyBorder="1" applyAlignment="1">
      <alignment vertical="center"/>
    </xf>
    <xf numFmtId="0" fontId="78" fillId="0" borderId="0" xfId="0" applyFont="1">
      <alignment vertical="center"/>
    </xf>
    <xf numFmtId="0" fontId="79" fillId="0" borderId="0" xfId="0" applyFont="1">
      <alignment vertical="center"/>
    </xf>
    <xf numFmtId="0" fontId="63" fillId="0" borderId="88" xfId="0" applyFont="1" applyBorder="1">
      <alignment vertical="center"/>
    </xf>
    <xf numFmtId="0" fontId="23" fillId="0" borderId="0" xfId="0" applyFont="1" applyAlignment="1">
      <alignment vertical="center"/>
    </xf>
    <xf numFmtId="0" fontId="9" fillId="17" borderId="0" xfId="0" applyFont="1" applyFill="1" applyAlignment="1">
      <alignment horizontal="left" vertical="center"/>
    </xf>
    <xf numFmtId="0" fontId="80" fillId="17" borderId="0" xfId="0" applyFont="1" applyFill="1">
      <alignment vertical="center"/>
    </xf>
    <xf numFmtId="0" fontId="80" fillId="0" borderId="0" xfId="0" applyFont="1" applyFill="1">
      <alignment vertical="center"/>
    </xf>
    <xf numFmtId="0" fontId="80" fillId="0" borderId="0" xfId="0" applyFont="1">
      <alignment vertical="center"/>
    </xf>
    <xf numFmtId="0" fontId="81" fillId="23" borderId="0" xfId="0" applyFont="1" applyFill="1" applyAlignment="1">
      <alignment horizontal="left" vertical="center"/>
    </xf>
    <xf numFmtId="0" fontId="82" fillId="23" borderId="0" xfId="0" applyFont="1" applyFill="1">
      <alignment vertical="center"/>
    </xf>
    <xf numFmtId="0" fontId="82" fillId="0" borderId="0" xfId="0" applyFont="1" applyFill="1">
      <alignment vertical="center"/>
    </xf>
    <xf numFmtId="0" fontId="81" fillId="16" borderId="0" xfId="0" applyFont="1" applyFill="1" applyAlignment="1">
      <alignment horizontal="left" vertical="center"/>
    </xf>
    <xf numFmtId="0" fontId="82" fillId="16" borderId="0" xfId="0" applyFont="1" applyFill="1">
      <alignment vertical="center"/>
    </xf>
    <xf numFmtId="0" fontId="83" fillId="0" borderId="0" xfId="0" applyFont="1">
      <alignment vertical="center"/>
    </xf>
    <xf numFmtId="0" fontId="2" fillId="14" borderId="110" xfId="0" applyFont="1" applyFill="1" applyBorder="1" applyAlignment="1">
      <alignment horizontal="center"/>
    </xf>
    <xf numFmtId="0" fontId="29" fillId="14" borderId="44" xfId="0" applyFont="1" applyFill="1" applyBorder="1" applyAlignment="1">
      <alignment vertical="center"/>
    </xf>
    <xf numFmtId="0" fontId="13" fillId="14" borderId="58" xfId="0" applyNumberFormat="1" applyFont="1" applyFill="1" applyBorder="1" applyAlignment="1"/>
    <xf numFmtId="0" fontId="29" fillId="14" borderId="111" xfId="0" applyNumberFormat="1" applyFont="1" applyFill="1" applyBorder="1" applyAlignment="1">
      <alignment horizontal="center"/>
    </xf>
    <xf numFmtId="10" fontId="80" fillId="24" borderId="110" xfId="0" applyNumberFormat="1" applyFont="1" applyFill="1" applyBorder="1">
      <alignment vertical="center"/>
    </xf>
    <xf numFmtId="14" fontId="8" fillId="0" borderId="19" xfId="0" applyNumberFormat="1" applyFont="1" applyBorder="1" applyAlignment="1">
      <alignment horizontal="center" vertical="center"/>
    </xf>
    <xf numFmtId="10" fontId="80" fillId="0" borderId="110" xfId="0" applyNumberFormat="1" applyFont="1" applyBorder="1">
      <alignment vertical="center"/>
    </xf>
    <xf numFmtId="14" fontId="39" fillId="6" borderId="44" xfId="0" applyNumberFormat="1" applyFont="1" applyFill="1" applyBorder="1" applyAlignment="1">
      <alignment vertical="center"/>
    </xf>
    <xf numFmtId="0" fontId="40" fillId="6" borderId="58" xfId="0" applyNumberFormat="1" applyFont="1" applyFill="1" applyBorder="1" applyAlignment="1"/>
    <xf numFmtId="14" fontId="29" fillId="0" borderId="111" xfId="0" applyNumberFormat="1" applyFont="1" applyBorder="1" applyAlignment="1">
      <alignment horizontal="center" vertical="center"/>
    </xf>
    <xf numFmtId="10" fontId="29" fillId="0" borderId="111" xfId="0" applyNumberFormat="1" applyFont="1" applyBorder="1" applyAlignment="1">
      <alignment horizontal="right" vertical="center"/>
    </xf>
    <xf numFmtId="0" fontId="39" fillId="6" borderId="44" xfId="0" applyFont="1" applyFill="1" applyBorder="1" applyAlignment="1">
      <alignment vertical="center"/>
    </xf>
    <xf numFmtId="10" fontId="29" fillId="0" borderId="111" xfId="0" applyNumberFormat="1" applyFont="1" applyFill="1" applyBorder="1" applyAlignment="1">
      <alignment horizontal="right"/>
    </xf>
    <xf numFmtId="0" fontId="13" fillId="0" borderId="0" xfId="0" applyFont="1">
      <alignment vertical="center"/>
    </xf>
    <xf numFmtId="0" fontId="13" fillId="0" borderId="0" xfId="0" applyFont="1" applyAlignment="1">
      <alignment horizontal="center" vertical="center"/>
    </xf>
    <xf numFmtId="14" fontId="80" fillId="0" borderId="0" xfId="0" applyNumberFormat="1" applyFont="1">
      <alignment vertical="center"/>
    </xf>
    <xf numFmtId="10" fontId="80" fillId="0" borderId="0" xfId="0" applyNumberFormat="1" applyFont="1">
      <alignment vertical="center"/>
    </xf>
    <xf numFmtId="10" fontId="29" fillId="5" borderId="43" xfId="0" applyNumberFormat="1" applyFont="1" applyFill="1" applyBorder="1" applyAlignment="1">
      <alignment vertical="center"/>
    </xf>
    <xf numFmtId="0" fontId="77" fillId="17" borderId="0" xfId="0" applyFont="1" applyFill="1" applyAlignment="1">
      <alignment horizontal="left" vertical="center"/>
    </xf>
    <xf numFmtId="0" fontId="23" fillId="17" borderId="0" xfId="0" applyFont="1" applyFill="1">
      <alignment vertical="center"/>
    </xf>
    <xf numFmtId="0" fontId="23" fillId="17" borderId="0" xfId="0" applyFont="1" applyFill="1" applyAlignment="1">
      <alignment horizontal="left" vertical="center"/>
    </xf>
    <xf numFmtId="0" fontId="23" fillId="17" borderId="0" xfId="0" applyFont="1" applyFill="1" applyBorder="1">
      <alignment vertical="center"/>
    </xf>
    <xf numFmtId="0" fontId="23" fillId="0" borderId="0" xfId="0" applyFont="1">
      <alignment vertical="center"/>
    </xf>
    <xf numFmtId="0" fontId="55" fillId="23" borderId="0" xfId="0" applyFont="1" applyFill="1" applyAlignment="1">
      <alignment horizontal="left" vertical="center"/>
    </xf>
    <xf numFmtId="0" fontId="60" fillId="23" borderId="0" xfId="0" applyFont="1" applyFill="1">
      <alignment vertical="center"/>
    </xf>
    <xf numFmtId="0" fontId="85" fillId="0" borderId="0" xfId="0" applyFont="1" applyAlignment="1">
      <alignment horizontal="center" vertical="center" wrapText="1"/>
    </xf>
    <xf numFmtId="0" fontId="86" fillId="0" borderId="0" xfId="0" applyFont="1" applyAlignment="1">
      <alignment vertical="center" wrapText="1"/>
    </xf>
    <xf numFmtId="0" fontId="84" fillId="0" borderId="0" xfId="3" applyNumberFormat="1" applyFont="1" applyFill="1" applyBorder="1" applyAlignment="1" applyProtection="1">
      <alignment vertical="center" wrapText="1"/>
    </xf>
    <xf numFmtId="0" fontId="86" fillId="19" borderId="0" xfId="0" applyFont="1" applyFill="1" applyAlignment="1">
      <alignment vertical="center" wrapText="1"/>
    </xf>
    <xf numFmtId="41" fontId="38" fillId="0" borderId="0" xfId="1" applyNumberFormat="1" applyFont="1" applyFill="1" applyBorder="1" applyAlignment="1">
      <alignment vertical="center"/>
    </xf>
    <xf numFmtId="0" fontId="41" fillId="5" borderId="73" xfId="0" applyFont="1" applyFill="1" applyBorder="1" applyAlignment="1">
      <alignment horizontal="left" vertical="center" indent="1"/>
    </xf>
    <xf numFmtId="0" fontId="35" fillId="0" borderId="0" xfId="0" applyFont="1" applyFill="1" applyAlignment="1">
      <alignment vertical="center"/>
    </xf>
    <xf numFmtId="0" fontId="50" fillId="0" borderId="0" xfId="0" applyFont="1" applyAlignment="1">
      <alignment vertical="center"/>
    </xf>
    <xf numFmtId="193" fontId="63" fillId="0" borderId="0" xfId="0" applyNumberFormat="1" applyFont="1" applyFill="1" applyBorder="1" applyAlignment="1">
      <alignment horizontal="right" vertical="center"/>
    </xf>
    <xf numFmtId="193" fontId="38" fillId="0" borderId="0" xfId="0" applyNumberFormat="1" applyFont="1" applyFill="1" applyBorder="1" applyAlignment="1">
      <alignment vertical="center"/>
    </xf>
    <xf numFmtId="193" fontId="38" fillId="0" borderId="0" xfId="0" applyNumberFormat="1" applyFont="1" applyFill="1" applyBorder="1" applyAlignment="1">
      <alignment horizontal="right" vertical="center"/>
    </xf>
    <xf numFmtId="193" fontId="63" fillId="0" borderId="0" xfId="0" applyNumberFormat="1" applyFont="1" applyFill="1" applyBorder="1" applyAlignment="1">
      <alignment vertical="center"/>
    </xf>
    <xf numFmtId="193" fontId="38" fillId="0" borderId="0" xfId="0" applyNumberFormat="1" applyFont="1" applyBorder="1" applyAlignment="1">
      <alignment vertical="center"/>
    </xf>
    <xf numFmtId="193" fontId="38" fillId="5" borderId="90" xfId="0" applyNumberFormat="1" applyFont="1" applyFill="1" applyBorder="1" applyAlignment="1">
      <alignment vertical="center"/>
    </xf>
    <xf numFmtId="0" fontId="23" fillId="0" borderId="0" xfId="0" applyFont="1">
      <alignment vertical="center"/>
    </xf>
    <xf numFmtId="0" fontId="38" fillId="0" borderId="0" xfId="0" applyFont="1" applyBorder="1">
      <alignment vertical="center"/>
    </xf>
    <xf numFmtId="193" fontId="38" fillId="0" borderId="0" xfId="0" applyNumberFormat="1" applyFont="1" applyBorder="1">
      <alignment vertical="center"/>
    </xf>
    <xf numFmtId="0" fontId="38" fillId="0" borderId="0" xfId="0" applyFont="1">
      <alignment vertical="center"/>
    </xf>
    <xf numFmtId="0" fontId="38" fillId="0" borderId="0" xfId="0" applyFont="1" applyFill="1">
      <alignment vertical="center"/>
    </xf>
    <xf numFmtId="0" fontId="63" fillId="0" borderId="0" xfId="0" applyFont="1" applyFill="1">
      <alignment vertical="center"/>
    </xf>
    <xf numFmtId="0" fontId="24" fillId="0" borderId="0" xfId="0" applyFont="1">
      <alignment vertical="center"/>
    </xf>
    <xf numFmtId="193" fontId="38" fillId="0" borderId="0" xfId="0" applyNumberFormat="1" applyFont="1">
      <alignment vertical="center"/>
    </xf>
    <xf numFmtId="41" fontId="63" fillId="0" borderId="0" xfId="1" applyNumberFormat="1" applyFont="1" applyFill="1" applyBorder="1" applyAlignment="1">
      <alignment vertical="center"/>
    </xf>
    <xf numFmtId="186" fontId="93" fillId="0" borderId="0" xfId="0" applyNumberFormat="1" applyFont="1">
      <alignment vertical="center"/>
    </xf>
    <xf numFmtId="0" fontId="96" fillId="27" borderId="0" xfId="0" applyFont="1" applyFill="1">
      <alignment vertical="center"/>
    </xf>
    <xf numFmtId="0" fontId="59" fillId="27" borderId="0" xfId="0" applyFont="1" applyFill="1">
      <alignment vertical="center"/>
    </xf>
    <xf numFmtId="0" fontId="23" fillId="27" borderId="0" xfId="0" applyFont="1" applyFill="1">
      <alignment vertical="center"/>
    </xf>
    <xf numFmtId="184" fontId="23" fillId="0" borderId="0" xfId="0" applyNumberFormat="1" applyFont="1" applyBorder="1" applyAlignment="1">
      <alignment horizontal="right" vertical="center"/>
    </xf>
    <xf numFmtId="179" fontId="26" fillId="7" borderId="12" xfId="0" applyNumberFormat="1" applyFont="1" applyFill="1" applyBorder="1" applyAlignment="1">
      <alignment horizontal="center" vertical="center"/>
    </xf>
    <xf numFmtId="179" fontId="26" fillId="7" borderId="0" xfId="0" applyNumberFormat="1" applyFont="1" applyFill="1" applyBorder="1" applyAlignment="1">
      <alignment horizontal="center" vertical="center"/>
    </xf>
    <xf numFmtId="0" fontId="26" fillId="7" borderId="38" xfId="0" applyFont="1" applyFill="1" applyBorder="1" applyAlignment="1">
      <alignment horizontal="center" vertical="center" wrapText="1"/>
    </xf>
    <xf numFmtId="0" fontId="26" fillId="7" borderId="41" xfId="0" applyFont="1" applyFill="1" applyBorder="1" applyAlignment="1">
      <alignment horizontal="center" vertical="center" wrapText="1"/>
    </xf>
    <xf numFmtId="0" fontId="50" fillId="0" borderId="0" xfId="0" applyFont="1" applyAlignment="1">
      <alignment horizontal="center" vertical="center"/>
    </xf>
    <xf numFmtId="0" fontId="8" fillId="5" borderId="108" xfId="0" applyFont="1" applyFill="1" applyBorder="1" applyAlignment="1">
      <alignment horizontal="left" vertical="center"/>
    </xf>
    <xf numFmtId="0" fontId="8" fillId="5" borderId="109" xfId="0" applyFont="1" applyFill="1" applyBorder="1" applyAlignment="1">
      <alignment horizontal="left" vertical="center"/>
    </xf>
    <xf numFmtId="10" fontId="8" fillId="5" borderId="107" xfId="0" applyNumberFormat="1" applyFont="1" applyFill="1" applyBorder="1" applyAlignment="1">
      <alignment horizontal="center" vertical="center"/>
    </xf>
    <xf numFmtId="0" fontId="2" fillId="5" borderId="108" xfId="0" applyFont="1" applyFill="1" applyBorder="1" applyAlignment="1">
      <alignment horizontal="left" vertical="center"/>
    </xf>
    <xf numFmtId="0" fontId="2" fillId="5" borderId="109" xfId="0" applyFont="1" applyFill="1" applyBorder="1" applyAlignment="1">
      <alignment horizontal="left" vertical="center"/>
    </xf>
    <xf numFmtId="10" fontId="2" fillId="5" borderId="107" xfId="0" applyNumberFormat="1" applyFont="1" applyFill="1" applyBorder="1" applyAlignment="1">
      <alignment horizontal="center" vertical="center"/>
    </xf>
    <xf numFmtId="179" fontId="13" fillId="0" borderId="0" xfId="0" applyNumberFormat="1" applyFont="1" applyFill="1" applyBorder="1" applyAlignment="1">
      <alignment horizontal="center" vertical="center" wrapText="1"/>
    </xf>
    <xf numFmtId="179" fontId="13" fillId="0" borderId="0" xfId="0" applyNumberFormat="1" applyFont="1" applyFill="1" applyBorder="1" applyAlignment="1">
      <alignment horizontal="center" vertical="center"/>
    </xf>
    <xf numFmtId="184" fontId="13" fillId="14" borderId="0" xfId="2" applyNumberFormat="1" applyFont="1" applyFill="1" applyBorder="1" applyAlignment="1">
      <alignment horizontal="right" vertical="center"/>
    </xf>
    <xf numFmtId="184" fontId="13" fillId="14" borderId="15" xfId="2" applyNumberFormat="1" applyFont="1" applyFill="1" applyBorder="1" applyAlignment="1">
      <alignment horizontal="right" vertical="center"/>
    </xf>
    <xf numFmtId="0" fontId="62" fillId="0" borderId="0" xfId="0" applyFont="1" applyFill="1" applyAlignment="1">
      <alignment horizontal="right" vertical="center"/>
    </xf>
    <xf numFmtId="0" fontId="68" fillId="0" borderId="77" xfId="0" applyFont="1" applyFill="1" applyBorder="1" applyAlignment="1">
      <alignment vertical="center"/>
    </xf>
    <xf numFmtId="0" fontId="68" fillId="0" borderId="79" xfId="0" applyFont="1" applyFill="1" applyBorder="1" applyAlignment="1">
      <alignment vertical="center"/>
    </xf>
    <xf numFmtId="0" fontId="68" fillId="0" borderId="78" xfId="0" applyFont="1" applyFill="1" applyBorder="1" applyAlignment="1">
      <alignment vertical="center"/>
    </xf>
    <xf numFmtId="10" fontId="68" fillId="0" borderId="77" xfId="0" applyNumberFormat="1" applyFont="1" applyFill="1" applyBorder="1" applyAlignment="1">
      <alignment vertical="center"/>
    </xf>
    <xf numFmtId="10" fontId="68" fillId="0" borderId="79" xfId="0" applyNumberFormat="1" applyFont="1" applyFill="1" applyBorder="1" applyAlignment="1">
      <alignment vertical="center"/>
    </xf>
    <xf numFmtId="10" fontId="68" fillId="0" borderId="78" xfId="0" applyNumberFormat="1" applyFont="1" applyFill="1" applyBorder="1" applyAlignment="1">
      <alignment vertical="center"/>
    </xf>
    <xf numFmtId="0" fontId="29" fillId="0" borderId="124" xfId="0" applyFont="1" applyBorder="1" applyAlignment="1">
      <alignment horizontal="center" vertical="center"/>
    </xf>
    <xf numFmtId="0" fontId="29" fillId="0" borderId="125" xfId="0" applyFont="1" applyBorder="1" applyAlignment="1">
      <alignment horizontal="center" vertical="center"/>
    </xf>
    <xf numFmtId="10" fontId="29" fillId="0" borderId="126" xfId="0" applyNumberFormat="1" applyFont="1" applyBorder="1" applyAlignment="1">
      <alignment horizontal="center" vertical="center"/>
    </xf>
    <xf numFmtId="0" fontId="29" fillId="0" borderId="127" xfId="0" applyFont="1" applyBorder="1" applyAlignment="1">
      <alignment vertical="center"/>
    </xf>
    <xf numFmtId="0" fontId="13" fillId="0" borderId="127" xfId="0" applyFont="1" applyBorder="1" applyAlignment="1">
      <alignment vertical="center"/>
    </xf>
    <xf numFmtId="0" fontId="29" fillId="0" borderId="127" xfId="0" applyFont="1" applyBorder="1" applyAlignment="1">
      <alignment horizontal="center" vertical="center"/>
    </xf>
    <xf numFmtId="0" fontId="13" fillId="0" borderId="127" xfId="0" applyFont="1" applyFill="1" applyBorder="1" applyAlignment="1">
      <alignment vertical="center"/>
    </xf>
    <xf numFmtId="49" fontId="13" fillId="0" borderId="127" xfId="0" applyNumberFormat="1" applyFont="1" applyFill="1" applyBorder="1" applyAlignment="1">
      <alignment horizontal="center" vertical="center"/>
    </xf>
    <xf numFmtId="0" fontId="29" fillId="18" borderId="128" xfId="0" applyFont="1" applyFill="1" applyBorder="1" applyAlignment="1">
      <alignment horizontal="centerContinuous" vertical="center"/>
    </xf>
    <xf numFmtId="0" fontId="29" fillId="18" borderId="129" xfId="0" applyFont="1" applyFill="1" applyBorder="1" applyAlignment="1">
      <alignment horizontal="centerContinuous" vertical="center"/>
    </xf>
    <xf numFmtId="0" fontId="29" fillId="18" borderId="130" xfId="0" applyFont="1" applyFill="1" applyBorder="1" applyAlignment="1">
      <alignment horizontal="centerContinuous" vertical="center"/>
    </xf>
    <xf numFmtId="0" fontId="63" fillId="16" borderId="131" xfId="0" applyNumberFormat="1" applyFont="1" applyFill="1" applyBorder="1" applyAlignment="1">
      <alignment horizontal="right"/>
    </xf>
    <xf numFmtId="0" fontId="63" fillId="16" borderId="132" xfId="0" applyNumberFormat="1" applyFont="1" applyFill="1" applyBorder="1" applyAlignment="1">
      <alignment horizontal="right"/>
    </xf>
    <xf numFmtId="0" fontId="63" fillId="16" borderId="133" xfId="0" applyNumberFormat="1" applyFont="1" applyFill="1" applyBorder="1" applyAlignment="1">
      <alignment horizontal="right"/>
    </xf>
    <xf numFmtId="0" fontId="63" fillId="16" borderId="128" xfId="0" applyNumberFormat="1" applyFont="1" applyFill="1" applyBorder="1" applyAlignment="1">
      <alignment horizontal="center" vertical="center" wrapText="1"/>
    </xf>
    <xf numFmtId="0" fontId="63" fillId="16" borderId="129" xfId="0" applyNumberFormat="1" applyFont="1" applyFill="1" applyBorder="1" applyAlignment="1">
      <alignment horizontal="center" vertical="center" wrapText="1"/>
    </xf>
    <xf numFmtId="0" fontId="24" fillId="16" borderId="134" xfId="0" applyFont="1" applyFill="1" applyBorder="1" applyAlignment="1">
      <alignment horizontal="left" vertical="center"/>
    </xf>
    <xf numFmtId="0" fontId="23" fillId="5" borderId="134" xfId="0" applyFont="1" applyFill="1" applyBorder="1" applyAlignment="1">
      <alignment horizontal="left" vertical="center"/>
    </xf>
    <xf numFmtId="0" fontId="23" fillId="5" borderId="136" xfId="0" applyFont="1" applyFill="1" applyBorder="1" applyAlignment="1">
      <alignment horizontal="left" vertical="center"/>
    </xf>
    <xf numFmtId="0" fontId="23" fillId="5" borderId="70" xfId="0" applyFont="1" applyFill="1" applyBorder="1" applyAlignment="1">
      <alignment horizontal="left" vertical="center"/>
    </xf>
    <xf numFmtId="0" fontId="23" fillId="5" borderId="102" xfId="0" applyFont="1" applyFill="1" applyBorder="1" applyAlignment="1">
      <alignment horizontal="left" vertical="center"/>
    </xf>
    <xf numFmtId="0" fontId="13" fillId="6" borderId="132" xfId="0" applyFont="1" applyFill="1" applyBorder="1" applyAlignment="1">
      <alignment horizontal="right" vertical="center"/>
    </xf>
    <xf numFmtId="0" fontId="13" fillId="0" borderId="132" xfId="0" applyFont="1" applyFill="1" applyBorder="1" applyAlignment="1">
      <alignment vertical="center"/>
    </xf>
    <xf numFmtId="0" fontId="39" fillId="16" borderId="128" xfId="0" applyNumberFormat="1" applyFont="1" applyFill="1" applyBorder="1" applyAlignment="1">
      <alignment horizontal="left"/>
    </xf>
    <xf numFmtId="0" fontId="39" fillId="16" borderId="129" xfId="0" applyNumberFormat="1" applyFont="1" applyFill="1" applyBorder="1" applyAlignment="1">
      <alignment horizontal="right"/>
    </xf>
    <xf numFmtId="14" fontId="39" fillId="16" borderId="129" xfId="0" quotePrefix="1" applyNumberFormat="1" applyFont="1" applyFill="1" applyBorder="1" applyAlignment="1">
      <alignment horizontal="right"/>
    </xf>
    <xf numFmtId="14" fontId="39" fillId="16" borderId="130" xfId="0" quotePrefix="1" applyNumberFormat="1" applyFont="1" applyFill="1" applyBorder="1" applyAlignment="1">
      <alignment horizontal="right"/>
    </xf>
    <xf numFmtId="0" fontId="39" fillId="16" borderId="130" xfId="0" applyNumberFormat="1" applyFont="1" applyFill="1" applyBorder="1" applyAlignment="1">
      <alignment horizontal="right"/>
    </xf>
    <xf numFmtId="0" fontId="39" fillId="16" borderId="137" xfId="0" applyNumberFormat="1" applyFont="1" applyFill="1" applyBorder="1" applyAlignment="1">
      <alignment horizontal="left"/>
    </xf>
    <xf numFmtId="0" fontId="39" fillId="16" borderId="138" xfId="0" applyNumberFormat="1" applyFont="1" applyFill="1" applyBorder="1" applyAlignment="1">
      <alignment horizontal="right"/>
    </xf>
    <xf numFmtId="14" fontId="39" fillId="16" borderId="138" xfId="0" quotePrefix="1" applyNumberFormat="1" applyFont="1" applyFill="1" applyBorder="1" applyAlignment="1">
      <alignment horizontal="right"/>
    </xf>
    <xf numFmtId="14" fontId="39" fillId="16" borderId="140" xfId="0" quotePrefix="1" applyNumberFormat="1" applyFont="1" applyFill="1" applyBorder="1" applyAlignment="1">
      <alignment horizontal="center"/>
    </xf>
    <xf numFmtId="14" fontId="40" fillId="5" borderId="135" xfId="0" applyNumberFormat="1" applyFont="1" applyFill="1" applyBorder="1" applyAlignment="1">
      <alignment horizontal="left"/>
    </xf>
    <xf numFmtId="0" fontId="40" fillId="0" borderId="135" xfId="0" applyNumberFormat="1" applyFont="1" applyFill="1" applyBorder="1" applyAlignment="1">
      <alignment horizontal="left"/>
    </xf>
    <xf numFmtId="10" fontId="13" fillId="0" borderId="43" xfId="0" applyNumberFormat="1" applyFont="1" applyFill="1" applyBorder="1" applyAlignment="1">
      <alignment vertical="center"/>
    </xf>
    <xf numFmtId="10" fontId="40" fillId="0" borderId="43" xfId="0" quotePrefix="1" applyNumberFormat="1" applyFont="1" applyFill="1" applyBorder="1" applyAlignment="1">
      <alignment horizontal="right"/>
    </xf>
    <xf numFmtId="10" fontId="39" fillId="16" borderId="140" xfId="0" applyNumberFormat="1" applyFont="1" applyFill="1" applyBorder="1" applyAlignment="1">
      <alignment horizontal="right"/>
    </xf>
    <xf numFmtId="14" fontId="39" fillId="16" borderId="140" xfId="0" applyNumberFormat="1" applyFont="1" applyFill="1" applyBorder="1" applyAlignment="1">
      <alignment horizontal="right"/>
    </xf>
    <xf numFmtId="0" fontId="23" fillId="0" borderId="0" xfId="0" applyFont="1" applyAlignment="1">
      <alignment vertical="center"/>
    </xf>
    <xf numFmtId="193" fontId="38" fillId="0" borderId="0" xfId="0" applyNumberFormat="1" applyFont="1" applyFill="1" applyBorder="1">
      <alignment vertical="center"/>
    </xf>
    <xf numFmtId="193" fontId="88" fillId="0" borderId="0" xfId="0" applyNumberFormat="1" applyFont="1">
      <alignment vertical="center"/>
    </xf>
    <xf numFmtId="0" fontId="38" fillId="0" borderId="115" xfId="0" applyFont="1" applyBorder="1">
      <alignment vertical="center"/>
    </xf>
    <xf numFmtId="0" fontId="38" fillId="0" borderId="75" xfId="0" applyFont="1" applyBorder="1">
      <alignment vertical="center"/>
    </xf>
    <xf numFmtId="0" fontId="38" fillId="0" borderId="76" xfId="0" applyFont="1" applyBorder="1">
      <alignment vertical="center"/>
    </xf>
    <xf numFmtId="184" fontId="41" fillId="0" borderId="74" xfId="0" applyNumberFormat="1" applyFont="1" applyFill="1" applyBorder="1" applyAlignment="1">
      <alignment horizontal="right" vertical="center"/>
    </xf>
    <xf numFmtId="0" fontId="97" fillId="0" borderId="0" xfId="0" applyFont="1">
      <alignment vertical="center"/>
    </xf>
    <xf numFmtId="0" fontId="55" fillId="0" borderId="0" xfId="0" applyFont="1">
      <alignment vertical="center"/>
    </xf>
    <xf numFmtId="0" fontId="99" fillId="0" borderId="0" xfId="0" applyFont="1" applyAlignment="1">
      <alignment horizontal="center" vertical="center"/>
    </xf>
    <xf numFmtId="0" fontId="50" fillId="0" borderId="0" xfId="0" applyFont="1" applyAlignment="1">
      <alignment vertical="center" wrapText="1"/>
    </xf>
    <xf numFmtId="49" fontId="29" fillId="0" borderId="0" xfId="0" applyNumberFormat="1" applyFont="1" applyBorder="1" applyAlignment="1">
      <alignment horizontal="left" vertical="center"/>
    </xf>
    <xf numFmtId="0" fontId="99" fillId="0" borderId="70" xfId="0" applyFont="1" applyBorder="1" applyAlignment="1">
      <alignment horizontal="center" vertical="center"/>
    </xf>
    <xf numFmtId="14" fontId="13" fillId="0" borderId="0" xfId="0" applyNumberFormat="1" applyFont="1" applyAlignment="1">
      <alignment horizontal="left" vertical="center"/>
    </xf>
    <xf numFmtId="14" fontId="13" fillId="0" borderId="0" xfId="0" applyNumberFormat="1" applyFont="1" applyAlignment="1">
      <alignment horizontal="center" vertical="center"/>
    </xf>
    <xf numFmtId="14" fontId="13" fillId="0" borderId="0" xfId="0" applyNumberFormat="1" applyFont="1" applyBorder="1" applyAlignment="1">
      <alignment horizontal="center" vertical="center"/>
    </xf>
    <xf numFmtId="0" fontId="13" fillId="0" borderId="0" xfId="0" applyFont="1" applyBorder="1" applyAlignment="1">
      <alignment horizontal="left" vertical="center"/>
    </xf>
    <xf numFmtId="0" fontId="13" fillId="0" borderId="95" xfId="0" applyFont="1" applyBorder="1" applyAlignment="1">
      <alignment vertical="center"/>
    </xf>
    <xf numFmtId="0" fontId="13" fillId="0" borderId="96" xfId="0" applyFont="1" applyBorder="1" applyAlignment="1">
      <alignment vertical="center"/>
    </xf>
    <xf numFmtId="0" fontId="13" fillId="0" borderId="96" xfId="0" applyFont="1" applyBorder="1" applyAlignment="1">
      <alignment horizontal="center" vertical="center"/>
    </xf>
    <xf numFmtId="10" fontId="13" fillId="0" borderId="97" xfId="0" applyNumberFormat="1" applyFont="1" applyBorder="1" applyAlignment="1">
      <alignment vertical="center"/>
    </xf>
    <xf numFmtId="195" fontId="44" fillId="0" borderId="0" xfId="0" applyNumberFormat="1" applyFont="1">
      <alignment vertical="center"/>
    </xf>
    <xf numFmtId="0" fontId="100" fillId="0" borderId="0" xfId="0" applyFont="1" applyAlignment="1">
      <alignment horizontal="center" vertical="center"/>
    </xf>
    <xf numFmtId="0" fontId="100" fillId="0" borderId="0" xfId="0" applyFont="1" applyFill="1" applyAlignment="1">
      <alignment horizontal="center" vertical="center"/>
    </xf>
    <xf numFmtId="41" fontId="49" fillId="0" borderId="0" xfId="1" applyNumberFormat="1" applyFont="1" applyFill="1" applyBorder="1" applyAlignment="1">
      <alignment vertical="center"/>
    </xf>
    <xf numFmtId="41" fontId="72" fillId="5" borderId="0" xfId="1" applyNumberFormat="1" applyFont="1" applyFill="1" applyBorder="1" applyAlignment="1">
      <alignment horizontal="left" vertical="center" indent="1"/>
    </xf>
    <xf numFmtId="41" fontId="72" fillId="5" borderId="0" xfId="1" applyNumberFormat="1" applyFont="1" applyFill="1" applyBorder="1" applyAlignment="1">
      <alignment horizontal="right" vertical="center"/>
    </xf>
    <xf numFmtId="41" fontId="73" fillId="0" borderId="0" xfId="1" applyNumberFormat="1" applyFont="1" applyFill="1" applyBorder="1" applyAlignment="1">
      <alignment vertical="center"/>
    </xf>
    <xf numFmtId="41" fontId="41" fillId="5" borderId="0" xfId="1" applyNumberFormat="1" applyFont="1" applyFill="1" applyBorder="1" applyAlignment="1">
      <alignment horizontal="right" vertical="center"/>
    </xf>
    <xf numFmtId="0" fontId="56" fillId="17" borderId="0" xfId="0" applyFont="1" applyFill="1">
      <alignment vertical="center"/>
    </xf>
    <xf numFmtId="0" fontId="16" fillId="17" borderId="0" xfId="0" applyFont="1" applyFill="1">
      <alignment vertical="center"/>
    </xf>
    <xf numFmtId="0" fontId="58" fillId="28" borderId="0" xfId="0" applyFont="1" applyFill="1">
      <alignment vertical="center"/>
    </xf>
    <xf numFmtId="0" fontId="57" fillId="28" borderId="0" xfId="0" applyFont="1" applyFill="1">
      <alignment vertical="center"/>
    </xf>
    <xf numFmtId="0" fontId="101" fillId="25" borderId="147" xfId="0" applyNumberFormat="1" applyFont="1" applyFill="1" applyBorder="1">
      <alignment vertical="center"/>
    </xf>
    <xf numFmtId="0" fontId="101" fillId="25" borderId="148" xfId="0" applyNumberFormat="1" applyFont="1" applyFill="1" applyBorder="1">
      <alignment vertical="center"/>
    </xf>
    <xf numFmtId="0" fontId="101" fillId="25" borderId="149" xfId="0" applyNumberFormat="1" applyFont="1" applyFill="1" applyBorder="1">
      <alignment vertical="center"/>
    </xf>
    <xf numFmtId="0" fontId="76" fillId="0" borderId="150" xfId="0" applyFont="1" applyBorder="1" applyAlignment="1">
      <alignment horizontal="left" vertical="center" indent="1"/>
    </xf>
    <xf numFmtId="0" fontId="76" fillId="0" borderId="0" xfId="0" applyFont="1" applyBorder="1" applyAlignment="1">
      <alignment horizontal="left" vertical="center" indent="1"/>
    </xf>
    <xf numFmtId="0" fontId="76" fillId="0" borderId="0" xfId="0" applyFont="1" applyBorder="1" applyAlignment="1">
      <alignment horizontal="center" vertical="center"/>
    </xf>
    <xf numFmtId="184" fontId="76" fillId="0" borderId="151" xfId="0" applyNumberFormat="1" applyFont="1" applyBorder="1">
      <alignment vertical="center"/>
    </xf>
    <xf numFmtId="0" fontId="76" fillId="0" borderId="152" xfId="0" applyFont="1" applyBorder="1" applyAlignment="1">
      <alignment horizontal="left" vertical="center" indent="1"/>
    </xf>
    <xf numFmtId="0" fontId="76" fillId="0" borderId="153" xfId="0" applyFont="1" applyBorder="1" applyAlignment="1">
      <alignment horizontal="left" vertical="center" indent="1"/>
    </xf>
    <xf numFmtId="0" fontId="76" fillId="0" borderId="153" xfId="0" applyFont="1" applyBorder="1" applyAlignment="1">
      <alignment horizontal="center" vertical="center"/>
    </xf>
    <xf numFmtId="184" fontId="76" fillId="0" borderId="154" xfId="0" applyNumberFormat="1" applyFont="1" applyBorder="1">
      <alignment vertical="center"/>
    </xf>
    <xf numFmtId="41" fontId="76" fillId="0" borderId="148" xfId="1" applyNumberFormat="1" applyFont="1" applyFill="1" applyBorder="1" applyAlignment="1">
      <alignment horizontal="center" vertical="center"/>
    </xf>
    <xf numFmtId="41" fontId="76" fillId="0" borderId="151" xfId="1" applyNumberFormat="1" applyFont="1" applyFill="1" applyBorder="1" applyAlignment="1">
      <alignment vertical="center"/>
    </xf>
    <xf numFmtId="41" fontId="76" fillId="0" borderId="0" xfId="1" applyNumberFormat="1" applyFont="1" applyFill="1" applyBorder="1" applyAlignment="1">
      <alignment vertical="center"/>
    </xf>
    <xf numFmtId="0" fontId="102" fillId="14" borderId="44" xfId="0" applyFont="1" applyFill="1" applyBorder="1" applyAlignment="1">
      <alignment horizontal="left" vertical="center" indent="1"/>
    </xf>
    <xf numFmtId="41" fontId="102" fillId="14" borderId="58" xfId="1" applyNumberFormat="1" applyFont="1" applyFill="1" applyBorder="1" applyAlignment="1">
      <alignment horizontal="center" vertical="center"/>
    </xf>
    <xf numFmtId="0" fontId="102" fillId="14" borderId="58" xfId="0" applyFont="1" applyFill="1" applyBorder="1" applyAlignment="1">
      <alignment horizontal="center" vertical="center"/>
    </xf>
    <xf numFmtId="41" fontId="102" fillId="14" borderId="45" xfId="1" applyNumberFormat="1" applyFont="1" applyFill="1" applyBorder="1" applyAlignment="1">
      <alignment vertical="center"/>
    </xf>
    <xf numFmtId="0" fontId="25" fillId="0" borderId="0" xfId="0" applyFont="1" applyBorder="1">
      <alignment vertical="center"/>
    </xf>
    <xf numFmtId="181" fontId="38" fillId="0" borderId="0" xfId="1" applyNumberFormat="1" applyFont="1" applyFill="1" applyBorder="1" applyAlignment="1">
      <alignment vertical="center"/>
    </xf>
    <xf numFmtId="184" fontId="103" fillId="0" borderId="0" xfId="2" applyNumberFormat="1" applyFont="1" applyFill="1" applyBorder="1" applyAlignment="1">
      <alignment vertical="center"/>
    </xf>
    <xf numFmtId="0" fontId="103" fillId="0" borderId="0" xfId="0" applyFont="1">
      <alignment vertical="center"/>
    </xf>
    <xf numFmtId="41" fontId="13" fillId="0" borderId="127" xfId="1" applyNumberFormat="1" applyFont="1" applyFill="1" applyBorder="1" applyAlignment="1">
      <alignment horizontal="center" vertical="center"/>
    </xf>
    <xf numFmtId="44" fontId="38" fillId="0" borderId="0" xfId="0" applyNumberFormat="1" applyFont="1">
      <alignment vertical="center"/>
    </xf>
    <xf numFmtId="0" fontId="8" fillId="0" borderId="155" xfId="0" applyFont="1" applyBorder="1">
      <alignment vertical="center"/>
    </xf>
    <xf numFmtId="41" fontId="8" fillId="0" borderId="12" xfId="0" applyNumberFormat="1" applyFont="1" applyBorder="1">
      <alignment vertical="center"/>
    </xf>
    <xf numFmtId="41" fontId="8" fillId="0" borderId="156" xfId="0" applyNumberFormat="1" applyFont="1" applyBorder="1">
      <alignment vertical="center"/>
    </xf>
    <xf numFmtId="0" fontId="8" fillId="0" borderId="143" xfId="0" applyFont="1" applyBorder="1">
      <alignment vertical="center"/>
    </xf>
    <xf numFmtId="41" fontId="8" fillId="0" borderId="0" xfId="0" applyNumberFormat="1" applyFont="1" applyBorder="1">
      <alignment vertical="center"/>
    </xf>
    <xf numFmtId="41" fontId="8" fillId="0" borderId="144" xfId="0" applyNumberFormat="1" applyFont="1" applyBorder="1">
      <alignment vertical="center"/>
    </xf>
    <xf numFmtId="0" fontId="8" fillId="0" borderId="36" xfId="0" applyFont="1" applyBorder="1">
      <alignment vertical="center"/>
    </xf>
    <xf numFmtId="41" fontId="8" fillId="0" borderId="145" xfId="0" applyNumberFormat="1" applyFont="1" applyFill="1" applyBorder="1">
      <alignment vertical="center"/>
    </xf>
    <xf numFmtId="41" fontId="8" fillId="0" borderId="146" xfId="0" applyNumberFormat="1" applyFont="1" applyFill="1" applyBorder="1">
      <alignment vertical="center"/>
    </xf>
    <xf numFmtId="41" fontId="8" fillId="0" borderId="156" xfId="0" applyNumberFormat="1" applyFont="1" applyBorder="1" applyAlignment="1">
      <alignment horizontal="center" vertical="center"/>
    </xf>
    <xf numFmtId="41" fontId="8" fillId="0" borderId="157" xfId="0" applyNumberFormat="1" applyFont="1" applyBorder="1" applyAlignment="1">
      <alignment horizontal="center" vertical="center"/>
    </xf>
    <xf numFmtId="0" fontId="53" fillId="0" borderId="0" xfId="0" applyNumberFormat="1" applyFont="1" applyFill="1" applyBorder="1" applyAlignment="1"/>
    <xf numFmtId="0" fontId="15" fillId="6" borderId="0" xfId="0" applyFont="1" applyFill="1" applyBorder="1" applyAlignment="1">
      <alignment horizontal="right" vertical="center"/>
    </xf>
    <xf numFmtId="0" fontId="15" fillId="6" borderId="0" xfId="0" applyFont="1" applyFill="1" applyBorder="1" applyAlignment="1">
      <alignment horizontal="left" vertical="center"/>
    </xf>
    <xf numFmtId="0" fontId="13" fillId="0" borderId="0" xfId="0" applyFont="1" applyFill="1" applyBorder="1" applyAlignment="1">
      <alignment vertical="center" wrapText="1"/>
    </xf>
    <xf numFmtId="184" fontId="70" fillId="0" borderId="0" xfId="0" applyNumberFormat="1" applyFont="1" applyFill="1" applyBorder="1" applyAlignment="1">
      <alignment horizontal="right" vertical="center"/>
    </xf>
    <xf numFmtId="179" fontId="26" fillId="10" borderId="161" xfId="0" applyNumberFormat="1" applyFont="1" applyFill="1" applyBorder="1" applyAlignment="1">
      <alignment horizontal="center" vertical="center"/>
    </xf>
    <xf numFmtId="179" fontId="26" fillId="10" borderId="161" xfId="0" applyNumberFormat="1" applyFont="1" applyFill="1" applyBorder="1" applyAlignment="1">
      <alignment horizontal="left" vertical="center"/>
    </xf>
    <xf numFmtId="0" fontId="13" fillId="0" borderId="163" xfId="0" applyFont="1" applyFill="1" applyBorder="1" applyAlignment="1">
      <alignment horizontal="left" vertical="center"/>
    </xf>
    <xf numFmtId="185" fontId="13" fillId="0" borderId="164" xfId="0" applyNumberFormat="1" applyFont="1" applyFill="1" applyBorder="1" applyAlignment="1">
      <alignment horizontal="right" vertical="center"/>
    </xf>
    <xf numFmtId="179" fontId="26" fillId="10" borderId="166" xfId="0" applyNumberFormat="1" applyFont="1" applyFill="1" applyBorder="1" applyAlignment="1">
      <alignment horizontal="center" vertical="center"/>
    </xf>
    <xf numFmtId="179" fontId="26" fillId="10" borderId="166" xfId="0" applyNumberFormat="1" applyFont="1" applyFill="1" applyBorder="1" applyAlignment="1">
      <alignment horizontal="left" vertical="center"/>
    </xf>
    <xf numFmtId="0" fontId="26" fillId="10" borderId="168" xfId="0" applyFont="1" applyFill="1" applyBorder="1" applyAlignment="1">
      <alignment horizontal="center" vertical="center" wrapText="1"/>
    </xf>
    <xf numFmtId="0" fontId="26" fillId="10" borderId="169" xfId="0" applyNumberFormat="1" applyFont="1" applyFill="1" applyBorder="1" applyAlignment="1">
      <alignment horizontal="center" vertical="center"/>
    </xf>
    <xf numFmtId="0" fontId="26" fillId="10" borderId="169" xfId="0" applyFont="1" applyFill="1" applyBorder="1" applyAlignment="1">
      <alignment horizontal="center" vertical="center"/>
    </xf>
    <xf numFmtId="0" fontId="26" fillId="10" borderId="170" xfId="0" applyFont="1" applyFill="1" applyBorder="1" applyAlignment="1">
      <alignment horizontal="center" vertical="center" wrapText="1"/>
    </xf>
    <xf numFmtId="184" fontId="28" fillId="0" borderId="168" xfId="0" applyNumberFormat="1" applyFont="1" applyFill="1" applyBorder="1" applyAlignment="1">
      <alignment horizontal="center" vertical="center" wrapText="1"/>
    </xf>
    <xf numFmtId="0" fontId="13" fillId="0" borderId="169" xfId="0" applyFont="1" applyBorder="1" applyAlignment="1">
      <alignment vertical="center"/>
    </xf>
    <xf numFmtId="0" fontId="13" fillId="0" borderId="169" xfId="0" applyNumberFormat="1" applyFont="1" applyBorder="1" applyAlignment="1">
      <alignment vertical="center"/>
    </xf>
    <xf numFmtId="184" fontId="28" fillId="0" borderId="169" xfId="0" applyNumberFormat="1" applyFont="1" applyBorder="1" applyAlignment="1">
      <alignment horizontal="center" vertical="center"/>
    </xf>
    <xf numFmtId="0" fontId="28" fillId="0" borderId="169" xfId="0" applyFont="1" applyBorder="1" applyAlignment="1">
      <alignment vertical="center"/>
    </xf>
    <xf numFmtId="184" fontId="29" fillId="0" borderId="170" xfId="0" applyNumberFormat="1" applyFont="1" applyBorder="1" applyAlignment="1">
      <alignment horizontal="center" vertical="center"/>
    </xf>
    <xf numFmtId="0" fontId="29" fillId="0" borderId="168" xfId="0" applyFont="1" applyFill="1" applyBorder="1" applyAlignment="1">
      <alignment horizontal="left" vertical="center"/>
    </xf>
    <xf numFmtId="0" fontId="29" fillId="0" borderId="169" xfId="0" applyFont="1" applyFill="1" applyBorder="1" applyAlignment="1">
      <alignment vertical="center"/>
    </xf>
    <xf numFmtId="0" fontId="29" fillId="0" borderId="169" xfId="0" applyFont="1" applyFill="1" applyBorder="1" applyAlignment="1">
      <alignment horizontal="center" vertical="center"/>
    </xf>
    <xf numFmtId="0" fontId="29" fillId="0" borderId="169" xfId="0" applyNumberFormat="1" applyFont="1" applyFill="1" applyBorder="1" applyAlignment="1">
      <alignment vertical="center"/>
    </xf>
    <xf numFmtId="0" fontId="28" fillId="0" borderId="169" xfId="0" applyFont="1" applyFill="1" applyBorder="1" applyAlignment="1">
      <alignment horizontal="right" vertical="center"/>
    </xf>
    <xf numFmtId="0" fontId="30" fillId="0" borderId="169" xfId="0" applyFont="1" applyFill="1" applyBorder="1" applyAlignment="1">
      <alignment vertical="center"/>
    </xf>
    <xf numFmtId="0" fontId="28" fillId="0" borderId="169" xfId="0" applyFont="1" applyFill="1" applyBorder="1" applyAlignment="1">
      <alignment horizontal="center" vertical="center"/>
    </xf>
    <xf numFmtId="177" fontId="29" fillId="0" borderId="170" xfId="0" applyNumberFormat="1" applyFont="1" applyFill="1" applyBorder="1" applyAlignment="1">
      <alignment horizontal="center" vertical="center"/>
    </xf>
    <xf numFmtId="0" fontId="13" fillId="0" borderId="169" xfId="0" applyFont="1" applyFill="1" applyBorder="1" applyAlignment="1">
      <alignment vertical="center"/>
    </xf>
    <xf numFmtId="184" fontId="13" fillId="0" borderId="169" xfId="0" applyNumberFormat="1" applyFont="1" applyFill="1" applyBorder="1" applyAlignment="1">
      <alignment horizontal="center" vertical="center"/>
    </xf>
    <xf numFmtId="0" fontId="29" fillId="0" borderId="169" xfId="0" applyFont="1" applyBorder="1" applyAlignment="1">
      <alignment vertical="center"/>
    </xf>
    <xf numFmtId="184" fontId="13" fillId="0" borderId="163" xfId="0" applyNumberFormat="1" applyFont="1" applyBorder="1" applyAlignment="1">
      <alignment horizontal="center" vertical="center"/>
    </xf>
    <xf numFmtId="184" fontId="13" fillId="0" borderId="164" xfId="0" applyNumberFormat="1" applyFont="1" applyBorder="1" applyAlignment="1">
      <alignment horizontal="center" vertical="center"/>
    </xf>
    <xf numFmtId="184" fontId="13" fillId="0" borderId="165" xfId="0" applyNumberFormat="1" applyFont="1" applyBorder="1" applyAlignment="1">
      <alignment horizontal="center" vertical="center"/>
    </xf>
    <xf numFmtId="0" fontId="13" fillId="0" borderId="166" xfId="0" applyFont="1" applyBorder="1" applyAlignment="1">
      <alignment vertical="center"/>
    </xf>
    <xf numFmtId="184" fontId="13" fillId="0" borderId="166" xfId="0" applyNumberFormat="1" applyFont="1" applyBorder="1" applyAlignment="1">
      <alignment horizontal="center" vertical="center"/>
    </xf>
    <xf numFmtId="184" fontId="13" fillId="0" borderId="167" xfId="0" applyNumberFormat="1" applyFont="1" applyBorder="1" applyAlignment="1">
      <alignment horizontal="center" vertical="center"/>
    </xf>
    <xf numFmtId="0" fontId="29" fillId="0" borderId="0" xfId="0" applyFont="1" applyBorder="1" applyAlignment="1">
      <alignment horizontal="center" vertical="center"/>
    </xf>
    <xf numFmtId="0" fontId="29" fillId="0" borderId="0" xfId="0" applyFont="1" applyAlignment="1">
      <alignment horizontal="center" vertical="center"/>
    </xf>
    <xf numFmtId="10" fontId="29" fillId="0" borderId="0" xfId="0" applyNumberFormat="1" applyFont="1" applyBorder="1" applyAlignment="1">
      <alignment horizontal="center" vertical="center"/>
    </xf>
    <xf numFmtId="9" fontId="68" fillId="0" borderId="79" xfId="0" applyNumberFormat="1" applyFont="1" applyBorder="1" applyAlignment="1">
      <alignment vertical="center"/>
    </xf>
    <xf numFmtId="0" fontId="38" fillId="0" borderId="163" xfId="0" applyFont="1" applyFill="1" applyBorder="1" applyAlignment="1">
      <alignment horizontal="left" vertical="center"/>
    </xf>
    <xf numFmtId="0" fontId="38" fillId="0" borderId="0" xfId="0" applyFont="1" applyFill="1" applyBorder="1" applyAlignment="1">
      <alignment vertical="center"/>
    </xf>
    <xf numFmtId="0" fontId="38" fillId="0" borderId="0" xfId="0" applyFont="1" applyFill="1" applyBorder="1" applyAlignment="1">
      <alignment horizontal="center" vertical="center"/>
    </xf>
    <xf numFmtId="0" fontId="38" fillId="0" borderId="0" xfId="0" applyNumberFormat="1" applyFont="1" applyFill="1" applyBorder="1" applyAlignment="1">
      <alignment vertical="center"/>
    </xf>
    <xf numFmtId="185" fontId="38" fillId="0" borderId="0" xfId="0" applyNumberFormat="1" applyFont="1" applyFill="1" applyBorder="1" applyAlignment="1">
      <alignment horizontal="center" vertical="center"/>
    </xf>
    <xf numFmtId="180" fontId="38" fillId="0" borderId="0" xfId="0" applyNumberFormat="1" applyFont="1" applyFill="1" applyBorder="1" applyAlignment="1">
      <alignment vertical="center"/>
    </xf>
    <xf numFmtId="184" fontId="38" fillId="0" borderId="0" xfId="0" applyNumberFormat="1" applyFont="1" applyFill="1" applyBorder="1" applyAlignment="1">
      <alignment horizontal="right" vertical="center"/>
    </xf>
    <xf numFmtId="184" fontId="38" fillId="0" borderId="0" xfId="2" applyNumberFormat="1" applyFont="1" applyFill="1" applyBorder="1" applyAlignment="1">
      <alignment horizontal="right" vertical="center"/>
    </xf>
    <xf numFmtId="185" fontId="38" fillId="0" borderId="164" xfId="0" applyNumberFormat="1" applyFont="1" applyFill="1" applyBorder="1" applyAlignment="1">
      <alignment horizontal="center" vertical="center"/>
    </xf>
    <xf numFmtId="0" fontId="38" fillId="0" borderId="0" xfId="0" applyFont="1" applyFill="1" applyBorder="1" applyAlignment="1">
      <alignment horizontal="left" vertical="center"/>
    </xf>
    <xf numFmtId="0" fontId="38" fillId="0" borderId="165" xfId="0" applyFont="1" applyFill="1" applyBorder="1" applyAlignment="1">
      <alignment horizontal="left" vertical="center"/>
    </xf>
    <xf numFmtId="0" fontId="38" fillId="0" borderId="166" xfId="0" applyFont="1" applyFill="1" applyBorder="1" applyAlignment="1">
      <alignment horizontal="left" vertical="center"/>
    </xf>
    <xf numFmtId="0" fontId="38" fillId="0" borderId="166" xfId="0" applyFont="1" applyFill="1" applyBorder="1" applyAlignment="1">
      <alignment horizontal="center" vertical="center"/>
    </xf>
    <xf numFmtId="0" fontId="38" fillId="0" borderId="166" xfId="0" applyNumberFormat="1" applyFont="1" applyFill="1" applyBorder="1" applyAlignment="1">
      <alignment vertical="center"/>
    </xf>
    <xf numFmtId="185" fontId="38" fillId="0" borderId="166" xfId="0" applyNumberFormat="1" applyFont="1" applyFill="1" applyBorder="1" applyAlignment="1">
      <alignment horizontal="center" vertical="center"/>
    </xf>
    <xf numFmtId="180" fontId="38" fillId="0" borderId="166" xfId="0" applyNumberFormat="1" applyFont="1" applyFill="1" applyBorder="1" applyAlignment="1">
      <alignment vertical="center"/>
    </xf>
    <xf numFmtId="184" fontId="38" fillId="0" borderId="166" xfId="0" applyNumberFormat="1" applyFont="1" applyFill="1" applyBorder="1" applyAlignment="1">
      <alignment horizontal="right" vertical="center"/>
    </xf>
    <xf numFmtId="184" fontId="38" fillId="0" borderId="166" xfId="2" applyNumberFormat="1" applyFont="1" applyFill="1" applyBorder="1" applyAlignment="1">
      <alignment horizontal="right" vertical="center"/>
    </xf>
    <xf numFmtId="185" fontId="38" fillId="0" borderId="167" xfId="0" applyNumberFormat="1" applyFont="1" applyFill="1" applyBorder="1" applyAlignment="1">
      <alignment horizontal="center" vertical="center"/>
    </xf>
    <xf numFmtId="0" fontId="13" fillId="0" borderId="165" xfId="0" applyFont="1" applyFill="1" applyBorder="1" applyAlignment="1">
      <alignment horizontal="left" vertical="center"/>
    </xf>
    <xf numFmtId="0" fontId="13" fillId="0" borderId="166" xfId="0" applyFont="1" applyFill="1" applyBorder="1" applyAlignment="1">
      <alignment horizontal="center" vertical="center"/>
    </xf>
    <xf numFmtId="0" fontId="13" fillId="0" borderId="166" xfId="0" quotePrefix="1" applyNumberFormat="1" applyFont="1" applyFill="1" applyBorder="1" applyAlignment="1">
      <alignment horizontal="center" vertical="center"/>
    </xf>
    <xf numFmtId="185" fontId="13" fillId="0" borderId="166" xfId="0" applyNumberFormat="1" applyFont="1" applyFill="1" applyBorder="1" applyAlignment="1">
      <alignment horizontal="center" vertical="center"/>
    </xf>
    <xf numFmtId="180" fontId="13" fillId="0" borderId="166" xfId="0" applyNumberFormat="1" applyFont="1" applyFill="1" applyBorder="1" applyAlignment="1">
      <alignment horizontal="right" vertical="center"/>
    </xf>
    <xf numFmtId="184" fontId="13" fillId="0" borderId="166" xfId="0" applyNumberFormat="1" applyFont="1" applyFill="1" applyBorder="1" applyAlignment="1">
      <alignment horizontal="right" vertical="center"/>
    </xf>
    <xf numFmtId="0" fontId="13" fillId="0" borderId="166" xfId="0" applyFont="1" applyFill="1" applyBorder="1" applyAlignment="1">
      <alignment horizontal="right" vertical="center"/>
    </xf>
    <xf numFmtId="184" fontId="28" fillId="0" borderId="166" xfId="0" applyNumberFormat="1" applyFont="1" applyFill="1" applyBorder="1" applyAlignment="1">
      <alignment horizontal="right" vertical="center"/>
    </xf>
    <xf numFmtId="185" fontId="13" fillId="0" borderId="166" xfId="0" applyNumberFormat="1" applyFont="1" applyFill="1" applyBorder="1" applyAlignment="1">
      <alignment horizontal="right" vertical="center"/>
    </xf>
    <xf numFmtId="185" fontId="13" fillId="0" borderId="167" xfId="0" applyNumberFormat="1" applyFont="1" applyFill="1" applyBorder="1" applyAlignment="1">
      <alignment horizontal="right" vertical="center"/>
    </xf>
    <xf numFmtId="184" fontId="38" fillId="0" borderId="169" xfId="0" applyNumberFormat="1" applyFont="1" applyFill="1" applyBorder="1" applyAlignment="1">
      <alignment horizontal="right" vertical="center"/>
    </xf>
    <xf numFmtId="185" fontId="38" fillId="0" borderId="169" xfId="0" applyNumberFormat="1" applyFont="1" applyFill="1" applyBorder="1" applyAlignment="1">
      <alignment horizontal="right" vertical="center"/>
    </xf>
    <xf numFmtId="0" fontId="38" fillId="0" borderId="160" xfId="0" applyFont="1" applyBorder="1">
      <alignment vertical="center"/>
    </xf>
    <xf numFmtId="0" fontId="38" fillId="0" borderId="161" xfId="0" applyFont="1" applyBorder="1">
      <alignment vertical="center"/>
    </xf>
    <xf numFmtId="193" fontId="38" fillId="0" borderId="161" xfId="0" applyNumberFormat="1" applyFont="1" applyBorder="1" applyAlignment="1">
      <alignment horizontal="right" vertical="center"/>
    </xf>
    <xf numFmtId="193" fontId="38" fillId="5" borderId="161" xfId="0" applyNumberFormat="1" applyFont="1" applyFill="1" applyBorder="1" applyAlignment="1">
      <alignment horizontal="right" vertical="center"/>
    </xf>
    <xf numFmtId="193" fontId="38" fillId="5" borderId="162" xfId="0" applyNumberFormat="1" applyFont="1" applyFill="1" applyBorder="1" applyAlignment="1">
      <alignment horizontal="right" vertical="center"/>
    </xf>
    <xf numFmtId="0" fontId="38" fillId="0" borderId="163" xfId="0" applyFont="1" applyFill="1" applyBorder="1">
      <alignment vertical="center"/>
    </xf>
    <xf numFmtId="193" fontId="38" fillId="5" borderId="164" xfId="0" applyNumberFormat="1" applyFont="1" applyFill="1" applyBorder="1" applyAlignment="1">
      <alignment horizontal="right" vertical="center"/>
    </xf>
    <xf numFmtId="0" fontId="63" fillId="0" borderId="163" xfId="0" applyFont="1" applyFill="1" applyBorder="1">
      <alignment vertical="center"/>
    </xf>
    <xf numFmtId="193" fontId="63" fillId="5" borderId="164" xfId="0" applyNumberFormat="1" applyFont="1" applyFill="1" applyBorder="1" applyAlignment="1">
      <alignment horizontal="right" vertical="center"/>
    </xf>
    <xf numFmtId="0" fontId="38" fillId="0" borderId="163" xfId="0" applyFont="1" applyFill="1" applyBorder="1" applyAlignment="1">
      <alignment horizontal="left" vertical="center" indent="1"/>
    </xf>
    <xf numFmtId="186" fontId="38" fillId="5" borderId="164" xfId="0" applyNumberFormat="1" applyFont="1" applyFill="1" applyBorder="1" applyAlignment="1">
      <alignment horizontal="right" vertical="center"/>
    </xf>
    <xf numFmtId="41" fontId="38" fillId="5" borderId="164" xfId="1" applyNumberFormat="1" applyFont="1" applyFill="1" applyBorder="1" applyAlignment="1">
      <alignment horizontal="right" vertical="center"/>
    </xf>
    <xf numFmtId="0" fontId="63" fillId="0" borderId="165" xfId="0" applyFont="1" applyBorder="1">
      <alignment vertical="center"/>
    </xf>
    <xf numFmtId="0" fontId="63" fillId="0" borderId="166" xfId="0" applyFont="1" applyBorder="1">
      <alignment vertical="center"/>
    </xf>
    <xf numFmtId="180" fontId="63" fillId="5" borderId="166" xfId="0" applyNumberFormat="1" applyFont="1" applyFill="1" applyBorder="1" applyAlignment="1">
      <alignment horizontal="right" vertical="center"/>
    </xf>
    <xf numFmtId="186" fontId="63" fillId="5" borderId="166" xfId="0" applyNumberFormat="1" applyFont="1" applyFill="1" applyBorder="1" applyAlignment="1">
      <alignment horizontal="right" vertical="center"/>
    </xf>
    <xf numFmtId="193" fontId="63" fillId="5" borderId="166" xfId="0" applyNumberFormat="1" applyFont="1" applyFill="1" applyBorder="1" applyAlignment="1">
      <alignment horizontal="right" vertical="center"/>
    </xf>
    <xf numFmtId="193" fontId="63" fillId="0" borderId="166" xfId="0" applyNumberFormat="1" applyFont="1" applyBorder="1" applyAlignment="1">
      <alignment horizontal="right" vertical="center"/>
    </xf>
    <xf numFmtId="193" fontId="63" fillId="0" borderId="167" xfId="0" applyNumberFormat="1" applyFont="1" applyBorder="1" applyAlignment="1">
      <alignment horizontal="right" vertical="center"/>
    </xf>
    <xf numFmtId="190" fontId="38" fillId="0" borderId="161" xfId="0" applyNumberFormat="1" applyFont="1" applyFill="1" applyBorder="1">
      <alignment vertical="center"/>
    </xf>
    <xf numFmtId="181" fontId="38" fillId="0" borderId="161" xfId="1" applyNumberFormat="1" applyFont="1" applyFill="1" applyBorder="1" applyAlignment="1">
      <alignment vertical="center"/>
    </xf>
    <xf numFmtId="181" fontId="38" fillId="0" borderId="162" xfId="1" applyNumberFormat="1" applyFont="1" applyFill="1" applyBorder="1" applyAlignment="1">
      <alignment vertical="center"/>
    </xf>
    <xf numFmtId="0" fontId="38" fillId="0" borderId="163" xfId="0" applyFont="1" applyBorder="1">
      <alignment vertical="center"/>
    </xf>
    <xf numFmtId="181" fontId="38" fillId="0" borderId="164" xfId="1" applyNumberFormat="1" applyFont="1" applyFill="1" applyBorder="1" applyAlignment="1">
      <alignment vertical="center"/>
    </xf>
    <xf numFmtId="186" fontId="38" fillId="0" borderId="164" xfId="0" applyNumberFormat="1" applyFont="1" applyBorder="1" applyAlignment="1">
      <alignment horizontal="right" vertical="center"/>
    </xf>
    <xf numFmtId="0" fontId="38" fillId="0" borderId="165" xfId="0" applyFont="1" applyBorder="1">
      <alignment vertical="center"/>
    </xf>
    <xf numFmtId="0" fontId="38" fillId="0" borderId="166" xfId="0" applyFont="1" applyBorder="1">
      <alignment vertical="center"/>
    </xf>
    <xf numFmtId="180" fontId="38" fillId="0" borderId="166" xfId="0" applyNumberFormat="1" applyFont="1" applyBorder="1" applyAlignment="1">
      <alignment horizontal="right" vertical="center"/>
    </xf>
    <xf numFmtId="186" fontId="38" fillId="0" borderId="166" xfId="0" applyNumberFormat="1" applyFont="1" applyBorder="1" applyAlignment="1">
      <alignment horizontal="right" vertical="center"/>
    </xf>
    <xf numFmtId="186" fontId="38" fillId="0" borderId="167" xfId="0" applyNumberFormat="1" applyFont="1" applyBorder="1" applyAlignment="1">
      <alignment horizontal="right" vertical="center"/>
    </xf>
    <xf numFmtId="0" fontId="38" fillId="0" borderId="171" xfId="0" applyFont="1" applyBorder="1">
      <alignment vertical="center"/>
    </xf>
    <xf numFmtId="0" fontId="38" fillId="0" borderId="172" xfId="0" applyFont="1" applyBorder="1">
      <alignment vertical="center"/>
    </xf>
    <xf numFmtId="180" fontId="38" fillId="0" borderId="172" xfId="0" applyNumberFormat="1" applyFont="1" applyBorder="1" applyAlignment="1">
      <alignment horizontal="right" vertical="center"/>
    </xf>
    <xf numFmtId="180" fontId="38" fillId="5" borderId="172" xfId="0" applyNumberFormat="1" applyFont="1" applyFill="1" applyBorder="1" applyAlignment="1">
      <alignment horizontal="right" vertical="center"/>
    </xf>
    <xf numFmtId="193" fontId="38" fillId="5" borderId="172" xfId="0" applyNumberFormat="1" applyFont="1" applyFill="1" applyBorder="1" applyAlignment="1">
      <alignment horizontal="right" vertical="center"/>
    </xf>
    <xf numFmtId="193" fontId="38" fillId="5" borderId="173" xfId="0" applyNumberFormat="1" applyFont="1" applyFill="1" applyBorder="1" applyAlignment="1">
      <alignment horizontal="right" vertical="center"/>
    </xf>
    <xf numFmtId="184" fontId="63" fillId="0" borderId="159" xfId="0" applyNumberFormat="1" applyFont="1" applyFill="1" applyBorder="1">
      <alignment vertical="center"/>
    </xf>
    <xf numFmtId="193" fontId="38" fillId="0" borderId="160" xfId="0" applyNumberFormat="1" applyFont="1" applyBorder="1" applyAlignment="1">
      <alignment horizontal="right" vertical="center"/>
    </xf>
    <xf numFmtId="193" fontId="38" fillId="0" borderId="162" xfId="0" applyNumberFormat="1" applyFont="1" applyBorder="1" applyAlignment="1">
      <alignment horizontal="right" vertical="center"/>
    </xf>
    <xf numFmtId="193" fontId="38" fillId="0" borderId="163" xfId="0" applyNumberFormat="1" applyFont="1" applyBorder="1" applyAlignment="1">
      <alignment horizontal="right" vertical="center"/>
    </xf>
    <xf numFmtId="193" fontId="38" fillId="0" borderId="164" xfId="0" applyNumberFormat="1" applyFont="1" applyBorder="1" applyAlignment="1">
      <alignment horizontal="right" vertical="center"/>
    </xf>
    <xf numFmtId="193" fontId="63" fillId="0" borderId="163" xfId="0" applyNumberFormat="1" applyFont="1" applyBorder="1" applyAlignment="1">
      <alignment horizontal="right" vertical="center"/>
    </xf>
    <xf numFmtId="193" fontId="63" fillId="0" borderId="165" xfId="0" applyNumberFormat="1" applyFont="1" applyBorder="1" applyAlignment="1">
      <alignment horizontal="right" vertical="center"/>
    </xf>
    <xf numFmtId="0" fontId="38" fillId="0" borderId="160" xfId="0" applyFont="1" applyFill="1" applyBorder="1">
      <alignment vertical="center"/>
    </xf>
    <xf numFmtId="0" fontId="38" fillId="0" borderId="162" xfId="0" applyFont="1" applyFill="1" applyBorder="1">
      <alignment vertical="center"/>
    </xf>
    <xf numFmtId="0" fontId="38" fillId="0" borderId="164" xfId="0" applyFont="1" applyFill="1" applyBorder="1">
      <alignment vertical="center"/>
    </xf>
    <xf numFmtId="0" fontId="63" fillId="0" borderId="165" xfId="0" applyFont="1" applyFill="1" applyBorder="1">
      <alignment vertical="center"/>
    </xf>
    <xf numFmtId="0" fontId="63" fillId="0" borderId="167" xfId="0" applyFont="1" applyFill="1" applyBorder="1">
      <alignment vertical="center"/>
    </xf>
    <xf numFmtId="193" fontId="38" fillId="0" borderId="168" xfId="0" applyNumberFormat="1" applyFont="1" applyBorder="1" applyAlignment="1">
      <alignment horizontal="right" vertical="center"/>
    </xf>
    <xf numFmtId="193" fontId="38" fillId="0" borderId="169" xfId="0" applyNumberFormat="1" applyFont="1" applyBorder="1" applyAlignment="1">
      <alignment horizontal="right" vertical="center"/>
    </xf>
    <xf numFmtId="193" fontId="38" fillId="0" borderId="170" xfId="0" applyNumberFormat="1" applyFont="1" applyBorder="1" applyAlignment="1">
      <alignment horizontal="right" vertical="center"/>
    </xf>
    <xf numFmtId="193" fontId="38" fillId="0" borderId="160" xfId="0" applyNumberFormat="1" applyFont="1" applyBorder="1" applyAlignment="1">
      <alignment vertical="center"/>
    </xf>
    <xf numFmtId="193" fontId="38" fillId="0" borderId="161" xfId="0" applyNumberFormat="1" applyFont="1" applyBorder="1" applyAlignment="1">
      <alignment vertical="center"/>
    </xf>
    <xf numFmtId="193" fontId="38" fillId="0" borderId="163" xfId="0" applyNumberFormat="1" applyFont="1" applyBorder="1" applyAlignment="1">
      <alignment vertical="center"/>
    </xf>
    <xf numFmtId="193" fontId="38" fillId="0" borderId="164" xfId="0" applyNumberFormat="1" applyFont="1" applyBorder="1" applyAlignment="1">
      <alignment vertical="center"/>
    </xf>
    <xf numFmtId="193" fontId="38" fillId="0" borderId="166" xfId="0" applyNumberFormat="1" applyFont="1" applyBorder="1" applyAlignment="1">
      <alignment vertical="center"/>
    </xf>
    <xf numFmtId="193" fontId="38" fillId="0" borderId="167" xfId="0" applyNumberFormat="1" applyFont="1" applyBorder="1" applyAlignment="1">
      <alignment vertical="center"/>
    </xf>
    <xf numFmtId="193" fontId="38" fillId="0" borderId="162" xfId="0" applyNumberFormat="1" applyFont="1" applyBorder="1" applyAlignment="1">
      <alignment vertical="center"/>
    </xf>
    <xf numFmtId="193" fontId="38" fillId="0" borderId="165" xfId="0" applyNumberFormat="1" applyFont="1" applyBorder="1" applyAlignment="1">
      <alignment vertical="center"/>
    </xf>
    <xf numFmtId="0" fontId="63" fillId="0" borderId="166" xfId="0" applyFont="1" applyBorder="1" applyAlignment="1">
      <alignment horizontal="centerContinuous" vertical="center"/>
    </xf>
    <xf numFmtId="10" fontId="89" fillId="0" borderId="77" xfId="0" applyNumberFormat="1" applyFont="1" applyBorder="1">
      <alignment vertical="center"/>
    </xf>
    <xf numFmtId="10" fontId="89" fillId="0" borderId="78" xfId="0" applyNumberFormat="1" applyFont="1" applyBorder="1">
      <alignment vertical="center"/>
    </xf>
    <xf numFmtId="41" fontId="29" fillId="0" borderId="127" xfId="1" applyNumberFormat="1" applyFont="1" applyFill="1" applyBorder="1" applyAlignment="1">
      <alignment horizontal="center" vertical="center"/>
    </xf>
    <xf numFmtId="193" fontId="38" fillId="5" borderId="163" xfId="0" applyNumberFormat="1" applyFont="1" applyFill="1" applyBorder="1" applyAlignment="1">
      <alignment horizontal="right" vertical="center"/>
    </xf>
    <xf numFmtId="193" fontId="63" fillId="5" borderId="165" xfId="0" applyNumberFormat="1" applyFont="1" applyFill="1" applyBorder="1" applyAlignment="1">
      <alignment horizontal="right" vertical="center"/>
    </xf>
    <xf numFmtId="181" fontId="38" fillId="0" borderId="160" xfId="1" applyNumberFormat="1" applyFont="1" applyFill="1" applyBorder="1" applyAlignment="1">
      <alignment vertical="center"/>
    </xf>
    <xf numFmtId="181" fontId="38" fillId="0" borderId="163" xfId="1" applyNumberFormat="1" applyFont="1" applyFill="1" applyBorder="1" applyAlignment="1">
      <alignment vertical="center"/>
    </xf>
    <xf numFmtId="193" fontId="38" fillId="5" borderId="171" xfId="0" applyNumberFormat="1" applyFont="1" applyFill="1" applyBorder="1" applyAlignment="1">
      <alignment horizontal="right" vertical="center"/>
    </xf>
    <xf numFmtId="0" fontId="12" fillId="10" borderId="175" xfId="0" applyFont="1" applyFill="1" applyBorder="1" applyAlignment="1">
      <alignment horizontal="centerContinuous" vertical="center"/>
    </xf>
    <xf numFmtId="0" fontId="12" fillId="10" borderId="176" xfId="0" applyFont="1" applyFill="1" applyBorder="1" applyAlignment="1">
      <alignment horizontal="centerContinuous" vertical="center"/>
    </xf>
    <xf numFmtId="0" fontId="12" fillId="10" borderId="0" xfId="0" applyNumberFormat="1" applyFont="1" applyFill="1" applyBorder="1">
      <alignment vertical="center"/>
    </xf>
    <xf numFmtId="0" fontId="73" fillId="10" borderId="0" xfId="0" applyFont="1" applyFill="1">
      <alignment vertical="center"/>
    </xf>
    <xf numFmtId="0" fontId="12" fillId="10" borderId="168" xfId="0" applyFont="1" applyFill="1" applyBorder="1">
      <alignment vertical="center"/>
    </xf>
    <xf numFmtId="0" fontId="12" fillId="10" borderId="170" xfId="0" applyFont="1" applyFill="1" applyBorder="1">
      <alignment vertical="center"/>
    </xf>
    <xf numFmtId="176" fontId="63" fillId="0" borderId="0" xfId="0" applyNumberFormat="1" applyFont="1" applyFill="1">
      <alignment vertical="center"/>
    </xf>
    <xf numFmtId="0" fontId="13" fillId="0" borderId="0" xfId="0" applyFont="1">
      <alignment vertical="center"/>
    </xf>
    <xf numFmtId="0" fontId="0" fillId="0" borderId="0" xfId="0">
      <alignment vertical="center"/>
    </xf>
    <xf numFmtId="0" fontId="23" fillId="0" borderId="0" xfId="0" applyFont="1" applyFill="1" applyBorder="1">
      <alignment vertical="center"/>
    </xf>
    <xf numFmtId="184" fontId="23" fillId="0" borderId="0" xfId="0" applyNumberFormat="1" applyFont="1" applyFill="1" applyBorder="1" applyAlignment="1">
      <alignment horizontal="right" vertical="center"/>
    </xf>
    <xf numFmtId="0" fontId="23" fillId="0" borderId="163" xfId="0" applyFont="1" applyBorder="1" applyAlignment="1">
      <alignment vertical="center"/>
    </xf>
    <xf numFmtId="184" fontId="23" fillId="0" borderId="164" xfId="0" applyNumberFormat="1" applyFont="1" applyBorder="1" applyAlignment="1">
      <alignment vertical="center"/>
    </xf>
    <xf numFmtId="0" fontId="23" fillId="0" borderId="163" xfId="0" applyFont="1" applyFill="1" applyBorder="1" applyAlignment="1">
      <alignment vertical="center"/>
    </xf>
    <xf numFmtId="184" fontId="23" fillId="0" borderId="164" xfId="0" applyNumberFormat="1" applyFont="1" applyFill="1" applyBorder="1" applyAlignment="1">
      <alignment horizontal="right" vertical="center"/>
    </xf>
    <xf numFmtId="0" fontId="24" fillId="0" borderId="183" xfId="0" applyFont="1" applyBorder="1" applyAlignment="1">
      <alignment vertical="center"/>
    </xf>
    <xf numFmtId="0" fontId="24" fillId="0" borderId="184" xfId="0" applyFont="1" applyBorder="1">
      <alignment vertical="center"/>
    </xf>
    <xf numFmtId="184" fontId="24" fillId="0" borderId="184" xfId="0" applyNumberFormat="1" applyFont="1" applyBorder="1" applyAlignment="1">
      <alignment horizontal="right" vertical="center"/>
    </xf>
    <xf numFmtId="184" fontId="24" fillId="0" borderId="184" xfId="0" applyNumberFormat="1" applyFont="1" applyBorder="1" applyAlignment="1">
      <alignment vertical="center"/>
    </xf>
    <xf numFmtId="184" fontId="24" fillId="0" borderId="185" xfId="0" applyNumberFormat="1" applyFont="1" applyBorder="1" applyAlignment="1">
      <alignment horizontal="right" vertical="center"/>
    </xf>
    <xf numFmtId="0" fontId="23" fillId="0" borderId="0" xfId="0" applyFont="1" applyBorder="1" applyAlignment="1">
      <alignment vertical="center"/>
    </xf>
    <xf numFmtId="186" fontId="23" fillId="0" borderId="0" xfId="1" applyNumberFormat="1" applyFont="1" applyFill="1" applyBorder="1" applyAlignment="1">
      <alignment vertical="center"/>
    </xf>
    <xf numFmtId="184" fontId="23" fillId="0" borderId="0" xfId="2" applyNumberFormat="1" applyFont="1" applyFill="1" applyBorder="1" applyAlignment="1">
      <alignment vertical="center"/>
    </xf>
    <xf numFmtId="184" fontId="23" fillId="0" borderId="164" xfId="2" applyNumberFormat="1" applyFont="1" applyFill="1" applyBorder="1" applyAlignment="1">
      <alignment vertical="center"/>
    </xf>
    <xf numFmtId="0" fontId="23" fillId="0" borderId="160" xfId="0" applyFont="1" applyFill="1" applyBorder="1" applyAlignment="1">
      <alignment vertical="center"/>
    </xf>
    <xf numFmtId="0" fontId="23" fillId="0" borderId="161" xfId="0" applyFont="1" applyFill="1" applyBorder="1">
      <alignment vertical="center"/>
    </xf>
    <xf numFmtId="184" fontId="23" fillId="0" borderId="161" xfId="2" applyNumberFormat="1" applyFont="1" applyFill="1" applyBorder="1" applyAlignment="1">
      <alignment vertical="center"/>
    </xf>
    <xf numFmtId="184" fontId="23" fillId="0" borderId="162" xfId="2" applyNumberFormat="1" applyFont="1" applyFill="1" applyBorder="1" applyAlignment="1">
      <alignment vertical="center"/>
    </xf>
    <xf numFmtId="0" fontId="24" fillId="0" borderId="184" xfId="0" applyFont="1" applyBorder="1" applyAlignment="1">
      <alignment vertical="center"/>
    </xf>
    <xf numFmtId="0" fontId="24" fillId="0" borderId="184" xfId="0" applyFont="1" applyBorder="1" applyAlignment="1">
      <alignment horizontal="right" vertical="center"/>
    </xf>
    <xf numFmtId="41" fontId="24" fillId="0" borderId="184" xfId="1" applyNumberFormat="1" applyFont="1" applyFill="1" applyBorder="1" applyAlignment="1">
      <alignment vertical="center"/>
    </xf>
    <xf numFmtId="184" fontId="24" fillId="0" borderId="184" xfId="2" applyNumberFormat="1" applyFont="1" applyFill="1" applyBorder="1" applyAlignment="1">
      <alignment vertical="center"/>
    </xf>
    <xf numFmtId="184" fontId="24" fillId="0" borderId="185" xfId="2" applyNumberFormat="1" applyFont="1" applyFill="1" applyBorder="1" applyAlignment="1">
      <alignment vertical="center"/>
    </xf>
    <xf numFmtId="0" fontId="24" fillId="0" borderId="163" xfId="0" applyFont="1" applyFill="1" applyBorder="1" applyAlignment="1">
      <alignment vertical="center"/>
    </xf>
    <xf numFmtId="0" fontId="24" fillId="0" borderId="0" xfId="0" applyFont="1" applyFill="1" applyBorder="1">
      <alignment vertical="center"/>
    </xf>
    <xf numFmtId="184" fontId="24" fillId="0" borderId="0" xfId="0" applyNumberFormat="1" applyFont="1" applyFill="1" applyBorder="1" applyAlignment="1">
      <alignment horizontal="right" vertical="center"/>
    </xf>
    <xf numFmtId="184" fontId="24" fillId="0" borderId="0" xfId="0" applyNumberFormat="1" applyFont="1" applyFill="1" applyBorder="1" applyAlignment="1">
      <alignment vertical="center"/>
    </xf>
    <xf numFmtId="184" fontId="24" fillId="0" borderId="164" xfId="0" applyNumberFormat="1" applyFont="1" applyFill="1" applyBorder="1" applyAlignment="1">
      <alignment horizontal="right" vertical="center"/>
    </xf>
    <xf numFmtId="184" fontId="24" fillId="0" borderId="0" xfId="2" applyNumberFormat="1" applyFont="1" applyFill="1" applyBorder="1" applyAlignment="1">
      <alignment vertical="center"/>
    </xf>
    <xf numFmtId="184" fontId="24" fillId="0" borderId="164" xfId="2" applyNumberFormat="1" applyFont="1" applyFill="1" applyBorder="1" applyAlignment="1">
      <alignment vertical="center"/>
    </xf>
    <xf numFmtId="0" fontId="14" fillId="10" borderId="160" xfId="0" applyFont="1" applyFill="1" applyBorder="1" applyAlignment="1">
      <alignment horizontal="left" vertical="center" indent="1"/>
    </xf>
    <xf numFmtId="0" fontId="8" fillId="0" borderId="162" xfId="0" applyFont="1" applyFill="1" applyBorder="1" applyAlignment="1">
      <alignment horizontal="left" vertical="center" indent="1"/>
    </xf>
    <xf numFmtId="0" fontId="14" fillId="10" borderId="163" xfId="0" applyFont="1" applyFill="1" applyBorder="1" applyAlignment="1">
      <alignment horizontal="left" vertical="center" indent="1"/>
    </xf>
    <xf numFmtId="0" fontId="8" fillId="0" borderId="164" xfId="0" applyFont="1" applyFill="1" applyBorder="1" applyAlignment="1">
      <alignment horizontal="left" vertical="center" indent="1"/>
    </xf>
    <xf numFmtId="14" fontId="8" fillId="0" borderId="164" xfId="0" applyNumberFormat="1" applyFont="1" applyFill="1" applyBorder="1" applyAlignment="1">
      <alignment horizontal="left" vertical="center" indent="1"/>
    </xf>
    <xf numFmtId="187" fontId="8" fillId="0" borderId="164" xfId="0" applyNumberFormat="1" applyFont="1" applyFill="1" applyBorder="1" applyAlignment="1">
      <alignment horizontal="left" vertical="center" indent="1"/>
    </xf>
    <xf numFmtId="0" fontId="8" fillId="0" borderId="164" xfId="0" applyFont="1" applyBorder="1" applyAlignment="1">
      <alignment horizontal="left" vertical="center" indent="1"/>
    </xf>
    <xf numFmtId="0" fontId="14" fillId="10" borderId="165" xfId="0" applyFont="1" applyFill="1" applyBorder="1" applyAlignment="1">
      <alignment horizontal="left" vertical="center" indent="1"/>
    </xf>
    <xf numFmtId="0" fontId="8" fillId="0" borderId="167" xfId="0" applyFont="1" applyBorder="1" applyAlignment="1">
      <alignment horizontal="left" vertical="center" indent="1"/>
    </xf>
    <xf numFmtId="0" fontId="105" fillId="10" borderId="13" xfId="0" applyFont="1" applyFill="1" applyBorder="1">
      <alignment vertical="center"/>
    </xf>
    <xf numFmtId="0" fontId="105" fillId="10" borderId="141" xfId="0" applyFont="1" applyFill="1" applyBorder="1" applyAlignment="1">
      <alignment horizontal="center" vertical="center"/>
    </xf>
    <xf numFmtId="0" fontId="105" fillId="10" borderId="142" xfId="0" applyFont="1" applyFill="1" applyBorder="1" applyAlignment="1">
      <alignment horizontal="center" vertical="center"/>
    </xf>
    <xf numFmtId="176" fontId="63" fillId="0" borderId="0" xfId="0" applyNumberFormat="1" applyFont="1" applyFill="1" applyBorder="1">
      <alignment vertical="center"/>
    </xf>
    <xf numFmtId="176" fontId="38" fillId="0" borderId="0" xfId="0" applyNumberFormat="1" applyFont="1" applyFill="1" applyBorder="1" applyAlignment="1" applyProtection="1">
      <alignment vertical="center"/>
    </xf>
    <xf numFmtId="193" fontId="13" fillId="0" borderId="0" xfId="0" applyNumberFormat="1" applyFont="1" applyFill="1" applyBorder="1" applyAlignment="1">
      <alignment vertical="center" wrapText="1"/>
    </xf>
    <xf numFmtId="176" fontId="38" fillId="0" borderId="0" xfId="0" applyNumberFormat="1" applyFont="1" applyFill="1" applyBorder="1">
      <alignment vertical="center"/>
    </xf>
    <xf numFmtId="193" fontId="63" fillId="0" borderId="0" xfId="0" applyNumberFormat="1" applyFont="1" applyFill="1" applyBorder="1" applyAlignment="1">
      <alignment vertical="center" wrapText="1"/>
    </xf>
    <xf numFmtId="180" fontId="63" fillId="0" borderId="161" xfId="0" applyNumberFormat="1" applyFont="1" applyFill="1" applyBorder="1" applyAlignment="1">
      <alignment horizontal="right" vertical="center"/>
    </xf>
    <xf numFmtId="193" fontId="63" fillId="0" borderId="161" xfId="0" applyNumberFormat="1" applyFont="1" applyFill="1" applyBorder="1">
      <alignment vertical="center"/>
    </xf>
    <xf numFmtId="176" fontId="63" fillId="0" borderId="161" xfId="0" applyNumberFormat="1" applyFont="1" applyFill="1" applyBorder="1">
      <alignment vertical="center"/>
    </xf>
    <xf numFmtId="176" fontId="63" fillId="0" borderId="162" xfId="0" applyNumberFormat="1" applyFont="1" applyFill="1" applyBorder="1">
      <alignment vertical="center"/>
    </xf>
    <xf numFmtId="193" fontId="38" fillId="0" borderId="0" xfId="1" applyNumberFormat="1" applyFont="1" applyFill="1" applyBorder="1" applyAlignment="1">
      <alignment vertical="center"/>
    </xf>
    <xf numFmtId="0" fontId="13" fillId="0" borderId="164" xfId="0" applyFont="1" applyFill="1" applyBorder="1" applyAlignment="1">
      <alignment vertical="center"/>
    </xf>
    <xf numFmtId="180" fontId="38" fillId="0" borderId="166" xfId="0" applyNumberFormat="1" applyFont="1" applyFill="1" applyBorder="1" applyAlignment="1">
      <alignment horizontal="right" vertical="center"/>
    </xf>
    <xf numFmtId="193" fontId="38" fillId="0" borderId="166" xfId="0" applyNumberFormat="1" applyFont="1" applyFill="1" applyBorder="1">
      <alignment vertical="center"/>
    </xf>
    <xf numFmtId="176" fontId="38" fillId="0" borderId="166" xfId="0" applyNumberFormat="1" applyFont="1" applyFill="1" applyBorder="1">
      <alignment vertical="center"/>
    </xf>
    <xf numFmtId="180" fontId="38" fillId="0" borderId="172" xfId="0" applyNumberFormat="1" applyFont="1" applyFill="1" applyBorder="1" applyAlignment="1">
      <alignment horizontal="right" vertical="center"/>
    </xf>
    <xf numFmtId="193" fontId="38" fillId="0" borderId="172" xfId="0" applyNumberFormat="1" applyFont="1" applyFill="1" applyBorder="1">
      <alignment vertical="center"/>
    </xf>
    <xf numFmtId="176" fontId="38" fillId="0" borderId="172" xfId="0" applyNumberFormat="1" applyFont="1" applyFill="1" applyBorder="1" applyAlignment="1" applyProtection="1">
      <alignment vertical="center"/>
    </xf>
    <xf numFmtId="0" fontId="13" fillId="0" borderId="172" xfId="0" applyFont="1" applyFill="1" applyBorder="1" applyAlignment="1">
      <alignment vertical="center"/>
    </xf>
    <xf numFmtId="0" fontId="13" fillId="0" borderId="173" xfId="0" applyFont="1" applyFill="1" applyBorder="1" applyAlignment="1">
      <alignment vertical="center"/>
    </xf>
    <xf numFmtId="193" fontId="38" fillId="0" borderId="161" xfId="0" applyNumberFormat="1" applyFont="1" applyFill="1" applyBorder="1">
      <alignment vertical="center"/>
    </xf>
    <xf numFmtId="0" fontId="12" fillId="10" borderId="187" xfId="0" applyFont="1" applyFill="1" applyBorder="1">
      <alignment vertical="center"/>
    </xf>
    <xf numFmtId="0" fontId="12" fillId="10" borderId="188" xfId="0" applyFont="1" applyFill="1" applyBorder="1">
      <alignment vertical="center"/>
    </xf>
    <xf numFmtId="0" fontId="12" fillId="10" borderId="188" xfId="0" applyFont="1" applyFill="1" applyBorder="1" applyAlignment="1">
      <alignment horizontal="right" vertical="center"/>
    </xf>
    <xf numFmtId="0" fontId="12" fillId="10" borderId="189" xfId="0" applyFont="1" applyFill="1" applyBorder="1" applyAlignment="1">
      <alignment horizontal="right" vertical="center"/>
    </xf>
    <xf numFmtId="0" fontId="63" fillId="0" borderId="190" xfId="0" applyFont="1" applyBorder="1">
      <alignment vertical="center"/>
    </xf>
    <xf numFmtId="0" fontId="63" fillId="0" borderId="191" xfId="0" applyFont="1" applyBorder="1">
      <alignment vertical="center"/>
    </xf>
    <xf numFmtId="180" fontId="63" fillId="0" borderId="191" xfId="0" applyNumberFormat="1" applyFont="1" applyBorder="1" applyAlignment="1">
      <alignment horizontal="right" vertical="center"/>
    </xf>
    <xf numFmtId="193" fontId="63" fillId="0" borderId="191" xfId="0" applyNumberFormat="1" applyFont="1" applyBorder="1" applyAlignment="1">
      <alignment horizontal="right" vertical="center"/>
    </xf>
    <xf numFmtId="186" fontId="63" fillId="0" borderId="191" xfId="0" applyNumberFormat="1" applyFont="1" applyBorder="1" applyAlignment="1">
      <alignment horizontal="right" vertical="center"/>
    </xf>
    <xf numFmtId="186" fontId="63" fillId="0" borderId="192" xfId="0" applyNumberFormat="1" applyFont="1" applyBorder="1" applyAlignment="1">
      <alignment horizontal="right" vertical="center"/>
    </xf>
    <xf numFmtId="0" fontId="12" fillId="10" borderId="0" xfId="0" applyNumberFormat="1" applyFont="1" applyFill="1" applyBorder="1" applyAlignment="1">
      <alignment horizontal="left" vertical="center"/>
    </xf>
    <xf numFmtId="9" fontId="89" fillId="0" borderId="0" xfId="2" applyNumberFormat="1" applyFont="1" applyFill="1" applyBorder="1" applyAlignment="1">
      <alignment vertical="center"/>
    </xf>
    <xf numFmtId="0" fontId="87" fillId="4" borderId="165" xfId="0" applyFont="1" applyFill="1" applyBorder="1">
      <alignment vertical="center"/>
    </xf>
    <xf numFmtId="0" fontId="87" fillId="4" borderId="166" xfId="0" applyFont="1" applyFill="1" applyBorder="1">
      <alignment vertical="center"/>
    </xf>
    <xf numFmtId="188" fontId="87" fillId="4" borderId="166" xfId="0" applyNumberFormat="1" applyFont="1" applyFill="1" applyBorder="1" applyAlignment="1">
      <alignment horizontal="center" vertical="center"/>
    </xf>
    <xf numFmtId="189" fontId="87" fillId="4" borderId="179" xfId="0" applyNumberFormat="1" applyFont="1" applyFill="1" applyBorder="1" applyAlignment="1">
      <alignment horizontal="center" vertical="center"/>
    </xf>
    <xf numFmtId="182" fontId="87" fillId="4" borderId="166" xfId="0" applyNumberFormat="1" applyFont="1" applyFill="1" applyBorder="1" applyAlignment="1">
      <alignment horizontal="center" vertical="center"/>
    </xf>
    <xf numFmtId="182" fontId="87" fillId="4" borderId="167" xfId="0" applyNumberFormat="1" applyFont="1" applyFill="1" applyBorder="1" applyAlignment="1">
      <alignment horizontal="center" vertical="center"/>
    </xf>
    <xf numFmtId="0" fontId="12" fillId="4" borderId="165" xfId="0" applyFont="1" applyFill="1" applyBorder="1">
      <alignment vertical="center"/>
    </xf>
    <xf numFmtId="188" fontId="12" fillId="4" borderId="166" xfId="0" applyNumberFormat="1" applyFont="1" applyFill="1" applyBorder="1" applyAlignment="1">
      <alignment horizontal="center" vertical="center"/>
    </xf>
    <xf numFmtId="189" fontId="12" fillId="4" borderId="166" xfId="0" applyNumberFormat="1" applyFont="1" applyFill="1" applyBorder="1" applyAlignment="1">
      <alignment horizontal="center" vertical="center"/>
    </xf>
    <xf numFmtId="182" fontId="12" fillId="4" borderId="166" xfId="0" applyNumberFormat="1" applyFont="1" applyFill="1" applyBorder="1" applyAlignment="1">
      <alignment horizontal="center" vertical="center"/>
    </xf>
    <xf numFmtId="182" fontId="12" fillId="4" borderId="167" xfId="0" applyNumberFormat="1" applyFont="1" applyFill="1" applyBorder="1" applyAlignment="1">
      <alignment horizontal="center" vertical="center"/>
    </xf>
    <xf numFmtId="0" fontId="63" fillId="5" borderId="160" xfId="0" applyFont="1" applyFill="1" applyBorder="1">
      <alignment vertical="center"/>
    </xf>
    <xf numFmtId="176" fontId="63" fillId="5" borderId="161" xfId="0" applyNumberFormat="1" applyFont="1" applyFill="1" applyBorder="1" applyAlignment="1">
      <alignment horizontal="right" vertical="center"/>
    </xf>
    <xf numFmtId="176" fontId="63" fillId="0" borderId="161" xfId="0" applyNumberFormat="1" applyFont="1" applyFill="1" applyBorder="1" applyAlignment="1">
      <alignment horizontal="right" vertical="center"/>
    </xf>
    <xf numFmtId="176" fontId="63" fillId="5" borderId="162" xfId="0" applyNumberFormat="1" applyFont="1" applyFill="1" applyBorder="1" applyAlignment="1">
      <alignment horizontal="right" vertical="center"/>
    </xf>
    <xf numFmtId="184" fontId="72" fillId="5" borderId="163" xfId="0" applyNumberFormat="1" applyFont="1" applyFill="1" applyBorder="1" applyAlignment="1">
      <alignment horizontal="left" vertical="center" indent="1"/>
    </xf>
    <xf numFmtId="184" fontId="72" fillId="5" borderId="164" xfId="0" applyNumberFormat="1" applyFont="1" applyFill="1" applyBorder="1" applyAlignment="1">
      <alignment horizontal="right" vertical="center"/>
    </xf>
    <xf numFmtId="0" fontId="38" fillId="5" borderId="163" xfId="0" applyFont="1" applyFill="1" applyBorder="1">
      <alignment vertical="center"/>
    </xf>
    <xf numFmtId="176" fontId="38" fillId="5" borderId="164" xfId="0" applyNumberFormat="1" applyFont="1" applyFill="1" applyBorder="1" applyAlignment="1">
      <alignment horizontal="right" vertical="center"/>
    </xf>
    <xf numFmtId="184" fontId="41" fillId="5" borderId="163" xfId="0" applyNumberFormat="1" applyFont="1" applyFill="1" applyBorder="1" applyAlignment="1">
      <alignment horizontal="left" vertical="center" indent="1"/>
    </xf>
    <xf numFmtId="184" fontId="41" fillId="5" borderId="164" xfId="0" applyNumberFormat="1" applyFont="1" applyFill="1" applyBorder="1" applyAlignment="1">
      <alignment horizontal="right" vertical="center"/>
    </xf>
    <xf numFmtId="0" fontId="63" fillId="5" borderId="163" xfId="0" applyFont="1" applyFill="1" applyBorder="1">
      <alignment vertical="center"/>
    </xf>
    <xf numFmtId="176" fontId="63" fillId="5" borderId="164" xfId="0" applyNumberFormat="1" applyFont="1" applyFill="1" applyBorder="1" applyAlignment="1">
      <alignment horizontal="right" vertical="center"/>
    </xf>
    <xf numFmtId="184" fontId="41" fillId="5" borderId="195" xfId="0" applyNumberFormat="1" applyFont="1" applyFill="1" applyBorder="1" applyAlignment="1">
      <alignment horizontal="right" vertical="center"/>
    </xf>
    <xf numFmtId="184" fontId="41" fillId="5" borderId="196" xfId="0" applyNumberFormat="1" applyFont="1" applyFill="1" applyBorder="1" applyAlignment="1">
      <alignment horizontal="right" vertical="center"/>
    </xf>
    <xf numFmtId="0" fontId="46" fillId="0" borderId="0" xfId="0" quotePrefix="1" applyNumberFormat="1" applyFont="1" applyFill="1" applyBorder="1" applyAlignment="1">
      <alignment horizontal="center" vertical="center"/>
    </xf>
    <xf numFmtId="0" fontId="29" fillId="0" borderId="197" xfId="0" applyFont="1" applyBorder="1" applyAlignment="1">
      <alignment horizontal="center" vertical="center"/>
    </xf>
    <xf numFmtId="0" fontId="29" fillId="0" borderId="198" xfId="0" applyFont="1" applyBorder="1" applyAlignment="1">
      <alignment horizontal="center" vertical="center"/>
    </xf>
    <xf numFmtId="10" fontId="29" fillId="0" borderId="199" xfId="0" applyNumberFormat="1" applyFont="1" applyBorder="1" applyAlignment="1">
      <alignment horizontal="center" vertical="center"/>
    </xf>
    <xf numFmtId="193" fontId="29" fillId="11" borderId="162" xfId="0" applyNumberFormat="1" applyFont="1" applyFill="1" applyBorder="1" applyAlignment="1">
      <alignment vertical="center"/>
    </xf>
    <xf numFmtId="193" fontId="29" fillId="11" borderId="0" xfId="0" applyNumberFormat="1" applyFont="1" applyFill="1" applyBorder="1" applyAlignment="1">
      <alignment vertical="center"/>
    </xf>
    <xf numFmtId="193" fontId="29" fillId="11" borderId="165" xfId="0" applyNumberFormat="1" applyFont="1" applyFill="1" applyBorder="1" applyAlignment="1">
      <alignment vertical="center"/>
    </xf>
    <xf numFmtId="0" fontId="23" fillId="0" borderId="195" xfId="0" applyFont="1" applyFill="1" applyBorder="1">
      <alignment vertical="center"/>
    </xf>
    <xf numFmtId="0" fontId="77" fillId="4" borderId="122" xfId="0" applyFont="1" applyFill="1" applyBorder="1" applyAlignment="1">
      <alignment horizontal="center" vertical="center" wrapText="1"/>
    </xf>
    <xf numFmtId="0" fontId="77" fillId="4" borderId="0" xfId="0" applyFont="1" applyFill="1" applyBorder="1" applyAlignment="1">
      <alignment horizontal="center" vertical="center" wrapText="1"/>
    </xf>
    <xf numFmtId="0" fontId="77" fillId="4" borderId="123" xfId="0" applyFont="1" applyFill="1" applyBorder="1" applyAlignment="1">
      <alignment horizontal="center" vertical="center" wrapText="1"/>
    </xf>
    <xf numFmtId="0" fontId="77" fillId="4" borderId="164" xfId="0" applyFont="1" applyFill="1" applyBorder="1" applyAlignment="1">
      <alignment horizontal="center" vertical="center" wrapText="1"/>
    </xf>
    <xf numFmtId="0" fontId="23" fillId="0" borderId="194" xfId="0" applyFont="1" applyFill="1" applyBorder="1" applyAlignment="1">
      <alignment vertical="center"/>
    </xf>
    <xf numFmtId="184" fontId="23" fillId="0" borderId="195" xfId="0" applyNumberFormat="1" applyFont="1" applyFill="1" applyBorder="1" applyAlignment="1">
      <alignment horizontal="right" vertical="center"/>
    </xf>
    <xf numFmtId="184" fontId="23" fillId="0" borderId="195" xfId="0" applyNumberFormat="1" applyFont="1" applyFill="1" applyBorder="1" applyAlignment="1">
      <alignment vertical="center"/>
    </xf>
    <xf numFmtId="184" fontId="23" fillId="0" borderId="196" xfId="0" applyNumberFormat="1" applyFont="1" applyFill="1" applyBorder="1" applyAlignment="1">
      <alignment horizontal="right" vertical="center"/>
    </xf>
    <xf numFmtId="184" fontId="23" fillId="0" borderId="195" xfId="2" applyNumberFormat="1" applyFont="1" applyFill="1" applyBorder="1" applyAlignment="1">
      <alignment vertical="center"/>
    </xf>
    <xf numFmtId="184" fontId="23" fillId="0" borderId="196" xfId="2" applyNumberFormat="1" applyFont="1" applyFill="1" applyBorder="1" applyAlignment="1">
      <alignment vertical="center"/>
    </xf>
    <xf numFmtId="0" fontId="12" fillId="4" borderId="165" xfId="0" applyFont="1" applyFill="1" applyBorder="1" applyAlignment="1">
      <alignment horizontal="center" vertical="center"/>
    </xf>
    <xf numFmtId="176" fontId="12" fillId="4" borderId="166" xfId="0" applyNumberFormat="1" applyFont="1" applyFill="1" applyBorder="1" applyAlignment="1">
      <alignment horizontal="center" vertical="center" wrapText="1"/>
    </xf>
    <xf numFmtId="0" fontId="12" fillId="4" borderId="166" xfId="0" applyFont="1" applyFill="1" applyBorder="1" applyAlignment="1">
      <alignment horizontal="center" vertical="center"/>
    </xf>
    <xf numFmtId="180" fontId="63" fillId="0" borderId="191" xfId="0" applyNumberFormat="1" applyFont="1" applyFill="1" applyBorder="1" applyAlignment="1">
      <alignment horizontal="right" vertical="center"/>
    </xf>
    <xf numFmtId="193" fontId="38" fillId="0" borderId="191" xfId="0" applyNumberFormat="1" applyFont="1" applyFill="1" applyBorder="1">
      <alignment vertical="center"/>
    </xf>
    <xf numFmtId="176" fontId="63" fillId="0" borderId="191" xfId="0" applyNumberFormat="1" applyFont="1" applyFill="1" applyBorder="1">
      <alignment vertical="center"/>
    </xf>
    <xf numFmtId="176" fontId="63" fillId="0" borderId="192" xfId="0" applyNumberFormat="1" applyFont="1" applyFill="1" applyBorder="1">
      <alignment vertical="center"/>
    </xf>
    <xf numFmtId="193" fontId="63" fillId="0" borderId="191" xfId="0" applyNumberFormat="1" applyFont="1" applyFill="1" applyBorder="1">
      <alignment vertical="center"/>
    </xf>
    <xf numFmtId="0" fontId="26" fillId="10" borderId="169" xfId="0" applyFont="1" applyFill="1" applyBorder="1" applyAlignment="1">
      <alignment horizontal="center" vertical="center" wrapText="1"/>
    </xf>
    <xf numFmtId="0" fontId="16" fillId="0" borderId="0" xfId="0" applyFont="1">
      <alignment vertical="center"/>
    </xf>
    <xf numFmtId="14" fontId="13" fillId="6" borderId="128" xfId="0" applyNumberFormat="1" applyFont="1" applyFill="1" applyBorder="1" applyAlignment="1">
      <alignment horizontal="left" vertical="center"/>
    </xf>
    <xf numFmtId="0" fontId="13" fillId="6" borderId="129" xfId="0" applyFont="1" applyFill="1" applyBorder="1" applyAlignment="1">
      <alignment horizontal="center" vertical="center"/>
    </xf>
    <xf numFmtId="0" fontId="13" fillId="6" borderId="130" xfId="0" applyFont="1" applyFill="1" applyBorder="1" applyAlignment="1">
      <alignment horizontal="left" vertical="center" wrapText="1"/>
    </xf>
    <xf numFmtId="0" fontId="16" fillId="0" borderId="0" xfId="0" applyFont="1" applyAlignment="1">
      <alignment horizontal="left" vertical="center"/>
    </xf>
    <xf numFmtId="0" fontId="16" fillId="0" borderId="0" xfId="0" applyFont="1" applyFill="1" applyBorder="1" applyAlignment="1">
      <alignment vertical="center"/>
    </xf>
    <xf numFmtId="0" fontId="38" fillId="0" borderId="0" xfId="0" applyFont="1">
      <alignment vertical="center"/>
    </xf>
    <xf numFmtId="14" fontId="13" fillId="6" borderId="128" xfId="0" applyNumberFormat="1" applyFont="1" applyFill="1" applyBorder="1" applyAlignment="1">
      <alignment horizontal="left" vertical="center"/>
    </xf>
    <xf numFmtId="0" fontId="13" fillId="6" borderId="129" xfId="0" applyFont="1" applyFill="1" applyBorder="1" applyAlignment="1">
      <alignment horizontal="center" vertical="center"/>
    </xf>
    <xf numFmtId="3" fontId="13" fillId="6" borderId="129" xfId="0" applyNumberFormat="1" applyFont="1" applyFill="1" applyBorder="1" applyAlignment="1">
      <alignment horizontal="center" vertical="center" wrapText="1"/>
    </xf>
    <xf numFmtId="3" fontId="13" fillId="6" borderId="129" xfId="0" applyNumberFormat="1" applyFont="1" applyFill="1" applyBorder="1" applyAlignment="1">
      <alignment horizontal="left" vertical="center"/>
    </xf>
    <xf numFmtId="0" fontId="23" fillId="0" borderId="130" xfId="0" applyFont="1" applyBorder="1" applyAlignment="1">
      <alignment vertical="top" wrapText="1"/>
    </xf>
    <xf numFmtId="0" fontId="13" fillId="6" borderId="129" xfId="0" applyFont="1" applyFill="1" applyBorder="1" applyAlignment="1">
      <alignment horizontal="center" vertical="center" wrapText="1"/>
    </xf>
    <xf numFmtId="0" fontId="38" fillId="0" borderId="0" xfId="0" applyFont="1" applyAlignment="1">
      <alignment horizontal="left" vertical="center"/>
    </xf>
    <xf numFmtId="0" fontId="38" fillId="0" borderId="0" xfId="0" applyFont="1" applyAlignment="1">
      <alignment horizontal="left" vertical="center" wrapText="1"/>
    </xf>
    <xf numFmtId="0" fontId="12" fillId="10" borderId="160" xfId="0" applyFont="1" applyFill="1" applyBorder="1">
      <alignment vertical="center"/>
    </xf>
    <xf numFmtId="0" fontId="71" fillId="10" borderId="161" xfId="0" applyFont="1" applyFill="1" applyBorder="1" applyAlignment="1">
      <alignment horizontal="center" vertical="center"/>
    </xf>
    <xf numFmtId="41" fontId="71" fillId="10" borderId="161" xfId="1" applyNumberFormat="1" applyFont="1" applyFill="1" applyBorder="1" applyAlignment="1">
      <alignment horizontal="center" vertical="center"/>
    </xf>
    <xf numFmtId="0" fontId="71" fillId="10" borderId="162" xfId="0" applyFont="1" applyFill="1" applyBorder="1" applyAlignment="1">
      <alignment horizontal="center" vertical="center"/>
    </xf>
    <xf numFmtId="0" fontId="12" fillId="10" borderId="161" xfId="0" applyFont="1" applyFill="1" applyBorder="1">
      <alignment vertical="center"/>
    </xf>
    <xf numFmtId="0" fontId="12" fillId="10" borderId="161" xfId="0" applyFont="1" applyFill="1" applyBorder="1" applyAlignment="1">
      <alignment horizontal="right" vertical="center"/>
    </xf>
    <xf numFmtId="0" fontId="12" fillId="10" borderId="162" xfId="0" applyFont="1" applyFill="1" applyBorder="1" applyAlignment="1">
      <alignment horizontal="right" vertical="center"/>
    </xf>
    <xf numFmtId="0" fontId="12" fillId="10" borderId="161" xfId="0" applyFont="1" applyFill="1" applyBorder="1" applyAlignment="1">
      <alignment horizontal="centerContinuous" vertical="center"/>
    </xf>
    <xf numFmtId="0" fontId="12" fillId="10" borderId="200" xfId="0" applyFont="1" applyFill="1" applyBorder="1" applyAlignment="1">
      <alignment horizontal="centerContinuous" vertical="center"/>
    </xf>
    <xf numFmtId="0" fontId="38" fillId="10" borderId="161" xfId="0" applyFont="1" applyFill="1" applyBorder="1" applyAlignment="1">
      <alignment horizontal="centerContinuous" vertical="center"/>
    </xf>
    <xf numFmtId="0" fontId="38" fillId="10" borderId="162" xfId="0" applyFont="1" applyFill="1" applyBorder="1" applyAlignment="1">
      <alignment horizontal="centerContinuous" vertical="center"/>
    </xf>
    <xf numFmtId="179" fontId="26" fillId="10" borderId="182" xfId="0" applyNumberFormat="1" applyFont="1" applyFill="1" applyBorder="1" applyAlignment="1">
      <alignment horizontal="center" vertical="center"/>
    </xf>
    <xf numFmtId="0" fontId="12" fillId="10" borderId="180" xfId="0" applyFont="1" applyFill="1" applyBorder="1" applyAlignment="1">
      <alignment horizontal="left" vertical="center"/>
    </xf>
    <xf numFmtId="0" fontId="12" fillId="10" borderId="181" xfId="0" applyFont="1" applyFill="1" applyBorder="1" applyAlignment="1">
      <alignment horizontal="left" vertical="center"/>
    </xf>
    <xf numFmtId="0" fontId="63" fillId="0" borderId="160" xfId="0" applyFont="1" applyFill="1" applyBorder="1">
      <alignment vertical="center"/>
    </xf>
    <xf numFmtId="193" fontId="63" fillId="0" borderId="161" xfId="0" applyNumberFormat="1" applyFont="1" applyFill="1" applyBorder="1" applyAlignment="1">
      <alignment horizontal="right" vertical="center"/>
    </xf>
    <xf numFmtId="193" fontId="63" fillId="0" borderId="162" xfId="0" applyNumberFormat="1" applyFont="1" applyFill="1" applyBorder="1" applyAlignment="1">
      <alignment horizontal="right" vertical="center"/>
    </xf>
    <xf numFmtId="193" fontId="38" fillId="0" borderId="164" xfId="0" applyNumberFormat="1" applyFont="1" applyFill="1" applyBorder="1" applyAlignment="1">
      <alignment horizontal="right" vertical="center"/>
    </xf>
    <xf numFmtId="0" fontId="41" fillId="0" borderId="163" xfId="0" applyFont="1" applyFill="1" applyBorder="1" applyAlignment="1">
      <alignment horizontal="left" vertical="center" indent="2"/>
    </xf>
    <xf numFmtId="192" fontId="41" fillId="0" borderId="164" xfId="0" applyNumberFormat="1" applyFont="1" applyFill="1" applyBorder="1" applyAlignment="1">
      <alignment horizontal="right" vertical="center"/>
    </xf>
    <xf numFmtId="183" fontId="41" fillId="0" borderId="164" xfId="0" applyNumberFormat="1" applyFont="1" applyFill="1" applyBorder="1" applyAlignment="1">
      <alignment horizontal="right" vertical="center"/>
    </xf>
    <xf numFmtId="193" fontId="63" fillId="0" borderId="164" xfId="0" applyNumberFormat="1" applyFont="1" applyFill="1" applyBorder="1" applyAlignment="1">
      <alignment horizontal="right" vertical="center"/>
    </xf>
    <xf numFmtId="38" fontId="13" fillId="3" borderId="160" xfId="0" applyNumberFormat="1" applyFont="1" applyFill="1" applyBorder="1" applyAlignment="1">
      <alignment horizontal="left" vertical="center"/>
    </xf>
    <xf numFmtId="38" fontId="13" fillId="3" borderId="165" xfId="0" applyNumberFormat="1" applyFont="1" applyFill="1" applyBorder="1" applyAlignment="1">
      <alignment horizontal="left" vertical="center"/>
    </xf>
    <xf numFmtId="38" fontId="29" fillId="3" borderId="160" xfId="0" applyNumberFormat="1" applyFont="1" applyFill="1" applyBorder="1" applyAlignment="1">
      <alignment horizontal="left" vertical="center"/>
    </xf>
    <xf numFmtId="193" fontId="63" fillId="5" borderId="161" xfId="0" applyNumberFormat="1" applyFont="1" applyFill="1" applyBorder="1" applyAlignment="1">
      <alignment horizontal="right" vertical="center"/>
    </xf>
    <xf numFmtId="193" fontId="63" fillId="5" borderId="162" xfId="0" applyNumberFormat="1" applyFont="1" applyFill="1" applyBorder="1" applyAlignment="1">
      <alignment horizontal="right" vertical="center"/>
    </xf>
    <xf numFmtId="0" fontId="41" fillId="5" borderId="163" xfId="0" applyFont="1" applyFill="1" applyBorder="1" applyAlignment="1">
      <alignment horizontal="left" vertical="center" indent="1"/>
    </xf>
    <xf numFmtId="0" fontId="41" fillId="5" borderId="163" xfId="0" applyFont="1" applyFill="1" applyBorder="1" applyAlignment="1">
      <alignment horizontal="left" vertical="center" indent="2"/>
    </xf>
    <xf numFmtId="0" fontId="72" fillId="5" borderId="163" xfId="0" applyFont="1" applyFill="1" applyBorder="1" applyAlignment="1">
      <alignment horizontal="left" vertical="center" indent="1"/>
    </xf>
    <xf numFmtId="0" fontId="38" fillId="5" borderId="163" xfId="0" applyFont="1" applyFill="1" applyBorder="1" applyAlignment="1">
      <alignment horizontal="left" vertical="center" indent="1"/>
    </xf>
    <xf numFmtId="0" fontId="72" fillId="5" borderId="163" xfId="0" applyFont="1" applyFill="1" applyBorder="1" applyAlignment="1">
      <alignment horizontal="left" vertical="center" indent="2"/>
    </xf>
    <xf numFmtId="184" fontId="41" fillId="0" borderId="164" xfId="0" applyNumberFormat="1" applyFont="1" applyFill="1" applyBorder="1" applyAlignment="1">
      <alignment horizontal="right" vertical="center"/>
    </xf>
    <xf numFmtId="0" fontId="72" fillId="5" borderId="194" xfId="0" applyFont="1" applyFill="1" applyBorder="1" applyAlignment="1">
      <alignment horizontal="left" vertical="center" indent="1"/>
    </xf>
    <xf numFmtId="184" fontId="72" fillId="5" borderId="195" xfId="0" applyNumberFormat="1" applyFont="1" applyFill="1" applyBorder="1" applyAlignment="1">
      <alignment horizontal="right" vertical="center"/>
    </xf>
    <xf numFmtId="184" fontId="72" fillId="5" borderId="196" xfId="0" applyNumberFormat="1" applyFont="1" applyFill="1" applyBorder="1" applyAlignment="1">
      <alignment horizontal="right" vertical="center"/>
    </xf>
    <xf numFmtId="0" fontId="12" fillId="4" borderId="163" xfId="0" applyFont="1" applyFill="1" applyBorder="1">
      <alignment vertical="center"/>
    </xf>
    <xf numFmtId="188" fontId="12" fillId="4" borderId="0" xfId="0" applyNumberFormat="1" applyFont="1" applyFill="1" applyBorder="1" applyAlignment="1">
      <alignment horizontal="center" vertical="center"/>
    </xf>
    <xf numFmtId="189" fontId="12" fillId="4" borderId="0" xfId="0" applyNumberFormat="1" applyFont="1" applyFill="1" applyBorder="1" applyAlignment="1">
      <alignment horizontal="center" vertical="center"/>
    </xf>
    <xf numFmtId="182" fontId="12" fillId="4" borderId="0" xfId="0" applyNumberFormat="1" applyFont="1" applyFill="1" applyBorder="1" applyAlignment="1">
      <alignment horizontal="center" vertical="center"/>
    </xf>
    <xf numFmtId="182" fontId="12" fillId="4" borderId="164" xfId="0" applyNumberFormat="1" applyFont="1" applyFill="1" applyBorder="1" applyAlignment="1">
      <alignment horizontal="center" vertical="center"/>
    </xf>
    <xf numFmtId="0" fontId="41" fillId="5" borderId="194" xfId="0" applyFont="1" applyFill="1" applyBorder="1" applyAlignment="1">
      <alignment horizontal="left" vertical="center" indent="1"/>
    </xf>
    <xf numFmtId="0" fontId="41" fillId="5" borderId="194" xfId="0" applyFont="1" applyFill="1" applyBorder="1" applyAlignment="1">
      <alignment horizontal="left" vertical="center" indent="2"/>
    </xf>
    <xf numFmtId="0" fontId="38" fillId="0" borderId="194" xfId="0" applyFont="1" applyBorder="1">
      <alignment vertical="center"/>
    </xf>
    <xf numFmtId="193" fontId="38" fillId="0" borderId="195" xfId="0" applyNumberFormat="1" applyFont="1" applyBorder="1">
      <alignment vertical="center"/>
    </xf>
    <xf numFmtId="193" fontId="38" fillId="0" borderId="196" xfId="0" applyNumberFormat="1" applyFont="1" applyBorder="1">
      <alignment vertical="center"/>
    </xf>
    <xf numFmtId="194" fontId="38" fillId="0" borderId="195" xfId="2" applyNumberFormat="1" applyFont="1" applyFill="1" applyBorder="1" applyAlignment="1">
      <alignment vertical="center"/>
    </xf>
    <xf numFmtId="38" fontId="13" fillId="3" borderId="190" xfId="0" applyNumberFormat="1" applyFont="1" applyFill="1" applyBorder="1" applyAlignment="1">
      <alignment horizontal="left" vertical="center"/>
    </xf>
    <xf numFmtId="0" fontId="63" fillId="0" borderId="194" xfId="0" applyFont="1" applyFill="1" applyBorder="1">
      <alignment vertical="center"/>
    </xf>
    <xf numFmtId="193" fontId="63" fillId="0" borderId="195" xfId="0" applyNumberFormat="1" applyFont="1" applyFill="1" applyBorder="1" applyAlignment="1">
      <alignment horizontal="right" vertical="center"/>
    </xf>
    <xf numFmtId="193" fontId="63" fillId="0" borderId="196" xfId="0" applyNumberFormat="1" applyFont="1" applyFill="1" applyBorder="1" applyAlignment="1">
      <alignment horizontal="right" vertical="center"/>
    </xf>
    <xf numFmtId="0" fontId="106" fillId="0" borderId="0" xfId="0" applyFont="1">
      <alignment vertical="center"/>
    </xf>
    <xf numFmtId="0" fontId="38" fillId="0" borderId="195" xfId="0" applyFont="1" applyBorder="1">
      <alignment vertical="center"/>
    </xf>
    <xf numFmtId="0" fontId="38" fillId="0" borderId="196" xfId="0" applyFont="1" applyBorder="1">
      <alignment vertical="center"/>
    </xf>
    <xf numFmtId="193" fontId="104" fillId="0" borderId="0" xfId="0" applyNumberFormat="1" applyFont="1">
      <alignment vertical="center"/>
    </xf>
    <xf numFmtId="195" fontId="106" fillId="0" borderId="0" xfId="0" applyNumberFormat="1" applyFont="1">
      <alignment vertical="center"/>
    </xf>
    <xf numFmtId="0" fontId="63" fillId="0" borderId="160" xfId="0" applyFont="1" applyFill="1" applyBorder="1" applyAlignment="1">
      <alignment horizontal="left" vertical="center"/>
    </xf>
    <xf numFmtId="0" fontId="38" fillId="0" borderId="171" xfId="0" applyFont="1" applyFill="1" applyBorder="1" applyAlignment="1">
      <alignment horizontal="left" vertical="center"/>
    </xf>
    <xf numFmtId="0" fontId="63" fillId="0" borderId="163" xfId="0" applyFont="1" applyFill="1" applyBorder="1" applyAlignment="1">
      <alignment horizontal="left" vertical="center"/>
    </xf>
    <xf numFmtId="0" fontId="63" fillId="0" borderId="190" xfId="0" applyFont="1" applyFill="1" applyBorder="1" applyAlignment="1">
      <alignment horizontal="left" vertical="center"/>
    </xf>
    <xf numFmtId="176" fontId="63" fillId="0" borderId="201" xfId="0" applyNumberFormat="1" applyFont="1" applyFill="1" applyBorder="1">
      <alignment vertical="center"/>
    </xf>
    <xf numFmtId="176" fontId="63" fillId="0" borderId="202" xfId="0" applyNumberFormat="1" applyFont="1" applyFill="1" applyBorder="1">
      <alignment vertical="center"/>
    </xf>
    <xf numFmtId="0" fontId="12" fillId="4" borderId="193" xfId="0" applyFont="1" applyFill="1" applyBorder="1" applyAlignment="1">
      <alignment horizontal="center" vertical="center"/>
    </xf>
    <xf numFmtId="0" fontId="12" fillId="4" borderId="203" xfId="0" applyFont="1" applyFill="1" applyBorder="1" applyAlignment="1">
      <alignment horizontal="center" vertical="center"/>
    </xf>
    <xf numFmtId="0" fontId="23" fillId="0" borderId="45" xfId="0" applyFont="1" applyBorder="1" applyAlignment="1">
      <alignment vertical="center" wrapText="1"/>
    </xf>
    <xf numFmtId="0" fontId="107" fillId="0" borderId="0" xfId="0" applyFont="1" applyAlignment="1">
      <alignment vertical="center"/>
    </xf>
    <xf numFmtId="0" fontId="90" fillId="0" borderId="0" xfId="0" applyFont="1" applyAlignment="1">
      <alignment horizontal="left" vertical="center" wrapText="1" indent="1" readingOrder="1"/>
    </xf>
    <xf numFmtId="0" fontId="91" fillId="0" borderId="0" xfId="0" applyFont="1" applyAlignment="1">
      <alignment horizontal="left" vertical="center" wrapText="1" readingOrder="1"/>
    </xf>
    <xf numFmtId="0" fontId="7" fillId="0" borderId="0" xfId="0" applyFont="1" applyAlignment="1">
      <alignment horizontal="left" vertical="center" wrapText="1" indent="1"/>
    </xf>
    <xf numFmtId="0" fontId="7" fillId="0" borderId="0" xfId="0" applyFont="1" applyAlignment="1">
      <alignment vertical="center" wrapText="1"/>
    </xf>
    <xf numFmtId="0" fontId="8" fillId="4" borderId="0" xfId="0" applyFont="1" applyFill="1">
      <alignment vertical="center"/>
    </xf>
    <xf numFmtId="0" fontId="8" fillId="15" borderId="0" xfId="0" applyFont="1" applyFill="1">
      <alignment vertical="center"/>
    </xf>
    <xf numFmtId="0" fontId="8" fillId="25" borderId="0" xfId="0" applyFont="1" applyFill="1">
      <alignment vertical="center"/>
    </xf>
    <xf numFmtId="0" fontId="8" fillId="22" borderId="0" xfId="0" applyFont="1" applyFill="1">
      <alignment vertical="center"/>
    </xf>
    <xf numFmtId="0" fontId="8" fillId="29" borderId="0" xfId="0" applyFont="1" applyFill="1">
      <alignment vertical="center"/>
    </xf>
    <xf numFmtId="0" fontId="8" fillId="14" borderId="0" xfId="0" applyFont="1" applyFill="1">
      <alignment vertical="center"/>
    </xf>
    <xf numFmtId="44" fontId="63" fillId="0" borderId="0" xfId="0" applyNumberFormat="1" applyFont="1">
      <alignment vertical="center"/>
    </xf>
    <xf numFmtId="0" fontId="38" fillId="0" borderId="163" xfId="0" applyFont="1" applyBorder="1" applyAlignment="1">
      <alignment horizontal="left" vertical="center"/>
    </xf>
    <xf numFmtId="41" fontId="38" fillId="0" borderId="161" xfId="1" applyNumberFormat="1" applyFont="1" applyFill="1" applyBorder="1" applyAlignment="1">
      <alignment vertical="center"/>
    </xf>
    <xf numFmtId="0" fontId="87" fillId="10" borderId="132" xfId="0" applyFont="1" applyFill="1" applyBorder="1" applyAlignment="1">
      <alignment horizontal="center" vertical="center"/>
    </xf>
    <xf numFmtId="0" fontId="87" fillId="10" borderId="119" xfId="0" applyFont="1" applyFill="1" applyBorder="1" applyAlignment="1">
      <alignment horizontal="center" vertical="center"/>
    </xf>
    <xf numFmtId="0" fontId="13" fillId="0" borderId="0" xfId="0" applyFont="1" applyFill="1" applyBorder="1" applyAlignment="1">
      <alignment horizontal="left" vertical="center" wrapText="1"/>
    </xf>
    <xf numFmtId="0" fontId="12" fillId="4" borderId="166" xfId="0" applyFont="1" applyFill="1" applyBorder="1" applyAlignment="1">
      <alignment horizontal="center" vertical="center"/>
    </xf>
    <xf numFmtId="0" fontId="105" fillId="10" borderId="128" xfId="0" applyNumberFormat="1" applyFont="1" applyFill="1" applyBorder="1" applyAlignment="1">
      <alignment horizontal="center" vertical="center"/>
    </xf>
    <xf numFmtId="0" fontId="105" fillId="10" borderId="129" xfId="0" applyNumberFormat="1" applyFont="1" applyFill="1" applyBorder="1" applyAlignment="1">
      <alignment horizontal="center" vertical="center"/>
    </xf>
    <xf numFmtId="0" fontId="105" fillId="10" borderId="130" xfId="0" applyNumberFormat="1" applyFont="1" applyFill="1" applyBorder="1" applyAlignment="1">
      <alignment horizontal="center" vertical="center"/>
    </xf>
    <xf numFmtId="0" fontId="87" fillId="10" borderId="118" xfId="0" applyFont="1" applyFill="1" applyBorder="1" applyAlignment="1">
      <alignment horizontal="center" vertical="center" wrapText="1"/>
    </xf>
    <xf numFmtId="0" fontId="87" fillId="10" borderId="132" xfId="0" applyFont="1" applyFill="1" applyBorder="1" applyAlignment="1">
      <alignment horizontal="center" vertical="center" wrapText="1"/>
    </xf>
    <xf numFmtId="0" fontId="23" fillId="0" borderId="17" xfId="0" applyFont="1" applyFill="1" applyBorder="1" applyAlignment="1">
      <alignment vertical="center" wrapText="1"/>
    </xf>
    <xf numFmtId="0" fontId="23" fillId="0" borderId="47" xfId="0" applyFont="1" applyFill="1" applyBorder="1" applyAlignment="1">
      <alignment horizontal="center" vertical="center" wrapText="1"/>
    </xf>
    <xf numFmtId="0" fontId="50" fillId="0" borderId="47" xfId="0" quotePrefix="1" applyFont="1" applyFill="1" applyBorder="1" applyAlignment="1">
      <alignment horizontal="right" vertical="center" wrapText="1" indent="1"/>
    </xf>
    <xf numFmtId="0" fontId="23" fillId="0" borderId="47" xfId="0" applyFont="1" applyBorder="1" applyAlignment="1">
      <alignment vertical="center" wrapText="1"/>
    </xf>
    <xf numFmtId="0" fontId="23" fillId="0" borderId="51" xfId="0" applyFont="1" applyBorder="1" applyAlignment="1">
      <alignment horizontal="center" vertical="center" wrapText="1"/>
    </xf>
    <xf numFmtId="0" fontId="23" fillId="0" borderId="19" xfId="0" applyFont="1" applyFill="1" applyBorder="1" applyAlignment="1">
      <alignment horizontal="center" vertical="center" wrapText="1"/>
    </xf>
    <xf numFmtId="0" fontId="50" fillId="0" borderId="19" xfId="0" quotePrefix="1" applyFont="1" applyFill="1" applyBorder="1" applyAlignment="1">
      <alignment horizontal="right" vertical="center" wrapText="1" indent="1"/>
    </xf>
    <xf numFmtId="0" fontId="87" fillId="0" borderId="0" xfId="0" applyFont="1" applyFill="1" applyBorder="1" applyAlignment="1">
      <alignment horizontal="center" vertical="center"/>
    </xf>
    <xf numFmtId="0" fontId="29" fillId="0" borderId="0" xfId="0" applyFont="1" applyFill="1" applyBorder="1" applyAlignment="1">
      <alignment horizontal="left" vertical="center" wrapText="1"/>
    </xf>
    <xf numFmtId="41" fontId="29" fillId="0" borderId="0" xfId="1" applyNumberFormat="1" applyFont="1" applyFill="1" applyBorder="1" applyAlignment="1">
      <alignment horizontal="right" vertical="center"/>
    </xf>
    <xf numFmtId="0" fontId="16" fillId="0" borderId="0" xfId="0" applyFont="1" applyFill="1" applyBorder="1">
      <alignment vertical="center"/>
    </xf>
    <xf numFmtId="0" fontId="87" fillId="0" borderId="0" xfId="0" applyFont="1" applyFill="1" applyBorder="1" applyAlignment="1">
      <alignment horizontal="left" vertical="center"/>
    </xf>
    <xf numFmtId="0" fontId="13" fillId="0" borderId="0" xfId="0" applyFont="1" applyFill="1" applyBorder="1" applyAlignment="1">
      <alignment horizontal="left" vertical="center"/>
    </xf>
    <xf numFmtId="41" fontId="13" fillId="0" borderId="0" xfId="1" applyNumberFormat="1" applyFont="1" applyFill="1" applyBorder="1" applyAlignment="1">
      <alignment horizontal="right" vertical="center"/>
    </xf>
    <xf numFmtId="41" fontId="13" fillId="0" borderId="0" xfId="0" applyNumberFormat="1" applyFont="1" applyFill="1" applyBorder="1" applyAlignment="1">
      <alignment horizontal="right" vertical="center"/>
    </xf>
    <xf numFmtId="184" fontId="13" fillId="0" borderId="0" xfId="2" applyNumberFormat="1" applyFont="1" applyFill="1" applyBorder="1" applyAlignment="1">
      <alignment horizontal="right" vertical="center"/>
    </xf>
    <xf numFmtId="41" fontId="29" fillId="0" borderId="0" xfId="0" applyNumberFormat="1" applyFont="1" applyFill="1" applyBorder="1" applyAlignment="1">
      <alignment horizontal="right" vertical="center"/>
    </xf>
    <xf numFmtId="184" fontId="29" fillId="0" borderId="0" xfId="2" applyNumberFormat="1" applyFont="1" applyFill="1" applyBorder="1" applyAlignment="1">
      <alignment horizontal="right" vertical="center"/>
    </xf>
    <xf numFmtId="0" fontId="15" fillId="0" borderId="0" xfId="0" applyFont="1" applyFill="1" applyBorder="1" applyAlignment="1">
      <alignment horizontal="left" vertical="center"/>
    </xf>
    <xf numFmtId="0" fontId="15" fillId="0" borderId="0" xfId="0" applyFont="1" applyFill="1" applyBorder="1" applyAlignment="1">
      <alignment horizontal="right" vertical="center"/>
    </xf>
    <xf numFmtId="0" fontId="40" fillId="0" borderId="131" xfId="0" applyNumberFormat="1" applyFont="1" applyFill="1" applyBorder="1" applyAlignment="1">
      <alignment horizontal="left"/>
    </xf>
    <xf numFmtId="0" fontId="39" fillId="0" borderId="132" xfId="0" applyNumberFormat="1" applyFont="1" applyFill="1" applyBorder="1" applyAlignment="1">
      <alignment horizontal="right"/>
    </xf>
    <xf numFmtId="178" fontId="13" fillId="0" borderId="132" xfId="0" applyNumberFormat="1" applyFont="1" applyFill="1" applyBorder="1" applyAlignment="1">
      <alignment horizontal="right" vertical="center"/>
    </xf>
    <xf numFmtId="178" fontId="13" fillId="0" borderId="132" xfId="0" applyNumberFormat="1" applyFont="1" applyFill="1" applyBorder="1" applyAlignment="1">
      <alignment horizontal="center" vertical="center"/>
    </xf>
    <xf numFmtId="178" fontId="13" fillId="0" borderId="133" xfId="0" applyNumberFormat="1" applyFont="1" applyFill="1" applyBorder="1" applyAlignment="1">
      <alignment horizontal="right" vertical="center"/>
    </xf>
    <xf numFmtId="178" fontId="13" fillId="0" borderId="131" xfId="0" applyNumberFormat="1" applyFont="1" applyFill="1" applyBorder="1" applyAlignment="1">
      <alignment horizontal="center" vertical="center"/>
    </xf>
    <xf numFmtId="178" fontId="13" fillId="0" borderId="133" xfId="0" applyNumberFormat="1" applyFont="1" applyFill="1" applyBorder="1" applyAlignment="1">
      <alignment horizontal="center" vertical="center"/>
    </xf>
    <xf numFmtId="178" fontId="13" fillId="0" borderId="0" xfId="0" applyNumberFormat="1" applyFont="1" applyFill="1" applyBorder="1" applyAlignment="1">
      <alignment horizontal="right" vertical="center"/>
    </xf>
    <xf numFmtId="178" fontId="13" fillId="0" borderId="0" xfId="0" applyNumberFormat="1" applyFont="1" applyFill="1" applyBorder="1" applyAlignment="1">
      <alignment horizontal="center" vertical="center"/>
    </xf>
    <xf numFmtId="178" fontId="13" fillId="0" borderId="43" xfId="0" applyNumberFormat="1" applyFont="1" applyFill="1" applyBorder="1" applyAlignment="1">
      <alignment horizontal="right" vertical="center"/>
    </xf>
    <xf numFmtId="178" fontId="13" fillId="0" borderId="135" xfId="0" applyNumberFormat="1" applyFont="1" applyFill="1" applyBorder="1" applyAlignment="1">
      <alignment horizontal="center" vertical="center"/>
    </xf>
    <xf numFmtId="178" fontId="13" fillId="0" borderId="43" xfId="0" applyNumberFormat="1" applyFont="1" applyFill="1" applyBorder="1" applyAlignment="1">
      <alignment horizontal="center" vertical="center"/>
    </xf>
    <xf numFmtId="0" fontId="40" fillId="0" borderId="0" xfId="0" applyNumberFormat="1" applyFont="1" applyFill="1" applyBorder="1" applyAlignment="1">
      <alignment horizontal="left"/>
    </xf>
    <xf numFmtId="178" fontId="13" fillId="0" borderId="70" xfId="0" applyNumberFormat="1" applyFont="1" applyFill="1" applyBorder="1" applyAlignment="1">
      <alignment horizontal="right" vertical="center"/>
    </xf>
    <xf numFmtId="178" fontId="13" fillId="0" borderId="70" xfId="0" applyNumberFormat="1" applyFont="1" applyFill="1" applyBorder="1" applyAlignment="1">
      <alignment horizontal="center" vertical="center"/>
    </xf>
    <xf numFmtId="0" fontId="40" fillId="0" borderId="120" xfId="0" applyNumberFormat="1" applyFont="1" applyFill="1" applyBorder="1" applyAlignment="1">
      <alignment horizontal="left"/>
    </xf>
    <xf numFmtId="178" fontId="13" fillId="0" borderId="102" xfId="0" applyNumberFormat="1" applyFont="1" applyFill="1" applyBorder="1" applyAlignment="1">
      <alignment horizontal="right" vertical="center"/>
    </xf>
    <xf numFmtId="178" fontId="13" fillId="0" borderId="102" xfId="0" applyNumberFormat="1" applyFont="1" applyFill="1" applyBorder="1" applyAlignment="1">
      <alignment horizontal="center" vertical="center"/>
    </xf>
    <xf numFmtId="0" fontId="108" fillId="0" borderId="0" xfId="0" applyFont="1" applyAlignment="1">
      <alignment horizontal="center" vertical="center"/>
    </xf>
    <xf numFmtId="0" fontId="108" fillId="0" borderId="70" xfId="0" applyFont="1" applyBorder="1" applyAlignment="1">
      <alignment horizontal="center" vertical="center"/>
    </xf>
    <xf numFmtId="0" fontId="40" fillId="0" borderId="106" xfId="0" applyNumberFormat="1" applyFont="1" applyFill="1" applyBorder="1" applyAlignment="1">
      <alignment horizontal="left"/>
    </xf>
    <xf numFmtId="0" fontId="23" fillId="5" borderId="43" xfId="0" applyFont="1" applyFill="1" applyBorder="1" applyAlignment="1">
      <alignment horizontal="left" vertical="center"/>
    </xf>
    <xf numFmtId="0" fontId="13" fillId="0" borderId="112" xfId="0" applyFont="1" applyFill="1" applyBorder="1" applyAlignment="1">
      <alignment horizontal="left" vertical="center"/>
    </xf>
    <xf numFmtId="0" fontId="13" fillId="0" borderId="113" xfId="0" applyFont="1" applyFill="1" applyBorder="1" applyAlignment="1">
      <alignment vertical="center"/>
    </xf>
    <xf numFmtId="0" fontId="13" fillId="0" borderId="113" xfId="0" applyFont="1" applyFill="1" applyBorder="1" applyAlignment="1">
      <alignment horizontal="center" vertical="center"/>
    </xf>
    <xf numFmtId="0" fontId="13" fillId="0" borderId="113" xfId="0" quotePrefix="1" applyNumberFormat="1" applyFont="1" applyFill="1" applyBorder="1" applyAlignment="1">
      <alignment horizontal="center" vertical="center"/>
    </xf>
    <xf numFmtId="185" fontId="13" fillId="0" borderId="113" xfId="0" applyNumberFormat="1" applyFont="1" applyFill="1" applyBorder="1" applyAlignment="1">
      <alignment horizontal="center" vertical="center"/>
    </xf>
    <xf numFmtId="180" fontId="13" fillId="0" borderId="113" xfId="0" applyNumberFormat="1" applyFont="1" applyFill="1" applyBorder="1" applyAlignment="1">
      <alignment horizontal="right" vertical="center"/>
    </xf>
    <xf numFmtId="184" fontId="13" fillId="0" borderId="113" xfId="0" applyNumberFormat="1" applyFont="1" applyFill="1" applyBorder="1" applyAlignment="1">
      <alignment horizontal="right" vertical="center"/>
    </xf>
    <xf numFmtId="0" fontId="13" fillId="0" borderId="113" xfId="0" applyFont="1" applyFill="1" applyBorder="1" applyAlignment="1">
      <alignment horizontal="right" vertical="center"/>
    </xf>
    <xf numFmtId="184" fontId="28" fillId="0" borderId="113" xfId="0" applyNumberFormat="1" applyFont="1" applyFill="1" applyBorder="1" applyAlignment="1">
      <alignment horizontal="right" vertical="center"/>
    </xf>
    <xf numFmtId="185" fontId="13" fillId="0" borderId="113" xfId="0" applyNumberFormat="1" applyFont="1" applyFill="1" applyBorder="1" applyAlignment="1">
      <alignment horizontal="right" vertical="center"/>
    </xf>
    <xf numFmtId="185" fontId="13" fillId="0" borderId="114" xfId="0" applyNumberFormat="1" applyFont="1" applyFill="1" applyBorder="1" applyAlignment="1">
      <alignment horizontal="right" vertical="center"/>
    </xf>
    <xf numFmtId="180" fontId="40" fillId="0" borderId="0" xfId="0" applyNumberFormat="1" applyFont="1" applyFill="1" applyBorder="1" applyAlignment="1">
      <alignment horizontal="right"/>
    </xf>
    <xf numFmtId="176" fontId="13" fillId="0" borderId="0" xfId="0" applyNumberFormat="1" applyFont="1" applyFill="1" applyBorder="1" applyAlignment="1">
      <alignment horizontal="center" vertical="center"/>
    </xf>
    <xf numFmtId="176" fontId="13" fillId="0" borderId="43" xfId="0" applyNumberFormat="1" applyFont="1" applyFill="1" applyBorder="1" applyAlignment="1">
      <alignment vertical="center"/>
    </xf>
    <xf numFmtId="180" fontId="13" fillId="0" borderId="135" xfId="0" applyNumberFormat="1" applyFont="1" applyFill="1" applyBorder="1" applyAlignment="1">
      <alignment vertical="center"/>
    </xf>
    <xf numFmtId="180" fontId="13" fillId="0" borderId="43" xfId="0" applyNumberFormat="1" applyFont="1" applyFill="1" applyBorder="1" applyAlignment="1">
      <alignment vertical="center"/>
    </xf>
    <xf numFmtId="180" fontId="13" fillId="0" borderId="0" xfId="0" applyNumberFormat="1" applyFont="1" applyFill="1" applyBorder="1" applyAlignment="1">
      <alignment vertical="center"/>
    </xf>
    <xf numFmtId="176" fontId="13" fillId="0" borderId="70" xfId="0" applyNumberFormat="1" applyFont="1" applyFill="1" applyBorder="1" applyAlignment="1">
      <alignment vertical="center"/>
    </xf>
    <xf numFmtId="180" fontId="13" fillId="0" borderId="70" xfId="0" applyNumberFormat="1" applyFont="1" applyFill="1" applyBorder="1" applyAlignment="1">
      <alignment vertical="center"/>
    </xf>
    <xf numFmtId="0" fontId="39" fillId="0" borderId="117" xfId="0" applyNumberFormat="1" applyFont="1" applyFill="1" applyBorder="1" applyAlignment="1">
      <alignment horizontal="right"/>
    </xf>
    <xf numFmtId="176" fontId="13" fillId="0" borderId="117" xfId="0" applyNumberFormat="1" applyFont="1" applyFill="1" applyBorder="1" applyAlignment="1">
      <alignment vertical="center"/>
    </xf>
    <xf numFmtId="176" fontId="13" fillId="0" borderId="117" xfId="0" applyNumberFormat="1" applyFont="1" applyFill="1" applyBorder="1" applyAlignment="1">
      <alignment horizontal="center" vertical="center"/>
    </xf>
    <xf numFmtId="176" fontId="13" fillId="0" borderId="121" xfId="0" applyNumberFormat="1" applyFont="1" applyFill="1" applyBorder="1" applyAlignment="1">
      <alignment vertical="center"/>
    </xf>
    <xf numFmtId="180" fontId="13" fillId="0" borderId="117" xfId="0" applyNumberFormat="1" applyFont="1" applyFill="1" applyBorder="1" applyAlignment="1">
      <alignment vertical="center"/>
    </xf>
    <xf numFmtId="180" fontId="40" fillId="0" borderId="117" xfId="0" applyNumberFormat="1" applyFont="1" applyFill="1" applyBorder="1" applyAlignment="1">
      <alignment horizontal="right"/>
    </xf>
    <xf numFmtId="180" fontId="13" fillId="0" borderId="121" xfId="0" applyNumberFormat="1" applyFont="1" applyFill="1" applyBorder="1" applyAlignment="1">
      <alignment vertical="center"/>
    </xf>
    <xf numFmtId="176" fontId="40" fillId="0" borderId="132" xfId="0" quotePrefix="1" applyNumberFormat="1" applyFont="1" applyFill="1" applyBorder="1" applyAlignment="1">
      <alignment horizontal="right"/>
    </xf>
    <xf numFmtId="176" fontId="40" fillId="0" borderId="132" xfId="0" quotePrefix="1" applyNumberFormat="1" applyFont="1" applyFill="1" applyBorder="1" applyAlignment="1">
      <alignment horizontal="center" vertical="center"/>
    </xf>
    <xf numFmtId="176" fontId="40" fillId="0" borderId="133" xfId="0" quotePrefix="1" applyNumberFormat="1" applyFont="1" applyFill="1" applyBorder="1" applyAlignment="1">
      <alignment horizontal="right"/>
    </xf>
    <xf numFmtId="180" fontId="40" fillId="0" borderId="131" xfId="0" quotePrefix="1" applyNumberFormat="1" applyFont="1" applyFill="1" applyBorder="1" applyAlignment="1">
      <alignment horizontal="right"/>
    </xf>
    <xf numFmtId="180" fontId="40" fillId="0" borderId="132" xfId="0" applyNumberFormat="1" applyFont="1" applyFill="1" applyBorder="1" applyAlignment="1">
      <alignment horizontal="right"/>
    </xf>
    <xf numFmtId="180" fontId="40" fillId="0" borderId="132" xfId="0" quotePrefix="1" applyNumberFormat="1" applyFont="1" applyFill="1" applyBorder="1" applyAlignment="1">
      <alignment horizontal="right"/>
    </xf>
    <xf numFmtId="180" fontId="40" fillId="0" borderId="133" xfId="0" quotePrefix="1" applyNumberFormat="1" applyFont="1" applyFill="1" applyBorder="1" applyAlignment="1">
      <alignment horizontal="right"/>
    </xf>
    <xf numFmtId="0" fontId="40" fillId="0" borderId="84" xfId="0" applyNumberFormat="1" applyFont="1" applyFill="1" applyBorder="1" applyAlignment="1">
      <alignment horizontal="left"/>
    </xf>
    <xf numFmtId="0" fontId="40" fillId="0" borderId="68" xfId="0" applyNumberFormat="1" applyFont="1" applyFill="1" applyBorder="1" applyAlignment="1">
      <alignment horizontal="right"/>
    </xf>
    <xf numFmtId="176" fontId="40" fillId="0" borderId="68" xfId="0" quotePrefix="1" applyNumberFormat="1" applyFont="1" applyFill="1" applyBorder="1" applyAlignment="1">
      <alignment horizontal="right"/>
    </xf>
    <xf numFmtId="176" fontId="40" fillId="0" borderId="68" xfId="0" quotePrefix="1" applyNumberFormat="1" applyFont="1" applyFill="1" applyBorder="1" applyAlignment="1">
      <alignment horizontal="center" vertical="center"/>
    </xf>
    <xf numFmtId="176" fontId="40" fillId="0" borderId="69" xfId="0" quotePrefix="1" applyNumberFormat="1" applyFont="1" applyFill="1" applyBorder="1" applyAlignment="1">
      <alignment horizontal="right"/>
    </xf>
    <xf numFmtId="180" fontId="40" fillId="0" borderId="71" xfId="0" quotePrefix="1" applyNumberFormat="1" applyFont="1" applyFill="1" applyBorder="1" applyAlignment="1">
      <alignment horizontal="right"/>
    </xf>
    <xf numFmtId="0" fontId="40" fillId="0" borderId="71" xfId="0" applyFont="1" applyFill="1" applyBorder="1" applyAlignment="1">
      <alignment horizontal="right"/>
    </xf>
    <xf numFmtId="180" fontId="40" fillId="0" borderId="100" xfId="0" quotePrefix="1" applyNumberFormat="1" applyFont="1" applyFill="1" applyBorder="1" applyAlignment="1">
      <alignment horizontal="right"/>
    </xf>
    <xf numFmtId="0" fontId="40" fillId="0" borderId="0" xfId="0" applyNumberFormat="1" applyFont="1" applyFill="1" applyBorder="1" applyAlignment="1">
      <alignment horizontal="right"/>
    </xf>
    <xf numFmtId="180" fontId="40" fillId="0" borderId="72" xfId="0" applyNumberFormat="1" applyFont="1" applyFill="1" applyBorder="1" applyAlignment="1">
      <alignment horizontal="right"/>
    </xf>
    <xf numFmtId="0" fontId="40" fillId="0" borderId="72" xfId="0" applyFont="1" applyFill="1" applyBorder="1" applyAlignment="1">
      <alignment horizontal="right"/>
    </xf>
    <xf numFmtId="180" fontId="40" fillId="0" borderId="101" xfId="0" applyNumberFormat="1" applyFont="1" applyFill="1" applyBorder="1" applyAlignment="1">
      <alignment horizontal="right"/>
    </xf>
    <xf numFmtId="180" fontId="40" fillId="0" borderId="70" xfId="0" applyNumberFormat="1" applyFont="1" applyFill="1" applyBorder="1" applyAlignment="1">
      <alignment horizontal="right"/>
    </xf>
    <xf numFmtId="0" fontId="40" fillId="0" borderId="117" xfId="0" applyNumberFormat="1" applyFont="1" applyFill="1" applyBorder="1" applyAlignment="1">
      <alignment horizontal="right"/>
    </xf>
    <xf numFmtId="180" fontId="40" fillId="0" borderId="139" xfId="0" applyNumberFormat="1" applyFont="1" applyFill="1" applyBorder="1" applyAlignment="1">
      <alignment horizontal="right"/>
    </xf>
    <xf numFmtId="0" fontId="40" fillId="0" borderId="139" xfId="0" applyFont="1" applyFill="1" applyBorder="1" applyAlignment="1">
      <alignment horizontal="right"/>
    </xf>
    <xf numFmtId="180" fontId="40" fillId="0" borderId="121" xfId="0" applyNumberFormat="1" applyFont="1" applyFill="1" applyBorder="1" applyAlignment="1">
      <alignment horizontal="right"/>
    </xf>
    <xf numFmtId="176" fontId="63" fillId="0" borderId="46" xfId="0" applyNumberFormat="1" applyFont="1" applyFill="1" applyBorder="1" applyAlignment="1">
      <alignment horizontal="right" vertical="center"/>
    </xf>
    <xf numFmtId="184" fontId="72" fillId="0" borderId="66" xfId="0" applyNumberFormat="1" applyFont="1" applyFill="1" applyBorder="1" applyAlignment="1">
      <alignment horizontal="right" vertical="center"/>
    </xf>
    <xf numFmtId="0" fontId="49" fillId="0" borderId="0" xfId="0" applyFont="1" applyFill="1">
      <alignment vertical="center"/>
    </xf>
    <xf numFmtId="0" fontId="38" fillId="30" borderId="163" xfId="0" applyFont="1" applyFill="1" applyBorder="1">
      <alignment vertical="center"/>
    </xf>
    <xf numFmtId="0" fontId="38" fillId="30" borderId="164" xfId="0" applyFont="1" applyFill="1" applyBorder="1">
      <alignment vertical="center"/>
    </xf>
    <xf numFmtId="193" fontId="38" fillId="30" borderId="163" xfId="0" applyNumberFormat="1" applyFont="1" applyFill="1" applyBorder="1" applyAlignment="1">
      <alignment horizontal="right" vertical="center"/>
    </xf>
    <xf numFmtId="193" fontId="38" fillId="30" borderId="0" xfId="0" applyNumberFormat="1" applyFont="1" applyFill="1" applyBorder="1" applyAlignment="1">
      <alignment horizontal="right" vertical="center"/>
    </xf>
    <xf numFmtId="193" fontId="38" fillId="30" borderId="164" xfId="0" applyNumberFormat="1" applyFont="1" applyFill="1" applyBorder="1" applyAlignment="1">
      <alignment horizontal="right" vertical="center"/>
    </xf>
    <xf numFmtId="0" fontId="8" fillId="5" borderId="0" xfId="0" applyFont="1" applyFill="1" applyBorder="1">
      <alignment vertical="center"/>
    </xf>
    <xf numFmtId="0" fontId="110" fillId="0" borderId="0" xfId="0" applyFont="1" applyFill="1" applyAlignment="1"/>
    <xf numFmtId="0" fontId="43" fillId="0" borderId="0" xfId="0" applyFont="1" applyFill="1">
      <alignment vertical="center"/>
    </xf>
    <xf numFmtId="0" fontId="16" fillId="14" borderId="0" xfId="0" applyFont="1" applyFill="1">
      <alignment vertical="center"/>
    </xf>
    <xf numFmtId="0" fontId="16" fillId="14" borderId="0" xfId="0" applyFont="1" applyFill="1" applyAlignment="1">
      <alignment horizontal="right" vertical="center"/>
    </xf>
    <xf numFmtId="0" fontId="16" fillId="14" borderId="0" xfId="0" applyFont="1" applyFill="1" applyAlignment="1">
      <alignment horizontal="center" vertical="center"/>
    </xf>
    <xf numFmtId="41" fontId="16" fillId="0" borderId="0" xfId="4" applyFont="1">
      <alignment vertical="center"/>
    </xf>
    <xf numFmtId="41" fontId="16" fillId="5" borderId="0" xfId="4" applyFont="1" applyFill="1">
      <alignment vertical="center"/>
    </xf>
    <xf numFmtId="41" fontId="44" fillId="0" borderId="0" xfId="4" applyFont="1">
      <alignment vertical="center"/>
    </xf>
    <xf numFmtId="41" fontId="44" fillId="5" borderId="0" xfId="4" applyFont="1" applyFill="1">
      <alignment vertical="center"/>
    </xf>
    <xf numFmtId="0" fontId="16" fillId="31" borderId="0" xfId="0" applyFont="1" applyFill="1">
      <alignment vertical="center"/>
    </xf>
    <xf numFmtId="0" fontId="111" fillId="32" borderId="204" xfId="0" applyFont="1" applyFill="1" applyBorder="1" applyAlignment="1">
      <alignment horizontal="center" vertical="center" wrapText="1"/>
    </xf>
    <xf numFmtId="0" fontId="111" fillId="0" borderId="204" xfId="0" applyFont="1" applyBorder="1" applyAlignment="1">
      <alignment vertical="center" wrapText="1"/>
    </xf>
    <xf numFmtId="0" fontId="111" fillId="0" borderId="204" xfId="0" applyFont="1" applyBorder="1" applyAlignment="1">
      <alignment horizontal="right" vertical="center" wrapText="1"/>
    </xf>
    <xf numFmtId="196" fontId="111" fillId="0" borderId="204" xfId="0" applyNumberFormat="1" applyFont="1" applyBorder="1" applyAlignment="1">
      <alignment horizontal="right" vertical="center" wrapText="1"/>
    </xf>
    <xf numFmtId="0" fontId="111" fillId="0" borderId="204" xfId="0" applyFont="1" applyBorder="1" applyAlignment="1">
      <alignment horizontal="left" vertical="center" wrapText="1" indent="1"/>
    </xf>
    <xf numFmtId="0" fontId="111" fillId="0" borderId="204" xfId="0" applyFont="1" applyBorder="1" applyAlignment="1">
      <alignment horizontal="left" vertical="center" wrapText="1" indent="2"/>
    </xf>
    <xf numFmtId="0" fontId="0" fillId="5" borderId="0" xfId="0" applyFill="1">
      <alignment vertical="center"/>
    </xf>
    <xf numFmtId="0" fontId="112" fillId="0" borderId="0" xfId="0" applyFont="1">
      <alignment vertical="center"/>
    </xf>
    <xf numFmtId="0" fontId="20" fillId="10" borderId="0" xfId="0" applyFont="1" applyFill="1">
      <alignment vertical="center"/>
    </xf>
    <xf numFmtId="0" fontId="21" fillId="10" borderId="0" xfId="0" applyFont="1" applyFill="1">
      <alignment vertical="center"/>
    </xf>
    <xf numFmtId="0" fontId="22" fillId="10" borderId="0" xfId="0" applyFont="1" applyFill="1" applyAlignment="1">
      <alignment horizontal="right" vertical="center"/>
    </xf>
    <xf numFmtId="0" fontId="11" fillId="4" borderId="0" xfId="0" applyFont="1" applyFill="1">
      <alignment vertical="center"/>
    </xf>
    <xf numFmtId="14" fontId="114" fillId="4" borderId="206" xfId="0" applyNumberFormat="1" applyFont="1" applyFill="1" applyBorder="1" applyAlignment="1">
      <alignment horizontal="center" vertical="center"/>
    </xf>
    <xf numFmtId="14" fontId="114" fillId="4" borderId="208" xfId="0" applyNumberFormat="1" applyFont="1" applyFill="1" applyBorder="1" applyAlignment="1">
      <alignment horizontal="center" vertical="center"/>
    </xf>
    <xf numFmtId="14" fontId="114" fillId="4" borderId="0" xfId="0" applyNumberFormat="1" applyFont="1" applyFill="1" applyBorder="1" applyAlignment="1">
      <alignment horizontal="center" vertical="center"/>
    </xf>
    <xf numFmtId="14" fontId="114" fillId="4" borderId="209" xfId="0" applyNumberFormat="1" applyFont="1" applyFill="1" applyBorder="1" applyAlignment="1">
      <alignment horizontal="center" vertical="center"/>
    </xf>
    <xf numFmtId="0" fontId="117" fillId="0" borderId="0" xfId="0" applyFont="1">
      <alignment vertical="center"/>
    </xf>
    <xf numFmtId="0" fontId="118" fillId="0" borderId="206" xfId="0" applyFont="1" applyFill="1" applyBorder="1" applyAlignment="1">
      <alignment horizontal="left" vertical="top" wrapText="1"/>
    </xf>
    <xf numFmtId="193" fontId="118" fillId="0" borderId="206" xfId="0" applyNumberFormat="1" applyFont="1" applyFill="1" applyBorder="1" applyAlignment="1">
      <alignment horizontal="right" vertical="center"/>
    </xf>
    <xf numFmtId="0" fontId="119" fillId="0" borderId="206" xfId="0" applyFont="1" applyFill="1" applyBorder="1" applyAlignment="1">
      <alignment horizontal="left" vertical="top" wrapText="1" indent="1"/>
    </xf>
    <xf numFmtId="193" fontId="119" fillId="0" borderId="206" xfId="0" applyNumberFormat="1" applyFont="1" applyFill="1" applyBorder="1" applyAlignment="1">
      <alignment horizontal="right" vertical="center"/>
    </xf>
    <xf numFmtId="0" fontId="119" fillId="0" borderId="206" xfId="0" applyFont="1" applyFill="1" applyBorder="1" applyAlignment="1">
      <alignment horizontal="left" vertical="top" wrapText="1" indent="2"/>
    </xf>
    <xf numFmtId="0" fontId="119" fillId="5" borderId="206" xfId="0" applyFont="1" applyFill="1" applyBorder="1" applyAlignment="1">
      <alignment horizontal="left" vertical="top" wrapText="1" indent="2"/>
    </xf>
    <xf numFmtId="193" fontId="120" fillId="0" borderId="206" xfId="0" applyNumberFormat="1" applyFont="1" applyFill="1" applyBorder="1" applyAlignment="1">
      <alignment horizontal="left" vertical="center"/>
    </xf>
    <xf numFmtId="193" fontId="119" fillId="0" borderId="206" xfId="0" applyNumberFormat="1" applyFont="1" applyFill="1" applyBorder="1" applyAlignment="1">
      <alignment horizontal="left" vertical="center"/>
    </xf>
    <xf numFmtId="0" fontId="118" fillId="0" borderId="206" xfId="0" applyFont="1" applyFill="1" applyBorder="1" applyAlignment="1">
      <alignment horizontal="left" vertical="top" wrapText="1" indent="1"/>
    </xf>
    <xf numFmtId="0" fontId="114" fillId="5" borderId="0" xfId="0" applyFont="1" applyFill="1">
      <alignment vertical="center"/>
    </xf>
    <xf numFmtId="0" fontId="115" fillId="5" borderId="0" xfId="0" applyFont="1" applyFill="1" applyAlignment="1"/>
    <xf numFmtId="0" fontId="114" fillId="5" borderId="0" xfId="0" applyFont="1" applyFill="1" applyAlignment="1">
      <alignment vertical="center"/>
    </xf>
    <xf numFmtId="0" fontId="112" fillId="5" borderId="0" xfId="0" applyFont="1" applyFill="1" applyAlignment="1">
      <alignment vertical="center"/>
    </xf>
    <xf numFmtId="0" fontId="116" fillId="5" borderId="0" xfId="0" applyFont="1" applyFill="1" applyAlignment="1">
      <alignment horizontal="right" vertical="center"/>
    </xf>
    <xf numFmtId="0" fontId="113" fillId="5" borderId="0" xfId="0" applyFont="1" applyFill="1">
      <alignment vertical="center"/>
    </xf>
    <xf numFmtId="0" fontId="112" fillId="5" borderId="0" xfId="0" applyFont="1" applyFill="1">
      <alignment vertical="center"/>
    </xf>
    <xf numFmtId="0" fontId="117" fillId="5" borderId="0" xfId="0" applyFont="1" applyFill="1">
      <alignment vertical="center"/>
    </xf>
    <xf numFmtId="3" fontId="112" fillId="5" borderId="0" xfId="0" applyNumberFormat="1" applyFont="1" applyFill="1">
      <alignment vertical="center"/>
    </xf>
    <xf numFmtId="193" fontId="117" fillId="5" borderId="0" xfId="0" applyNumberFormat="1" applyFont="1" applyFill="1">
      <alignment vertical="center"/>
    </xf>
    <xf numFmtId="193" fontId="112" fillId="5" borderId="0" xfId="0" applyNumberFormat="1" applyFont="1" applyFill="1">
      <alignment vertical="center"/>
    </xf>
    <xf numFmtId="193" fontId="0" fillId="5" borderId="0" xfId="0" applyNumberFormat="1" applyFill="1">
      <alignment vertical="center"/>
    </xf>
    <xf numFmtId="0" fontId="118" fillId="0" borderId="206" xfId="0" applyFont="1" applyBorder="1" applyAlignment="1">
      <alignment horizontal="left" vertical="center"/>
    </xf>
    <xf numFmtId="0" fontId="116" fillId="19" borderId="206" xfId="0" applyFont="1" applyFill="1" applyBorder="1" applyAlignment="1">
      <alignment horizontal="left" vertical="center" indent="1"/>
    </xf>
    <xf numFmtId="193" fontId="118" fillId="19" borderId="206" xfId="0" applyNumberFormat="1" applyFont="1" applyFill="1" applyBorder="1" applyAlignment="1">
      <alignment horizontal="right" vertical="center"/>
    </xf>
    <xf numFmtId="193" fontId="119" fillId="19" borderId="206" xfId="0" applyNumberFormat="1" applyFont="1" applyFill="1" applyBorder="1" applyAlignment="1">
      <alignment horizontal="left" vertical="center"/>
    </xf>
    <xf numFmtId="193" fontId="119" fillId="19" borderId="206" xfId="0" applyNumberFormat="1" applyFont="1" applyFill="1" applyBorder="1" applyAlignment="1">
      <alignment horizontal="right" vertical="center"/>
    </xf>
    <xf numFmtId="0" fontId="121" fillId="0" borderId="206" xfId="0" applyFont="1" applyFill="1" applyBorder="1" applyAlignment="1">
      <alignment horizontal="left" vertical="center" indent="2"/>
    </xf>
    <xf numFmtId="0" fontId="116" fillId="0" borderId="206" xfId="0" applyFont="1" applyFill="1" applyBorder="1" applyAlignment="1">
      <alignment horizontal="left" vertical="center" indent="1"/>
    </xf>
    <xf numFmtId="0" fontId="116" fillId="33" borderId="206" xfId="0" applyFont="1" applyFill="1" applyBorder="1" applyAlignment="1">
      <alignment horizontal="left" vertical="center" indent="1"/>
    </xf>
    <xf numFmtId="193" fontId="118" fillId="33" borderId="206" xfId="0" applyNumberFormat="1" applyFont="1" applyFill="1" applyBorder="1" applyAlignment="1">
      <alignment horizontal="right" vertical="center"/>
    </xf>
    <xf numFmtId="193" fontId="119" fillId="33" borderId="206" xfId="0" applyNumberFormat="1" applyFont="1" applyFill="1" applyBorder="1" applyAlignment="1">
      <alignment horizontal="left" vertical="center"/>
    </xf>
    <xf numFmtId="193" fontId="119" fillId="33" borderId="206" xfId="0" applyNumberFormat="1" applyFont="1" applyFill="1" applyBorder="1" applyAlignment="1">
      <alignment horizontal="right" vertical="center"/>
    </xf>
    <xf numFmtId="0" fontId="118" fillId="14" borderId="206" xfId="0" applyFont="1" applyFill="1" applyBorder="1" applyAlignment="1">
      <alignment horizontal="center" vertical="top" wrapText="1"/>
    </xf>
    <xf numFmtId="193" fontId="118" fillId="14" borderId="206" xfId="0" applyNumberFormat="1" applyFont="1" applyFill="1" applyBorder="1" applyAlignment="1">
      <alignment horizontal="right" vertical="center"/>
    </xf>
    <xf numFmtId="0" fontId="118" fillId="0" borderId="0" xfId="0" applyFont="1" applyFill="1" applyBorder="1" applyAlignment="1">
      <alignment vertical="top" wrapText="1"/>
    </xf>
    <xf numFmtId="193" fontId="118" fillId="0" borderId="0" xfId="0" applyNumberFormat="1" applyFont="1" applyFill="1" applyBorder="1" applyAlignment="1">
      <alignment horizontal="right" vertical="center"/>
    </xf>
    <xf numFmtId="0" fontId="118" fillId="0" borderId="206" xfId="0" applyFont="1" applyBorder="1" applyAlignment="1">
      <alignment horizontal="left" vertical="top" wrapText="1"/>
    </xf>
    <xf numFmtId="0" fontId="121" fillId="34" borderId="206" xfId="0" applyFont="1" applyFill="1" applyBorder="1" applyAlignment="1">
      <alignment horizontal="left" vertical="center" indent="1"/>
    </xf>
    <xf numFmtId="193" fontId="119" fillId="34" borderId="206" xfId="0" applyNumberFormat="1" applyFont="1" applyFill="1" applyBorder="1" applyAlignment="1">
      <alignment horizontal="right" vertical="center"/>
    </xf>
    <xf numFmtId="193" fontId="119" fillId="34" borderId="206" xfId="0" applyNumberFormat="1" applyFont="1" applyFill="1" applyBorder="1" applyAlignment="1">
      <alignment horizontal="left" vertical="center"/>
    </xf>
    <xf numFmtId="193" fontId="118" fillId="34" borderId="206" xfId="0" applyNumberFormat="1" applyFont="1" applyFill="1" applyBorder="1" applyAlignment="1">
      <alignment horizontal="right" vertical="center"/>
    </xf>
    <xf numFmtId="0" fontId="121" fillId="0" borderId="206" xfId="0" applyFont="1" applyFill="1" applyBorder="1" applyAlignment="1">
      <alignment horizontal="left" vertical="center" indent="1"/>
    </xf>
    <xf numFmtId="0" fontId="121" fillId="35" borderId="206" xfId="0" applyFont="1" applyFill="1" applyBorder="1" applyAlignment="1">
      <alignment horizontal="left" vertical="center" indent="1"/>
    </xf>
    <xf numFmtId="193" fontId="119" fillId="35" borderId="206" xfId="0" applyNumberFormat="1" applyFont="1" applyFill="1" applyBorder="1" applyAlignment="1">
      <alignment horizontal="right" vertical="center"/>
    </xf>
    <xf numFmtId="193" fontId="119" fillId="35" borderId="206" xfId="0" applyNumberFormat="1" applyFont="1" applyFill="1" applyBorder="1" applyAlignment="1">
      <alignment horizontal="left" vertical="center"/>
    </xf>
    <xf numFmtId="0" fontId="118" fillId="36" borderId="206" xfId="0" applyFont="1" applyFill="1" applyBorder="1" applyAlignment="1">
      <alignment horizontal="left" vertical="top" wrapText="1"/>
    </xf>
    <xf numFmtId="193" fontId="118" fillId="36" borderId="206" xfId="0" applyNumberFormat="1" applyFont="1" applyFill="1" applyBorder="1" applyAlignment="1">
      <alignment horizontal="right" vertical="center"/>
    </xf>
    <xf numFmtId="0" fontId="118" fillId="0" borderId="0" xfId="0" applyFont="1" applyFill="1" applyBorder="1" applyAlignment="1">
      <alignment horizontal="left" vertical="top" wrapText="1"/>
    </xf>
    <xf numFmtId="0" fontId="118" fillId="24" borderId="206" xfId="0" applyFont="1" applyFill="1" applyBorder="1" applyAlignment="1">
      <alignment horizontal="left" vertical="top" wrapText="1"/>
    </xf>
    <xf numFmtId="193" fontId="118" fillId="24" borderId="206" xfId="0" applyNumberFormat="1" applyFont="1" applyFill="1" applyBorder="1" applyAlignment="1">
      <alignment horizontal="right" vertical="center"/>
    </xf>
    <xf numFmtId="0" fontId="20" fillId="5" borderId="0" xfId="0" applyFont="1" applyFill="1">
      <alignment vertical="center"/>
    </xf>
    <xf numFmtId="0" fontId="11" fillId="5" borderId="0" xfId="0" applyFont="1" applyFill="1">
      <alignment vertical="center"/>
    </xf>
    <xf numFmtId="0" fontId="112" fillId="5" borderId="0" xfId="0" applyFont="1" applyFill="1" applyBorder="1">
      <alignment vertical="center"/>
    </xf>
    <xf numFmtId="193" fontId="112" fillId="5" borderId="0" xfId="0" applyNumberFormat="1" applyFont="1" applyFill="1" applyBorder="1">
      <alignment vertical="center"/>
    </xf>
    <xf numFmtId="0" fontId="112" fillId="5" borderId="0" xfId="0" applyFont="1" applyFill="1" applyAlignment="1">
      <alignment horizontal="center" vertical="center"/>
    </xf>
    <xf numFmtId="0" fontId="119" fillId="5" borderId="0" xfId="0" applyFont="1" applyFill="1" applyBorder="1" applyAlignment="1">
      <alignment horizontal="center" vertical="top" wrapText="1"/>
    </xf>
    <xf numFmtId="193" fontId="119" fillId="5" borderId="0" xfId="0" applyNumberFormat="1" applyFont="1" applyFill="1" applyBorder="1" applyAlignment="1">
      <alignment horizontal="center" vertical="center"/>
    </xf>
    <xf numFmtId="3" fontId="111" fillId="5" borderId="0" xfId="0" applyNumberFormat="1" applyFont="1" applyFill="1">
      <alignment vertical="center"/>
    </xf>
    <xf numFmtId="0" fontId="112" fillId="5" borderId="0" xfId="0" applyFont="1" applyFill="1" applyAlignment="1">
      <alignment horizontal="right" vertical="center"/>
    </xf>
    <xf numFmtId="0" fontId="118" fillId="5" borderId="0" xfId="0" applyFont="1" applyFill="1" applyBorder="1" applyAlignment="1">
      <alignment vertical="top" wrapText="1"/>
    </xf>
    <xf numFmtId="0" fontId="118" fillId="5" borderId="0" xfId="0" applyFont="1" applyFill="1" applyBorder="1" applyAlignment="1">
      <alignment horizontal="right" vertical="center"/>
    </xf>
    <xf numFmtId="0" fontId="117" fillId="5" borderId="0" xfId="0" applyFont="1" applyFill="1" applyBorder="1">
      <alignment vertical="center"/>
    </xf>
    <xf numFmtId="193" fontId="119" fillId="5" borderId="206" xfId="0" applyNumberFormat="1" applyFont="1" applyFill="1" applyBorder="1" applyAlignment="1">
      <alignment horizontal="left" vertical="center"/>
    </xf>
    <xf numFmtId="193" fontId="118" fillId="5" borderId="206" xfId="0" applyNumberFormat="1" applyFont="1" applyFill="1" applyBorder="1" applyAlignment="1">
      <alignment horizontal="right" vertical="center"/>
    </xf>
    <xf numFmtId="14" fontId="114" fillId="4" borderId="210" xfId="0" applyNumberFormat="1" applyFont="1" applyFill="1" applyBorder="1" applyAlignment="1">
      <alignment horizontal="center" vertical="center"/>
    </xf>
    <xf numFmtId="14" fontId="114" fillId="4" borderId="206" xfId="0" applyNumberFormat="1" applyFont="1" applyFill="1" applyBorder="1" applyAlignment="1">
      <alignment horizontal="center" vertical="center" shrinkToFit="1"/>
    </xf>
    <xf numFmtId="14" fontId="114" fillId="4" borderId="210" xfId="0" applyNumberFormat="1" applyFont="1" applyFill="1" applyBorder="1" applyAlignment="1">
      <alignment horizontal="center" vertical="center" shrinkToFit="1"/>
    </xf>
    <xf numFmtId="14" fontId="114" fillId="4" borderId="206" xfId="0" applyNumberFormat="1" applyFont="1" applyFill="1" applyBorder="1" applyAlignment="1">
      <alignment horizontal="centerContinuous" vertical="center"/>
    </xf>
    <xf numFmtId="14" fontId="114" fillId="4" borderId="208" xfId="0" applyNumberFormat="1" applyFont="1" applyFill="1" applyBorder="1" applyAlignment="1">
      <alignment horizontal="centerContinuous" vertical="center"/>
    </xf>
    <xf numFmtId="3" fontId="111" fillId="0" borderId="204" xfId="0" applyNumberFormat="1" applyFont="1" applyBorder="1" applyAlignment="1">
      <alignment vertical="center" wrapText="1"/>
    </xf>
    <xf numFmtId="196" fontId="23" fillId="0" borderId="0" xfId="5" applyNumberFormat="1" applyFont="1" applyFill="1" applyBorder="1">
      <alignment vertical="center"/>
    </xf>
    <xf numFmtId="0" fontId="122" fillId="0" borderId="0" xfId="5" applyFont="1" applyFill="1" applyBorder="1">
      <alignment vertical="center"/>
    </xf>
    <xf numFmtId="0" fontId="92" fillId="0" borderId="0" xfId="5" applyFont="1" applyFill="1" applyBorder="1" applyAlignment="1">
      <alignment horizontal="left" vertical="center"/>
    </xf>
    <xf numFmtId="184" fontId="92" fillId="0" borderId="0" xfId="6" applyNumberFormat="1" applyFont="1" applyFill="1" applyBorder="1">
      <alignment vertical="center"/>
    </xf>
    <xf numFmtId="0" fontId="122" fillId="0" borderId="0" xfId="5" applyFont="1" applyFill="1" applyBorder="1" applyAlignment="1">
      <alignment horizontal="left" vertical="center" indent="1"/>
    </xf>
    <xf numFmtId="196" fontId="123" fillId="0" borderId="0" xfId="5" applyNumberFormat="1" applyFont="1" applyFill="1" applyBorder="1">
      <alignment vertical="center"/>
    </xf>
    <xf numFmtId="0" fontId="23" fillId="0" borderId="0" xfId="5" applyFont="1">
      <alignment vertical="center"/>
    </xf>
    <xf numFmtId="196" fontId="23" fillId="0" borderId="0" xfId="5" applyNumberFormat="1" applyFont="1">
      <alignment vertical="center"/>
    </xf>
    <xf numFmtId="0" fontId="92" fillId="0" borderId="0" xfId="5" applyFont="1" applyFill="1" applyBorder="1" applyAlignment="1">
      <alignment horizontal="left" vertical="center" indent="1"/>
    </xf>
    <xf numFmtId="0" fontId="23" fillId="0" borderId="0" xfId="5" applyFont="1" applyFill="1">
      <alignment vertical="center"/>
    </xf>
    <xf numFmtId="196" fontId="23" fillId="0" borderId="0" xfId="5" applyNumberFormat="1" applyFont="1" applyFill="1">
      <alignment vertical="center"/>
    </xf>
    <xf numFmtId="41" fontId="23" fillId="0" borderId="0" xfId="4" applyFont="1" applyFill="1" applyBorder="1">
      <alignment vertical="center"/>
    </xf>
    <xf numFmtId="0" fontId="23" fillId="0" borderId="0" xfId="5" applyFont="1" applyBorder="1">
      <alignment vertical="center"/>
    </xf>
    <xf numFmtId="0" fontId="23" fillId="0" borderId="0" xfId="5" applyFont="1" applyFill="1" applyBorder="1">
      <alignment vertical="center"/>
    </xf>
    <xf numFmtId="0" fontId="44" fillId="0" borderId="116" xfId="5" applyFont="1" applyFill="1" applyBorder="1" applyAlignment="1">
      <alignment horizontal="left" vertical="center" indent="1"/>
    </xf>
    <xf numFmtId="0" fontId="92" fillId="0" borderId="116" xfId="5" applyFont="1" applyFill="1" applyBorder="1" applyAlignment="1">
      <alignment horizontal="left" vertical="center" indent="1"/>
    </xf>
    <xf numFmtId="0" fontId="23" fillId="0" borderId="116" xfId="5" applyFont="1" applyFill="1" applyBorder="1" applyAlignment="1">
      <alignment horizontal="left" vertical="center" indent="1"/>
    </xf>
    <xf numFmtId="196" fontId="38" fillId="5" borderId="0" xfId="0" applyNumberFormat="1" applyFont="1" applyFill="1" applyBorder="1" applyAlignment="1">
      <alignment horizontal="right" vertical="center"/>
    </xf>
    <xf numFmtId="196" fontId="38" fillId="5" borderId="164" xfId="0" applyNumberFormat="1" applyFont="1" applyFill="1" applyBorder="1" applyAlignment="1">
      <alignment horizontal="right" vertical="center"/>
    </xf>
    <xf numFmtId="184" fontId="72" fillId="5" borderId="213" xfId="0" applyNumberFormat="1" applyFont="1" applyFill="1" applyBorder="1" applyAlignment="1">
      <alignment horizontal="right" vertical="center"/>
    </xf>
    <xf numFmtId="184" fontId="92" fillId="0" borderId="213" xfId="6" applyNumberFormat="1" applyFont="1" applyFill="1" applyBorder="1">
      <alignment vertical="center"/>
    </xf>
    <xf numFmtId="196" fontId="44" fillId="0" borderId="0" xfId="5" applyNumberFormat="1" applyFont="1" applyFill="1" applyBorder="1">
      <alignment vertical="center"/>
    </xf>
    <xf numFmtId="0" fontId="124" fillId="0" borderId="116" xfId="5" applyFont="1" applyFill="1" applyBorder="1" applyAlignment="1">
      <alignment horizontal="left" vertical="center" indent="1"/>
    </xf>
    <xf numFmtId="184" fontId="124" fillId="0" borderId="0" xfId="6" applyNumberFormat="1" applyFont="1" applyFill="1" applyBorder="1">
      <alignment vertical="center"/>
    </xf>
    <xf numFmtId="184" fontId="124" fillId="0" borderId="213" xfId="6" applyNumberFormat="1" applyFont="1" applyFill="1" applyBorder="1">
      <alignment vertical="center"/>
    </xf>
    <xf numFmtId="0" fontId="41" fillId="5" borderId="0" xfId="0" applyFont="1" applyFill="1" applyBorder="1" applyAlignment="1">
      <alignment horizontal="left" vertical="center" indent="2"/>
    </xf>
    <xf numFmtId="0" fontId="77" fillId="37" borderId="214" xfId="5" applyFont="1" applyFill="1" applyBorder="1">
      <alignment vertical="center"/>
    </xf>
    <xf numFmtId="0" fontId="77" fillId="37" borderId="215" xfId="5" applyFont="1" applyFill="1" applyBorder="1">
      <alignment vertical="center"/>
    </xf>
    <xf numFmtId="0" fontId="77" fillId="37" borderId="216" xfId="5" applyFont="1" applyFill="1" applyBorder="1">
      <alignment vertical="center"/>
    </xf>
    <xf numFmtId="0" fontId="77" fillId="20" borderId="217" xfId="5" applyFont="1" applyFill="1" applyBorder="1">
      <alignment vertical="center"/>
    </xf>
    <xf numFmtId="197" fontId="77" fillId="20" borderId="218" xfId="5" applyNumberFormat="1" applyFont="1" applyFill="1" applyBorder="1" applyAlignment="1">
      <alignment horizontal="center" vertical="center"/>
    </xf>
    <xf numFmtId="0" fontId="77" fillId="20" borderId="218" xfId="5" applyFont="1" applyFill="1" applyBorder="1" applyAlignment="1">
      <alignment horizontal="center" vertical="center"/>
    </xf>
    <xf numFmtId="198" fontId="77" fillId="20" borderId="218" xfId="5" applyNumberFormat="1" applyFont="1" applyFill="1" applyBorder="1" applyAlignment="1">
      <alignment horizontal="center" vertical="center"/>
    </xf>
    <xf numFmtId="199" fontId="77" fillId="20" borderId="218" xfId="5" applyNumberFormat="1" applyFont="1" applyFill="1" applyBorder="1" applyAlignment="1">
      <alignment horizontal="center" vertical="center"/>
    </xf>
    <xf numFmtId="199" fontId="77" fillId="20" borderId="219" xfId="5" applyNumberFormat="1" applyFont="1" applyFill="1" applyBorder="1" applyAlignment="1">
      <alignment horizontal="center" vertical="center"/>
    </xf>
    <xf numFmtId="0" fontId="50" fillId="0" borderId="220" xfId="5" applyFont="1" applyFill="1" applyBorder="1">
      <alignment vertical="center"/>
    </xf>
    <xf numFmtId="184" fontId="50" fillId="0" borderId="0" xfId="6" applyNumberFormat="1" applyFont="1" applyFill="1" applyBorder="1">
      <alignment vertical="center"/>
    </xf>
    <xf numFmtId="184" fontId="50" fillId="0" borderId="221" xfId="6" applyNumberFormat="1" applyFont="1" applyFill="1" applyBorder="1">
      <alignment vertical="center"/>
    </xf>
    <xf numFmtId="0" fontId="50" fillId="0" borderId="217" xfId="5" applyFont="1" applyFill="1" applyBorder="1">
      <alignment vertical="center"/>
    </xf>
    <xf numFmtId="184" fontId="50" fillId="0" borderId="218" xfId="6" applyNumberFormat="1" applyFont="1" applyFill="1" applyBorder="1">
      <alignment vertical="center"/>
    </xf>
    <xf numFmtId="184" fontId="50" fillId="0" borderId="219" xfId="6" applyNumberFormat="1" applyFont="1" applyFill="1" applyBorder="1">
      <alignment vertical="center"/>
    </xf>
    <xf numFmtId="0" fontId="77" fillId="38" borderId="222" xfId="5" applyFont="1" applyFill="1" applyBorder="1">
      <alignment vertical="center"/>
    </xf>
    <xf numFmtId="0" fontId="77" fillId="38" borderId="223" xfId="5" applyFont="1" applyFill="1" applyBorder="1">
      <alignment vertical="center"/>
    </xf>
    <xf numFmtId="0" fontId="77" fillId="38" borderId="224" xfId="5" applyFont="1" applyFill="1" applyBorder="1">
      <alignment vertical="center"/>
    </xf>
    <xf numFmtId="0" fontId="77" fillId="39" borderId="225" xfId="5" applyFont="1" applyFill="1" applyBorder="1">
      <alignment vertical="center"/>
    </xf>
    <xf numFmtId="197" fontId="77" fillId="39" borderId="226" xfId="5" applyNumberFormat="1" applyFont="1" applyFill="1" applyBorder="1" applyAlignment="1">
      <alignment horizontal="center" vertical="center"/>
    </xf>
    <xf numFmtId="0" fontId="77" fillId="39" borderId="226" xfId="5" applyFont="1" applyFill="1" applyBorder="1" applyAlignment="1">
      <alignment horizontal="center" vertical="center"/>
    </xf>
    <xf numFmtId="198" fontId="77" fillId="39" borderId="226" xfId="5" applyNumberFormat="1" applyFont="1" applyFill="1" applyBorder="1" applyAlignment="1">
      <alignment horizontal="center" vertical="center"/>
    </xf>
    <xf numFmtId="199" fontId="77" fillId="39" borderId="226" xfId="5" applyNumberFormat="1" applyFont="1" applyFill="1" applyBorder="1" applyAlignment="1">
      <alignment horizontal="center" vertical="center"/>
    </xf>
    <xf numFmtId="0" fontId="50" fillId="0" borderId="228" xfId="5" applyFont="1" applyFill="1" applyBorder="1">
      <alignment vertical="center"/>
    </xf>
    <xf numFmtId="0" fontId="50" fillId="0" borderId="228" xfId="5" applyFont="1" applyFill="1" applyBorder="1" applyAlignment="1">
      <alignment horizontal="left" vertical="center" indent="1"/>
    </xf>
    <xf numFmtId="0" fontId="50" fillId="0" borderId="225" xfId="5" applyFont="1" applyFill="1" applyBorder="1" applyAlignment="1">
      <alignment horizontal="left" vertical="center" indent="1"/>
    </xf>
    <xf numFmtId="199" fontId="77" fillId="39" borderId="224" xfId="5" applyNumberFormat="1" applyFont="1" applyFill="1" applyBorder="1" applyAlignment="1">
      <alignment horizontal="center" vertical="center"/>
    </xf>
    <xf numFmtId="196" fontId="50" fillId="0" borderId="0" xfId="5" applyNumberFormat="1" applyFont="1" applyFill="1" applyBorder="1" applyAlignment="1">
      <alignment horizontal="right" vertical="center"/>
    </xf>
    <xf numFmtId="196" fontId="50" fillId="0" borderId="229" xfId="5" applyNumberFormat="1" applyFont="1" applyFill="1" applyBorder="1" applyAlignment="1">
      <alignment horizontal="right" vertical="center"/>
    </xf>
    <xf numFmtId="196" fontId="50" fillId="0" borderId="226" xfId="5" applyNumberFormat="1" applyFont="1" applyFill="1" applyBorder="1" applyAlignment="1">
      <alignment horizontal="right" vertical="center"/>
    </xf>
    <xf numFmtId="196" fontId="50" fillId="0" borderId="227" xfId="5" applyNumberFormat="1" applyFont="1" applyFill="1" applyBorder="1" applyAlignment="1">
      <alignment horizontal="right" vertical="center"/>
    </xf>
    <xf numFmtId="196" fontId="38" fillId="0" borderId="0" xfId="0" applyNumberFormat="1" applyFont="1" applyBorder="1" applyAlignment="1">
      <alignment horizontal="right" vertical="center"/>
    </xf>
    <xf numFmtId="196" fontId="38" fillId="0" borderId="229" xfId="0" applyNumberFormat="1" applyFont="1" applyBorder="1" applyAlignment="1">
      <alignment horizontal="right" vertical="center"/>
    </xf>
    <xf numFmtId="0" fontId="44" fillId="0" borderId="67" xfId="5" applyFont="1" applyFill="1" applyBorder="1" applyAlignment="1">
      <alignment horizontal="left" vertical="center" indent="1"/>
    </xf>
    <xf numFmtId="38" fontId="38" fillId="5" borderId="75" xfId="0" applyNumberFormat="1" applyFont="1" applyFill="1" applyBorder="1" applyAlignment="1">
      <alignment horizontal="right" vertical="center"/>
    </xf>
    <xf numFmtId="38" fontId="38" fillId="0" borderId="75" xfId="0" applyNumberFormat="1" applyFont="1" applyFill="1" applyBorder="1" applyAlignment="1">
      <alignment horizontal="right" vertical="center"/>
    </xf>
    <xf numFmtId="38" fontId="38" fillId="5" borderId="0" xfId="0" applyNumberFormat="1" applyFont="1" applyFill="1" applyBorder="1" applyAlignment="1">
      <alignment horizontal="right" vertical="center"/>
    </xf>
    <xf numFmtId="38" fontId="38" fillId="0" borderId="0" xfId="0" applyNumberFormat="1" applyFont="1" applyFill="1" applyBorder="1" applyAlignment="1">
      <alignment horizontal="right" vertical="center"/>
    </xf>
    <xf numFmtId="196" fontId="109" fillId="5" borderId="0" xfId="5" applyNumberFormat="1" applyFill="1" applyBorder="1">
      <alignment vertical="center"/>
    </xf>
    <xf numFmtId="196" fontId="109" fillId="0" borderId="0" xfId="5" applyNumberFormat="1" applyFill="1" applyBorder="1">
      <alignment vertical="center"/>
    </xf>
    <xf numFmtId="0" fontId="23" fillId="0" borderId="230" xfId="5" applyFont="1" applyFill="1" applyBorder="1">
      <alignment vertical="center"/>
    </xf>
    <xf numFmtId="0" fontId="41" fillId="5" borderId="230" xfId="0" applyFont="1" applyFill="1" applyBorder="1" applyAlignment="1">
      <alignment horizontal="left" vertical="center" indent="1"/>
    </xf>
    <xf numFmtId="176" fontId="38" fillId="0" borderId="0" xfId="0" applyNumberFormat="1" applyFont="1" applyFill="1" applyBorder="1" applyAlignment="1">
      <alignment horizontal="right" vertical="center"/>
    </xf>
    <xf numFmtId="0" fontId="121" fillId="19" borderId="206" xfId="0" applyFont="1" applyFill="1" applyBorder="1" applyAlignment="1">
      <alignment horizontal="left" vertical="center" indent="2"/>
    </xf>
    <xf numFmtId="0" fontId="125" fillId="24" borderId="0" xfId="10" applyFont="1" applyFill="1" applyAlignment="1" applyProtection="1">
      <alignment horizontal="center" vertical="center"/>
    </xf>
    <xf numFmtId="14" fontId="25" fillId="0" borderId="0" xfId="0" applyNumberFormat="1" applyFont="1">
      <alignment vertical="center"/>
    </xf>
    <xf numFmtId="0" fontId="25" fillId="16" borderId="231" xfId="0" applyFont="1" applyFill="1" applyBorder="1" applyAlignment="1">
      <alignment horizontal="center" vertical="center" wrapText="1"/>
    </xf>
    <xf numFmtId="0" fontId="127" fillId="40" borderId="231" xfId="0" applyFont="1" applyFill="1" applyBorder="1" applyAlignment="1">
      <alignment horizontal="center" vertical="center" wrapText="1"/>
    </xf>
    <xf numFmtId="190" fontId="16" fillId="24" borderId="231" xfId="0" applyNumberFormat="1" applyFont="1" applyFill="1" applyBorder="1">
      <alignment vertical="center"/>
    </xf>
    <xf numFmtId="190" fontId="16" fillId="24" borderId="231" xfId="0" applyNumberFormat="1" applyFont="1" applyFill="1" applyBorder="1" applyAlignment="1">
      <alignment horizontal="right" vertical="center"/>
    </xf>
    <xf numFmtId="190" fontId="25" fillId="24" borderId="231" xfId="0" applyNumberFormat="1" applyFont="1" applyFill="1" applyBorder="1">
      <alignment vertical="center"/>
    </xf>
    <xf numFmtId="190" fontId="128" fillId="24" borderId="231" xfId="0" applyNumberFormat="1" applyFont="1" applyFill="1" applyBorder="1">
      <alignment vertical="center"/>
    </xf>
    <xf numFmtId="10" fontId="13" fillId="5" borderId="43" xfId="0" applyNumberFormat="1" applyFont="1" applyFill="1" applyBorder="1" applyAlignment="1">
      <alignment horizontal="right" vertical="center"/>
    </xf>
    <xf numFmtId="10" fontId="13" fillId="5" borderId="97" xfId="0" applyNumberFormat="1" applyFont="1" applyFill="1" applyBorder="1" applyAlignment="1">
      <alignment horizontal="right" vertical="center"/>
    </xf>
    <xf numFmtId="0" fontId="77" fillId="28" borderId="0" xfId="0" applyFont="1" applyFill="1">
      <alignment vertical="center"/>
    </xf>
    <xf numFmtId="0" fontId="23" fillId="28" borderId="0" xfId="0" applyFont="1" applyFill="1">
      <alignment vertical="center"/>
    </xf>
    <xf numFmtId="0" fontId="129" fillId="0" borderId="232" xfId="0" applyFont="1" applyBorder="1" applyAlignment="1">
      <alignment horizontal="center" vertical="center" wrapText="1"/>
    </xf>
    <xf numFmtId="0" fontId="129" fillId="0" borderId="233" xfId="0" applyFont="1" applyBorder="1" applyAlignment="1">
      <alignment horizontal="center" vertical="center" wrapText="1"/>
    </xf>
    <xf numFmtId="0" fontId="129" fillId="0" borderId="234" xfId="0" applyFont="1" applyBorder="1" applyAlignment="1">
      <alignment horizontal="center" vertical="center" wrapText="1"/>
    </xf>
    <xf numFmtId="0" fontId="130" fillId="0" borderId="235" xfId="0" applyFont="1" applyBorder="1" applyAlignment="1">
      <alignment horizontal="center" vertical="center" wrapText="1"/>
    </xf>
    <xf numFmtId="0" fontId="130" fillId="0" borderId="236" xfId="0" applyFont="1" applyBorder="1" applyAlignment="1">
      <alignment horizontal="right" vertical="center" wrapText="1"/>
    </xf>
    <xf numFmtId="0" fontId="130" fillId="0" borderId="237" xfId="0" applyFont="1" applyBorder="1" applyAlignment="1">
      <alignment horizontal="center" vertical="center" wrapText="1"/>
    </xf>
    <xf numFmtId="0" fontId="130" fillId="0" borderId="238" xfId="0" applyFont="1" applyBorder="1" applyAlignment="1">
      <alignment horizontal="center" vertical="center" wrapText="1"/>
    </xf>
    <xf numFmtId="0" fontId="130" fillId="0" borderId="240" xfId="0" applyFont="1" applyBorder="1" applyAlignment="1">
      <alignment horizontal="center" vertical="center" wrapText="1"/>
    </xf>
    <xf numFmtId="0" fontId="130" fillId="0" borderId="236" xfId="0" applyFont="1" applyBorder="1" applyAlignment="1">
      <alignment horizontal="center" vertical="center" wrapText="1"/>
    </xf>
    <xf numFmtId="0" fontId="23" fillId="0" borderId="241" xfId="0" applyFont="1" applyBorder="1">
      <alignment vertical="center"/>
    </xf>
    <xf numFmtId="0" fontId="131" fillId="0" borderId="0" xfId="0" applyFont="1">
      <alignment vertical="center"/>
    </xf>
    <xf numFmtId="0" fontId="129" fillId="0" borderId="0" xfId="0" applyFont="1" applyBorder="1" applyAlignment="1">
      <alignment horizontal="center" vertical="center" wrapText="1"/>
    </xf>
    <xf numFmtId="41" fontId="23" fillId="0" borderId="0" xfId="4" applyFont="1">
      <alignment vertical="center"/>
    </xf>
    <xf numFmtId="41" fontId="130" fillId="0" borderId="235" xfId="4" applyFont="1" applyBorder="1" applyAlignment="1">
      <alignment horizontal="center" vertical="top" wrapText="1"/>
    </xf>
    <xf numFmtId="41" fontId="23" fillId="0" borderId="0" xfId="4" applyFont="1" applyAlignment="1">
      <alignment vertical="center"/>
    </xf>
    <xf numFmtId="0" fontId="23" fillId="0" borderId="0" xfId="0" applyFont="1" applyAlignment="1">
      <alignment horizontal="left" vertical="center"/>
    </xf>
    <xf numFmtId="0" fontId="130" fillId="0" borderId="0" xfId="0" applyFont="1" applyBorder="1" applyAlignment="1">
      <alignment horizontal="center" vertical="top" wrapText="1"/>
    </xf>
    <xf numFmtId="3" fontId="130" fillId="0" borderId="0" xfId="0" applyNumberFormat="1" applyFont="1" applyBorder="1" applyAlignment="1">
      <alignment horizontal="right" vertical="top" wrapText="1"/>
    </xf>
    <xf numFmtId="0" fontId="130" fillId="0" borderId="0" xfId="0" applyFont="1" applyAlignment="1">
      <alignment horizontal="left" vertical="center" indent="1"/>
    </xf>
    <xf numFmtId="0" fontId="40" fillId="32" borderId="232" xfId="0" applyFont="1" applyFill="1" applyBorder="1" applyAlignment="1">
      <alignment horizontal="center" vertical="center" wrapText="1"/>
    </xf>
    <xf numFmtId="0" fontId="40" fillId="32" borderId="233" xfId="0" applyFont="1" applyFill="1" applyBorder="1" applyAlignment="1">
      <alignment horizontal="center" vertical="center" wrapText="1"/>
    </xf>
    <xf numFmtId="0" fontId="40" fillId="32" borderId="234" xfId="0" applyFont="1" applyFill="1" applyBorder="1" applyAlignment="1">
      <alignment horizontal="center" vertical="center" wrapText="1"/>
    </xf>
    <xf numFmtId="0" fontId="40" fillId="0" borderId="235" xfId="0" applyFont="1" applyBorder="1" applyAlignment="1">
      <alignment horizontal="center" vertical="top" wrapText="1"/>
    </xf>
    <xf numFmtId="0" fontId="40" fillId="0" borderId="238" xfId="0" applyFont="1" applyBorder="1" applyAlignment="1">
      <alignment horizontal="center" vertical="top" wrapText="1"/>
    </xf>
    <xf numFmtId="196" fontId="40" fillId="0" borderId="236" xfId="0" applyNumberFormat="1" applyFont="1" applyBorder="1" applyAlignment="1">
      <alignment horizontal="right" vertical="top" wrapText="1"/>
    </xf>
    <xf numFmtId="196" fontId="40" fillId="0" borderId="237" xfId="0" applyNumberFormat="1" applyFont="1" applyBorder="1" applyAlignment="1">
      <alignment horizontal="right" vertical="top" wrapText="1"/>
    </xf>
    <xf numFmtId="196" fontId="40" fillId="0" borderId="239" xfId="0" applyNumberFormat="1" applyFont="1" applyBorder="1" applyAlignment="1">
      <alignment horizontal="right" vertical="top" wrapText="1"/>
    </xf>
    <xf numFmtId="196" fontId="40" fillId="0" borderId="240" xfId="0" applyNumberFormat="1" applyFont="1" applyBorder="1" applyAlignment="1">
      <alignment horizontal="right" vertical="top" wrapText="1"/>
    </xf>
    <xf numFmtId="196" fontId="23" fillId="0" borderId="0" xfId="4" applyNumberFormat="1" applyFont="1" applyAlignment="1">
      <alignment vertical="center" shrinkToFit="1"/>
    </xf>
    <xf numFmtId="196" fontId="40" fillId="0" borderId="242" xfId="0" applyNumberFormat="1" applyFont="1" applyBorder="1" applyAlignment="1">
      <alignment horizontal="right" vertical="top" wrapText="1"/>
    </xf>
    <xf numFmtId="196" fontId="40" fillId="0" borderId="243" xfId="0" applyNumberFormat="1" applyFont="1" applyBorder="1" applyAlignment="1">
      <alignment horizontal="right" vertical="top" wrapText="1"/>
    </xf>
    <xf numFmtId="196" fontId="40" fillId="0" borderId="244" xfId="0" applyNumberFormat="1" applyFont="1" applyBorder="1" applyAlignment="1">
      <alignment horizontal="right" vertical="top" wrapText="1"/>
    </xf>
    <xf numFmtId="0" fontId="23" fillId="0" borderId="0" xfId="0" applyFont="1" applyAlignment="1">
      <alignment horizontal="right" vertical="center"/>
    </xf>
    <xf numFmtId="0" fontId="40" fillId="0" borderId="232" xfId="0" applyFont="1" applyBorder="1" applyAlignment="1">
      <alignment horizontal="center" vertical="top" wrapText="1"/>
    </xf>
    <xf numFmtId="196" fontId="40" fillId="0" borderId="233" xfId="0" applyNumberFormat="1" applyFont="1" applyBorder="1" applyAlignment="1">
      <alignment horizontal="right" vertical="top" wrapText="1"/>
    </xf>
    <xf numFmtId="196" fontId="40" fillId="0" borderId="234" xfId="0" applyNumberFormat="1" applyFont="1" applyBorder="1" applyAlignment="1">
      <alignment horizontal="right" vertical="top" wrapText="1"/>
    </xf>
    <xf numFmtId="41" fontId="130" fillId="5" borderId="245" xfId="4" applyFont="1" applyFill="1" applyBorder="1" applyAlignment="1">
      <alignment vertical="top" wrapText="1"/>
    </xf>
    <xf numFmtId="41" fontId="130" fillId="5" borderId="245" xfId="4" applyFont="1" applyFill="1" applyBorder="1" applyAlignment="1">
      <alignment horizontal="right" vertical="top" wrapText="1"/>
    </xf>
    <xf numFmtId="41" fontId="130" fillId="5" borderId="0" xfId="4" applyFont="1" applyFill="1" applyBorder="1" applyAlignment="1">
      <alignment vertical="top" wrapText="1"/>
    </xf>
    <xf numFmtId="41" fontId="130" fillId="5" borderId="0" xfId="4" applyFont="1" applyFill="1" applyBorder="1" applyAlignment="1">
      <alignment horizontal="right" vertical="top" wrapText="1"/>
    </xf>
    <xf numFmtId="41" fontId="129" fillId="0" borderId="246" xfId="4" applyFont="1" applyBorder="1" applyAlignment="1">
      <alignment horizontal="center" vertical="center" wrapText="1"/>
    </xf>
    <xf numFmtId="41" fontId="132" fillId="0" borderId="0" xfId="4" applyFont="1" applyFill="1" applyBorder="1">
      <alignment vertical="center"/>
    </xf>
    <xf numFmtId="184" fontId="134" fillId="0" borderId="0" xfId="0" applyNumberFormat="1" applyFont="1" applyFill="1" applyBorder="1" applyAlignment="1">
      <alignment horizontal="right" vertical="center"/>
    </xf>
    <xf numFmtId="41" fontId="13" fillId="0" borderId="0" xfId="4" applyFont="1" applyFill="1" applyBorder="1">
      <alignment vertical="center"/>
    </xf>
    <xf numFmtId="41" fontId="13" fillId="5" borderId="0" xfId="4" applyFont="1" applyFill="1" applyBorder="1">
      <alignment vertical="center"/>
    </xf>
    <xf numFmtId="41" fontId="134" fillId="0" borderId="0" xfId="4" applyFont="1" applyFill="1" applyBorder="1" applyAlignment="1">
      <alignment horizontal="right" vertical="center"/>
    </xf>
    <xf numFmtId="184" fontId="134" fillId="5" borderId="0" xfId="0" applyNumberFormat="1" applyFont="1" applyFill="1" applyBorder="1" applyAlignment="1">
      <alignment horizontal="right" vertical="center"/>
    </xf>
    <xf numFmtId="184" fontId="41" fillId="5" borderId="213" xfId="0" applyNumberFormat="1" applyFont="1" applyFill="1" applyBorder="1" applyAlignment="1">
      <alignment horizontal="right" vertical="center"/>
    </xf>
    <xf numFmtId="196" fontId="132" fillId="0" borderId="0" xfId="4" applyNumberFormat="1" applyFont="1" applyFill="1" applyBorder="1">
      <alignment vertical="center"/>
    </xf>
    <xf numFmtId="196" fontId="132" fillId="0" borderId="213" xfId="4" applyNumberFormat="1" applyFont="1" applyFill="1" applyBorder="1">
      <alignment vertical="center"/>
    </xf>
    <xf numFmtId="196" fontId="13" fillId="0" borderId="0" xfId="4" applyNumberFormat="1" applyFont="1" applyFill="1" applyBorder="1">
      <alignment vertical="center"/>
    </xf>
    <xf numFmtId="196" fontId="13" fillId="5" borderId="0" xfId="4" applyNumberFormat="1" applyFont="1" applyFill="1" applyBorder="1">
      <alignment vertical="center"/>
    </xf>
    <xf numFmtId="196" fontId="41" fillId="5" borderId="0" xfId="0" applyNumberFormat="1" applyFont="1" applyFill="1" applyBorder="1" applyAlignment="1">
      <alignment horizontal="right" vertical="center"/>
    </xf>
    <xf numFmtId="196" fontId="41" fillId="5" borderId="213" xfId="0" applyNumberFormat="1" applyFont="1" applyFill="1" applyBorder="1" applyAlignment="1">
      <alignment horizontal="right" vertical="center"/>
    </xf>
    <xf numFmtId="0" fontId="43" fillId="41" borderId="0" xfId="0" applyFont="1" applyFill="1">
      <alignment vertical="center"/>
    </xf>
    <xf numFmtId="0" fontId="116" fillId="0" borderId="0" xfId="0" applyFont="1" applyFill="1" applyAlignment="1">
      <alignment horizontal="right" vertical="center"/>
    </xf>
    <xf numFmtId="0" fontId="50" fillId="41" borderId="0" xfId="0" applyFont="1" applyFill="1">
      <alignment vertical="center"/>
    </xf>
    <xf numFmtId="0" fontId="50" fillId="0" borderId="0" xfId="0" applyFont="1" applyFill="1">
      <alignment vertical="center"/>
    </xf>
    <xf numFmtId="0" fontId="135" fillId="41" borderId="0" xfId="0" applyFont="1" applyFill="1">
      <alignment vertical="center"/>
    </xf>
    <xf numFmtId="0" fontId="135" fillId="0" borderId="0" xfId="0" applyFont="1" applyFill="1">
      <alignment vertical="center"/>
    </xf>
    <xf numFmtId="14" fontId="114" fillId="4" borderId="247" xfId="0" applyNumberFormat="1" applyFont="1" applyFill="1" applyBorder="1" applyAlignment="1">
      <alignment horizontal="center" vertical="center"/>
    </xf>
    <xf numFmtId="14" fontId="114" fillId="4" borderId="247" xfId="0" applyNumberFormat="1" applyFont="1" applyFill="1" applyBorder="1" applyAlignment="1">
      <alignment horizontal="centerContinuous" vertical="center"/>
    </xf>
    <xf numFmtId="193" fontId="119" fillId="0" borderId="247" xfId="0" applyNumberFormat="1" applyFont="1" applyFill="1" applyBorder="1" applyAlignment="1">
      <alignment horizontal="left" vertical="center"/>
    </xf>
    <xf numFmtId="193" fontId="119" fillId="0" borderId="247" xfId="0" applyNumberFormat="1" applyFont="1" applyFill="1" applyBorder="1" applyAlignment="1">
      <alignment horizontal="right" vertical="center"/>
    </xf>
    <xf numFmtId="193" fontId="119" fillId="5" borderId="247" xfId="0" applyNumberFormat="1" applyFont="1" applyFill="1" applyBorder="1" applyAlignment="1">
      <alignment horizontal="left" vertical="center"/>
    </xf>
    <xf numFmtId="193" fontId="119" fillId="5" borderId="247" xfId="0" applyNumberFormat="1" applyFont="1" applyFill="1" applyBorder="1" applyAlignment="1">
      <alignment horizontal="right" vertical="center"/>
    </xf>
    <xf numFmtId="0" fontId="29" fillId="0" borderId="163" xfId="0" applyFont="1" applyFill="1" applyBorder="1" applyAlignment="1">
      <alignment horizontal="left" vertical="center" indent="1"/>
    </xf>
    <xf numFmtId="0" fontId="133" fillId="0" borderId="163" xfId="0" applyFont="1" applyFill="1" applyBorder="1" applyAlignment="1">
      <alignment horizontal="left" vertical="center" indent="2"/>
    </xf>
    <xf numFmtId="0" fontId="13" fillId="0" borderId="163" xfId="0" applyFont="1" applyFill="1" applyBorder="1" applyAlignment="1">
      <alignment horizontal="left" vertical="center" indent="2"/>
    </xf>
    <xf numFmtId="0" fontId="133" fillId="0" borderId="163" xfId="0" applyFont="1" applyFill="1" applyBorder="1" applyAlignment="1">
      <alignment horizontal="left" vertical="center" indent="3"/>
    </xf>
    <xf numFmtId="0" fontId="50" fillId="0" borderId="163" xfId="0" applyFont="1" applyFill="1" applyBorder="1">
      <alignment vertical="center"/>
    </xf>
    <xf numFmtId="0" fontId="50" fillId="0" borderId="163" xfId="0" applyFont="1" applyFill="1" applyBorder="1" applyAlignment="1">
      <alignment horizontal="left" vertical="center" indent="1"/>
    </xf>
    <xf numFmtId="0" fontId="135" fillId="0" borderId="163" xfId="0" applyFont="1" applyFill="1" applyBorder="1" applyAlignment="1">
      <alignment horizontal="left" vertical="center" indent="2"/>
    </xf>
    <xf numFmtId="0" fontId="13" fillId="0" borderId="163" xfId="0" applyFont="1" applyFill="1" applyBorder="1" applyAlignment="1">
      <alignment horizontal="left" vertical="center" indent="1"/>
    </xf>
    <xf numFmtId="196" fontId="38" fillId="0" borderId="161" xfId="0" applyNumberFormat="1" applyFont="1" applyFill="1" applyBorder="1" applyAlignment="1">
      <alignment horizontal="right" vertical="center"/>
    </xf>
    <xf numFmtId="196" fontId="38" fillId="5" borderId="161" xfId="0" applyNumberFormat="1" applyFont="1" applyFill="1" applyBorder="1" applyAlignment="1">
      <alignment horizontal="right" vertical="center"/>
    </xf>
    <xf numFmtId="196" fontId="38" fillId="5" borderId="162" xfId="0" applyNumberFormat="1" applyFont="1" applyFill="1" applyBorder="1" applyAlignment="1">
      <alignment horizontal="right" vertical="center"/>
    </xf>
    <xf numFmtId="196" fontId="38" fillId="0" borderId="166" xfId="0" applyNumberFormat="1" applyFont="1" applyFill="1" applyBorder="1" applyAlignment="1">
      <alignment horizontal="right" vertical="center"/>
    </xf>
    <xf numFmtId="196" fontId="38" fillId="5" borderId="166" xfId="0" applyNumberFormat="1" applyFont="1" applyFill="1" applyBorder="1" applyAlignment="1">
      <alignment horizontal="right" vertical="center"/>
    </xf>
    <xf numFmtId="196" fontId="38" fillId="5" borderId="167" xfId="0" applyNumberFormat="1" applyFont="1" applyFill="1" applyBorder="1" applyAlignment="1">
      <alignment horizontal="right" vertical="center"/>
    </xf>
    <xf numFmtId="196" fontId="13" fillId="5" borderId="191" xfId="0" applyNumberFormat="1" applyFont="1" applyFill="1" applyBorder="1" applyAlignment="1">
      <alignment horizontal="right" vertical="center"/>
    </xf>
    <xf numFmtId="196" fontId="13" fillId="5" borderId="192" xfId="0" applyNumberFormat="1" applyFont="1" applyFill="1" applyBorder="1" applyAlignment="1">
      <alignment horizontal="right" vertical="center"/>
    </xf>
    <xf numFmtId="196" fontId="13" fillId="0" borderId="161" xfId="4" applyNumberFormat="1" applyFont="1" applyFill="1" applyBorder="1">
      <alignment vertical="center"/>
    </xf>
    <xf numFmtId="0" fontId="41" fillId="5" borderId="160" xfId="0" applyFont="1" applyFill="1" applyBorder="1" applyAlignment="1">
      <alignment horizontal="left" vertical="center" indent="1"/>
    </xf>
    <xf numFmtId="196" fontId="13" fillId="0" borderId="162" xfId="4" applyNumberFormat="1" applyFont="1" applyFill="1" applyBorder="1">
      <alignment vertical="center"/>
    </xf>
    <xf numFmtId="196" fontId="13" fillId="0" borderId="164" xfId="4" applyNumberFormat="1" applyFont="1" applyFill="1" applyBorder="1">
      <alignment vertical="center"/>
    </xf>
    <xf numFmtId="196" fontId="38" fillId="0" borderId="0" xfId="0" applyNumberFormat="1" applyFont="1" applyFill="1" applyBorder="1" applyAlignment="1">
      <alignment horizontal="right" vertical="center"/>
    </xf>
    <xf numFmtId="196" fontId="63" fillId="5" borderId="46" xfId="0" applyNumberFormat="1" applyFont="1" applyFill="1" applyBorder="1" applyAlignment="1">
      <alignment horizontal="right" vertical="center"/>
    </xf>
    <xf numFmtId="196" fontId="63" fillId="0" borderId="46" xfId="0" applyNumberFormat="1" applyFont="1" applyFill="1" applyBorder="1" applyAlignment="1">
      <alignment horizontal="right" vertical="center"/>
    </xf>
    <xf numFmtId="196" fontId="63" fillId="0" borderId="94" xfId="0" applyNumberFormat="1" applyFont="1" applyFill="1" applyBorder="1" applyAlignment="1">
      <alignment horizontal="right" vertical="center"/>
    </xf>
    <xf numFmtId="184" fontId="41" fillId="0" borderId="20" xfId="0" applyNumberFormat="1" applyFont="1" applyFill="1" applyBorder="1" applyAlignment="1">
      <alignment horizontal="right" vertical="center"/>
    </xf>
    <xf numFmtId="196" fontId="38" fillId="0" borderId="20" xfId="0" applyNumberFormat="1" applyFont="1" applyFill="1" applyBorder="1" applyAlignment="1">
      <alignment horizontal="right" vertical="center"/>
    </xf>
    <xf numFmtId="196" fontId="38" fillId="5" borderId="20" xfId="0" applyNumberFormat="1" applyFont="1" applyFill="1" applyBorder="1" applyAlignment="1">
      <alignment horizontal="right" vertical="center"/>
    </xf>
    <xf numFmtId="176" fontId="38" fillId="0" borderId="20" xfId="0" applyNumberFormat="1" applyFont="1" applyFill="1" applyBorder="1" applyAlignment="1">
      <alignment horizontal="right" vertical="center"/>
    </xf>
    <xf numFmtId="193" fontId="119" fillId="5" borderId="206" xfId="0" applyNumberFormat="1" applyFont="1" applyFill="1" applyBorder="1" applyAlignment="1">
      <alignment horizontal="right" vertical="center"/>
    </xf>
    <xf numFmtId="0" fontId="136" fillId="0" borderId="206" xfId="0" applyFont="1" applyFill="1" applyBorder="1" applyAlignment="1">
      <alignment horizontal="left" vertical="top" wrapText="1"/>
    </xf>
    <xf numFmtId="0" fontId="136" fillId="0" borderId="206" xfId="0" applyFont="1" applyFill="1" applyBorder="1" applyAlignment="1">
      <alignment horizontal="left" vertical="top" wrapText="1" indent="1"/>
    </xf>
    <xf numFmtId="0" fontId="91" fillId="0" borderId="206" xfId="0" applyFont="1" applyFill="1" applyBorder="1" applyAlignment="1">
      <alignment horizontal="left" vertical="top" wrapText="1" indent="2"/>
    </xf>
    <xf numFmtId="0" fontId="91" fillId="0" borderId="206" xfId="0" applyFont="1" applyFill="1" applyBorder="1" applyAlignment="1">
      <alignment horizontal="left" vertical="top" wrapText="1" indent="3"/>
    </xf>
    <xf numFmtId="184" fontId="124" fillId="0" borderId="164" xfId="6" applyNumberFormat="1" applyFont="1" applyFill="1" applyBorder="1">
      <alignment vertical="center"/>
    </xf>
    <xf numFmtId="0" fontId="137" fillId="5" borderId="0" xfId="7" applyFont="1" applyFill="1">
      <alignment vertical="center"/>
    </xf>
    <xf numFmtId="0" fontId="16" fillId="5" borderId="0" xfId="7" applyFont="1" applyFill="1">
      <alignment vertical="center"/>
    </xf>
    <xf numFmtId="0" fontId="16" fillId="5" borderId="0" xfId="7" applyFont="1" applyFill="1" applyAlignment="1">
      <alignment horizontal="right" vertical="center"/>
    </xf>
    <xf numFmtId="0" fontId="25" fillId="5" borderId="250" xfId="7" applyFont="1" applyFill="1" applyBorder="1">
      <alignment vertical="center"/>
    </xf>
    <xf numFmtId="0" fontId="25" fillId="5" borderId="252" xfId="7" applyFont="1" applyFill="1" applyBorder="1">
      <alignment vertical="center"/>
    </xf>
    <xf numFmtId="0" fontId="25" fillId="5" borderId="254" xfId="7" applyFont="1" applyFill="1" applyBorder="1">
      <alignment vertical="center"/>
    </xf>
    <xf numFmtId="0" fontId="16" fillId="5" borderId="0" xfId="0" applyFont="1" applyFill="1">
      <alignment vertical="center"/>
    </xf>
    <xf numFmtId="0" fontId="138" fillId="0" borderId="235" xfId="0" applyFont="1" applyBorder="1" applyAlignment="1">
      <alignment vertical="center" wrapText="1"/>
    </xf>
    <xf numFmtId="0" fontId="138" fillId="0" borderId="236" xfId="0" applyFont="1" applyBorder="1" applyAlignment="1">
      <alignment horizontal="right" vertical="center" wrapText="1"/>
    </xf>
    <xf numFmtId="0" fontId="138" fillId="0" borderId="237" xfId="0" applyFont="1" applyBorder="1" applyAlignment="1">
      <alignment horizontal="right" vertical="center" wrapText="1"/>
    </xf>
    <xf numFmtId="3" fontId="138" fillId="0" borderId="236" xfId="0" applyNumberFormat="1" applyFont="1" applyBorder="1" applyAlignment="1">
      <alignment horizontal="right" vertical="center" wrapText="1"/>
    </xf>
    <xf numFmtId="3" fontId="138" fillId="0" borderId="237" xfId="0" applyNumberFormat="1" applyFont="1" applyBorder="1" applyAlignment="1">
      <alignment horizontal="right" vertical="center" wrapText="1"/>
    </xf>
    <xf numFmtId="0" fontId="138" fillId="0" borderId="238" xfId="0" applyFont="1" applyBorder="1" applyAlignment="1">
      <alignment vertical="center" wrapText="1"/>
    </xf>
    <xf numFmtId="3" fontId="138" fillId="0" borderId="239" xfId="0" applyNumberFormat="1" applyFont="1" applyBorder="1" applyAlignment="1">
      <alignment horizontal="right" vertical="center" wrapText="1"/>
    </xf>
    <xf numFmtId="3" fontId="138" fillId="0" borderId="240" xfId="0" applyNumberFormat="1" applyFont="1" applyBorder="1" applyAlignment="1">
      <alignment horizontal="right" vertical="center" wrapText="1"/>
    </xf>
    <xf numFmtId="0" fontId="139" fillId="5" borderId="232" xfId="0" applyFont="1" applyFill="1" applyBorder="1" applyAlignment="1">
      <alignment horizontal="center" vertical="center" wrapText="1"/>
    </xf>
    <xf numFmtId="0" fontId="139" fillId="5" borderId="233" xfId="0" applyFont="1" applyFill="1" applyBorder="1" applyAlignment="1">
      <alignment horizontal="center" vertical="center" wrapText="1"/>
    </xf>
    <xf numFmtId="0" fontId="139" fillId="5" borderId="234" xfId="0" applyFont="1" applyFill="1" applyBorder="1" applyAlignment="1">
      <alignment horizontal="center" vertical="center" wrapText="1"/>
    </xf>
    <xf numFmtId="3" fontId="16" fillId="5" borderId="251" xfId="7" applyNumberFormat="1" applyFont="1" applyFill="1" applyBorder="1" applyAlignment="1">
      <alignment horizontal="right" vertical="center"/>
    </xf>
    <xf numFmtId="3" fontId="16" fillId="5" borderId="253" xfId="7" applyNumberFormat="1" applyFont="1" applyFill="1" applyBorder="1" applyAlignment="1">
      <alignment horizontal="right" vertical="center"/>
    </xf>
    <xf numFmtId="0" fontId="16" fillId="5" borderId="0" xfId="0" applyFont="1" applyFill="1" applyAlignment="1">
      <alignment horizontal="right" vertical="center"/>
    </xf>
    <xf numFmtId="0" fontId="25" fillId="5" borderId="0" xfId="0" applyFont="1" applyFill="1" applyAlignment="1">
      <alignment horizontal="right" vertical="center"/>
    </xf>
    <xf numFmtId="3" fontId="16" fillId="5" borderId="0" xfId="7" applyNumberFormat="1" applyFont="1" applyFill="1" applyBorder="1" applyAlignment="1">
      <alignment horizontal="right" vertical="center"/>
    </xf>
    <xf numFmtId="0" fontId="25" fillId="5" borderId="0" xfId="7" applyFont="1" applyFill="1" applyAlignment="1">
      <alignment horizontal="right" vertical="center"/>
    </xf>
    <xf numFmtId="3" fontId="25" fillId="5" borderId="0" xfId="7" applyNumberFormat="1" applyFont="1" applyFill="1" applyBorder="1" applyAlignment="1">
      <alignment horizontal="right" vertical="center"/>
    </xf>
    <xf numFmtId="0" fontId="127" fillId="32" borderId="232" xfId="0" applyFont="1" applyFill="1" applyBorder="1" applyAlignment="1">
      <alignment horizontal="center" vertical="center" wrapText="1"/>
    </xf>
    <xf numFmtId="0" fontId="127" fillId="32" borderId="233" xfId="0" applyFont="1" applyFill="1" applyBorder="1" applyAlignment="1">
      <alignment horizontal="center" vertical="center" wrapText="1"/>
    </xf>
    <xf numFmtId="0" fontId="127" fillId="32" borderId="234" xfId="0" applyFont="1" applyFill="1" applyBorder="1" applyAlignment="1">
      <alignment horizontal="center" vertical="center" wrapText="1"/>
    </xf>
    <xf numFmtId="0" fontId="127" fillId="0" borderId="235" xfId="0" applyFont="1" applyBorder="1" applyAlignment="1">
      <alignment vertical="center" wrapText="1"/>
    </xf>
    <xf numFmtId="0" fontId="127" fillId="0" borderId="236" xfId="0" applyFont="1" applyBorder="1" applyAlignment="1">
      <alignment horizontal="right" vertical="center" wrapText="1"/>
    </xf>
    <xf numFmtId="0" fontId="127" fillId="0" borderId="237" xfId="0" applyFont="1" applyBorder="1" applyAlignment="1">
      <alignment horizontal="right" vertical="center" wrapText="1"/>
    </xf>
    <xf numFmtId="3" fontId="127" fillId="0" borderId="236" xfId="0" applyNumberFormat="1" applyFont="1" applyBorder="1" applyAlignment="1">
      <alignment horizontal="right" vertical="center" wrapText="1"/>
    </xf>
    <xf numFmtId="3" fontId="127" fillId="0" borderId="237" xfId="0" applyNumberFormat="1" applyFont="1" applyBorder="1" applyAlignment="1">
      <alignment horizontal="right" vertical="center" wrapText="1"/>
    </xf>
    <xf numFmtId="0" fontId="127" fillId="0" borderId="238" xfId="0" applyFont="1" applyBorder="1" applyAlignment="1">
      <alignment vertical="center" wrapText="1"/>
    </xf>
    <xf numFmtId="3" fontId="127" fillId="0" borderId="239" xfId="0" applyNumberFormat="1" applyFont="1" applyBorder="1" applyAlignment="1">
      <alignment horizontal="right" vertical="center" wrapText="1"/>
    </xf>
    <xf numFmtId="3" fontId="127" fillId="0" borderId="240" xfId="0" applyNumberFormat="1" applyFont="1" applyBorder="1" applyAlignment="1">
      <alignment horizontal="right" vertical="center" wrapText="1"/>
    </xf>
    <xf numFmtId="0" fontId="140" fillId="5" borderId="232" xfId="0" applyFont="1" applyFill="1" applyBorder="1" applyAlignment="1">
      <alignment horizontal="center" vertical="center" wrapText="1"/>
    </xf>
    <xf numFmtId="0" fontId="140" fillId="5" borderId="233" xfId="0" applyFont="1" applyFill="1" applyBorder="1" applyAlignment="1">
      <alignment horizontal="center" vertical="center" wrapText="1"/>
    </xf>
    <xf numFmtId="0" fontId="140" fillId="5" borderId="234" xfId="0" applyFont="1" applyFill="1" applyBorder="1" applyAlignment="1">
      <alignment horizontal="center" vertical="center" wrapText="1"/>
    </xf>
    <xf numFmtId="0" fontId="127" fillId="0" borderId="235" xfId="0" applyFont="1" applyBorder="1" applyAlignment="1">
      <alignment vertical="top" wrapText="1"/>
    </xf>
    <xf numFmtId="3" fontId="127" fillId="0" borderId="236" xfId="0" applyNumberFormat="1" applyFont="1" applyBorder="1" applyAlignment="1">
      <alignment horizontal="right" vertical="top" wrapText="1"/>
    </xf>
    <xf numFmtId="3" fontId="127" fillId="0" borderId="237" xfId="0" applyNumberFormat="1" applyFont="1" applyBorder="1" applyAlignment="1">
      <alignment horizontal="right" vertical="top" wrapText="1"/>
    </xf>
    <xf numFmtId="0" fontId="127" fillId="0" borderId="238" xfId="0" applyFont="1" applyBorder="1" applyAlignment="1">
      <alignment horizontal="center" vertical="top" wrapText="1"/>
    </xf>
    <xf numFmtId="3" fontId="127" fillId="0" borderId="239" xfId="0" applyNumberFormat="1" applyFont="1" applyBorder="1" applyAlignment="1">
      <alignment horizontal="right" vertical="top" wrapText="1"/>
    </xf>
    <xf numFmtId="3" fontId="127" fillId="0" borderId="240" xfId="0" applyNumberFormat="1" applyFont="1" applyBorder="1" applyAlignment="1">
      <alignment horizontal="right" vertical="top" wrapText="1"/>
    </xf>
    <xf numFmtId="0" fontId="16" fillId="4" borderId="0" xfId="0" applyFont="1" applyFill="1">
      <alignment vertical="center"/>
    </xf>
    <xf numFmtId="0" fontId="140" fillId="5" borderId="236" xfId="0" applyFont="1" applyFill="1" applyBorder="1" applyAlignment="1">
      <alignment horizontal="center" vertical="center" wrapText="1"/>
    </xf>
    <xf numFmtId="0" fontId="138" fillId="5" borderId="0" xfId="0" applyFont="1" applyFill="1" applyBorder="1" applyAlignment="1">
      <alignment vertical="center" wrapText="1"/>
    </xf>
    <xf numFmtId="3" fontId="138" fillId="5" borderId="0" xfId="0" applyNumberFormat="1" applyFont="1" applyFill="1" applyBorder="1" applyAlignment="1">
      <alignment horizontal="right" vertical="center" wrapText="1"/>
    </xf>
    <xf numFmtId="0" fontId="127" fillId="0" borderId="236" xfId="0" applyFont="1" applyBorder="1" applyAlignment="1">
      <alignment horizontal="right" vertical="top" wrapText="1"/>
    </xf>
    <xf numFmtId="0" fontId="127" fillId="0" borderId="237" xfId="0" applyFont="1" applyBorder="1" applyAlignment="1">
      <alignment horizontal="right" vertical="top" wrapText="1"/>
    </xf>
    <xf numFmtId="0" fontId="127" fillId="0" borderId="238" xfId="0" applyFont="1" applyBorder="1" applyAlignment="1">
      <alignment vertical="top" wrapText="1"/>
    </xf>
    <xf numFmtId="0" fontId="127" fillId="0" borderId="256" xfId="0" applyFont="1" applyBorder="1" applyAlignment="1">
      <alignment vertical="center" wrapText="1"/>
    </xf>
    <xf numFmtId="0" fontId="127" fillId="0" borderId="264" xfId="0" applyFont="1" applyBorder="1" applyAlignment="1">
      <alignment vertical="center" wrapText="1"/>
    </xf>
    <xf numFmtId="0" fontId="140" fillId="5" borderId="259" xfId="0" applyFont="1" applyFill="1" applyBorder="1" applyAlignment="1">
      <alignment horizontal="center" vertical="center" wrapText="1"/>
    </xf>
    <xf numFmtId="0" fontId="127" fillId="0" borderId="256" xfId="0" applyFont="1" applyBorder="1" applyAlignment="1">
      <alignment vertical="top" wrapText="1"/>
    </xf>
    <xf numFmtId="0" fontId="127" fillId="0" borderId="264" xfId="0" applyFont="1" applyBorder="1" applyAlignment="1">
      <alignment vertical="top" wrapText="1"/>
    </xf>
    <xf numFmtId="0" fontId="140" fillId="5" borderId="260" xfId="0" applyFont="1" applyFill="1" applyBorder="1" applyAlignment="1">
      <alignment horizontal="center" vertical="center" wrapText="1"/>
    </xf>
    <xf numFmtId="0" fontId="140" fillId="5" borderId="255" xfId="0" applyFont="1" applyFill="1" applyBorder="1" applyAlignment="1">
      <alignment horizontal="center" vertical="center" wrapText="1"/>
    </xf>
    <xf numFmtId="3" fontId="127" fillId="0" borderId="256" xfId="0" applyNumberFormat="1" applyFont="1" applyBorder="1" applyAlignment="1">
      <alignment vertical="center" wrapText="1"/>
    </xf>
    <xf numFmtId="0" fontId="140" fillId="0" borderId="235" xfId="0" applyFont="1" applyBorder="1" applyAlignment="1">
      <alignment vertical="top" wrapText="1"/>
    </xf>
    <xf numFmtId="0" fontId="140" fillId="0" borderId="238" xfId="0" applyFont="1" applyBorder="1" applyAlignment="1">
      <alignment vertical="top" wrapText="1"/>
    </xf>
    <xf numFmtId="3" fontId="127" fillId="0" borderId="256" xfId="0" applyNumberFormat="1" applyFont="1" applyBorder="1" applyAlignment="1">
      <alignment vertical="top" wrapText="1"/>
    </xf>
    <xf numFmtId="0" fontId="140" fillId="5" borderId="261" xfId="0" applyFont="1" applyFill="1" applyBorder="1" applyAlignment="1">
      <alignment horizontal="center" vertical="center" wrapText="1"/>
    </xf>
    <xf numFmtId="0" fontId="140" fillId="5" borderId="263" xfId="0" applyFont="1" applyFill="1" applyBorder="1" applyAlignment="1">
      <alignment horizontal="center" vertical="center" wrapText="1"/>
    </xf>
    <xf numFmtId="0" fontId="19" fillId="5" borderId="0" xfId="7" applyFont="1" applyFill="1" applyAlignment="1">
      <alignment horizontal="right" vertical="center"/>
    </xf>
    <xf numFmtId="3" fontId="19" fillId="5" borderId="0" xfId="7" applyNumberFormat="1" applyFont="1" applyFill="1" applyBorder="1" applyAlignment="1">
      <alignment horizontal="right" vertical="center"/>
    </xf>
    <xf numFmtId="0" fontId="141" fillId="5" borderId="236" xfId="0" applyFont="1" applyFill="1" applyBorder="1" applyAlignment="1">
      <alignment horizontal="center" vertical="center" wrapText="1"/>
    </xf>
    <xf numFmtId="0" fontId="142" fillId="0" borderId="235" xfId="0" applyFont="1" applyBorder="1" applyAlignment="1">
      <alignment vertical="center" wrapText="1"/>
    </xf>
    <xf numFmtId="0" fontId="142" fillId="0" borderId="256" xfId="0" applyFont="1" applyBorder="1" applyAlignment="1">
      <alignment vertical="center" wrapText="1"/>
    </xf>
    <xf numFmtId="3" fontId="142" fillId="0" borderId="236" xfId="0" applyNumberFormat="1" applyFont="1" applyBorder="1" applyAlignment="1">
      <alignment horizontal="right" vertical="center" wrapText="1"/>
    </xf>
    <xf numFmtId="3" fontId="142" fillId="0" borderId="237" xfId="0" applyNumberFormat="1" applyFont="1" applyBorder="1" applyAlignment="1">
      <alignment horizontal="right" vertical="center" wrapText="1"/>
    </xf>
    <xf numFmtId="0" fontId="142" fillId="0" borderId="237" xfId="0" applyFont="1" applyBorder="1" applyAlignment="1">
      <alignment horizontal="right" vertical="center" wrapText="1"/>
    </xf>
    <xf numFmtId="0" fontId="142" fillId="0" borderId="236" xfId="0" applyFont="1" applyBorder="1" applyAlignment="1">
      <alignment horizontal="right" vertical="center" wrapText="1"/>
    </xf>
    <xf numFmtId="0" fontId="142" fillId="0" borderId="238" xfId="0" applyFont="1" applyBorder="1" applyAlignment="1">
      <alignment vertical="center" wrapText="1"/>
    </xf>
    <xf numFmtId="0" fontId="142" fillId="0" borderId="264" xfId="0" applyFont="1" applyBorder="1" applyAlignment="1">
      <alignment vertical="center" wrapText="1"/>
    </xf>
    <xf numFmtId="0" fontId="142" fillId="0" borderId="239" xfId="0" applyFont="1" applyBorder="1" applyAlignment="1">
      <alignment horizontal="right" vertical="center" wrapText="1"/>
    </xf>
    <xf numFmtId="0" fontId="142" fillId="0" borderId="240" xfId="0" applyFont="1" applyBorder="1" applyAlignment="1">
      <alignment horizontal="right" vertical="center" wrapText="1"/>
    </xf>
    <xf numFmtId="0" fontId="19" fillId="5" borderId="0" xfId="0" applyFont="1" applyFill="1" applyAlignment="1">
      <alignment horizontal="right" vertical="center"/>
    </xf>
    <xf numFmtId="3" fontId="142" fillId="0" borderId="256" xfId="0" applyNumberFormat="1" applyFont="1" applyBorder="1" applyAlignment="1">
      <alignment vertical="center" wrapText="1"/>
    </xf>
    <xf numFmtId="0" fontId="25" fillId="4" borderId="0" xfId="7" applyFont="1" applyFill="1" applyAlignment="1">
      <alignment horizontal="right" vertical="center"/>
    </xf>
    <xf numFmtId="3" fontId="25" fillId="4" borderId="0" xfId="7" applyNumberFormat="1" applyFont="1" applyFill="1" applyBorder="1" applyAlignment="1">
      <alignment horizontal="right" vertical="center"/>
    </xf>
    <xf numFmtId="0" fontId="25" fillId="4" borderId="0" xfId="0" applyFont="1" applyFill="1" applyAlignment="1">
      <alignment horizontal="right" vertical="center"/>
    </xf>
    <xf numFmtId="0" fontId="143" fillId="0" borderId="0" xfId="0" applyFont="1">
      <alignment vertical="center"/>
    </xf>
    <xf numFmtId="0" fontId="143" fillId="16" borderId="268" xfId="0" applyFont="1" applyFill="1" applyBorder="1" applyAlignment="1">
      <alignment horizontal="center" vertical="center"/>
    </xf>
    <xf numFmtId="0" fontId="44" fillId="0" borderId="268" xfId="0" applyFont="1" applyBorder="1">
      <alignment vertical="center"/>
    </xf>
    <xf numFmtId="180" fontId="44" fillId="0" borderId="268" xfId="0" applyNumberFormat="1" applyFont="1" applyBorder="1">
      <alignment vertical="center"/>
    </xf>
    <xf numFmtId="0" fontId="24" fillId="36" borderId="268" xfId="0" applyFont="1" applyFill="1" applyBorder="1">
      <alignment vertical="center"/>
    </xf>
    <xf numFmtId="180" fontId="24" fillId="36" borderId="268" xfId="0" applyNumberFormat="1" applyFont="1" applyFill="1" applyBorder="1">
      <alignment vertical="center"/>
    </xf>
    <xf numFmtId="0" fontId="24" fillId="18" borderId="268" xfId="0" applyFont="1" applyFill="1" applyBorder="1">
      <alignment vertical="center"/>
    </xf>
    <xf numFmtId="180" fontId="24" fillId="18" borderId="268" xfId="0" applyNumberFormat="1" applyFont="1" applyFill="1" applyBorder="1">
      <alignment vertical="center"/>
    </xf>
    <xf numFmtId="0" fontId="144" fillId="18" borderId="268" xfId="0" applyFont="1" applyFill="1" applyBorder="1" applyAlignment="1">
      <alignment horizontal="left" vertical="center" indent="1"/>
    </xf>
    <xf numFmtId="0" fontId="144" fillId="18" borderId="268" xfId="0" applyFont="1" applyFill="1" applyBorder="1">
      <alignment vertical="center"/>
    </xf>
    <xf numFmtId="184" fontId="144" fillId="18" borderId="268" xfId="0" applyNumberFormat="1" applyFont="1" applyFill="1" applyBorder="1" applyAlignment="1">
      <alignment horizontal="right" vertical="center"/>
    </xf>
    <xf numFmtId="0" fontId="144" fillId="0" borderId="0" xfId="0" applyFont="1">
      <alignment vertical="center"/>
    </xf>
    <xf numFmtId="184" fontId="92" fillId="0" borderId="268" xfId="0" applyNumberFormat="1" applyFont="1" applyBorder="1">
      <alignment vertical="center"/>
    </xf>
    <xf numFmtId="184" fontId="144" fillId="36" borderId="268" xfId="0" applyNumberFormat="1" applyFont="1" applyFill="1" applyBorder="1">
      <alignment vertical="center"/>
    </xf>
    <xf numFmtId="184" fontId="144" fillId="18" borderId="268" xfId="0" applyNumberFormat="1" applyFont="1" applyFill="1" applyBorder="1">
      <alignment vertical="center"/>
    </xf>
    <xf numFmtId="0" fontId="144" fillId="36" borderId="268" xfId="0" applyFont="1" applyFill="1" applyBorder="1" applyAlignment="1">
      <alignment horizontal="left" vertical="center" indent="1"/>
    </xf>
    <xf numFmtId="0" fontId="144" fillId="36" borderId="268" xfId="0" applyFont="1" applyFill="1" applyBorder="1">
      <alignment vertical="center"/>
    </xf>
    <xf numFmtId="184" fontId="144" fillId="36" borderId="268" xfId="0" applyNumberFormat="1" applyFont="1" applyFill="1" applyBorder="1" applyAlignment="1">
      <alignment horizontal="right" vertical="center"/>
    </xf>
    <xf numFmtId="0" fontId="24" fillId="14" borderId="268" xfId="0" applyFont="1" applyFill="1" applyBorder="1">
      <alignment vertical="center"/>
    </xf>
    <xf numFmtId="184" fontId="144" fillId="14" borderId="268" xfId="0" applyNumberFormat="1" applyFont="1" applyFill="1" applyBorder="1">
      <alignment vertical="center"/>
    </xf>
    <xf numFmtId="0" fontId="143" fillId="16" borderId="55" xfId="0" applyFont="1" applyFill="1" applyBorder="1" applyAlignment="1">
      <alignment horizontal="center" vertical="center"/>
    </xf>
    <xf numFmtId="0" fontId="44" fillId="0" borderId="110" xfId="0" applyFont="1" applyBorder="1" applyAlignment="1">
      <alignment horizontal="center" vertical="center"/>
    </xf>
    <xf numFmtId="0" fontId="23" fillId="0" borderId="110" xfId="0" applyFont="1" applyBorder="1">
      <alignment vertical="center"/>
    </xf>
    <xf numFmtId="180" fontId="23" fillId="0" borderId="110" xfId="0" applyNumberFormat="1" applyFont="1" applyBorder="1">
      <alignment vertical="center"/>
    </xf>
    <xf numFmtId="0" fontId="92" fillId="0" borderId="110" xfId="0" applyFont="1" applyFill="1" applyBorder="1" applyAlignment="1">
      <alignment horizontal="center" vertical="center"/>
    </xf>
    <xf numFmtId="0" fontId="92" fillId="0" borderId="110" xfId="0" applyFont="1" applyFill="1" applyBorder="1">
      <alignment vertical="center"/>
    </xf>
    <xf numFmtId="180" fontId="92" fillId="0" borderId="110" xfId="0" applyNumberFormat="1" applyFont="1" applyFill="1" applyBorder="1" applyAlignment="1">
      <alignment horizontal="right" vertical="center"/>
    </xf>
    <xf numFmtId="184" fontId="92" fillId="0" borderId="110" xfId="0" applyNumberFormat="1" applyFont="1" applyFill="1" applyBorder="1">
      <alignment vertical="center"/>
    </xf>
    <xf numFmtId="0" fontId="24" fillId="18" borderId="110" xfId="0" applyFont="1" applyFill="1" applyBorder="1" applyAlignment="1">
      <alignment horizontal="center" vertical="center"/>
    </xf>
    <xf numFmtId="0" fontId="24" fillId="18" borderId="110" xfId="0" applyFont="1" applyFill="1" applyBorder="1">
      <alignment vertical="center"/>
    </xf>
    <xf numFmtId="180" fontId="24" fillId="18" borderId="110" xfId="0" applyNumberFormat="1" applyFont="1" applyFill="1" applyBorder="1">
      <alignment vertical="center"/>
    </xf>
    <xf numFmtId="0" fontId="92" fillId="18" borderId="110" xfId="0" applyFont="1" applyFill="1" applyBorder="1" applyAlignment="1">
      <alignment horizontal="center" vertical="center"/>
    </xf>
    <xf numFmtId="0" fontId="92" fillId="18" borderId="110" xfId="0" applyFont="1" applyFill="1" applyBorder="1">
      <alignment vertical="center"/>
    </xf>
    <xf numFmtId="180" fontId="92" fillId="18" borderId="110" xfId="0" applyNumberFormat="1" applyFont="1" applyFill="1" applyBorder="1" applyAlignment="1">
      <alignment horizontal="right" vertical="center"/>
    </xf>
    <xf numFmtId="184" fontId="92" fillId="18" borderId="110" xfId="0" applyNumberFormat="1" applyFont="1" applyFill="1" applyBorder="1">
      <alignment vertical="center"/>
    </xf>
    <xf numFmtId="180" fontId="23" fillId="0" borderId="0" xfId="0" applyNumberFormat="1" applyFont="1" applyBorder="1">
      <alignment vertical="center"/>
    </xf>
    <xf numFmtId="180" fontId="24" fillId="0" borderId="0" xfId="0" applyNumberFormat="1" applyFont="1" applyBorder="1">
      <alignment vertical="center"/>
    </xf>
    <xf numFmtId="0" fontId="24" fillId="36" borderId="55" xfId="0" applyFont="1" applyFill="1" applyBorder="1" applyAlignment="1">
      <alignment horizontal="center" vertical="center"/>
    </xf>
    <xf numFmtId="180" fontId="24" fillId="0" borderId="110" xfId="0" applyNumberFormat="1" applyFont="1" applyBorder="1">
      <alignment vertical="center"/>
    </xf>
    <xf numFmtId="184" fontId="144" fillId="0" borderId="110" xfId="0" applyNumberFormat="1" applyFont="1" applyFill="1" applyBorder="1">
      <alignment vertical="center"/>
    </xf>
    <xf numFmtId="180" fontId="23" fillId="19" borderId="110" xfId="0" applyNumberFormat="1" applyFont="1" applyFill="1" applyBorder="1">
      <alignment vertical="center"/>
    </xf>
    <xf numFmtId="184" fontId="144" fillId="18" borderId="110" xfId="0" applyNumberFormat="1" applyFont="1" applyFill="1" applyBorder="1">
      <alignment vertical="center"/>
    </xf>
    <xf numFmtId="0" fontId="23" fillId="5" borderId="268" xfId="0" applyFont="1" applyFill="1" applyBorder="1">
      <alignment vertical="center"/>
    </xf>
    <xf numFmtId="180" fontId="23" fillId="5" borderId="268" xfId="0" applyNumberFormat="1" applyFont="1" applyFill="1" applyBorder="1">
      <alignment vertical="center"/>
    </xf>
    <xf numFmtId="184" fontId="92" fillId="5" borderId="268" xfId="0" applyNumberFormat="1" applyFont="1" applyFill="1" applyBorder="1">
      <alignment vertical="center"/>
    </xf>
    <xf numFmtId="0" fontId="127" fillId="0" borderId="239" xfId="0" applyFont="1" applyBorder="1" applyAlignment="1">
      <alignment horizontal="right" vertical="center" wrapText="1"/>
    </xf>
    <xf numFmtId="0" fontId="25" fillId="5" borderId="0" xfId="0" applyFont="1" applyFill="1">
      <alignment vertical="center"/>
    </xf>
    <xf numFmtId="0" fontId="0" fillId="4" borderId="0" xfId="0" applyFill="1">
      <alignment vertical="center"/>
    </xf>
    <xf numFmtId="0" fontId="143" fillId="16" borderId="0" xfId="0" applyFont="1" applyFill="1" applyBorder="1" applyAlignment="1">
      <alignment horizontal="center" vertical="center"/>
    </xf>
    <xf numFmtId="180" fontId="24" fillId="18" borderId="0" xfId="0" applyNumberFormat="1" applyFont="1" applyFill="1" applyBorder="1">
      <alignment vertical="center"/>
    </xf>
    <xf numFmtId="184" fontId="92" fillId="0" borderId="0" xfId="0" applyNumberFormat="1" applyFont="1" applyFill="1" applyBorder="1">
      <alignment vertical="center"/>
    </xf>
    <xf numFmtId="184" fontId="92" fillId="18" borderId="0" xfId="0" applyNumberFormat="1" applyFont="1" applyFill="1" applyBorder="1">
      <alignment vertical="center"/>
    </xf>
    <xf numFmtId="0" fontId="25" fillId="5" borderId="236" xfId="0" applyFont="1" applyFill="1" applyBorder="1" applyAlignment="1">
      <alignment horizontal="center" vertical="center" wrapText="1"/>
    </xf>
    <xf numFmtId="0" fontId="42" fillId="5" borderId="0" xfId="0" applyFont="1" applyFill="1" applyAlignment="1">
      <alignment horizontal="right" vertical="center"/>
    </xf>
    <xf numFmtId="0" fontId="127" fillId="0" borderId="240" xfId="0" applyFont="1" applyBorder="1" applyAlignment="1">
      <alignment horizontal="right" vertical="center" wrapText="1"/>
    </xf>
    <xf numFmtId="0" fontId="127" fillId="0" borderId="264" xfId="0" applyFont="1" applyBorder="1" applyAlignment="1">
      <alignment horizontal="center" vertical="top" wrapText="1"/>
    </xf>
    <xf numFmtId="0" fontId="44" fillId="0" borderId="268" xfId="0" applyFont="1" applyBorder="1" applyAlignment="1">
      <alignment horizontal="left" vertical="center"/>
    </xf>
    <xf numFmtId="0" fontId="23" fillId="5" borderId="268" xfId="0" applyFont="1" applyFill="1" applyBorder="1" applyAlignment="1">
      <alignment horizontal="left" vertical="center"/>
    </xf>
    <xf numFmtId="186" fontId="23" fillId="5" borderId="268" xfId="0" applyNumberFormat="1" applyFont="1" applyFill="1" applyBorder="1">
      <alignment vertical="center"/>
    </xf>
    <xf numFmtId="184" fontId="144" fillId="0" borderId="268" xfId="0" applyNumberFormat="1" applyFont="1" applyBorder="1">
      <alignment vertical="center"/>
    </xf>
    <xf numFmtId="199" fontId="77" fillId="39" borderId="223" xfId="5" applyNumberFormat="1" applyFont="1" applyFill="1" applyBorder="1" applyAlignment="1">
      <alignment horizontal="center" vertical="center"/>
    </xf>
    <xf numFmtId="14" fontId="149" fillId="4" borderId="19" xfId="0" applyNumberFormat="1" applyFont="1" applyFill="1" applyBorder="1" applyAlignment="1">
      <alignment horizontal="center" vertical="center" wrapText="1"/>
    </xf>
    <xf numFmtId="180" fontId="43" fillId="5" borderId="0" xfId="11" applyNumberFormat="1" applyFont="1" applyFill="1" applyBorder="1" applyAlignment="1" applyProtection="1">
      <alignment vertical="center"/>
    </xf>
    <xf numFmtId="180" fontId="43" fillId="5" borderId="0" xfId="11" applyNumberFormat="1" applyFont="1" applyFill="1" applyBorder="1" applyAlignment="1" applyProtection="1">
      <alignment horizontal="left" vertical="center" indent="1"/>
    </xf>
    <xf numFmtId="14" fontId="114" fillId="4" borderId="205" xfId="0" applyNumberFormat="1" applyFont="1" applyFill="1" applyBorder="1" applyAlignment="1">
      <alignment horizontal="center" vertical="center"/>
    </xf>
    <xf numFmtId="193" fontId="119" fillId="5" borderId="0" xfId="0" applyNumberFormat="1" applyFont="1" applyFill="1" applyBorder="1" applyAlignment="1">
      <alignment horizontal="right" vertical="center"/>
    </xf>
    <xf numFmtId="0" fontId="116" fillId="5" borderId="0" xfId="0" applyFont="1" applyFill="1" applyAlignment="1">
      <alignment horizontal="left" vertical="center"/>
    </xf>
    <xf numFmtId="0" fontId="42" fillId="5" borderId="0" xfId="0" applyFont="1" applyFill="1">
      <alignment vertical="center"/>
    </xf>
    <xf numFmtId="180" fontId="115" fillId="5" borderId="0" xfId="11" applyNumberFormat="1" applyFont="1" applyFill="1" applyBorder="1" applyAlignment="1" applyProtection="1">
      <alignment horizontal="left" vertical="center"/>
    </xf>
    <xf numFmtId="193" fontId="118" fillId="5" borderId="0" xfId="0" applyNumberFormat="1" applyFont="1" applyFill="1" applyBorder="1" applyAlignment="1">
      <alignment horizontal="right" vertical="center"/>
    </xf>
    <xf numFmtId="0" fontId="151" fillId="0" borderId="0" xfId="0" applyFont="1">
      <alignment vertical="center"/>
    </xf>
    <xf numFmtId="0" fontId="25" fillId="0" borderId="0" xfId="0" applyFont="1" applyAlignment="1">
      <alignment horizontal="right" vertical="center"/>
    </xf>
    <xf numFmtId="0" fontId="42" fillId="27" borderId="107" xfId="0" applyFont="1" applyFill="1" applyBorder="1" applyAlignment="1">
      <alignment horizontal="center" vertical="center"/>
    </xf>
    <xf numFmtId="0" fontId="152" fillId="0" borderId="108" xfId="0" applyFont="1" applyBorder="1" applyAlignment="1">
      <alignment horizontal="center" vertical="center"/>
    </xf>
    <xf numFmtId="0" fontId="152" fillId="0" borderId="109" xfId="0" applyFont="1" applyBorder="1" applyAlignment="1">
      <alignment horizontal="center" vertical="center"/>
    </xf>
    <xf numFmtId="0" fontId="152" fillId="0" borderId="269" xfId="0" applyFont="1" applyBorder="1" applyAlignment="1">
      <alignment horizontal="center" vertical="center"/>
    </xf>
    <xf numFmtId="0" fontId="0" fillId="0" borderId="270" xfId="0" applyBorder="1" applyAlignment="1">
      <alignment horizontal="center" vertical="center"/>
    </xf>
    <xf numFmtId="41" fontId="0" fillId="0" borderId="270" xfId="4" applyFont="1" applyBorder="1" applyAlignment="1">
      <alignment horizontal="center" vertical="center"/>
    </xf>
    <xf numFmtId="200" fontId="0" fillId="0" borderId="270" xfId="0" applyNumberFormat="1" applyBorder="1" applyAlignment="1">
      <alignment horizontal="right" vertical="center"/>
    </xf>
    <xf numFmtId="0" fontId="152" fillId="0" borderId="271" xfId="0" applyFont="1" applyBorder="1" applyAlignment="1">
      <alignment horizontal="center" vertical="center"/>
    </xf>
    <xf numFmtId="0" fontId="152" fillId="0" borderId="272" xfId="0" applyFont="1" applyBorder="1" applyAlignment="1">
      <alignment horizontal="left" vertical="center"/>
    </xf>
    <xf numFmtId="41" fontId="16" fillId="0" borderId="273" xfId="0" applyNumberFormat="1" applyFont="1" applyBorder="1" applyAlignment="1">
      <alignment horizontal="center" vertical="center"/>
    </xf>
    <xf numFmtId="41" fontId="16" fillId="0" borderId="272" xfId="0" applyNumberFormat="1" applyFont="1" applyBorder="1" applyAlignment="1">
      <alignment horizontal="center" vertical="center"/>
    </xf>
    <xf numFmtId="0" fontId="0" fillId="0" borderId="274" xfId="0" applyBorder="1" applyAlignment="1">
      <alignment horizontal="center" vertical="center"/>
    </xf>
    <xf numFmtId="41" fontId="0" fillId="0" borderId="274" xfId="4" applyFont="1" applyBorder="1" applyAlignment="1">
      <alignment horizontal="center" vertical="center"/>
    </xf>
    <xf numFmtId="200" fontId="0" fillId="0" borderId="274" xfId="0" applyNumberFormat="1" applyBorder="1" applyAlignment="1">
      <alignment horizontal="right" vertical="center"/>
    </xf>
    <xf numFmtId="0" fontId="152" fillId="0" borderId="275" xfId="0" applyFont="1" applyBorder="1" applyAlignment="1">
      <alignment horizontal="center" vertical="center"/>
    </xf>
    <xf numFmtId="0" fontId="152" fillId="0" borderId="276" xfId="0" applyFont="1" applyBorder="1" applyAlignment="1">
      <alignment horizontal="left" vertical="center"/>
    </xf>
    <xf numFmtId="41" fontId="152" fillId="0" borderId="0" xfId="0" applyNumberFormat="1" applyFont="1" applyBorder="1" applyAlignment="1">
      <alignment horizontal="center" vertical="center"/>
    </xf>
    <xf numFmtId="41" fontId="152" fillId="0" borderId="276" xfId="0" applyNumberFormat="1" applyFont="1" applyBorder="1" applyAlignment="1">
      <alignment horizontal="center" vertical="center"/>
    </xf>
    <xf numFmtId="41" fontId="42" fillId="0" borderId="107" xfId="0" applyNumberFormat="1" applyFont="1" applyBorder="1" applyAlignment="1">
      <alignment horizontal="center" vertical="center"/>
    </xf>
    <xf numFmtId="0" fontId="152" fillId="0" borderId="276" xfId="0" applyFont="1" applyBorder="1" applyAlignment="1">
      <alignment horizontal="left" vertical="center" indent="1"/>
    </xf>
    <xf numFmtId="41" fontId="16" fillId="0" borderId="0" xfId="0" applyNumberFormat="1" applyFont="1" applyBorder="1" applyAlignment="1">
      <alignment horizontal="center" vertical="center"/>
    </xf>
    <xf numFmtId="41" fontId="16" fillId="0" borderId="276" xfId="0" applyNumberFormat="1" applyFont="1" applyBorder="1" applyAlignment="1">
      <alignment horizontal="center" vertical="center"/>
    </xf>
    <xf numFmtId="41" fontId="0" fillId="0" borderId="0" xfId="4" applyFont="1">
      <alignment vertical="center"/>
    </xf>
    <xf numFmtId="0" fontId="25" fillId="0" borderId="0" xfId="0" applyFont="1" applyAlignment="1">
      <alignment horizontal="right"/>
    </xf>
    <xf numFmtId="0" fontId="16" fillId="0" borderId="275" xfId="0" applyFont="1" applyBorder="1">
      <alignment vertical="center"/>
    </xf>
    <xf numFmtId="41" fontId="16" fillId="0" borderId="0" xfId="0" applyNumberFormat="1" applyFont="1" applyBorder="1">
      <alignment vertical="center"/>
    </xf>
    <xf numFmtId="41" fontId="16" fillId="0" borderId="276" xfId="0" applyNumberFormat="1" applyFont="1" applyBorder="1">
      <alignment vertical="center"/>
    </xf>
    <xf numFmtId="0" fontId="0" fillId="0" borderId="277" xfId="0" applyNumberFormat="1" applyBorder="1" applyAlignment="1">
      <alignment horizontal="center" vertical="center"/>
    </xf>
    <xf numFmtId="41" fontId="0" fillId="0" borderId="277" xfId="4" applyFont="1" applyBorder="1">
      <alignment vertical="center"/>
    </xf>
    <xf numFmtId="200" fontId="0" fillId="0" borderId="277" xfId="4" applyNumberFormat="1" applyFont="1" applyBorder="1">
      <alignment vertical="center"/>
    </xf>
    <xf numFmtId="0" fontId="16" fillId="0" borderId="278" xfId="0" applyFont="1" applyBorder="1">
      <alignment vertical="center"/>
    </xf>
    <xf numFmtId="0" fontId="152" fillId="0" borderId="279" xfId="0" applyFont="1" applyBorder="1" applyAlignment="1">
      <alignment horizontal="left" vertical="center"/>
    </xf>
    <xf numFmtId="41" fontId="16" fillId="0" borderId="280" xfId="0" applyNumberFormat="1" applyFont="1" applyBorder="1">
      <alignment vertical="center"/>
    </xf>
    <xf numFmtId="41" fontId="16" fillId="0" borderId="279" xfId="0" applyNumberFormat="1" applyFont="1" applyBorder="1">
      <alignment vertical="center"/>
    </xf>
    <xf numFmtId="0" fontId="0" fillId="0" borderId="281" xfId="0" applyNumberFormat="1" applyBorder="1" applyAlignment="1">
      <alignment horizontal="center" vertical="center"/>
    </xf>
    <xf numFmtId="41" fontId="0" fillId="0" borderId="281" xfId="4" applyFont="1" applyBorder="1">
      <alignment vertical="center"/>
    </xf>
    <xf numFmtId="41" fontId="42" fillId="0" borderId="107" xfId="4" applyFont="1" applyBorder="1" applyAlignment="1">
      <alignment horizontal="center" vertical="center"/>
    </xf>
    <xf numFmtId="0" fontId="152" fillId="0" borderId="0" xfId="0" applyFont="1" applyAlignment="1">
      <alignment horizontal="center" vertical="center"/>
    </xf>
    <xf numFmtId="0" fontId="152" fillId="0" borderId="0" xfId="0" applyFont="1" applyAlignment="1">
      <alignment horizontal="left" vertical="center"/>
    </xf>
    <xf numFmtId="41" fontId="0" fillId="0" borderId="0" xfId="0" applyNumberFormat="1" applyAlignment="1">
      <alignment horizontal="center" vertical="center"/>
    </xf>
    <xf numFmtId="41" fontId="0" fillId="0" borderId="0" xfId="0" applyNumberFormat="1">
      <alignment vertical="center"/>
    </xf>
    <xf numFmtId="0" fontId="23" fillId="0" borderId="0" xfId="12" applyFont="1">
      <alignment vertical="center"/>
    </xf>
    <xf numFmtId="0" fontId="59" fillId="0" borderId="0" xfId="4" applyNumberFormat="1" applyFont="1" applyAlignment="1">
      <alignment horizontal="center" vertical="center"/>
    </xf>
    <xf numFmtId="0" fontId="59" fillId="0" borderId="275" xfId="4" applyNumberFormat="1" applyFont="1" applyBorder="1" applyAlignment="1">
      <alignment horizontal="center" vertical="center"/>
    </xf>
    <xf numFmtId="0" fontId="59" fillId="0" borderId="0" xfId="4" applyNumberFormat="1" applyFont="1" applyBorder="1" applyAlignment="1">
      <alignment horizontal="center" vertical="center"/>
    </xf>
    <xf numFmtId="0" fontId="59" fillId="0" borderId="276" xfId="4" applyNumberFormat="1" applyFont="1" applyBorder="1" applyAlignment="1">
      <alignment horizontal="center" vertical="center"/>
    </xf>
    <xf numFmtId="201" fontId="23" fillId="42" borderId="284" xfId="12" applyNumberFormat="1" applyFont="1" applyFill="1" applyBorder="1">
      <alignment vertical="center"/>
    </xf>
    <xf numFmtId="14" fontId="23" fillId="42" borderId="285" xfId="12" applyNumberFormat="1" applyFont="1" applyFill="1" applyBorder="1">
      <alignment vertical="center"/>
    </xf>
    <xf numFmtId="14" fontId="23" fillId="0" borderId="0" xfId="12" applyNumberFormat="1" applyFont="1" applyFill="1" applyBorder="1">
      <alignment vertical="center"/>
    </xf>
    <xf numFmtId="180" fontId="23" fillId="0" borderId="0" xfId="12" applyNumberFormat="1" applyFont="1" applyFill="1">
      <alignment vertical="center"/>
    </xf>
    <xf numFmtId="14" fontId="23" fillId="0" borderId="0" xfId="12" applyNumberFormat="1" applyFont="1" applyFill="1">
      <alignment vertical="center"/>
    </xf>
    <xf numFmtId="14" fontId="23" fillId="0" borderId="0" xfId="12" applyNumberFormat="1" applyFont="1">
      <alignment vertical="center"/>
    </xf>
    <xf numFmtId="0" fontId="23" fillId="0" borderId="0" xfId="12" applyFont="1" applyAlignment="1">
      <alignment horizontal="right" vertical="center" indent="1"/>
    </xf>
    <xf numFmtId="41" fontId="50" fillId="0" borderId="0" xfId="4" applyFont="1" applyBorder="1">
      <alignment vertical="center"/>
    </xf>
    <xf numFmtId="41" fontId="50" fillId="0" borderId="0" xfId="4" applyFont="1">
      <alignment vertical="center"/>
    </xf>
    <xf numFmtId="41" fontId="50" fillId="0" borderId="276" xfId="4" applyFont="1" applyBorder="1">
      <alignment vertical="center"/>
    </xf>
    <xf numFmtId="201" fontId="23" fillId="42" borderId="286" xfId="12" applyNumberFormat="1" applyFont="1" applyFill="1" applyBorder="1">
      <alignment vertical="center"/>
    </xf>
    <xf numFmtId="180" fontId="23" fillId="42" borderId="287" xfId="12" applyNumberFormat="1" applyFont="1" applyFill="1" applyBorder="1">
      <alignment vertical="center"/>
    </xf>
    <xf numFmtId="180" fontId="23" fillId="0" borderId="0" xfId="12" applyNumberFormat="1" applyFont="1" applyFill="1" applyBorder="1">
      <alignment vertical="center"/>
    </xf>
    <xf numFmtId="201" fontId="23" fillId="42" borderId="288" xfId="12" applyNumberFormat="1" applyFont="1" applyFill="1" applyBorder="1">
      <alignment vertical="center"/>
    </xf>
    <xf numFmtId="14" fontId="23" fillId="42" borderId="289" xfId="12" applyNumberFormat="1" applyFont="1" applyFill="1" applyBorder="1">
      <alignment vertical="center"/>
    </xf>
    <xf numFmtId="201" fontId="23" fillId="0" borderId="0" xfId="12" applyNumberFormat="1" applyFont="1">
      <alignment vertical="center"/>
    </xf>
    <xf numFmtId="41" fontId="23" fillId="0" borderId="0" xfId="12" applyNumberFormat="1" applyFont="1">
      <alignment vertical="center"/>
    </xf>
    <xf numFmtId="41" fontId="50" fillId="0" borderId="0" xfId="4" applyFont="1" applyAlignment="1">
      <alignment horizontal="center" vertical="center"/>
    </xf>
    <xf numFmtId="41" fontId="50" fillId="0" borderId="276" xfId="4" applyFont="1" applyBorder="1" applyAlignment="1">
      <alignment horizontal="center" vertical="center"/>
    </xf>
    <xf numFmtId="0" fontId="154" fillId="0" borderId="0" xfId="12" applyFont="1" applyAlignment="1">
      <alignment horizontal="center" vertical="center"/>
    </xf>
    <xf numFmtId="0" fontId="154" fillId="0" borderId="276" xfId="12" applyFont="1" applyBorder="1" applyAlignment="1">
      <alignment horizontal="center" vertical="center"/>
    </xf>
    <xf numFmtId="0" fontId="23" fillId="36" borderId="107" xfId="12" applyFont="1" applyFill="1" applyBorder="1" applyAlignment="1">
      <alignment horizontal="center" vertical="center"/>
    </xf>
    <xf numFmtId="0" fontId="23" fillId="0" borderId="0" xfId="12" applyFont="1" applyAlignment="1">
      <alignment horizontal="center" vertical="center"/>
    </xf>
    <xf numFmtId="0" fontId="23" fillId="0" borderId="0" xfId="12" applyFont="1" applyFill="1" applyBorder="1" applyAlignment="1">
      <alignment horizontal="center" vertical="center"/>
    </xf>
    <xf numFmtId="14" fontId="23" fillId="0" borderId="0" xfId="12" applyNumberFormat="1" applyFont="1" applyFill="1" applyBorder="1" applyAlignment="1">
      <alignment horizontal="center" vertical="center"/>
    </xf>
    <xf numFmtId="201" fontId="23" fillId="0" borderId="0" xfId="12" applyNumberFormat="1" applyFont="1" applyFill="1" applyBorder="1" applyAlignment="1">
      <alignment horizontal="center" vertical="center"/>
    </xf>
    <xf numFmtId="0" fontId="23" fillId="0" borderId="275" xfId="12" applyFont="1" applyFill="1" applyBorder="1" applyAlignment="1">
      <alignment horizontal="center" vertical="center"/>
    </xf>
    <xf numFmtId="0" fontId="23" fillId="0" borderId="276" xfId="12" applyFont="1" applyFill="1" applyBorder="1" applyAlignment="1">
      <alignment horizontal="center" vertical="center"/>
    </xf>
    <xf numFmtId="0" fontId="23" fillId="0" borderId="0" xfId="12" applyFont="1" applyFill="1" applyAlignment="1">
      <alignment horizontal="center" vertical="center"/>
    </xf>
    <xf numFmtId="202" fontId="23" fillId="0" borderId="0" xfId="12" applyNumberFormat="1" applyFont="1">
      <alignment vertical="center"/>
    </xf>
    <xf numFmtId="184" fontId="23" fillId="0" borderId="0" xfId="12" applyNumberFormat="1" applyFont="1">
      <alignment vertical="center"/>
    </xf>
    <xf numFmtId="181" fontId="23" fillId="0" borderId="0" xfId="4" applyNumberFormat="1" applyFont="1">
      <alignment vertical="center"/>
    </xf>
    <xf numFmtId="41" fontId="23" fillId="0" borderId="275" xfId="12" applyNumberFormat="1" applyFont="1" applyBorder="1">
      <alignment vertical="center"/>
    </xf>
    <xf numFmtId="41" fontId="23" fillId="0" borderId="276" xfId="12" applyNumberFormat="1" applyFont="1" applyBorder="1">
      <alignment vertical="center"/>
    </xf>
    <xf numFmtId="41" fontId="23" fillId="0" borderId="0" xfId="12" applyNumberFormat="1" applyFont="1" applyBorder="1">
      <alignment vertical="center"/>
    </xf>
    <xf numFmtId="0" fontId="23" fillId="0" borderId="275" xfId="12" applyFont="1" applyBorder="1">
      <alignment vertical="center"/>
    </xf>
    <xf numFmtId="0" fontId="23" fillId="0" borderId="0" xfId="12" applyFont="1" applyBorder="1">
      <alignment vertical="center"/>
    </xf>
    <xf numFmtId="0" fontId="23" fillId="0" borderId="276" xfId="12" applyFont="1" applyBorder="1">
      <alignment vertical="center"/>
    </xf>
    <xf numFmtId="0" fontId="23" fillId="44" borderId="0" xfId="12" applyFont="1" applyFill="1">
      <alignment vertical="center"/>
    </xf>
    <xf numFmtId="14" fontId="23" fillId="44" borderId="0" xfId="12" applyNumberFormat="1" applyFont="1" applyFill="1">
      <alignment vertical="center"/>
    </xf>
    <xf numFmtId="201" fontId="23" fillId="44" borderId="0" xfId="12" applyNumberFormat="1" applyFont="1" applyFill="1">
      <alignment vertical="center"/>
    </xf>
    <xf numFmtId="41" fontId="23" fillId="44" borderId="0" xfId="12" applyNumberFormat="1" applyFont="1" applyFill="1">
      <alignment vertical="center"/>
    </xf>
    <xf numFmtId="41" fontId="23" fillId="44" borderId="0" xfId="4" applyFont="1" applyFill="1">
      <alignment vertical="center"/>
    </xf>
    <xf numFmtId="41" fontId="23" fillId="44" borderId="0" xfId="4" applyFont="1" applyFill="1" applyBorder="1">
      <alignment vertical="center"/>
    </xf>
    <xf numFmtId="41" fontId="23" fillId="44" borderId="276" xfId="4" applyFont="1" applyFill="1" applyBorder="1">
      <alignment vertical="center"/>
    </xf>
    <xf numFmtId="0" fontId="23" fillId="0" borderId="0" xfId="12" applyFont="1" applyFill="1" applyBorder="1" applyAlignment="1">
      <alignment horizontal="left" vertical="center"/>
    </xf>
    <xf numFmtId="14" fontId="13" fillId="0" borderId="0" xfId="4" applyNumberFormat="1" applyFont="1" applyAlignment="1">
      <alignment horizontal="center" vertical="center"/>
    </xf>
    <xf numFmtId="0" fontId="154" fillId="0" borderId="0" xfId="12" applyFont="1" applyBorder="1" applyAlignment="1">
      <alignment horizontal="center" vertical="center"/>
    </xf>
    <xf numFmtId="41" fontId="23" fillId="44" borderId="0" xfId="12" applyNumberFormat="1" applyFont="1" applyFill="1" applyBorder="1">
      <alignment vertical="center"/>
    </xf>
    <xf numFmtId="0" fontId="23" fillId="0" borderId="275" xfId="12" applyFont="1" applyBorder="1" applyAlignment="1">
      <alignment horizontal="right" vertical="center" indent="1"/>
    </xf>
    <xf numFmtId="14" fontId="23" fillId="36" borderId="108" xfId="12" applyNumberFormat="1" applyFont="1" applyFill="1" applyBorder="1" applyAlignment="1">
      <alignment horizontal="center" vertical="center"/>
    </xf>
    <xf numFmtId="183" fontId="38" fillId="0" borderId="0" xfId="0" applyNumberFormat="1" applyFont="1">
      <alignment vertical="center"/>
    </xf>
    <xf numFmtId="0" fontId="23" fillId="0" borderId="0" xfId="12" applyFont="1" applyFill="1">
      <alignment vertical="center"/>
    </xf>
    <xf numFmtId="201" fontId="23" fillId="0" borderId="0" xfId="12" applyNumberFormat="1" applyFont="1" applyFill="1">
      <alignment vertical="center"/>
    </xf>
    <xf numFmtId="41" fontId="23" fillId="0" borderId="0" xfId="12" applyNumberFormat="1" applyFont="1" applyFill="1">
      <alignment vertical="center"/>
    </xf>
    <xf numFmtId="0" fontId="23" fillId="0" borderId="275" xfId="12" applyFont="1" applyFill="1" applyBorder="1">
      <alignment vertical="center"/>
    </xf>
    <xf numFmtId="41" fontId="23" fillId="0" borderId="0" xfId="12" applyNumberFormat="1" applyFont="1" applyFill="1" applyBorder="1">
      <alignment vertical="center"/>
    </xf>
    <xf numFmtId="41" fontId="23" fillId="0" borderId="0" xfId="4" applyFont="1" applyFill="1">
      <alignment vertical="center"/>
    </xf>
    <xf numFmtId="41" fontId="23" fillId="0" borderId="276" xfId="4" applyFont="1" applyFill="1" applyBorder="1">
      <alignment vertical="center"/>
    </xf>
    <xf numFmtId="14" fontId="23" fillId="0" borderId="0" xfId="12" applyNumberFormat="1" applyFont="1" applyFill="1" applyAlignment="1">
      <alignment horizontal="center" vertical="center"/>
    </xf>
    <xf numFmtId="14" fontId="23" fillId="0" borderId="0" xfId="12" applyNumberFormat="1" applyFont="1" applyAlignment="1">
      <alignment horizontal="center" vertical="center"/>
    </xf>
    <xf numFmtId="14" fontId="23" fillId="44" borderId="0" xfId="12" applyNumberFormat="1" applyFont="1" applyFill="1" applyAlignment="1">
      <alignment horizontal="center" vertical="center"/>
    </xf>
    <xf numFmtId="0" fontId="23" fillId="0" borderId="0" xfId="12" applyFont="1" applyFill="1" applyAlignment="1">
      <alignment horizontal="left" vertical="center"/>
    </xf>
    <xf numFmtId="0" fontId="23" fillId="0" borderId="0" xfId="12" applyFont="1" applyAlignment="1">
      <alignment horizontal="left" vertical="center"/>
    </xf>
    <xf numFmtId="41" fontId="23" fillId="19" borderId="0" xfId="12" applyNumberFormat="1" applyFont="1" applyFill="1">
      <alignment vertical="center"/>
    </xf>
    <xf numFmtId="41" fontId="23" fillId="44" borderId="275" xfId="12" applyNumberFormat="1" applyFont="1" applyFill="1" applyBorder="1">
      <alignment vertical="center"/>
    </xf>
    <xf numFmtId="41" fontId="23" fillId="44" borderId="275" xfId="4" applyFont="1" applyFill="1" applyBorder="1">
      <alignment vertical="center"/>
    </xf>
    <xf numFmtId="0" fontId="156" fillId="45" borderId="290" xfId="0" applyFont="1" applyFill="1" applyBorder="1" applyAlignment="1">
      <alignment horizontal="center" vertical="center" wrapText="1" readingOrder="1"/>
    </xf>
    <xf numFmtId="0" fontId="157" fillId="45" borderId="290" xfId="0" applyFont="1" applyFill="1" applyBorder="1" applyAlignment="1">
      <alignment horizontal="center" vertical="center" wrapText="1" readingOrder="1"/>
    </xf>
    <xf numFmtId="0" fontId="156" fillId="0" borderId="290" xfId="0" applyFont="1" applyBorder="1" applyAlignment="1">
      <alignment horizontal="left" vertical="center" wrapText="1" readingOrder="1"/>
    </xf>
    <xf numFmtId="3" fontId="157" fillId="0" borderId="290" xfId="0" applyNumberFormat="1" applyFont="1" applyBorder="1" applyAlignment="1">
      <alignment horizontal="right" vertical="center" wrapText="1" readingOrder="1"/>
    </xf>
    <xf numFmtId="0" fontId="156" fillId="0" borderId="290" xfId="0" applyFont="1" applyBorder="1" applyAlignment="1">
      <alignment horizontal="left" vertical="center" wrapText="1" indent="1" readingOrder="1"/>
    </xf>
    <xf numFmtId="3" fontId="158" fillId="0" borderId="290" xfId="0" applyNumberFormat="1" applyFont="1" applyBorder="1" applyAlignment="1">
      <alignment horizontal="right" vertical="center" wrapText="1" readingOrder="1"/>
    </xf>
    <xf numFmtId="0" fontId="159" fillId="0" borderId="290" xfId="0" applyFont="1" applyBorder="1" applyAlignment="1">
      <alignment horizontal="left" vertical="center" wrapText="1" indent="2" readingOrder="1"/>
    </xf>
    <xf numFmtId="9" fontId="157" fillId="0" borderId="290" xfId="0" applyNumberFormat="1" applyFont="1" applyBorder="1" applyAlignment="1">
      <alignment horizontal="right" vertical="center" wrapText="1" readingOrder="1"/>
    </xf>
    <xf numFmtId="0" fontId="160" fillId="0" borderId="0" xfId="0" applyFont="1" applyAlignment="1">
      <alignment horizontal="left" vertical="center" readingOrder="1"/>
    </xf>
    <xf numFmtId="0" fontId="48" fillId="5" borderId="0" xfId="0" applyFont="1" applyFill="1">
      <alignment vertical="center"/>
    </xf>
    <xf numFmtId="9" fontId="48" fillId="5" borderId="0" xfId="9" applyFont="1" applyFill="1">
      <alignment vertical="center"/>
    </xf>
    <xf numFmtId="0" fontId="158" fillId="0" borderId="290" xfId="0" applyFont="1" applyBorder="1" applyAlignment="1">
      <alignment horizontal="left" vertical="center" wrapText="1" indent="2" readingOrder="1"/>
    </xf>
    <xf numFmtId="0" fontId="163" fillId="0" borderId="290" xfId="0" applyFont="1" applyBorder="1" applyAlignment="1">
      <alignment horizontal="left" vertical="center" wrapText="1" indent="2" readingOrder="1"/>
    </xf>
    <xf numFmtId="0" fontId="159" fillId="0" borderId="290" xfId="0" applyFont="1" applyBorder="1" applyAlignment="1">
      <alignment horizontal="left" vertical="center" wrapText="1" readingOrder="1"/>
    </xf>
    <xf numFmtId="0" fontId="157" fillId="0" borderId="290" xfId="0" applyFont="1" applyBorder="1" applyAlignment="1">
      <alignment horizontal="left" vertical="center" wrapText="1" readingOrder="1"/>
    </xf>
    <xf numFmtId="184" fontId="163" fillId="0" borderId="290" xfId="0" applyNumberFormat="1" applyFont="1" applyBorder="1" applyAlignment="1">
      <alignment horizontal="right" vertical="center" wrapText="1" readingOrder="1"/>
    </xf>
    <xf numFmtId="3" fontId="48" fillId="5" borderId="0" xfId="0" applyNumberFormat="1" applyFont="1" applyFill="1">
      <alignment vertical="center"/>
    </xf>
    <xf numFmtId="0" fontId="152" fillId="0" borderId="0" xfId="0" applyFont="1" applyBorder="1" applyAlignment="1">
      <alignment horizontal="center" vertical="center"/>
    </xf>
    <xf numFmtId="0" fontId="152" fillId="0" borderId="0" xfId="0" applyFont="1" applyBorder="1" applyAlignment="1">
      <alignment horizontal="left" vertical="center"/>
    </xf>
    <xf numFmtId="0" fontId="152" fillId="0" borderId="0" xfId="0" applyFont="1" applyBorder="1" applyAlignment="1">
      <alignment horizontal="left" vertical="center" indent="1"/>
    </xf>
    <xf numFmtId="0" fontId="16" fillId="0" borderId="0" xfId="0" applyFont="1" applyBorder="1">
      <alignment vertical="center"/>
    </xf>
    <xf numFmtId="184" fontId="0" fillId="0" borderId="0" xfId="9" applyNumberFormat="1" applyFont="1">
      <alignment vertical="center"/>
    </xf>
    <xf numFmtId="3" fontId="48" fillId="19" borderId="0" xfId="0" applyNumberFormat="1" applyFont="1" applyFill="1">
      <alignment vertical="center"/>
    </xf>
    <xf numFmtId="41" fontId="50" fillId="0" borderId="275" xfId="4" applyFont="1" applyBorder="1">
      <alignment vertical="center"/>
    </xf>
    <xf numFmtId="184" fontId="134" fillId="0" borderId="0" xfId="4" applyNumberFormat="1" applyFont="1" applyFill="1" applyBorder="1" applyAlignment="1">
      <alignment horizontal="right" vertical="center"/>
    </xf>
    <xf numFmtId="0" fontId="77" fillId="11" borderId="291" xfId="5" applyFont="1" applyFill="1" applyBorder="1">
      <alignment vertical="center"/>
    </xf>
    <xf numFmtId="197" fontId="77" fillId="11" borderId="292" xfId="5" applyNumberFormat="1" applyFont="1" applyFill="1" applyBorder="1" applyAlignment="1">
      <alignment horizontal="center" vertical="center"/>
    </xf>
    <xf numFmtId="0" fontId="77" fillId="11" borderId="292" xfId="5" applyFont="1" applyFill="1" applyBorder="1" applyAlignment="1">
      <alignment horizontal="center" vertical="center"/>
    </xf>
    <xf numFmtId="198" fontId="77" fillId="11" borderId="292" xfId="5" applyNumberFormat="1" applyFont="1" applyFill="1" applyBorder="1" applyAlignment="1">
      <alignment horizontal="center" vertical="center"/>
    </xf>
    <xf numFmtId="199" fontId="77" fillId="11" borderId="292" xfId="5" applyNumberFormat="1" applyFont="1" applyFill="1" applyBorder="1" applyAlignment="1">
      <alignment horizontal="center" vertical="center"/>
    </xf>
    <xf numFmtId="199" fontId="77" fillId="11" borderId="293" xfId="5" applyNumberFormat="1" applyFont="1" applyFill="1" applyBorder="1" applyAlignment="1">
      <alignment horizontal="center" vertical="center"/>
    </xf>
    <xf numFmtId="0" fontId="50" fillId="0" borderId="116" xfId="5" applyFont="1" applyFill="1" applyBorder="1">
      <alignment vertical="center"/>
    </xf>
    <xf numFmtId="196" fontId="50" fillId="0" borderId="0" xfId="5" applyNumberFormat="1" applyFont="1" applyFill="1" applyBorder="1">
      <alignment vertical="center"/>
    </xf>
    <xf numFmtId="196" fontId="50" fillId="0" borderId="296" xfId="5" applyNumberFormat="1" applyFont="1" applyFill="1" applyBorder="1">
      <alignment vertical="center"/>
    </xf>
    <xf numFmtId="196" fontId="50" fillId="0" borderId="295" xfId="5" applyNumberFormat="1" applyFont="1" applyFill="1" applyBorder="1">
      <alignment vertical="center"/>
    </xf>
    <xf numFmtId="0" fontId="50" fillId="0" borderId="116" xfId="5" applyFont="1" applyFill="1" applyBorder="1" applyAlignment="1">
      <alignment horizontal="left" vertical="center" indent="1"/>
    </xf>
    <xf numFmtId="196" fontId="50" fillId="0" borderId="294" xfId="5" applyNumberFormat="1" applyFont="1" applyFill="1" applyBorder="1">
      <alignment vertical="center"/>
    </xf>
    <xf numFmtId="0" fontId="50" fillId="0" borderId="291" xfId="5" applyFont="1" applyFill="1" applyBorder="1" applyAlignment="1">
      <alignment horizontal="left" vertical="center" indent="1"/>
    </xf>
    <xf numFmtId="196" fontId="50" fillId="0" borderId="292" xfId="5" applyNumberFormat="1" applyFont="1" applyFill="1" applyBorder="1">
      <alignment vertical="center"/>
    </xf>
    <xf numFmtId="196" fontId="50" fillId="0" borderId="293" xfId="5" applyNumberFormat="1" applyFont="1" applyFill="1" applyBorder="1">
      <alignment vertical="center"/>
    </xf>
    <xf numFmtId="0" fontId="44" fillId="0" borderId="297" xfId="5" applyFont="1" applyFill="1" applyBorder="1">
      <alignment vertical="center"/>
    </xf>
    <xf numFmtId="0" fontId="72" fillId="5" borderId="116" xfId="0" applyFont="1" applyFill="1" applyBorder="1" applyAlignment="1">
      <alignment horizontal="left" vertical="center" indent="1"/>
    </xf>
    <xf numFmtId="0" fontId="41" fillId="5" borderId="116" xfId="0" applyFont="1" applyFill="1" applyBorder="1" applyAlignment="1">
      <alignment horizontal="left" vertical="center" indent="1"/>
    </xf>
    <xf numFmtId="0" fontId="38" fillId="0" borderId="116" xfId="0" applyFont="1" applyBorder="1">
      <alignment vertical="center"/>
    </xf>
    <xf numFmtId="0" fontId="38" fillId="5" borderId="116" xfId="0" applyFont="1" applyFill="1" applyBorder="1" applyAlignment="1">
      <alignment horizontal="left" vertical="center" indent="1"/>
    </xf>
    <xf numFmtId="0" fontId="72" fillId="5" borderId="116" xfId="0" applyFont="1" applyFill="1" applyBorder="1" applyAlignment="1">
      <alignment horizontal="left" vertical="center" indent="2"/>
    </xf>
    <xf numFmtId="0" fontId="41" fillId="5" borderId="116" xfId="0" applyFont="1" applyFill="1" applyBorder="1" applyAlignment="1">
      <alignment horizontal="left" vertical="center" indent="2"/>
    </xf>
    <xf numFmtId="0" fontId="12" fillId="10" borderId="162" xfId="0" applyFont="1" applyFill="1" applyBorder="1">
      <alignment vertical="center"/>
    </xf>
    <xf numFmtId="199" fontId="77" fillId="11" borderId="298" xfId="5" applyNumberFormat="1" applyFont="1" applyFill="1" applyBorder="1" applyAlignment="1">
      <alignment horizontal="center" vertical="center"/>
    </xf>
    <xf numFmtId="0" fontId="38" fillId="0" borderId="164" xfId="0" applyFont="1" applyBorder="1">
      <alignment vertical="center"/>
    </xf>
    <xf numFmtId="0" fontId="72" fillId="5" borderId="291" xfId="0" applyFont="1" applyFill="1" applyBorder="1" applyAlignment="1">
      <alignment horizontal="left" vertical="center" indent="2"/>
    </xf>
    <xf numFmtId="196" fontId="38" fillId="0" borderId="296" xfId="0" applyNumberFormat="1" applyFont="1" applyBorder="1" applyAlignment="1">
      <alignment horizontal="right" vertical="center"/>
    </xf>
    <xf numFmtId="196" fontId="38" fillId="0" borderId="295" xfId="0" applyNumberFormat="1" applyFont="1" applyBorder="1" applyAlignment="1">
      <alignment horizontal="right" vertical="center"/>
    </xf>
    <xf numFmtId="184" fontId="41" fillId="5" borderId="294" xfId="0" applyNumberFormat="1" applyFont="1" applyFill="1" applyBorder="1" applyAlignment="1">
      <alignment horizontal="right" vertical="center"/>
    </xf>
    <xf numFmtId="0" fontId="38" fillId="0" borderId="294" xfId="0" applyFont="1" applyBorder="1">
      <alignment vertical="center"/>
    </xf>
    <xf numFmtId="184" fontId="72" fillId="5" borderId="292" xfId="0" applyNumberFormat="1" applyFont="1" applyFill="1" applyBorder="1" applyAlignment="1">
      <alignment horizontal="right" vertical="center"/>
    </xf>
    <xf numFmtId="9" fontId="165" fillId="0" borderId="0" xfId="9" applyFont="1" applyFill="1" applyBorder="1">
      <alignment vertical="center"/>
    </xf>
    <xf numFmtId="0" fontId="109" fillId="0" borderId="0" xfId="5" applyFill="1" applyBorder="1">
      <alignment vertical="center"/>
    </xf>
    <xf numFmtId="0" fontId="77" fillId="11" borderId="299" xfId="5" applyFont="1" applyFill="1" applyBorder="1">
      <alignment vertical="center"/>
    </xf>
    <xf numFmtId="0" fontId="44" fillId="0" borderId="163" xfId="5" applyFont="1" applyFill="1" applyBorder="1">
      <alignment vertical="center"/>
    </xf>
    <xf numFmtId="0" fontId="92" fillId="0" borderId="163" xfId="5" applyFont="1" applyFill="1" applyBorder="1" applyAlignment="1">
      <alignment horizontal="left" vertical="center"/>
    </xf>
    <xf numFmtId="3" fontId="23" fillId="0" borderId="0" xfId="5" applyNumberFormat="1" applyFont="1" applyFill="1" applyBorder="1">
      <alignment vertical="center"/>
    </xf>
    <xf numFmtId="0" fontId="23" fillId="0" borderId="163" xfId="5" applyFont="1" applyFill="1" applyBorder="1">
      <alignment vertical="center"/>
    </xf>
    <xf numFmtId="196" fontId="123" fillId="5" borderId="0" xfId="5" applyNumberFormat="1" applyFont="1" applyFill="1" applyBorder="1">
      <alignment vertical="center"/>
    </xf>
    <xf numFmtId="0" fontId="123" fillId="5" borderId="163" xfId="5" applyFont="1" applyFill="1" applyBorder="1" applyAlignment="1">
      <alignment horizontal="left" vertical="center"/>
    </xf>
    <xf numFmtId="10" fontId="92" fillId="0" borderId="0" xfId="6" applyNumberFormat="1" applyFont="1" applyFill="1" applyBorder="1">
      <alignment vertical="center"/>
    </xf>
    <xf numFmtId="9" fontId="109" fillId="0" borderId="0" xfId="5" applyNumberFormat="1" applyFill="1" applyBorder="1">
      <alignment vertical="center"/>
    </xf>
    <xf numFmtId="0" fontId="44" fillId="0" borderId="300" xfId="5" applyFont="1" applyFill="1" applyBorder="1">
      <alignment vertical="center"/>
    </xf>
    <xf numFmtId="196" fontId="38" fillId="0" borderId="301" xfId="0" applyNumberFormat="1" applyFont="1" applyBorder="1" applyAlignment="1">
      <alignment horizontal="right" vertical="center"/>
    </xf>
    <xf numFmtId="0" fontId="41" fillId="5" borderId="165" xfId="0" applyFont="1" applyFill="1" applyBorder="1" applyAlignment="1">
      <alignment horizontal="left" vertical="center" indent="1"/>
    </xf>
    <xf numFmtId="184" fontId="41" fillId="5" borderId="166" xfId="0" applyNumberFormat="1" applyFont="1" applyFill="1" applyBorder="1" applyAlignment="1">
      <alignment horizontal="right" vertical="center"/>
    </xf>
    <xf numFmtId="184" fontId="41" fillId="5" borderId="167" xfId="0" applyNumberFormat="1" applyFont="1" applyFill="1" applyBorder="1" applyAlignment="1">
      <alignment horizontal="right" vertical="center"/>
    </xf>
    <xf numFmtId="196" fontId="38" fillId="0" borderId="0" xfId="0" applyNumberFormat="1" applyFont="1" applyBorder="1">
      <alignment vertical="center"/>
    </xf>
    <xf numFmtId="196" fontId="38" fillId="0" borderId="292" xfId="0" applyNumberFormat="1" applyFont="1" applyBorder="1" applyAlignment="1">
      <alignment horizontal="right" vertical="center"/>
    </xf>
    <xf numFmtId="0" fontId="23" fillId="0" borderId="0" xfId="4" applyNumberFormat="1" applyFont="1" applyAlignment="1">
      <alignment horizontal="center" vertical="center"/>
    </xf>
    <xf numFmtId="41" fontId="23" fillId="0" borderId="0" xfId="4" applyFont="1" applyAlignment="1">
      <alignment horizontal="center" vertical="center"/>
    </xf>
    <xf numFmtId="0" fontId="135" fillId="0" borderId="165" xfId="0" applyFont="1" applyFill="1" applyBorder="1" applyAlignment="1">
      <alignment horizontal="left" vertical="center" indent="2"/>
    </xf>
    <xf numFmtId="196" fontId="13" fillId="0" borderId="166" xfId="4" applyNumberFormat="1" applyFont="1" applyFill="1" applyBorder="1">
      <alignment vertical="center"/>
    </xf>
    <xf numFmtId="196" fontId="38" fillId="0" borderId="294" xfId="0" applyNumberFormat="1" applyFont="1" applyBorder="1" applyAlignment="1">
      <alignment horizontal="right" vertical="center"/>
    </xf>
    <xf numFmtId="0" fontId="41" fillId="5" borderId="0" xfId="0" applyFont="1" applyFill="1" applyBorder="1" applyAlignment="1">
      <alignment horizontal="left" vertical="center" indent="1"/>
    </xf>
    <xf numFmtId="184" fontId="72" fillId="5" borderId="166" xfId="0" applyNumberFormat="1" applyFont="1" applyFill="1" applyBorder="1" applyAlignment="1">
      <alignment horizontal="right" vertical="center"/>
    </xf>
    <xf numFmtId="184" fontId="72" fillId="5" borderId="167" xfId="0" applyNumberFormat="1" applyFont="1" applyFill="1" applyBorder="1" applyAlignment="1">
      <alignment horizontal="right" vertical="center"/>
    </xf>
    <xf numFmtId="0" fontId="38" fillId="0" borderId="213" xfId="0" applyFont="1" applyBorder="1">
      <alignment vertical="center"/>
    </xf>
    <xf numFmtId="196" fontId="123" fillId="5" borderId="213" xfId="5" applyNumberFormat="1" applyFont="1" applyFill="1" applyBorder="1">
      <alignment vertical="center"/>
    </xf>
    <xf numFmtId="196" fontId="23" fillId="0" borderId="213" xfId="5" applyNumberFormat="1" applyFont="1" applyFill="1" applyBorder="1">
      <alignment vertical="center"/>
    </xf>
    <xf numFmtId="196" fontId="23" fillId="0" borderId="164" xfId="5" applyNumberFormat="1" applyFont="1" applyFill="1" applyBorder="1">
      <alignment vertical="center"/>
    </xf>
    <xf numFmtId="184" fontId="92" fillId="0" borderId="164" xfId="6" applyNumberFormat="1" applyFont="1" applyFill="1" applyBorder="1">
      <alignment vertical="center"/>
    </xf>
    <xf numFmtId="0" fontId="23" fillId="0" borderId="163" xfId="5" applyFont="1" applyFill="1" applyBorder="1" applyAlignment="1">
      <alignment horizontal="left" vertical="center" indent="1"/>
    </xf>
    <xf numFmtId="0" fontId="123" fillId="0" borderId="163" xfId="5" applyFont="1" applyFill="1" applyBorder="1" applyAlignment="1">
      <alignment horizontal="left" vertical="center" indent="1"/>
    </xf>
    <xf numFmtId="196" fontId="123" fillId="0" borderId="164" xfId="5" applyNumberFormat="1" applyFont="1" applyFill="1" applyBorder="1">
      <alignment vertical="center"/>
    </xf>
    <xf numFmtId="0" fontId="23" fillId="0" borderId="165" xfId="5" applyFont="1" applyFill="1" applyBorder="1">
      <alignment vertical="center"/>
    </xf>
    <xf numFmtId="0" fontId="23" fillId="0" borderId="166" xfId="5" applyFont="1" applyFill="1" applyBorder="1">
      <alignment vertical="center"/>
    </xf>
    <xf numFmtId="0" fontId="23" fillId="0" borderId="167" xfId="5" applyFont="1" applyFill="1" applyBorder="1">
      <alignment vertical="center"/>
    </xf>
    <xf numFmtId="0" fontId="23" fillId="0" borderId="163" xfId="5" applyFont="1" applyFill="1" applyBorder="1" applyAlignment="1">
      <alignment horizontal="left" vertical="center" indent="3"/>
    </xf>
    <xf numFmtId="193" fontId="38" fillId="0" borderId="91" xfId="0" applyNumberFormat="1" applyFont="1" applyBorder="1">
      <alignment vertical="center"/>
    </xf>
    <xf numFmtId="193" fontId="38" fillId="0" borderId="92" xfId="0" applyNumberFormat="1" applyFont="1" applyBorder="1">
      <alignment vertical="center"/>
    </xf>
    <xf numFmtId="176" fontId="63" fillId="5" borderId="302" xfId="0" applyNumberFormat="1" applyFont="1" applyFill="1" applyBorder="1" applyAlignment="1">
      <alignment horizontal="right" vertical="center"/>
    </xf>
    <xf numFmtId="184" fontId="72" fillId="5" borderId="70" xfId="0" applyNumberFormat="1" applyFont="1" applyFill="1" applyBorder="1" applyAlignment="1">
      <alignment horizontal="right" vertical="center"/>
    </xf>
    <xf numFmtId="184" fontId="41" fillId="5" borderId="70" xfId="0" applyNumberFormat="1" applyFont="1" applyFill="1" applyBorder="1" applyAlignment="1">
      <alignment horizontal="right" vertical="center"/>
    </xf>
    <xf numFmtId="196" fontId="44" fillId="0" borderId="70" xfId="5" applyNumberFormat="1" applyFont="1" applyFill="1" applyBorder="1">
      <alignment vertical="center"/>
    </xf>
    <xf numFmtId="0" fontId="63" fillId="5" borderId="297" xfId="0" applyFont="1" applyFill="1" applyBorder="1">
      <alignment vertical="center"/>
    </xf>
    <xf numFmtId="176" fontId="63" fillId="5" borderId="296" xfId="0" applyNumberFormat="1" applyFont="1" applyFill="1" applyBorder="1" applyAlignment="1">
      <alignment horizontal="right" vertical="center"/>
    </xf>
    <xf numFmtId="0" fontId="41" fillId="0" borderId="291" xfId="0" applyFont="1" applyFill="1" applyBorder="1" applyAlignment="1">
      <alignment horizontal="left" vertical="center" indent="1"/>
    </xf>
    <xf numFmtId="184" fontId="41" fillId="0" borderId="292" xfId="0" applyNumberFormat="1" applyFont="1" applyFill="1" applyBorder="1" applyAlignment="1">
      <alignment horizontal="right" vertical="center"/>
    </xf>
    <xf numFmtId="184" fontId="41" fillId="0" borderId="303" xfId="0" applyNumberFormat="1" applyFont="1" applyFill="1" applyBorder="1" applyAlignment="1">
      <alignment horizontal="right" vertical="center"/>
    </xf>
    <xf numFmtId="0" fontId="63" fillId="5" borderId="304" xfId="0" applyFont="1" applyFill="1" applyBorder="1">
      <alignment vertical="center"/>
    </xf>
    <xf numFmtId="176" fontId="63" fillId="0" borderId="305" xfId="0" applyNumberFormat="1" applyFont="1" applyFill="1" applyBorder="1" applyAlignment="1">
      <alignment horizontal="right" vertical="center"/>
    </xf>
    <xf numFmtId="184" fontId="72" fillId="0" borderId="164" xfId="0" applyNumberFormat="1" applyFont="1" applyFill="1" applyBorder="1" applyAlignment="1">
      <alignment horizontal="right" vertical="center"/>
    </xf>
    <xf numFmtId="0" fontId="44" fillId="0" borderId="163" xfId="5" applyFont="1" applyFill="1" applyBorder="1" applyAlignment="1">
      <alignment horizontal="left" vertical="center" indent="1"/>
    </xf>
    <xf numFmtId="38" fontId="38" fillId="0" borderId="164" xfId="0" applyNumberFormat="1" applyFont="1" applyFill="1" applyBorder="1" applyAlignment="1">
      <alignment horizontal="right" vertical="center"/>
    </xf>
    <xf numFmtId="0" fontId="44" fillId="0" borderId="306" xfId="5" applyFont="1" applyFill="1" applyBorder="1" applyAlignment="1">
      <alignment horizontal="left" vertical="center" indent="1"/>
    </xf>
    <xf numFmtId="38" fontId="38" fillId="0" borderId="307" xfId="0" applyNumberFormat="1" applyFont="1" applyFill="1" applyBorder="1" applyAlignment="1">
      <alignment horizontal="right" vertical="center"/>
    </xf>
    <xf numFmtId="180" fontId="38" fillId="0" borderId="0" xfId="0" applyNumberFormat="1" applyFont="1">
      <alignment vertical="center"/>
    </xf>
    <xf numFmtId="41" fontId="50" fillId="0" borderId="0" xfId="4" applyFont="1" applyFill="1" applyBorder="1">
      <alignment vertical="center"/>
    </xf>
    <xf numFmtId="0" fontId="77" fillId="11" borderId="163" xfId="5" applyFont="1" applyFill="1" applyBorder="1">
      <alignment vertical="center"/>
    </xf>
    <xf numFmtId="197" fontId="77" fillId="11" borderId="0" xfId="5" applyNumberFormat="1" applyFont="1" applyFill="1" applyBorder="1" applyAlignment="1">
      <alignment horizontal="center" vertical="center"/>
    </xf>
    <xf numFmtId="0" fontId="77" fillId="11" borderId="0" xfId="5" applyFont="1" applyFill="1" applyBorder="1" applyAlignment="1">
      <alignment horizontal="center" vertical="center"/>
    </xf>
    <xf numFmtId="198" fontId="77" fillId="11" borderId="0" xfId="5" applyNumberFormat="1" applyFont="1" applyFill="1" applyBorder="1" applyAlignment="1">
      <alignment horizontal="center" vertical="center"/>
    </xf>
    <xf numFmtId="199" fontId="77" fillId="11" borderId="0" xfId="5" applyNumberFormat="1" applyFont="1" applyFill="1" applyBorder="1" applyAlignment="1">
      <alignment horizontal="center" vertical="center"/>
    </xf>
    <xf numFmtId="199" fontId="77" fillId="11" borderId="164" xfId="5" applyNumberFormat="1" applyFont="1" applyFill="1" applyBorder="1" applyAlignment="1">
      <alignment horizontal="center" vertical="center"/>
    </xf>
    <xf numFmtId="0" fontId="23" fillId="0" borderId="160" xfId="5" applyFont="1" applyFill="1" applyBorder="1">
      <alignment vertical="center"/>
    </xf>
    <xf numFmtId="196" fontId="23" fillId="0" borderId="161" xfId="5" applyNumberFormat="1" applyFont="1" applyFill="1" applyBorder="1">
      <alignment vertical="center"/>
    </xf>
    <xf numFmtId="196" fontId="23" fillId="0" borderId="162" xfId="5" applyNumberFormat="1" applyFont="1" applyFill="1" applyBorder="1">
      <alignment vertical="center"/>
    </xf>
    <xf numFmtId="0" fontId="23" fillId="0" borderId="271" xfId="5" applyFont="1" applyFill="1" applyBorder="1">
      <alignment vertical="center"/>
    </xf>
    <xf numFmtId="196" fontId="23" fillId="0" borderId="273" xfId="5" applyNumberFormat="1" applyFont="1" applyFill="1" applyBorder="1">
      <alignment vertical="center"/>
    </xf>
    <xf numFmtId="0" fontId="23" fillId="0" borderId="273" xfId="5" applyFont="1" applyFill="1" applyBorder="1">
      <alignment vertical="center"/>
    </xf>
    <xf numFmtId="0" fontId="23" fillId="0" borderId="272" xfId="5" applyFont="1" applyFill="1" applyBorder="1">
      <alignment vertical="center"/>
    </xf>
    <xf numFmtId="0" fontId="23" fillId="0" borderId="275" xfId="5" applyFont="1" applyFill="1" applyBorder="1">
      <alignment vertical="center"/>
    </xf>
    <xf numFmtId="0" fontId="23" fillId="0" borderId="276" xfId="5" applyFont="1" applyFill="1" applyBorder="1">
      <alignment vertical="center"/>
    </xf>
    <xf numFmtId="0" fontId="23" fillId="0" borderId="278" xfId="5" applyFont="1" applyFill="1" applyBorder="1">
      <alignment vertical="center"/>
    </xf>
    <xf numFmtId="196" fontId="23" fillId="0" borderId="280" xfId="5" applyNumberFormat="1" applyFont="1" applyFill="1" applyBorder="1">
      <alignment vertical="center"/>
    </xf>
    <xf numFmtId="0" fontId="23" fillId="0" borderId="280" xfId="5" applyFont="1" applyFill="1" applyBorder="1">
      <alignment vertical="center"/>
    </xf>
    <xf numFmtId="0" fontId="23" fillId="0" borderId="279" xfId="5" applyFont="1" applyFill="1" applyBorder="1">
      <alignment vertical="center"/>
    </xf>
    <xf numFmtId="184" fontId="38" fillId="0" borderId="273" xfId="0" applyNumberFormat="1" applyFont="1" applyBorder="1" applyAlignment="1">
      <alignment vertical="center"/>
    </xf>
    <xf numFmtId="184" fontId="38" fillId="0" borderId="273" xfId="0" applyNumberFormat="1" applyFont="1" applyBorder="1" applyAlignment="1">
      <alignment horizontal="right" vertical="center"/>
    </xf>
    <xf numFmtId="184" fontId="38" fillId="0" borderId="272" xfId="0" applyNumberFormat="1" applyFont="1" applyBorder="1" applyAlignment="1">
      <alignment vertical="center"/>
    </xf>
    <xf numFmtId="184" fontId="38" fillId="0" borderId="280" xfId="0" applyNumberFormat="1" applyFont="1" applyBorder="1" applyAlignment="1">
      <alignment vertical="center"/>
    </xf>
    <xf numFmtId="184" fontId="38" fillId="0" borderId="280" xfId="0" applyNumberFormat="1" applyFont="1" applyBorder="1" applyAlignment="1">
      <alignment horizontal="right" vertical="center"/>
    </xf>
    <xf numFmtId="184" fontId="38" fillId="0" borderId="279" xfId="0" applyNumberFormat="1" applyFont="1" applyBorder="1" applyAlignment="1">
      <alignment vertical="center"/>
    </xf>
    <xf numFmtId="0" fontId="23" fillId="0" borderId="271" xfId="5" applyFont="1" applyBorder="1">
      <alignment vertical="center"/>
    </xf>
    <xf numFmtId="0" fontId="23" fillId="0" borderId="273" xfId="5" applyFont="1" applyBorder="1">
      <alignment vertical="center"/>
    </xf>
    <xf numFmtId="196" fontId="23" fillId="0" borderId="273" xfId="5" applyNumberFormat="1" applyFont="1" applyBorder="1">
      <alignment vertical="center"/>
    </xf>
    <xf numFmtId="0" fontId="23" fillId="0" borderId="272" xfId="5" applyFont="1" applyBorder="1">
      <alignment vertical="center"/>
    </xf>
    <xf numFmtId="0" fontId="23" fillId="0" borderId="278" xfId="5" applyFont="1" applyBorder="1">
      <alignment vertical="center"/>
    </xf>
    <xf numFmtId="0" fontId="23" fillId="0" borderId="280" xfId="5" applyFont="1" applyBorder="1">
      <alignment vertical="center"/>
    </xf>
    <xf numFmtId="196" fontId="23" fillId="0" borderId="280" xfId="5" applyNumberFormat="1" applyFont="1" applyBorder="1">
      <alignment vertical="center"/>
    </xf>
    <xf numFmtId="0" fontId="23" fillId="0" borderId="279" xfId="5" applyFont="1" applyBorder="1">
      <alignment vertical="center"/>
    </xf>
    <xf numFmtId="0" fontId="42" fillId="27" borderId="0" xfId="0" applyFont="1" applyFill="1" applyBorder="1" applyAlignment="1">
      <alignment horizontal="center" vertical="center"/>
    </xf>
    <xf numFmtId="200" fontId="0" fillId="0" borderId="0" xfId="0" applyNumberFormat="1" applyBorder="1" applyAlignment="1">
      <alignment horizontal="right" vertical="center"/>
    </xf>
    <xf numFmtId="41" fontId="42" fillId="0" borderId="0" xfId="0" applyNumberFormat="1" applyFont="1" applyBorder="1" applyAlignment="1">
      <alignment horizontal="center" vertical="center"/>
    </xf>
    <xf numFmtId="41" fontId="42" fillId="0" borderId="0" xfId="4" applyFont="1" applyBorder="1" applyAlignment="1">
      <alignment horizontal="center" vertical="center"/>
    </xf>
    <xf numFmtId="43" fontId="0" fillId="0" borderId="0" xfId="0" applyNumberFormat="1" applyAlignment="1">
      <alignment horizontal="center" vertical="center"/>
    </xf>
    <xf numFmtId="41" fontId="49" fillId="0" borderId="0" xfId="4" applyFont="1">
      <alignment vertical="center"/>
    </xf>
    <xf numFmtId="41" fontId="63" fillId="0" borderId="0" xfId="4" applyFont="1">
      <alignment vertical="center"/>
    </xf>
    <xf numFmtId="41" fontId="38" fillId="0" borderId="0" xfId="4" applyFont="1">
      <alignment vertical="center"/>
    </xf>
    <xf numFmtId="11" fontId="38" fillId="0" borderId="0" xfId="4" applyNumberFormat="1" applyFont="1">
      <alignment vertical="center"/>
    </xf>
    <xf numFmtId="11" fontId="38" fillId="0" borderId="0" xfId="0" applyNumberFormat="1" applyFont="1">
      <alignment vertical="center"/>
    </xf>
    <xf numFmtId="0" fontId="135" fillId="0" borderId="0" xfId="0" applyFont="1" applyFill="1" applyBorder="1" applyAlignment="1">
      <alignment horizontal="left" vertical="center" indent="2"/>
    </xf>
    <xf numFmtId="184" fontId="23" fillId="0" borderId="0" xfId="9" applyNumberFormat="1" applyFont="1">
      <alignment vertical="center"/>
    </xf>
    <xf numFmtId="0" fontId="124" fillId="0" borderId="0" xfId="0" applyFont="1" applyFill="1" applyBorder="1" applyAlignment="1">
      <alignment horizontal="left" vertical="center" indent="2"/>
    </xf>
    <xf numFmtId="186" fontId="16" fillId="0" borderId="206" xfId="0" applyNumberFormat="1" applyFont="1" applyFill="1" applyBorder="1" applyAlignment="1">
      <alignment horizontal="right" vertical="center"/>
    </xf>
    <xf numFmtId="0" fontId="24" fillId="0" borderId="0" xfId="0" applyFont="1" applyBorder="1" applyAlignment="1">
      <alignment horizontal="left" vertical="center"/>
    </xf>
    <xf numFmtId="0" fontId="23" fillId="0" borderId="110" xfId="0" applyFont="1" applyFill="1" applyBorder="1">
      <alignment vertical="center"/>
    </xf>
    <xf numFmtId="180" fontId="23" fillId="0" borderId="110" xfId="0" applyNumberFormat="1" applyFont="1" applyFill="1" applyBorder="1">
      <alignment vertical="center"/>
    </xf>
    <xf numFmtId="180" fontId="24" fillId="0" borderId="110" xfId="0" applyNumberFormat="1" applyFont="1" applyFill="1" applyBorder="1">
      <alignment vertical="center"/>
    </xf>
    <xf numFmtId="180" fontId="23" fillId="5" borderId="110" xfId="0" applyNumberFormat="1" applyFont="1" applyFill="1" applyBorder="1">
      <alignment vertical="center"/>
    </xf>
    <xf numFmtId="0" fontId="166" fillId="0" borderId="0" xfId="0" applyFont="1" applyAlignment="1">
      <alignment horizontal="left" vertical="center"/>
    </xf>
    <xf numFmtId="0" fontId="167" fillId="0" borderId="0" xfId="0" applyFont="1" applyAlignment="1">
      <alignment horizontal="right" vertical="center"/>
    </xf>
    <xf numFmtId="0" fontId="23" fillId="0" borderId="308" xfId="0" applyFont="1" applyBorder="1" applyAlignment="1">
      <alignment horizontal="left" vertical="center"/>
    </xf>
    <xf numFmtId="49" fontId="23" fillId="0" borderId="308" xfId="0" applyNumberFormat="1" applyFont="1" applyBorder="1" applyAlignment="1">
      <alignment horizontal="left" vertical="center"/>
    </xf>
    <xf numFmtId="0" fontId="23" fillId="0" borderId="309" xfId="0" applyFont="1" applyBorder="1" applyAlignment="1">
      <alignment horizontal="left" vertical="center"/>
    </xf>
    <xf numFmtId="0" fontId="23" fillId="0" borderId="309" xfId="0" applyNumberFormat="1" applyFont="1" applyBorder="1" applyAlignment="1">
      <alignment horizontal="left" vertical="center"/>
    </xf>
    <xf numFmtId="0" fontId="24" fillId="0" borderId="0" xfId="0" applyFont="1" applyAlignment="1">
      <alignment horizontal="center" vertical="center"/>
    </xf>
    <xf numFmtId="0" fontId="23" fillId="0" borderId="308" xfId="0" applyFont="1" applyBorder="1">
      <alignment vertical="center"/>
    </xf>
    <xf numFmtId="0" fontId="23" fillId="0" borderId="0" xfId="0" applyFont="1" applyBorder="1" applyAlignment="1">
      <alignment horizontal="left" vertical="center"/>
    </xf>
    <xf numFmtId="0" fontId="23" fillId="0" borderId="310" xfId="0" applyFont="1" applyBorder="1">
      <alignment vertical="center"/>
    </xf>
    <xf numFmtId="0" fontId="168" fillId="0" borderId="310" xfId="0" applyFont="1" applyBorder="1">
      <alignment vertical="center"/>
    </xf>
    <xf numFmtId="0" fontId="129" fillId="0" borderId="310" xfId="0" applyFont="1" applyFill="1" applyBorder="1" applyAlignment="1">
      <alignment horizontal="center" vertical="center"/>
    </xf>
    <xf numFmtId="180" fontId="130" fillId="0" borderId="311" xfId="0" applyNumberFormat="1" applyFont="1" applyFill="1" applyBorder="1" applyAlignment="1">
      <alignment horizontal="right" vertical="center"/>
    </xf>
    <xf numFmtId="0" fontId="129" fillId="0" borderId="0" xfId="0" applyFont="1" applyFill="1" applyBorder="1" applyAlignment="1">
      <alignment horizontal="center" vertical="center"/>
    </xf>
    <xf numFmtId="180" fontId="130" fillId="0" borderId="0" xfId="0" applyNumberFormat="1" applyFont="1" applyFill="1" applyAlignment="1">
      <alignment horizontal="right" vertical="center"/>
    </xf>
    <xf numFmtId="180" fontId="129" fillId="0" borderId="0" xfId="0" applyNumberFormat="1" applyFont="1" applyFill="1" applyAlignment="1">
      <alignment horizontal="right" vertical="center"/>
    </xf>
    <xf numFmtId="0" fontId="129" fillId="0" borderId="309" xfId="0" applyNumberFormat="1" applyFont="1" applyFill="1" applyBorder="1" applyAlignment="1">
      <alignment horizontal="center" vertical="center"/>
    </xf>
    <xf numFmtId="0" fontId="129" fillId="0" borderId="309" xfId="0" applyFont="1" applyFill="1" applyBorder="1" applyAlignment="1">
      <alignment horizontal="center" vertical="center"/>
    </xf>
    <xf numFmtId="180" fontId="130" fillId="0" borderId="309" xfId="0" applyNumberFormat="1" applyFont="1" applyFill="1" applyBorder="1" applyAlignment="1">
      <alignment horizontal="right" vertical="center"/>
    </xf>
    <xf numFmtId="14" fontId="130" fillId="0" borderId="0" xfId="0" applyNumberFormat="1" applyFont="1" applyFill="1" applyAlignment="1">
      <alignment horizontal="center" vertical="center"/>
    </xf>
    <xf numFmtId="0" fontId="130" fillId="0" borderId="0" xfId="0" applyFont="1" applyFill="1" applyAlignment="1">
      <alignment horizontal="left" vertical="center"/>
    </xf>
    <xf numFmtId="0" fontId="130" fillId="0" borderId="0" xfId="0" applyFont="1" applyFill="1">
      <alignment vertical="center"/>
    </xf>
    <xf numFmtId="193" fontId="130" fillId="0" borderId="0" xfId="0" applyNumberFormat="1" applyFont="1" applyFill="1" applyAlignment="1">
      <alignment horizontal="right" vertical="center"/>
    </xf>
    <xf numFmtId="0" fontId="44" fillId="0" borderId="110" xfId="0" quotePrefix="1" applyFont="1" applyFill="1" applyBorder="1" applyAlignment="1">
      <alignment horizontal="center" vertical="center"/>
    </xf>
    <xf numFmtId="184" fontId="38" fillId="0" borderId="312" xfId="0" applyNumberFormat="1" applyFont="1" applyBorder="1" applyAlignment="1">
      <alignment vertical="center"/>
    </xf>
    <xf numFmtId="184" fontId="50" fillId="0" borderId="90" xfId="6" applyNumberFormat="1" applyFont="1" applyFill="1" applyBorder="1">
      <alignment vertical="center"/>
    </xf>
    <xf numFmtId="0" fontId="38" fillId="0" borderId="313" xfId="0" applyFont="1" applyBorder="1">
      <alignment vertical="center"/>
    </xf>
    <xf numFmtId="184" fontId="38" fillId="0" borderId="89" xfId="0" applyNumberFormat="1" applyFont="1" applyBorder="1" applyAlignment="1">
      <alignment horizontal="right" vertical="center"/>
    </xf>
    <xf numFmtId="184" fontId="92" fillId="0" borderId="294" xfId="6" applyNumberFormat="1" applyFont="1" applyFill="1" applyBorder="1">
      <alignment vertical="center"/>
    </xf>
    <xf numFmtId="196" fontId="23" fillId="0" borderId="294" xfId="5" applyNumberFormat="1" applyFont="1" applyFill="1" applyBorder="1">
      <alignment vertical="center"/>
    </xf>
    <xf numFmtId="184" fontId="72" fillId="5" borderId="294" xfId="0" applyNumberFormat="1" applyFont="1" applyFill="1" applyBorder="1" applyAlignment="1">
      <alignment horizontal="right" vertical="center"/>
    </xf>
    <xf numFmtId="0" fontId="41" fillId="5" borderId="291" xfId="0" applyFont="1" applyFill="1" applyBorder="1" applyAlignment="1">
      <alignment horizontal="left" vertical="center" indent="1"/>
    </xf>
    <xf numFmtId="184" fontId="41" fillId="5" borderId="292" xfId="0" applyNumberFormat="1" applyFont="1" applyFill="1" applyBorder="1" applyAlignment="1">
      <alignment horizontal="right" vertical="center"/>
    </xf>
    <xf numFmtId="184" fontId="41" fillId="5" borderId="293" xfId="0" applyNumberFormat="1" applyFont="1" applyFill="1" applyBorder="1" applyAlignment="1">
      <alignment horizontal="right" vertical="center"/>
    </xf>
    <xf numFmtId="0" fontId="23" fillId="0" borderId="163" xfId="5" applyFont="1" applyFill="1" applyBorder="1" applyAlignment="1">
      <alignment horizontal="left" vertical="center" indent="2"/>
    </xf>
    <xf numFmtId="0" fontId="72" fillId="5" borderId="163" xfId="0" applyFont="1" applyFill="1" applyBorder="1" applyAlignment="1">
      <alignment horizontal="left" vertical="center" indent="3"/>
    </xf>
    <xf numFmtId="0" fontId="41" fillId="5" borderId="163" xfId="0" applyFont="1" applyFill="1" applyBorder="1" applyAlignment="1">
      <alignment horizontal="left" vertical="center" indent="3"/>
    </xf>
    <xf numFmtId="0" fontId="169" fillId="5" borderId="0" xfId="0" applyFont="1" applyFill="1" applyBorder="1" applyAlignment="1" applyProtection="1">
      <alignment vertical="center"/>
    </xf>
    <xf numFmtId="0" fontId="48" fillId="5" borderId="0" xfId="0" applyFont="1" applyFill="1" applyAlignment="1">
      <alignment horizontal="right" vertical="center"/>
    </xf>
    <xf numFmtId="0" fontId="149" fillId="46" borderId="231" xfId="14" applyFont="1" applyFill="1" applyBorder="1" applyAlignment="1" applyProtection="1">
      <alignment horizontal="center" vertical="center"/>
    </xf>
    <xf numFmtId="0" fontId="149" fillId="46" borderId="231" xfId="14" applyFont="1" applyFill="1" applyBorder="1" applyAlignment="1" applyProtection="1">
      <alignment horizontal="center" vertical="center" wrapText="1"/>
    </xf>
    <xf numFmtId="0" fontId="170" fillId="47" borderId="231" xfId="14" applyFont="1" applyFill="1" applyBorder="1" applyAlignment="1" applyProtection="1">
      <alignment horizontal="center" vertical="center" wrapText="1"/>
      <protection locked="0"/>
    </xf>
    <xf numFmtId="0" fontId="170" fillId="47" borderId="231" xfId="14" applyFont="1" applyFill="1" applyBorder="1" applyAlignment="1" applyProtection="1">
      <alignment horizontal="left" vertical="center" wrapText="1"/>
      <protection locked="0"/>
    </xf>
    <xf numFmtId="0" fontId="170" fillId="48" borderId="231" xfId="0" applyFont="1" applyFill="1" applyBorder="1" applyAlignment="1" applyProtection="1">
      <alignment horizontal="center" vertical="center" wrapText="1"/>
      <protection locked="0"/>
    </xf>
    <xf numFmtId="41" fontId="170" fillId="18" borderId="231" xfId="15" applyNumberFormat="1" applyFont="1" applyFill="1" applyBorder="1" applyAlignment="1" applyProtection="1">
      <alignment vertical="center"/>
      <protection locked="0"/>
    </xf>
    <xf numFmtId="41" fontId="170" fillId="18" borderId="231" xfId="15" applyNumberFormat="1" applyFont="1" applyFill="1" applyBorder="1" applyAlignment="1" applyProtection="1">
      <alignment horizontal="center" vertical="center"/>
      <protection locked="0"/>
    </xf>
    <xf numFmtId="0" fontId="171" fillId="47" borderId="231" xfId="14" applyFont="1" applyFill="1" applyBorder="1" applyAlignment="1" applyProtection="1">
      <alignment horizontal="center" vertical="center" wrapText="1"/>
      <protection locked="0"/>
    </xf>
    <xf numFmtId="0" fontId="171" fillId="47" borderId="231" xfId="14" applyFont="1" applyFill="1" applyBorder="1" applyAlignment="1" applyProtection="1">
      <alignment horizontal="left" vertical="center" wrapText="1"/>
      <protection locked="0"/>
    </xf>
    <xf numFmtId="0" fontId="171" fillId="47" borderId="231" xfId="14" applyFont="1" applyFill="1" applyBorder="1" applyAlignment="1" applyProtection="1">
      <alignment horizontal="left" wrapText="1"/>
      <protection locked="0"/>
    </xf>
    <xf numFmtId="0" fontId="172" fillId="47" borderId="231" xfId="14" applyFont="1" applyFill="1" applyBorder="1" applyAlignment="1" applyProtection="1">
      <alignment horizontal="center" vertical="center" wrapText="1"/>
      <protection locked="0"/>
    </xf>
    <xf numFmtId="0" fontId="172" fillId="47" borderId="231" xfId="14" quotePrefix="1" applyFont="1" applyFill="1" applyBorder="1" applyAlignment="1" applyProtection="1">
      <alignment horizontal="left" vertical="center" wrapText="1"/>
      <protection locked="0"/>
    </xf>
    <xf numFmtId="0" fontId="172" fillId="47" borderId="231" xfId="14" applyFont="1" applyFill="1" applyBorder="1" applyAlignment="1" applyProtection="1">
      <alignment horizontal="left" vertical="center" wrapText="1"/>
      <protection locked="0"/>
    </xf>
    <xf numFmtId="41" fontId="24" fillId="18" borderId="231" xfId="15" applyNumberFormat="1" applyFont="1" applyFill="1" applyBorder="1" applyAlignment="1" applyProtection="1">
      <alignment vertical="center"/>
      <protection locked="0"/>
    </xf>
    <xf numFmtId="0" fontId="170" fillId="47" borderId="231" xfId="14" applyNumberFormat="1" applyFont="1" applyFill="1" applyBorder="1" applyAlignment="1" applyProtection="1">
      <alignment horizontal="center" vertical="center" wrapText="1"/>
      <protection locked="0"/>
    </xf>
    <xf numFmtId="0" fontId="173" fillId="47" borderId="231" xfId="0" applyFont="1" applyFill="1" applyBorder="1" applyAlignment="1" applyProtection="1">
      <alignment horizontal="center" vertical="center" wrapText="1"/>
      <protection locked="0"/>
    </xf>
    <xf numFmtId="0" fontId="173" fillId="47" borderId="231" xfId="0" applyFont="1" applyFill="1" applyBorder="1" applyAlignment="1" applyProtection="1">
      <alignment horizontal="left" vertical="center" wrapText="1"/>
      <protection locked="0"/>
    </xf>
    <xf numFmtId="0" fontId="173" fillId="48" borderId="231" xfId="0" applyFont="1" applyFill="1" applyBorder="1" applyAlignment="1" applyProtection="1">
      <alignment horizontal="center" vertical="center" wrapText="1"/>
      <protection locked="0"/>
    </xf>
    <xf numFmtId="41" fontId="174" fillId="18" borderId="231" xfId="15" applyNumberFormat="1" applyFont="1" applyFill="1" applyBorder="1" applyAlignment="1" applyProtection="1">
      <alignment vertical="center"/>
      <protection locked="0"/>
    </xf>
    <xf numFmtId="0" fontId="173" fillId="47" borderId="231" xfId="14" applyFont="1" applyFill="1" applyBorder="1" applyAlignment="1" applyProtection="1">
      <alignment horizontal="center" vertical="center" wrapText="1"/>
      <protection locked="0"/>
    </xf>
    <xf numFmtId="41" fontId="25" fillId="18" borderId="231" xfId="15" applyNumberFormat="1" applyFont="1" applyFill="1" applyBorder="1" applyAlignment="1" applyProtection="1">
      <alignment vertical="center"/>
      <protection locked="0"/>
    </xf>
    <xf numFmtId="0" fontId="43" fillId="47" borderId="231" xfId="0" applyFont="1" applyFill="1" applyBorder="1" applyAlignment="1" applyProtection="1">
      <alignment horizontal="center" vertical="center" wrapText="1"/>
      <protection locked="0"/>
    </xf>
    <xf numFmtId="0" fontId="43" fillId="47" borderId="231" xfId="0" applyFont="1" applyFill="1" applyBorder="1" applyAlignment="1" applyProtection="1">
      <alignment horizontal="left" vertical="center" wrapText="1"/>
      <protection locked="0"/>
    </xf>
    <xf numFmtId="0" fontId="115" fillId="47" borderId="231" xfId="14" applyFont="1" applyFill="1" applyBorder="1" applyAlignment="1" applyProtection="1">
      <alignment horizontal="center" vertical="center" wrapText="1"/>
      <protection locked="0"/>
    </xf>
    <xf numFmtId="0" fontId="43" fillId="48" borderId="231" xfId="0" applyFont="1" applyFill="1" applyBorder="1" applyAlignment="1" applyProtection="1">
      <alignment horizontal="center" vertical="center" wrapText="1"/>
      <protection locked="0"/>
    </xf>
    <xf numFmtId="0" fontId="173" fillId="47" borderId="231" xfId="0" quotePrefix="1" applyFont="1" applyFill="1" applyBorder="1" applyAlignment="1" applyProtection="1">
      <alignment horizontal="center" vertical="center" wrapText="1"/>
      <protection locked="0"/>
    </xf>
    <xf numFmtId="0" fontId="43" fillId="47" borderId="231" xfId="0" quotePrefix="1" applyFont="1" applyFill="1" applyBorder="1" applyAlignment="1" applyProtection="1">
      <alignment horizontal="left" vertical="center" wrapText="1"/>
      <protection locked="0"/>
    </xf>
    <xf numFmtId="0" fontId="43" fillId="47" borderId="231" xfId="0" quotePrefix="1" applyFont="1" applyFill="1" applyBorder="1" applyAlignment="1" applyProtection="1">
      <alignment horizontal="center" vertical="center" wrapText="1"/>
      <protection locked="0"/>
    </xf>
    <xf numFmtId="0" fontId="174" fillId="47" borderId="231" xfId="14" applyFont="1" applyFill="1" applyBorder="1" applyAlignment="1" applyProtection="1">
      <alignment horizontal="center" vertical="center" wrapText="1"/>
      <protection locked="0"/>
    </xf>
    <xf numFmtId="0" fontId="128" fillId="47" borderId="231" xfId="14" applyFont="1" applyFill="1" applyBorder="1" applyAlignment="1" applyProtection="1">
      <alignment horizontal="center" vertical="center" wrapText="1"/>
      <protection locked="0"/>
    </xf>
    <xf numFmtId="0" fontId="173" fillId="48" borderId="231" xfId="0" applyFont="1" applyFill="1" applyBorder="1" applyAlignment="1" applyProtection="1">
      <alignment horizontal="center" vertical="center" wrapText="1"/>
    </xf>
    <xf numFmtId="41" fontId="174" fillId="18" borderId="231" xfId="15" applyNumberFormat="1" applyFont="1" applyFill="1" applyBorder="1" applyAlignment="1" applyProtection="1">
      <alignment vertical="center"/>
    </xf>
    <xf numFmtId="0" fontId="0" fillId="5" borderId="0" xfId="0" applyFill="1" applyAlignment="1">
      <alignment horizontal="left" vertical="center" indent="1"/>
    </xf>
    <xf numFmtId="196" fontId="23" fillId="5" borderId="0" xfId="5" applyNumberFormat="1" applyFont="1" applyFill="1" applyBorder="1">
      <alignment vertical="center"/>
    </xf>
    <xf numFmtId="196" fontId="24" fillId="5" borderId="0" xfId="5" applyNumberFormat="1" applyFont="1" applyFill="1" applyBorder="1">
      <alignment vertical="center"/>
    </xf>
    <xf numFmtId="9" fontId="0" fillId="49" borderId="231" xfId="0" applyNumberFormat="1" applyFill="1" applyBorder="1">
      <alignment vertical="center"/>
    </xf>
    <xf numFmtId="0" fontId="92" fillId="0" borderId="163" xfId="5" applyFont="1" applyFill="1" applyBorder="1" applyAlignment="1">
      <alignment horizontal="left" vertical="center" indent="2"/>
    </xf>
    <xf numFmtId="184" fontId="72" fillId="19" borderId="0" xfId="0" applyNumberFormat="1" applyFont="1" applyFill="1" applyBorder="1" applyAlignment="1">
      <alignment horizontal="right" vertical="center"/>
    </xf>
    <xf numFmtId="184" fontId="72" fillId="19" borderId="164" xfId="0" applyNumberFormat="1" applyFont="1" applyFill="1" applyBorder="1" applyAlignment="1">
      <alignment horizontal="right" vertical="center"/>
    </xf>
    <xf numFmtId="0" fontId="38" fillId="0" borderId="163" xfId="0" applyFont="1" applyBorder="1" applyAlignment="1">
      <alignment horizontal="left" vertical="center" indent="1"/>
    </xf>
    <xf numFmtId="184" fontId="38" fillId="0" borderId="166" xfId="0" applyNumberFormat="1" applyFont="1" applyBorder="1" applyAlignment="1">
      <alignment vertical="center"/>
    </xf>
    <xf numFmtId="184" fontId="38" fillId="0" borderId="166" xfId="0" applyNumberFormat="1" applyFont="1" applyBorder="1" applyAlignment="1">
      <alignment horizontal="right" vertical="center"/>
    </xf>
    <xf numFmtId="184" fontId="38" fillId="0" borderId="167" xfId="0" applyNumberFormat="1" applyFont="1" applyBorder="1" applyAlignment="1">
      <alignment vertical="center"/>
    </xf>
    <xf numFmtId="196" fontId="38" fillId="0" borderId="0" xfId="4" applyNumberFormat="1" applyFont="1" applyFill="1" applyBorder="1">
      <alignment vertical="center"/>
    </xf>
    <xf numFmtId="196" fontId="38" fillId="5" borderId="213" xfId="0" applyNumberFormat="1" applyFont="1" applyFill="1" applyBorder="1" applyAlignment="1">
      <alignment horizontal="right" vertical="center"/>
    </xf>
    <xf numFmtId="203" fontId="38" fillId="5" borderId="0" xfId="0" applyNumberFormat="1" applyFont="1" applyFill="1" applyBorder="1" applyAlignment="1">
      <alignment horizontal="right" vertical="center"/>
    </xf>
    <xf numFmtId="196" fontId="38" fillId="19" borderId="0" xfId="0" applyNumberFormat="1" applyFont="1" applyFill="1" applyBorder="1" applyAlignment="1">
      <alignment horizontal="right" vertical="center"/>
    </xf>
    <xf numFmtId="196" fontId="23" fillId="5" borderId="164" xfId="5" applyNumberFormat="1" applyFont="1" applyFill="1" applyBorder="1">
      <alignment vertical="center"/>
    </xf>
    <xf numFmtId="196" fontId="23" fillId="5" borderId="294" xfId="5" applyNumberFormat="1" applyFont="1" applyFill="1" applyBorder="1">
      <alignment vertical="center"/>
    </xf>
    <xf numFmtId="0" fontId="38" fillId="5" borderId="0" xfId="0" applyFont="1" applyFill="1">
      <alignment vertical="center"/>
    </xf>
    <xf numFmtId="184" fontId="23" fillId="5" borderId="110" xfId="9" applyNumberFormat="1" applyFont="1" applyFill="1" applyBorder="1">
      <alignment vertical="center"/>
    </xf>
    <xf numFmtId="184" fontId="23" fillId="0" borderId="110" xfId="9" applyNumberFormat="1" applyFont="1" applyFill="1" applyBorder="1">
      <alignment vertical="center"/>
    </xf>
    <xf numFmtId="204" fontId="143" fillId="16" borderId="55" xfId="0" applyNumberFormat="1" applyFont="1" applyFill="1" applyBorder="1" applyAlignment="1">
      <alignment horizontal="center" vertical="center"/>
    </xf>
    <xf numFmtId="180" fontId="23" fillId="5" borderId="0" xfId="0" applyNumberFormat="1" applyFont="1" applyFill="1" applyBorder="1">
      <alignment vertical="center"/>
    </xf>
    <xf numFmtId="0" fontId="23" fillId="5" borderId="0" xfId="0" applyFont="1" applyFill="1" applyBorder="1">
      <alignment vertical="center"/>
    </xf>
    <xf numFmtId="184" fontId="38" fillId="5" borderId="0" xfId="0" applyNumberFormat="1" applyFont="1" applyFill="1">
      <alignment vertical="center"/>
    </xf>
    <xf numFmtId="184" fontId="38" fillId="5" borderId="0" xfId="9" applyNumberFormat="1" applyFont="1" applyFill="1">
      <alignment vertical="center"/>
    </xf>
    <xf numFmtId="0" fontId="24" fillId="5" borderId="0" xfId="0" applyFont="1" applyFill="1" applyBorder="1" applyAlignment="1">
      <alignment horizontal="left" vertical="center"/>
    </xf>
    <xf numFmtId="180" fontId="24" fillId="5" borderId="0" xfId="0" applyNumberFormat="1" applyFont="1" applyFill="1" applyBorder="1">
      <alignment vertical="center"/>
    </xf>
    <xf numFmtId="193" fontId="23" fillId="5" borderId="110" xfId="0" applyNumberFormat="1" applyFont="1" applyFill="1" applyBorder="1">
      <alignment vertical="center"/>
    </xf>
    <xf numFmtId="193" fontId="23" fillId="0" borderId="110" xfId="0" applyNumberFormat="1" applyFont="1" applyFill="1" applyBorder="1">
      <alignment vertical="center"/>
    </xf>
    <xf numFmtId="193" fontId="24" fillId="0" borderId="110" xfId="0" applyNumberFormat="1" applyFont="1" applyFill="1" applyBorder="1">
      <alignment vertical="center"/>
    </xf>
    <xf numFmtId="193" fontId="24" fillId="18" borderId="110" xfId="0" applyNumberFormat="1" applyFont="1" applyFill="1" applyBorder="1">
      <alignment vertical="center"/>
    </xf>
    <xf numFmtId="193" fontId="23" fillId="5" borderId="110" xfId="0" applyNumberFormat="1" applyFont="1" applyFill="1" applyBorder="1" applyAlignment="1">
      <alignment horizontal="right" vertical="center"/>
    </xf>
    <xf numFmtId="193" fontId="24" fillId="0" borderId="110" xfId="0" applyNumberFormat="1" applyFont="1" applyFill="1" applyBorder="1" applyAlignment="1">
      <alignment horizontal="right" vertical="center"/>
    </xf>
    <xf numFmtId="184" fontId="92" fillId="0" borderId="110" xfId="0" applyNumberFormat="1" applyFont="1" applyFill="1" applyBorder="1" applyAlignment="1">
      <alignment horizontal="right" vertical="center"/>
    </xf>
    <xf numFmtId="184" fontId="144" fillId="0" borderId="110" xfId="0" applyNumberFormat="1" applyFont="1" applyFill="1" applyBorder="1" applyAlignment="1">
      <alignment horizontal="right" vertical="center"/>
    </xf>
    <xf numFmtId="0" fontId="23" fillId="5" borderId="0" xfId="0" applyFont="1" applyFill="1">
      <alignment vertical="center"/>
    </xf>
    <xf numFmtId="0" fontId="166" fillId="5" borderId="0" xfId="0" applyFont="1" applyFill="1" applyAlignment="1">
      <alignment horizontal="left" vertical="center"/>
    </xf>
    <xf numFmtId="0" fontId="167" fillId="5" borderId="0" xfId="0" applyFont="1" applyFill="1" applyAlignment="1">
      <alignment horizontal="right" vertical="center"/>
    </xf>
    <xf numFmtId="0" fontId="23" fillId="5" borderId="308" xfId="0" applyFont="1" applyFill="1" applyBorder="1" applyAlignment="1">
      <alignment horizontal="left" vertical="center"/>
    </xf>
    <xf numFmtId="49" fontId="23" fillId="5" borderId="308" xfId="0" applyNumberFormat="1" applyFont="1" applyFill="1" applyBorder="1" applyAlignment="1">
      <alignment horizontal="left" vertical="center"/>
    </xf>
    <xf numFmtId="0" fontId="23" fillId="5" borderId="309" xfId="0" applyFont="1" applyFill="1" applyBorder="1" applyAlignment="1">
      <alignment horizontal="left" vertical="center"/>
    </xf>
    <xf numFmtId="0" fontId="23" fillId="5" borderId="309" xfId="0" applyNumberFormat="1" applyFont="1" applyFill="1" applyBorder="1" applyAlignment="1">
      <alignment horizontal="left" vertical="center"/>
    </xf>
    <xf numFmtId="0" fontId="24" fillId="5" borderId="0" xfId="0" applyFont="1" applyFill="1" applyAlignment="1">
      <alignment horizontal="center" vertical="center"/>
    </xf>
    <xf numFmtId="0" fontId="23" fillId="5" borderId="308" xfId="0" applyFont="1" applyFill="1" applyBorder="1">
      <alignment vertical="center"/>
    </xf>
    <xf numFmtId="0" fontId="23" fillId="5" borderId="0" xfId="0" applyFont="1" applyFill="1" applyBorder="1" applyAlignment="1">
      <alignment horizontal="left" vertical="center"/>
    </xf>
    <xf numFmtId="0" fontId="23" fillId="5" borderId="310" xfId="0" applyFont="1" applyFill="1" applyBorder="1">
      <alignment vertical="center"/>
    </xf>
    <xf numFmtId="0" fontId="168" fillId="5" borderId="310" xfId="0" applyFont="1" applyFill="1" applyBorder="1">
      <alignment vertical="center"/>
    </xf>
    <xf numFmtId="0" fontId="129" fillId="5" borderId="310" xfId="0" applyFont="1" applyFill="1" applyBorder="1" applyAlignment="1">
      <alignment horizontal="center" vertical="center"/>
    </xf>
    <xf numFmtId="180" fontId="130" fillId="5" borderId="311" xfId="0" applyNumberFormat="1" applyFont="1" applyFill="1" applyBorder="1" applyAlignment="1">
      <alignment horizontal="right" vertical="center"/>
    </xf>
    <xf numFmtId="0" fontId="129" fillId="5" borderId="0" xfId="0" applyFont="1" applyFill="1" applyBorder="1" applyAlignment="1">
      <alignment horizontal="center" vertical="center"/>
    </xf>
    <xf numFmtId="180" fontId="130" fillId="5" borderId="0" xfId="0" applyNumberFormat="1" applyFont="1" applyFill="1" applyAlignment="1">
      <alignment horizontal="right" vertical="center"/>
    </xf>
    <xf numFmtId="180" fontId="129" fillId="5" borderId="0" xfId="0" applyNumberFormat="1" applyFont="1" applyFill="1" applyAlignment="1">
      <alignment horizontal="right" vertical="center"/>
    </xf>
    <xf numFmtId="0" fontId="129" fillId="5" borderId="309" xfId="0" applyNumberFormat="1" applyFont="1" applyFill="1" applyBorder="1" applyAlignment="1">
      <alignment horizontal="center" vertical="center"/>
    </xf>
    <xf numFmtId="0" fontId="129" fillId="5" borderId="309" xfId="0" applyFont="1" applyFill="1" applyBorder="1" applyAlignment="1">
      <alignment horizontal="center" vertical="center"/>
    </xf>
    <xf numFmtId="180" fontId="130" fillId="5" borderId="309" xfId="0" applyNumberFormat="1" applyFont="1" applyFill="1" applyBorder="1" applyAlignment="1">
      <alignment horizontal="right" vertical="center"/>
    </xf>
    <xf numFmtId="14" fontId="130" fillId="5" borderId="0" xfId="0" applyNumberFormat="1" applyFont="1" applyFill="1" applyAlignment="1">
      <alignment horizontal="center" vertical="center"/>
    </xf>
    <xf numFmtId="0" fontId="130" fillId="5" borderId="0" xfId="0" applyFont="1" applyFill="1" applyAlignment="1">
      <alignment horizontal="left" vertical="center"/>
    </xf>
    <xf numFmtId="0" fontId="130" fillId="5" borderId="0" xfId="0" applyFont="1" applyFill="1">
      <alignment vertical="center"/>
    </xf>
    <xf numFmtId="193" fontId="130" fillId="5" borderId="0" xfId="0" applyNumberFormat="1" applyFont="1" applyFill="1" applyAlignment="1">
      <alignment horizontal="right" vertical="center"/>
    </xf>
    <xf numFmtId="0" fontId="0" fillId="5" borderId="0" xfId="0" applyFill="1" applyAlignment="1">
      <alignment horizontal="right" vertical="center"/>
    </xf>
    <xf numFmtId="14" fontId="114" fillId="5" borderId="0" xfId="0" applyNumberFormat="1" applyFont="1" applyFill="1" applyBorder="1" applyAlignment="1">
      <alignment horizontal="center" vertical="center"/>
    </xf>
    <xf numFmtId="14" fontId="114" fillId="5" borderId="0" xfId="0" applyNumberFormat="1" applyFont="1" applyFill="1" applyBorder="1" applyAlignment="1">
      <alignment horizontal="centerContinuous" vertical="center"/>
    </xf>
    <xf numFmtId="193" fontId="119" fillId="5" borderId="0" xfId="0" applyNumberFormat="1" applyFont="1" applyFill="1" applyBorder="1" applyAlignment="1">
      <alignment horizontal="left" vertical="center"/>
    </xf>
    <xf numFmtId="0" fontId="49" fillId="5" borderId="0" xfId="0" applyFont="1" applyFill="1" applyBorder="1">
      <alignment vertical="center"/>
    </xf>
    <xf numFmtId="0" fontId="38" fillId="5" borderId="0" xfId="0" applyFont="1" applyFill="1" applyBorder="1">
      <alignment vertical="center"/>
    </xf>
    <xf numFmtId="184" fontId="41" fillId="19" borderId="0" xfId="0" applyNumberFormat="1" applyFont="1" applyFill="1" applyBorder="1" applyAlignment="1">
      <alignment horizontal="right" vertical="center"/>
    </xf>
    <xf numFmtId="184" fontId="41" fillId="19" borderId="164" xfId="0" applyNumberFormat="1" applyFont="1" applyFill="1" applyBorder="1" applyAlignment="1">
      <alignment horizontal="right" vertical="center"/>
    </xf>
    <xf numFmtId="0" fontId="50" fillId="0" borderId="0" xfId="5" applyFont="1" applyFill="1" applyBorder="1">
      <alignment vertical="center"/>
    </xf>
    <xf numFmtId="196" fontId="70" fillId="5" borderId="0" xfId="0" applyNumberFormat="1" applyFont="1" applyFill="1" applyBorder="1" applyAlignment="1">
      <alignment horizontal="right" vertical="center"/>
    </xf>
    <xf numFmtId="196" fontId="13" fillId="5" borderId="0" xfId="0" applyNumberFormat="1" applyFont="1" applyFill="1" applyBorder="1" applyAlignment="1">
      <alignment horizontal="right" vertical="center"/>
    </xf>
    <xf numFmtId="176" fontId="13" fillId="5" borderId="0" xfId="0" applyNumberFormat="1" applyFont="1" applyFill="1" applyBorder="1" applyAlignment="1">
      <alignment horizontal="right" vertical="center"/>
    </xf>
    <xf numFmtId="0" fontId="175" fillId="11" borderId="317" xfId="0" applyFont="1" applyFill="1" applyBorder="1" applyAlignment="1">
      <alignment horizontal="center" vertical="center"/>
    </xf>
    <xf numFmtId="0" fontId="175" fillId="11" borderId="0" xfId="0" applyFont="1" applyFill="1" applyBorder="1" applyAlignment="1">
      <alignment horizontal="center" vertical="center"/>
    </xf>
    <xf numFmtId="0" fontId="175" fillId="11" borderId="320" xfId="0" applyFont="1" applyFill="1" applyBorder="1" applyAlignment="1">
      <alignment horizontal="center" vertical="center"/>
    </xf>
    <xf numFmtId="14" fontId="50" fillId="0" borderId="314" xfId="0" applyNumberFormat="1" applyFont="1" applyFill="1" applyBorder="1" applyAlignment="1">
      <alignment horizontal="center" vertical="center"/>
    </xf>
    <xf numFmtId="0" fontId="50" fillId="5" borderId="315" xfId="0" applyFont="1" applyFill="1" applyBorder="1" applyAlignment="1">
      <alignment vertical="center"/>
    </xf>
    <xf numFmtId="3" fontId="50" fillId="0" borderId="315" xfId="0" applyNumberFormat="1" applyFont="1" applyFill="1" applyBorder="1">
      <alignment vertical="center"/>
    </xf>
    <xf numFmtId="0" fontId="50" fillId="0" borderId="0" xfId="0" applyFont="1" applyBorder="1">
      <alignment vertical="center"/>
    </xf>
    <xf numFmtId="186" fontId="50" fillId="0" borderId="315" xfId="0" applyNumberFormat="1" applyFont="1" applyFill="1" applyBorder="1">
      <alignment vertical="center"/>
    </xf>
    <xf numFmtId="184" fontId="50" fillId="0" borderId="315" xfId="0" applyNumberFormat="1" applyFont="1" applyFill="1" applyBorder="1" applyAlignment="1">
      <alignment vertical="center"/>
    </xf>
    <xf numFmtId="186" fontId="50" fillId="0" borderId="316" xfId="0" applyNumberFormat="1" applyFont="1" applyFill="1" applyBorder="1">
      <alignment vertical="center"/>
    </xf>
    <xf numFmtId="205" fontId="50" fillId="0" borderId="315" xfId="0" applyNumberFormat="1" applyFont="1" applyFill="1" applyBorder="1">
      <alignment vertical="center"/>
    </xf>
    <xf numFmtId="205" fontId="50" fillId="0" borderId="321" xfId="0" applyNumberFormat="1" applyFont="1" applyFill="1" applyBorder="1" applyAlignment="1">
      <alignment horizontal="right" vertical="center"/>
    </xf>
    <xf numFmtId="14" fontId="50" fillId="0" borderId="318" xfId="0" applyNumberFormat="1" applyFont="1" applyFill="1" applyBorder="1" applyAlignment="1">
      <alignment horizontal="center" vertical="center"/>
    </xf>
    <xf numFmtId="0" fontId="50" fillId="5" borderId="0" xfId="0" applyFont="1" applyFill="1" applyBorder="1" applyAlignment="1">
      <alignment vertical="center"/>
    </xf>
    <xf numFmtId="3" fontId="50" fillId="0" borderId="0" xfId="0" applyNumberFormat="1" applyFont="1" applyFill="1" applyBorder="1">
      <alignment vertical="center"/>
    </xf>
    <xf numFmtId="186" fontId="50" fillId="0" borderId="0" xfId="0" applyNumberFormat="1" applyFont="1" applyFill="1" applyBorder="1">
      <alignment vertical="center"/>
    </xf>
    <xf numFmtId="184" fontId="50" fillId="0" borderId="0" xfId="0" applyNumberFormat="1" applyFont="1" applyFill="1" applyBorder="1" applyAlignment="1">
      <alignment vertical="center"/>
    </xf>
    <xf numFmtId="186" fontId="50" fillId="0" borderId="144" xfId="0" applyNumberFormat="1" applyFont="1" applyFill="1" applyBorder="1">
      <alignment vertical="center"/>
    </xf>
    <xf numFmtId="205" fontId="50" fillId="0" borderId="0" xfId="0" applyNumberFormat="1" applyFont="1" applyFill="1" applyBorder="1">
      <alignment vertical="center"/>
    </xf>
    <xf numFmtId="205" fontId="50" fillId="0" borderId="320" xfId="0" applyNumberFormat="1" applyFont="1" applyFill="1" applyBorder="1" applyAlignment="1">
      <alignment horizontal="right" vertical="center"/>
    </xf>
    <xf numFmtId="14" fontId="50" fillId="0" borderId="322" xfId="0" applyNumberFormat="1" applyFont="1" applyFill="1" applyBorder="1" applyAlignment="1">
      <alignment horizontal="center" vertical="center"/>
    </xf>
    <xf numFmtId="0" fontId="50" fillId="5" borderId="99" xfId="0" applyFont="1" applyFill="1" applyBorder="1" applyAlignment="1">
      <alignment vertical="center"/>
    </xf>
    <xf numFmtId="3" fontId="50" fillId="0" borderId="99" xfId="0" applyNumberFormat="1" applyFont="1" applyFill="1" applyBorder="1">
      <alignment vertical="center"/>
    </xf>
    <xf numFmtId="0" fontId="50" fillId="0" borderId="99" xfId="0" applyFont="1" applyBorder="1">
      <alignment vertical="center"/>
    </xf>
    <xf numFmtId="186" fontId="50" fillId="0" borderId="99" xfId="0" applyNumberFormat="1" applyFont="1" applyFill="1" applyBorder="1">
      <alignment vertical="center"/>
    </xf>
    <xf numFmtId="184" fontId="50" fillId="0" borderId="99" xfId="0" applyNumberFormat="1" applyFont="1" applyFill="1" applyBorder="1" applyAlignment="1">
      <alignment vertical="center"/>
    </xf>
    <xf numFmtId="186" fontId="50" fillId="0" borderId="323" xfId="0" applyNumberFormat="1" applyFont="1" applyFill="1" applyBorder="1">
      <alignment vertical="center"/>
    </xf>
    <xf numFmtId="205" fontId="50" fillId="0" borderId="99" xfId="0" applyNumberFormat="1" applyFont="1" applyFill="1" applyBorder="1">
      <alignment vertical="center"/>
    </xf>
    <xf numFmtId="205" fontId="50" fillId="0" borderId="324" xfId="0" applyNumberFormat="1" applyFont="1" applyFill="1" applyBorder="1" applyAlignment="1">
      <alignment horizontal="right" vertical="center"/>
    </xf>
    <xf numFmtId="186" fontId="16" fillId="0" borderId="0" xfId="0" applyNumberFormat="1" applyFont="1">
      <alignment vertical="center"/>
    </xf>
    <xf numFmtId="43" fontId="16" fillId="0" borderId="0" xfId="0" applyNumberFormat="1" applyFont="1">
      <alignment vertical="center"/>
    </xf>
    <xf numFmtId="14" fontId="50" fillId="0" borderId="0" xfId="0" applyNumberFormat="1" applyFont="1" applyFill="1" applyBorder="1" applyAlignment="1">
      <alignment horizontal="left" vertical="center"/>
    </xf>
    <xf numFmtId="0" fontId="176" fillId="11" borderId="13" xfId="0" applyFont="1" applyFill="1" applyBorder="1" applyAlignment="1">
      <alignment horizontal="left" vertical="center"/>
    </xf>
    <xf numFmtId="0" fontId="176" fillId="11" borderId="141" xfId="0" applyFont="1" applyFill="1" applyBorder="1" applyAlignment="1">
      <alignment horizontal="left" vertical="center"/>
    </xf>
    <xf numFmtId="0" fontId="176" fillId="11" borderId="141" xfId="0" applyFont="1" applyFill="1" applyBorder="1" applyAlignment="1">
      <alignment horizontal="center" vertical="center"/>
    </xf>
    <xf numFmtId="0" fontId="177" fillId="12" borderId="36" xfId="0" applyFont="1" applyFill="1" applyBorder="1" applyAlignment="1">
      <alignment horizontal="left" vertical="center"/>
    </xf>
    <xf numFmtId="0" fontId="177" fillId="12" borderId="145" xfId="0" applyFont="1" applyFill="1" applyBorder="1" applyAlignment="1">
      <alignment horizontal="left" vertical="center"/>
    </xf>
    <xf numFmtId="0" fontId="178" fillId="12" borderId="145" xfId="0" applyFont="1" applyFill="1" applyBorder="1" applyAlignment="1">
      <alignment horizontal="center" vertical="center"/>
    </xf>
    <xf numFmtId="0" fontId="16" fillId="0" borderId="143" xfId="0" applyFont="1" applyFill="1" applyBorder="1">
      <alignment vertical="center"/>
    </xf>
    <xf numFmtId="205" fontId="16" fillId="0" borderId="0" xfId="0" applyNumberFormat="1" applyFont="1" applyBorder="1">
      <alignment vertical="center"/>
    </xf>
    <xf numFmtId="0" fontId="16" fillId="0" borderId="36" xfId="0" applyFont="1" applyFill="1" applyBorder="1">
      <alignment vertical="center"/>
    </xf>
    <xf numFmtId="0" fontId="16" fillId="0" borderId="145" xfId="0" applyFont="1" applyFill="1" applyBorder="1">
      <alignment vertical="center"/>
    </xf>
    <xf numFmtId="205" fontId="16" fillId="0" borderId="145" xfId="0" applyNumberFormat="1" applyFont="1" applyBorder="1">
      <alignment vertical="center"/>
    </xf>
    <xf numFmtId="0" fontId="176" fillId="7" borderId="16" xfId="0" applyFont="1" applyFill="1" applyBorder="1" applyAlignment="1">
      <alignment horizontal="left" vertical="center"/>
    </xf>
    <xf numFmtId="0" fontId="176" fillId="7" borderId="12" xfId="0" applyFont="1" applyFill="1" applyBorder="1" applyAlignment="1">
      <alignment horizontal="left" vertical="center"/>
    </xf>
    <xf numFmtId="0" fontId="176" fillId="7" borderId="12" xfId="0" applyFont="1" applyFill="1" applyBorder="1" applyAlignment="1">
      <alignment horizontal="center" vertical="center"/>
    </xf>
    <xf numFmtId="0" fontId="177" fillId="14" borderId="325" xfId="0" applyFont="1" applyFill="1" applyBorder="1" applyAlignment="1">
      <alignment horizontal="left" vertical="center"/>
    </xf>
    <xf numFmtId="0" fontId="177" fillId="14" borderId="145" xfId="0" applyFont="1" applyFill="1" applyBorder="1" applyAlignment="1">
      <alignment horizontal="left" vertical="center"/>
    </xf>
    <xf numFmtId="0" fontId="178" fillId="14" borderId="145" xfId="0" applyFont="1" applyFill="1" applyBorder="1" applyAlignment="1">
      <alignment horizontal="center" vertical="center"/>
    </xf>
    <xf numFmtId="0" fontId="16" fillId="0" borderId="18" xfId="0" applyFont="1" applyFill="1" applyBorder="1">
      <alignment vertical="center"/>
    </xf>
    <xf numFmtId="0" fontId="16" fillId="0" borderId="325" xfId="0" applyFont="1" applyFill="1" applyBorder="1">
      <alignment vertical="center"/>
    </xf>
    <xf numFmtId="0" fontId="55" fillId="12" borderId="326" xfId="0" applyFont="1" applyFill="1" applyBorder="1" applyAlignment="1">
      <alignment horizontal="left" vertical="center"/>
    </xf>
    <xf numFmtId="0" fontId="55" fillId="12" borderId="327" xfId="0" applyFont="1" applyFill="1" applyBorder="1" applyAlignment="1">
      <alignment horizontal="left" vertical="center"/>
    </xf>
    <xf numFmtId="0" fontId="178" fillId="12" borderId="328" xfId="0" applyFont="1" applyFill="1" applyBorder="1" applyAlignment="1">
      <alignment horizontal="center" vertical="center"/>
    </xf>
    <xf numFmtId="0" fontId="16" fillId="5" borderId="30" xfId="0" applyFont="1" applyFill="1" applyBorder="1">
      <alignment vertical="center"/>
    </xf>
    <xf numFmtId="0" fontId="25" fillId="5" borderId="31" xfId="0" applyFont="1" applyFill="1" applyBorder="1">
      <alignment vertical="center"/>
    </xf>
    <xf numFmtId="186" fontId="16" fillId="5" borderId="32" xfId="0" applyNumberFormat="1" applyFont="1" applyFill="1" applyBorder="1">
      <alignment vertical="center"/>
    </xf>
    <xf numFmtId="0" fontId="177" fillId="12" borderId="329" xfId="0" applyFont="1" applyFill="1" applyBorder="1" applyAlignment="1">
      <alignment horizontal="left" vertical="center"/>
    </xf>
    <xf numFmtId="0" fontId="177" fillId="12" borderId="23" xfId="0" applyFont="1" applyFill="1" applyBorder="1" applyAlignment="1">
      <alignment horizontal="left" vertical="center"/>
    </xf>
    <xf numFmtId="0" fontId="179" fillId="12" borderId="23" xfId="0" applyFont="1" applyFill="1" applyBorder="1" applyAlignment="1">
      <alignment horizontal="center" vertical="center"/>
    </xf>
    <xf numFmtId="0" fontId="177" fillId="12" borderId="14" xfId="0" applyFont="1" applyFill="1" applyBorder="1" applyAlignment="1">
      <alignment horizontal="left" vertical="center"/>
    </xf>
    <xf numFmtId="0" fontId="179" fillId="12" borderId="24" xfId="0" applyFont="1" applyFill="1" applyBorder="1" applyAlignment="1">
      <alignment horizontal="center" vertical="center"/>
    </xf>
    <xf numFmtId="186" fontId="16" fillId="0" borderId="0" xfId="0" applyNumberFormat="1" applyFont="1" applyBorder="1">
      <alignment vertical="center"/>
    </xf>
    <xf numFmtId="186" fontId="16" fillId="0" borderId="144" xfId="0" applyNumberFormat="1" applyFont="1" applyBorder="1">
      <alignment vertical="center"/>
    </xf>
    <xf numFmtId="186" fontId="16" fillId="0" borderId="145" xfId="0" applyNumberFormat="1" applyFont="1" applyBorder="1">
      <alignment vertical="center"/>
    </xf>
    <xf numFmtId="186" fontId="16" fillId="0" borderId="146" xfId="0" applyNumberFormat="1" applyFont="1" applyBorder="1">
      <alignment vertical="center"/>
    </xf>
    <xf numFmtId="186" fontId="16" fillId="5" borderId="0" xfId="0" applyNumberFormat="1" applyFont="1" applyFill="1" applyBorder="1">
      <alignment vertical="center"/>
    </xf>
    <xf numFmtId="0" fontId="16" fillId="0" borderId="44" xfId="0" applyFont="1" applyFill="1" applyBorder="1">
      <alignment vertical="center"/>
    </xf>
    <xf numFmtId="0" fontId="16" fillId="0" borderId="58" xfId="0" applyFont="1" applyFill="1" applyBorder="1">
      <alignment vertical="center"/>
    </xf>
    <xf numFmtId="41" fontId="16" fillId="5" borderId="58" xfId="4" applyFont="1" applyFill="1" applyBorder="1">
      <alignment vertical="center"/>
    </xf>
    <xf numFmtId="0" fontId="16" fillId="5" borderId="0" xfId="0" applyFont="1" applyFill="1" applyBorder="1">
      <alignment vertical="center"/>
    </xf>
    <xf numFmtId="0" fontId="177" fillId="12" borderId="330" xfId="0" applyFont="1" applyFill="1" applyBorder="1" applyAlignment="1">
      <alignment horizontal="left" vertical="center"/>
    </xf>
    <xf numFmtId="0" fontId="177" fillId="12" borderId="49" xfId="0" applyFont="1" applyFill="1" applyBorder="1" applyAlignment="1">
      <alignment horizontal="left" vertical="center"/>
    </xf>
    <xf numFmtId="0" fontId="180" fillId="12" borderId="331" xfId="0" applyFont="1" applyFill="1" applyBorder="1" applyAlignment="1">
      <alignment horizontal="center" vertical="center"/>
    </xf>
    <xf numFmtId="0" fontId="25" fillId="0" borderId="332" xfId="0" applyFont="1" applyFill="1" applyBorder="1">
      <alignment vertical="center"/>
    </xf>
    <xf numFmtId="0" fontId="25" fillId="0" borderId="0" xfId="0" applyFont="1" applyFill="1" applyBorder="1">
      <alignment vertical="center"/>
    </xf>
    <xf numFmtId="186" fontId="25" fillId="0" borderId="333" xfId="0" applyNumberFormat="1" applyFont="1" applyBorder="1">
      <alignment vertical="center"/>
    </xf>
    <xf numFmtId="0" fontId="25" fillId="0" borderId="334" xfId="0" applyFont="1" applyFill="1" applyBorder="1">
      <alignment vertical="center"/>
    </xf>
    <xf numFmtId="0" fontId="25" fillId="0" borderId="25" xfId="0" applyFont="1" applyFill="1" applyBorder="1">
      <alignment vertical="center"/>
    </xf>
    <xf numFmtId="186" fontId="25" fillId="0" borderId="26" xfId="0" applyNumberFormat="1" applyFont="1" applyBorder="1">
      <alignment vertical="center"/>
    </xf>
    <xf numFmtId="186" fontId="25" fillId="0" borderId="0" xfId="0" applyNumberFormat="1" applyFont="1" applyBorder="1">
      <alignment vertical="center"/>
    </xf>
    <xf numFmtId="0" fontId="23" fillId="0" borderId="0" xfId="16" applyFont="1">
      <alignment vertical="center"/>
    </xf>
    <xf numFmtId="0" fontId="25" fillId="0" borderId="18" xfId="0" applyFont="1" applyFill="1" applyBorder="1">
      <alignment vertical="center"/>
    </xf>
    <xf numFmtId="0" fontId="24" fillId="0" borderId="0" xfId="16" applyFont="1">
      <alignment vertical="center"/>
    </xf>
    <xf numFmtId="0" fontId="25" fillId="0" borderId="325" xfId="0" applyFont="1" applyFill="1" applyBorder="1">
      <alignment vertical="center"/>
    </xf>
    <xf numFmtId="0" fontId="25" fillId="0" borderId="145" xfId="0" applyFont="1" applyFill="1" applyBorder="1">
      <alignment vertical="center"/>
    </xf>
    <xf numFmtId="186" fontId="25" fillId="0" borderId="145" xfId="0" applyNumberFormat="1" applyFont="1" applyBorder="1">
      <alignment vertical="center"/>
    </xf>
    <xf numFmtId="41" fontId="16" fillId="5" borderId="335" xfId="4" applyFont="1" applyFill="1" applyBorder="1">
      <alignment vertical="center"/>
    </xf>
    <xf numFmtId="0" fontId="16" fillId="0" borderId="0" xfId="17" applyFont="1" applyFill="1">
      <alignment vertical="center"/>
    </xf>
    <xf numFmtId="0" fontId="8" fillId="9" borderId="0" xfId="17" applyFont="1" applyFill="1" applyAlignment="1">
      <alignment vertical="center"/>
    </xf>
    <xf numFmtId="0" fontId="34" fillId="9" borderId="0" xfId="17" applyFont="1" applyFill="1" applyAlignment="1">
      <alignment horizontal="right" vertical="center"/>
    </xf>
    <xf numFmtId="0" fontId="22" fillId="9" borderId="0" xfId="17" applyFont="1" applyFill="1" applyAlignment="1">
      <alignment horizontal="right" vertical="center"/>
    </xf>
    <xf numFmtId="0" fontId="20" fillId="9" borderId="0" xfId="17" applyFont="1" applyFill="1">
      <alignment vertical="center"/>
    </xf>
    <xf numFmtId="0" fontId="14" fillId="9" borderId="0" xfId="17" applyFont="1" applyFill="1" applyAlignment="1">
      <alignment horizontal="right" vertical="center"/>
    </xf>
    <xf numFmtId="0" fontId="16" fillId="0" borderId="0" xfId="17" applyFont="1">
      <alignment vertical="center"/>
    </xf>
    <xf numFmtId="0" fontId="57" fillId="0" borderId="0" xfId="17" applyFont="1" applyFill="1">
      <alignment vertical="center"/>
    </xf>
    <xf numFmtId="0" fontId="51" fillId="8" borderId="0" xfId="17" applyFont="1" applyFill="1" applyAlignment="1">
      <alignment vertical="center"/>
    </xf>
    <xf numFmtId="0" fontId="52" fillId="8" borderId="0" xfId="17" applyFont="1" applyFill="1" applyAlignment="1">
      <alignment vertical="center"/>
    </xf>
    <xf numFmtId="0" fontId="77" fillId="0" borderId="0" xfId="17" applyFont="1" applyFill="1">
      <alignment vertical="center"/>
    </xf>
    <xf numFmtId="0" fontId="23" fillId="0" borderId="0" xfId="17" applyFont="1">
      <alignment vertical="center"/>
    </xf>
    <xf numFmtId="0" fontId="98" fillId="7" borderId="341" xfId="17" applyFont="1" applyFill="1" applyBorder="1" applyAlignment="1">
      <alignment horizontal="center" vertical="center"/>
    </xf>
    <xf numFmtId="0" fontId="98" fillId="7" borderId="15" xfId="17" applyFont="1" applyFill="1" applyBorder="1" applyAlignment="1">
      <alignment horizontal="center" vertical="center"/>
    </xf>
    <xf numFmtId="0" fontId="98" fillId="7" borderId="342" xfId="17" applyFont="1" applyFill="1" applyBorder="1" applyAlignment="1">
      <alignment horizontal="center" vertical="center"/>
    </xf>
    <xf numFmtId="0" fontId="98" fillId="7" borderId="343" xfId="17" applyFont="1" applyFill="1" applyBorder="1" applyAlignment="1">
      <alignment horizontal="center" vertical="center"/>
    </xf>
    <xf numFmtId="0" fontId="181" fillId="0" borderId="0" xfId="17" applyFont="1" applyAlignment="1">
      <alignment horizontal="center" vertical="center"/>
    </xf>
    <xf numFmtId="0" fontId="50" fillId="0" borderId="143" xfId="17" applyNumberFormat="1" applyFont="1" applyFill="1" applyBorder="1" applyAlignment="1">
      <alignment horizontal="left" vertical="center"/>
    </xf>
    <xf numFmtId="0" fontId="50" fillId="0" borderId="0" xfId="17" applyNumberFormat="1" applyFont="1" applyFill="1" applyBorder="1" applyAlignment="1">
      <alignment horizontal="left" vertical="center"/>
    </xf>
    <xf numFmtId="0" fontId="50" fillId="0" borderId="0" xfId="17" applyFont="1" applyFill="1" applyBorder="1" applyAlignment="1">
      <alignment horizontal="center" vertical="center"/>
    </xf>
    <xf numFmtId="186" fontId="182" fillId="0" borderId="0" xfId="17" applyNumberFormat="1" applyFont="1" applyFill="1" applyBorder="1" applyAlignment="1">
      <alignment horizontal="right" vertical="center"/>
    </xf>
    <xf numFmtId="186" fontId="182" fillId="0" borderId="144" xfId="17" applyNumberFormat="1" applyFont="1" applyFill="1" applyBorder="1" applyAlignment="1">
      <alignment horizontal="right" vertical="center"/>
    </xf>
    <xf numFmtId="206" fontId="135" fillId="0" borderId="12" xfId="17" applyNumberFormat="1" applyFont="1" applyFill="1" applyBorder="1" applyAlignment="1">
      <alignment horizontal="right" vertical="center"/>
    </xf>
    <xf numFmtId="206" fontId="135" fillId="0" borderId="0" xfId="17" applyNumberFormat="1" applyFont="1" applyFill="1" applyBorder="1" applyAlignment="1">
      <alignment horizontal="right" vertical="center"/>
    </xf>
    <xf numFmtId="206" fontId="135" fillId="0" borderId="144" xfId="17" applyNumberFormat="1" applyFont="1" applyFill="1" applyBorder="1" applyAlignment="1">
      <alignment horizontal="right" vertical="center"/>
    </xf>
    <xf numFmtId="49" fontId="50" fillId="0" borderId="0" xfId="17" applyNumberFormat="1" applyFont="1" applyFill="1" applyBorder="1" applyAlignment="1">
      <alignment horizontal="left" vertical="center"/>
    </xf>
    <xf numFmtId="14" fontId="50" fillId="0" borderId="344" xfId="17" applyNumberFormat="1" applyFont="1" applyFill="1" applyBorder="1" applyAlignment="1">
      <alignment horizontal="center" vertical="center"/>
    </xf>
    <xf numFmtId="3" fontId="182" fillId="0" borderId="344" xfId="17" applyNumberFormat="1" applyFont="1" applyFill="1" applyBorder="1">
      <alignment vertical="center"/>
    </xf>
    <xf numFmtId="184" fontId="182" fillId="0" borderId="344" xfId="17" applyNumberFormat="1" applyFont="1" applyFill="1" applyBorder="1" applyAlignment="1">
      <alignment vertical="center"/>
    </xf>
    <xf numFmtId="41" fontId="182" fillId="0" borderId="344" xfId="17" applyNumberFormat="1" applyFont="1" applyFill="1" applyBorder="1">
      <alignment vertical="center"/>
    </xf>
    <xf numFmtId="38" fontId="182" fillId="0" borderId="344" xfId="17" applyNumberFormat="1" applyFont="1" applyFill="1" applyBorder="1" applyAlignment="1">
      <alignment horizontal="right" vertical="center"/>
    </xf>
    <xf numFmtId="205" fontId="50" fillId="0" borderId="344" xfId="17" applyNumberFormat="1" applyFont="1" applyFill="1" applyBorder="1" applyAlignment="1">
      <alignment horizontal="right" vertical="center"/>
    </xf>
    <xf numFmtId="0" fontId="59" fillId="0" borderId="0" xfId="17" applyFont="1">
      <alignment vertical="center"/>
    </xf>
    <xf numFmtId="0" fontId="98" fillId="7" borderId="16" xfId="17" applyFont="1" applyFill="1" applyBorder="1" applyAlignment="1">
      <alignment horizontal="left" vertical="center"/>
    </xf>
    <xf numFmtId="0" fontId="98" fillId="7" borderId="12" xfId="17" applyFont="1" applyFill="1" applyBorder="1" applyAlignment="1">
      <alignment horizontal="center" vertical="center"/>
    </xf>
    <xf numFmtId="0" fontId="98" fillId="7" borderId="17" xfId="17" applyFont="1" applyFill="1" applyBorder="1" applyAlignment="1">
      <alignment horizontal="center" vertical="center"/>
    </xf>
    <xf numFmtId="0" fontId="55" fillId="14" borderId="325" xfId="17" applyFont="1" applyFill="1" applyBorder="1" applyAlignment="1">
      <alignment horizontal="left" vertical="center"/>
    </xf>
    <xf numFmtId="0" fontId="60" fillId="14" borderId="145" xfId="17" applyFont="1" applyFill="1" applyBorder="1" applyAlignment="1">
      <alignment horizontal="center" vertical="center"/>
    </xf>
    <xf numFmtId="0" fontId="60" fillId="14" borderId="345" xfId="17" applyFont="1" applyFill="1" applyBorder="1" applyAlignment="1">
      <alignment horizontal="center" vertical="center"/>
    </xf>
    <xf numFmtId="0" fontId="24" fillId="0" borderId="18" xfId="17" applyFont="1" applyFill="1" applyBorder="1">
      <alignment vertical="center"/>
    </xf>
    <xf numFmtId="205" fontId="23" fillId="0" borderId="0" xfId="17" applyNumberFormat="1" applyFont="1" applyBorder="1">
      <alignment vertical="center"/>
    </xf>
    <xf numFmtId="205" fontId="23" fillId="0" borderId="20" xfId="17" applyNumberFormat="1" applyFont="1" applyBorder="1">
      <alignment vertical="center"/>
    </xf>
    <xf numFmtId="0" fontId="24" fillId="0" borderId="325" xfId="17" applyFont="1" applyFill="1" applyBorder="1">
      <alignment vertical="center"/>
    </xf>
    <xf numFmtId="205" fontId="23" fillId="0" borderId="145" xfId="17" applyNumberFormat="1" applyFont="1" applyBorder="1">
      <alignment vertical="center"/>
    </xf>
    <xf numFmtId="205" fontId="23" fillId="0" borderId="345" xfId="17" applyNumberFormat="1" applyFont="1" applyBorder="1">
      <alignment vertical="center"/>
    </xf>
    <xf numFmtId="0" fontId="55" fillId="14" borderId="329" xfId="17" applyFont="1" applyFill="1" applyBorder="1" applyAlignment="1">
      <alignment horizontal="left" vertical="center"/>
    </xf>
    <xf numFmtId="0" fontId="60" fillId="14" borderId="23" xfId="17" applyFont="1" applyFill="1" applyBorder="1" applyAlignment="1">
      <alignment horizontal="center" vertical="center"/>
    </xf>
    <xf numFmtId="0" fontId="60" fillId="14" borderId="61" xfId="17" applyFont="1" applyFill="1" applyBorder="1" applyAlignment="1">
      <alignment horizontal="center" vertical="center"/>
    </xf>
    <xf numFmtId="196" fontId="23" fillId="0" borderId="145" xfId="17" applyNumberFormat="1" applyFont="1" applyBorder="1">
      <alignment vertical="center"/>
    </xf>
    <xf numFmtId="196" fontId="23" fillId="0" borderId="345" xfId="17" applyNumberFormat="1" applyFont="1" applyBorder="1">
      <alignment vertical="center"/>
    </xf>
    <xf numFmtId="196" fontId="23" fillId="0" borderId="0" xfId="17" applyNumberFormat="1" applyFont="1" applyBorder="1">
      <alignment vertical="center"/>
    </xf>
    <xf numFmtId="196" fontId="23" fillId="0" borderId="20" xfId="17" applyNumberFormat="1" applyFont="1" applyBorder="1">
      <alignment vertical="center"/>
    </xf>
    <xf numFmtId="0" fontId="24" fillId="0" borderId="329" xfId="17" applyFont="1" applyFill="1" applyBorder="1">
      <alignment vertical="center"/>
    </xf>
    <xf numFmtId="205" fontId="23" fillId="0" borderId="23" xfId="17" applyNumberFormat="1" applyFont="1" applyBorder="1">
      <alignment vertical="center"/>
    </xf>
    <xf numFmtId="196" fontId="23" fillId="0" borderId="23" xfId="17" applyNumberFormat="1" applyFont="1" applyBorder="1">
      <alignment vertical="center"/>
    </xf>
    <xf numFmtId="196" fontId="23" fillId="0" borderId="61" xfId="17" applyNumberFormat="1" applyFont="1" applyBorder="1">
      <alignment vertical="center"/>
    </xf>
    <xf numFmtId="196" fontId="23" fillId="0" borderId="0" xfId="17" applyNumberFormat="1" applyFont="1" applyBorder="1" applyAlignment="1">
      <alignment horizontal="right" vertical="center"/>
    </xf>
    <xf numFmtId="196" fontId="23" fillId="0" borderId="145" xfId="17" applyNumberFormat="1" applyFont="1" applyBorder="1" applyAlignment="1">
      <alignment horizontal="right" vertical="center"/>
    </xf>
    <xf numFmtId="196" fontId="23" fillId="0" borderId="20" xfId="17" applyNumberFormat="1" applyFont="1" applyBorder="1" applyAlignment="1">
      <alignment horizontal="right" vertical="center"/>
    </xf>
    <xf numFmtId="196" fontId="23" fillId="0" borderId="345" xfId="17" applyNumberFormat="1" applyFont="1" applyBorder="1" applyAlignment="1">
      <alignment horizontal="right" vertical="center"/>
    </xf>
    <xf numFmtId="0" fontId="98" fillId="7" borderId="347" xfId="17" applyFont="1" applyFill="1" applyBorder="1" applyAlignment="1">
      <alignment horizontal="center" vertical="center"/>
    </xf>
    <xf numFmtId="186" fontId="182" fillId="0" borderId="332" xfId="17" applyNumberFormat="1" applyFont="1" applyFill="1" applyBorder="1" applyAlignment="1">
      <alignment horizontal="right" vertical="center"/>
    </xf>
    <xf numFmtId="0" fontId="97" fillId="47" borderId="231" xfId="14" applyFont="1" applyFill="1" applyBorder="1" applyAlignment="1" applyProtection="1">
      <alignment horizontal="center" vertical="center" wrapText="1"/>
      <protection locked="0"/>
    </xf>
    <xf numFmtId="0" fontId="183" fillId="47" borderId="231" xfId="14" applyFont="1" applyFill="1" applyBorder="1" applyAlignment="1" applyProtection="1">
      <alignment horizontal="center" vertical="center" wrapText="1"/>
      <protection locked="0"/>
    </xf>
    <xf numFmtId="0" fontId="97" fillId="47" borderId="231" xfId="14" applyFont="1" applyFill="1" applyBorder="1" applyAlignment="1" applyProtection="1">
      <alignment horizontal="left" vertical="center" wrapText="1"/>
      <protection locked="0"/>
    </xf>
    <xf numFmtId="0" fontId="183" fillId="48" borderId="231" xfId="0" applyFont="1" applyFill="1" applyBorder="1" applyAlignment="1" applyProtection="1">
      <alignment horizontal="center" vertical="center" wrapText="1"/>
      <protection locked="0"/>
    </xf>
    <xf numFmtId="41" fontId="183" fillId="18" borderId="231" xfId="15" applyNumberFormat="1" applyFont="1" applyFill="1" applyBorder="1" applyAlignment="1" applyProtection="1">
      <alignment vertical="center"/>
      <protection locked="0"/>
    </xf>
    <xf numFmtId="41" fontId="183" fillId="18" borderId="231" xfId="15" applyNumberFormat="1" applyFont="1" applyFill="1" applyBorder="1" applyAlignment="1" applyProtection="1">
      <alignment horizontal="center" vertical="center"/>
      <protection locked="0"/>
    </xf>
    <xf numFmtId="196" fontId="38" fillId="5" borderId="294" xfId="0" applyNumberFormat="1" applyFont="1" applyFill="1" applyBorder="1" applyAlignment="1">
      <alignment horizontal="right" vertical="center"/>
    </xf>
    <xf numFmtId="184" fontId="124" fillId="0" borderId="294" xfId="6" applyNumberFormat="1" applyFont="1" applyFill="1" applyBorder="1">
      <alignment vertical="center"/>
    </xf>
    <xf numFmtId="195" fontId="38" fillId="0" borderId="0" xfId="0" applyNumberFormat="1" applyFont="1">
      <alignment vertical="center"/>
    </xf>
    <xf numFmtId="0" fontId="38" fillId="0" borderId="0" xfId="0" quotePrefix="1" applyFont="1">
      <alignment vertical="center"/>
    </xf>
    <xf numFmtId="196" fontId="123" fillId="19" borderId="0" xfId="5" applyNumberFormat="1" applyFont="1" applyFill="1" applyBorder="1">
      <alignment vertical="center"/>
    </xf>
    <xf numFmtId="196" fontId="123" fillId="19" borderId="213" xfId="5" applyNumberFormat="1" applyFont="1" applyFill="1" applyBorder="1">
      <alignment vertical="center"/>
    </xf>
    <xf numFmtId="0" fontId="42" fillId="27" borderId="107" xfId="0" applyFont="1" applyFill="1" applyBorder="1" applyAlignment="1">
      <alignment horizontal="center" vertical="center"/>
    </xf>
    <xf numFmtId="41" fontId="0" fillId="0" borderId="0" xfId="0" applyNumberFormat="1" applyBorder="1" applyAlignment="1">
      <alignment horizontal="center" vertical="center"/>
    </xf>
    <xf numFmtId="41" fontId="0" fillId="0" borderId="0" xfId="0" applyNumberFormat="1" applyBorder="1">
      <alignment vertical="center"/>
    </xf>
    <xf numFmtId="196" fontId="38" fillId="5" borderId="0" xfId="0" applyNumberFormat="1" applyFont="1" applyFill="1" applyBorder="1">
      <alignment vertical="center"/>
    </xf>
    <xf numFmtId="14" fontId="117" fillId="5" borderId="0" xfId="0" applyNumberFormat="1" applyFont="1" applyFill="1" applyBorder="1" applyAlignment="1">
      <alignment horizontal="left" vertical="center"/>
    </xf>
    <xf numFmtId="0" fontId="41" fillId="0" borderId="0" xfId="0" applyFont="1" applyFill="1" applyBorder="1" applyAlignment="1">
      <alignment horizontal="left" vertical="center" indent="1"/>
    </xf>
    <xf numFmtId="193" fontId="119" fillId="0" borderId="0" xfId="0" applyNumberFormat="1" applyFont="1" applyFill="1" applyBorder="1" applyAlignment="1">
      <alignment horizontal="left" vertical="center"/>
    </xf>
    <xf numFmtId="193" fontId="119" fillId="0" borderId="0" xfId="0" applyNumberFormat="1" applyFont="1" applyFill="1" applyBorder="1" applyAlignment="1">
      <alignment horizontal="right" vertical="center"/>
    </xf>
    <xf numFmtId="0" fontId="24" fillId="0" borderId="163" xfId="5" applyFont="1" applyFill="1" applyBorder="1">
      <alignment vertical="center"/>
    </xf>
    <xf numFmtId="196" fontId="24" fillId="0" borderId="0" xfId="5" applyNumberFormat="1" applyFont="1" applyFill="1" applyBorder="1">
      <alignment vertical="center"/>
    </xf>
    <xf numFmtId="196" fontId="24" fillId="0" borderId="164" xfId="5" applyNumberFormat="1" applyFont="1" applyFill="1" applyBorder="1">
      <alignment vertical="center"/>
    </xf>
    <xf numFmtId="184" fontId="41" fillId="5" borderId="296" xfId="0" applyNumberFormat="1" applyFont="1" applyFill="1" applyBorder="1" applyAlignment="1">
      <alignment horizontal="right" vertical="center"/>
    </xf>
    <xf numFmtId="0" fontId="41" fillId="5" borderId="296" xfId="0" applyFont="1" applyFill="1" applyBorder="1" applyAlignment="1">
      <alignment horizontal="left" vertical="center" indent="1"/>
    </xf>
    <xf numFmtId="0" fontId="41" fillId="5" borderId="166" xfId="0" applyFont="1" applyFill="1" applyBorder="1" applyAlignment="1">
      <alignment horizontal="left" vertical="center" indent="1"/>
    </xf>
    <xf numFmtId="193" fontId="38" fillId="0" borderId="166" xfId="0" applyNumberFormat="1" applyFont="1" applyBorder="1" applyAlignment="1">
      <alignment horizontal="right" vertical="center"/>
    </xf>
    <xf numFmtId="180" fontId="38" fillId="5" borderId="163" xfId="0" applyNumberFormat="1" applyFont="1" applyFill="1" applyBorder="1" applyAlignment="1">
      <alignment horizontal="right" vertical="center"/>
    </xf>
    <xf numFmtId="180" fontId="38" fillId="0" borderId="165" xfId="0" applyNumberFormat="1" applyFont="1" applyBorder="1" applyAlignment="1">
      <alignment horizontal="right" vertical="center"/>
    </xf>
    <xf numFmtId="9" fontId="0" fillId="5" borderId="0" xfId="9" applyFont="1" applyFill="1">
      <alignment vertical="center"/>
    </xf>
    <xf numFmtId="0" fontId="23" fillId="0" borderId="18" xfId="0" applyFont="1" applyBorder="1" applyAlignment="1">
      <alignment vertical="center" wrapText="1"/>
    </xf>
    <xf numFmtId="0" fontId="23" fillId="0" borderId="22" xfId="0" applyFont="1" applyBorder="1" applyAlignment="1">
      <alignment vertical="center" wrapText="1"/>
    </xf>
    <xf numFmtId="0" fontId="23" fillId="0" borderId="64" xfId="0" applyFont="1" applyBorder="1" applyAlignment="1">
      <alignment vertical="center" wrapText="1"/>
    </xf>
    <xf numFmtId="0" fontId="23" fillId="0" borderId="59" xfId="0" applyFont="1" applyBorder="1" applyAlignment="1">
      <alignment vertical="center" wrapText="1"/>
    </xf>
    <xf numFmtId="0" fontId="23" fillId="0" borderId="63" xfId="0" applyFont="1" applyBorder="1" applyAlignment="1">
      <alignment vertical="center" wrapText="1"/>
    </xf>
    <xf numFmtId="0" fontId="23" fillId="0" borderId="60" xfId="0" applyFont="1" applyBorder="1" applyAlignment="1">
      <alignment vertical="center" wrapText="1"/>
    </xf>
    <xf numFmtId="0" fontId="23" fillId="0" borderId="35" xfId="0" applyFont="1" applyBorder="1" applyAlignment="1">
      <alignment vertical="center" wrapText="1"/>
    </xf>
    <xf numFmtId="0" fontId="23" fillId="0" borderId="0" xfId="0" applyFont="1" applyBorder="1" applyAlignment="1">
      <alignment vertical="center" wrapText="1"/>
    </xf>
    <xf numFmtId="0" fontId="23" fillId="0" borderId="15" xfId="0" applyFont="1" applyBorder="1" applyAlignment="1">
      <alignment vertical="center" wrapText="1"/>
    </xf>
    <xf numFmtId="0" fontId="23" fillId="0" borderId="16" xfId="0" applyFont="1" applyBorder="1" applyAlignment="1">
      <alignment vertical="center" wrapText="1"/>
    </xf>
    <xf numFmtId="0" fontId="42" fillId="0" borderId="57" xfId="0" applyFont="1" applyBorder="1" applyAlignment="1">
      <alignment horizontal="center" vertical="center" wrapText="1"/>
    </xf>
    <xf numFmtId="0" fontId="87" fillId="0" borderId="0" xfId="0" applyFont="1" applyFill="1" applyBorder="1" applyAlignment="1">
      <alignment horizontal="center" vertical="center"/>
    </xf>
    <xf numFmtId="0" fontId="13" fillId="5" borderId="0" xfId="0" applyFont="1" applyFill="1" applyBorder="1" applyAlignment="1">
      <alignment horizontal="left" vertical="center"/>
    </xf>
    <xf numFmtId="0" fontId="39" fillId="16" borderId="134" xfId="0" applyNumberFormat="1" applyFont="1" applyFill="1" applyBorder="1" applyAlignment="1">
      <alignment horizontal="center" vertical="center"/>
    </xf>
    <xf numFmtId="0" fontId="39" fillId="16" borderId="65" xfId="0" applyNumberFormat="1" applyFont="1" applyFill="1" applyBorder="1" applyAlignment="1">
      <alignment horizontal="center" vertical="center"/>
    </xf>
    <xf numFmtId="0" fontId="39" fillId="0" borderId="134" xfId="0" applyNumberFormat="1" applyFont="1" applyFill="1" applyBorder="1" applyAlignment="1">
      <alignment horizontal="center" vertical="center"/>
    </xf>
    <xf numFmtId="0" fontId="39" fillId="0" borderId="65" xfId="0" applyNumberFormat="1" applyFont="1" applyFill="1" applyBorder="1" applyAlignment="1">
      <alignment horizontal="center" vertical="center"/>
    </xf>
    <xf numFmtId="0" fontId="13" fillId="0" borderId="127" xfId="0" applyFont="1" applyFill="1" applyBorder="1" applyAlignment="1">
      <alignment horizontal="left" vertical="center" wrapText="1"/>
    </xf>
    <xf numFmtId="184" fontId="28" fillId="0" borderId="82" xfId="0" applyNumberFormat="1" applyFont="1" applyFill="1" applyBorder="1" applyAlignment="1">
      <alignment horizontal="center" vertical="center" wrapText="1"/>
    </xf>
    <xf numFmtId="184" fontId="28" fillId="0" borderId="83" xfId="0" applyNumberFormat="1" applyFont="1" applyFill="1" applyBorder="1" applyAlignment="1">
      <alignment horizontal="center" vertical="center" wrapText="1"/>
    </xf>
    <xf numFmtId="0" fontId="26" fillId="7" borderId="37" xfId="0" applyFont="1" applyFill="1" applyBorder="1" applyAlignment="1">
      <alignment horizontal="center" vertical="center" wrapText="1"/>
    </xf>
    <xf numFmtId="0" fontId="26" fillId="7" borderId="38" xfId="0" applyFont="1" applyFill="1" applyBorder="1" applyAlignment="1">
      <alignment horizontal="center" vertical="center" wrapText="1"/>
    </xf>
    <xf numFmtId="184" fontId="28" fillId="0" borderId="80" xfId="0" applyNumberFormat="1" applyFont="1" applyFill="1" applyBorder="1" applyAlignment="1">
      <alignment horizontal="center" vertical="center" wrapText="1"/>
    </xf>
    <xf numFmtId="184" fontId="28" fillId="0" borderId="81" xfId="0" applyNumberFormat="1" applyFont="1" applyFill="1" applyBorder="1" applyAlignment="1">
      <alignment horizontal="center" vertical="center" wrapText="1"/>
    </xf>
    <xf numFmtId="0" fontId="13" fillId="0" borderId="0" xfId="0" applyFont="1" applyFill="1" applyBorder="1" applyAlignment="1">
      <alignment horizontal="left" vertical="center" wrapText="1"/>
    </xf>
    <xf numFmtId="179" fontId="26" fillId="7" borderId="12" xfId="0" applyNumberFormat="1" applyFont="1" applyFill="1" applyBorder="1" applyAlignment="1">
      <alignment horizontal="center" vertical="center"/>
    </xf>
    <xf numFmtId="179" fontId="26" fillId="7" borderId="0" xfId="0" applyNumberFormat="1" applyFont="1" applyFill="1" applyBorder="1" applyAlignment="1">
      <alignment horizontal="center" vertical="center"/>
    </xf>
    <xf numFmtId="179" fontId="26" fillId="7" borderId="12" xfId="0" applyNumberFormat="1" applyFont="1" applyFill="1" applyBorder="1" applyAlignment="1">
      <alignment horizontal="center" vertical="center" wrapText="1"/>
    </xf>
    <xf numFmtId="179" fontId="26" fillId="7" borderId="0" xfId="0" applyNumberFormat="1" applyFont="1" applyFill="1" applyBorder="1" applyAlignment="1">
      <alignment horizontal="center" vertical="center" wrapText="1"/>
    </xf>
    <xf numFmtId="179" fontId="26" fillId="7" borderId="17" xfId="0" applyNumberFormat="1" applyFont="1" applyFill="1" applyBorder="1" applyAlignment="1">
      <alignment horizontal="center" vertical="center" wrapText="1"/>
    </xf>
    <xf numFmtId="179" fontId="26" fillId="7" borderId="20" xfId="0" applyNumberFormat="1" applyFont="1" applyFill="1" applyBorder="1" applyAlignment="1">
      <alignment horizontal="center" vertical="center" wrapText="1"/>
    </xf>
    <xf numFmtId="0" fontId="98" fillId="7" borderId="12" xfId="0" applyFont="1" applyFill="1" applyBorder="1" applyAlignment="1">
      <alignment horizontal="center" vertical="center" wrapText="1"/>
    </xf>
    <xf numFmtId="0" fontId="98" fillId="7" borderId="0" xfId="0" applyFont="1" applyFill="1" applyBorder="1" applyAlignment="1">
      <alignment horizontal="center" vertical="center" wrapText="1"/>
    </xf>
    <xf numFmtId="0" fontId="26" fillId="7" borderId="40" xfId="0" applyFont="1" applyFill="1" applyBorder="1" applyAlignment="1">
      <alignment horizontal="center" vertical="center" wrapText="1"/>
    </xf>
    <xf numFmtId="0" fontId="26" fillId="7" borderId="41" xfId="0" applyFont="1" applyFill="1" applyBorder="1" applyAlignment="1">
      <alignment horizontal="center" vertical="center" wrapText="1"/>
    </xf>
    <xf numFmtId="179" fontId="26" fillId="7" borderId="16" xfId="0" applyNumberFormat="1" applyFont="1" applyFill="1" applyBorder="1" applyAlignment="1">
      <alignment horizontal="center" vertical="center" wrapText="1"/>
    </xf>
    <xf numFmtId="179" fontId="26" fillId="7" borderId="18" xfId="0" applyNumberFormat="1" applyFont="1" applyFill="1" applyBorder="1" applyAlignment="1">
      <alignment horizontal="center" vertical="center" wrapText="1"/>
    </xf>
    <xf numFmtId="179" fontId="26" fillId="10" borderId="160" xfId="0" applyNumberFormat="1" applyFont="1" applyFill="1" applyBorder="1" applyAlignment="1">
      <alignment horizontal="center" vertical="center" wrapText="1"/>
    </xf>
    <xf numFmtId="179" fontId="26" fillId="10" borderId="165" xfId="0" applyNumberFormat="1" applyFont="1" applyFill="1" applyBorder="1" applyAlignment="1">
      <alignment horizontal="center" vertical="center" wrapText="1"/>
    </xf>
    <xf numFmtId="179" fontId="26" fillId="10" borderId="161" xfId="0" applyNumberFormat="1" applyFont="1" applyFill="1" applyBorder="1" applyAlignment="1">
      <alignment horizontal="center" vertical="center"/>
    </xf>
    <xf numFmtId="179" fontId="26" fillId="10" borderId="166" xfId="0" applyNumberFormat="1" applyFont="1" applyFill="1" applyBorder="1" applyAlignment="1">
      <alignment horizontal="center" vertical="center"/>
    </xf>
    <xf numFmtId="0" fontId="98" fillId="10" borderId="161" xfId="0" applyFont="1" applyFill="1" applyBorder="1" applyAlignment="1">
      <alignment horizontal="center" vertical="center" wrapText="1"/>
    </xf>
    <xf numFmtId="0" fontId="98" fillId="10" borderId="166" xfId="0" applyFont="1" applyFill="1" applyBorder="1" applyAlignment="1">
      <alignment horizontal="center" vertical="center" wrapText="1"/>
    </xf>
    <xf numFmtId="0" fontId="13" fillId="0" borderId="158" xfId="0" applyFont="1" applyFill="1" applyBorder="1" applyAlignment="1">
      <alignment vertical="center" wrapText="1"/>
    </xf>
    <xf numFmtId="0" fontId="13" fillId="0" borderId="0" xfId="0" applyFont="1" applyFill="1" applyBorder="1" applyAlignment="1">
      <alignment vertical="center" wrapText="1"/>
    </xf>
    <xf numFmtId="179" fontId="26" fillId="10" borderId="161" xfId="0" applyNumberFormat="1" applyFont="1" applyFill="1" applyBorder="1" applyAlignment="1">
      <alignment horizontal="center" vertical="center" wrapText="1"/>
    </xf>
    <xf numFmtId="179" fontId="26" fillId="10" borderId="166" xfId="0" applyNumberFormat="1" applyFont="1" applyFill="1" applyBorder="1" applyAlignment="1">
      <alignment horizontal="center" vertical="center" wrapText="1"/>
    </xf>
    <xf numFmtId="179" fontId="26" fillId="10" borderId="162" xfId="0" applyNumberFormat="1" applyFont="1" applyFill="1" applyBorder="1" applyAlignment="1">
      <alignment horizontal="center" vertical="center" wrapText="1"/>
    </xf>
    <xf numFmtId="179" fontId="26" fillId="10" borderId="167" xfId="0" applyNumberFormat="1" applyFont="1" applyFill="1" applyBorder="1" applyAlignment="1">
      <alignment horizontal="center" vertical="center" wrapText="1"/>
    </xf>
    <xf numFmtId="184" fontId="26" fillId="10" borderId="169" xfId="0" applyNumberFormat="1" applyFont="1" applyFill="1" applyBorder="1" applyAlignment="1">
      <alignment horizontal="center" vertical="center" wrapText="1"/>
    </xf>
    <xf numFmtId="184" fontId="28" fillId="5" borderId="169" xfId="0" applyNumberFormat="1" applyFont="1" applyFill="1" applyBorder="1" applyAlignment="1">
      <alignment horizontal="center" vertical="center"/>
    </xf>
    <xf numFmtId="0" fontId="26" fillId="10" borderId="169" xfId="0" applyFont="1" applyFill="1" applyBorder="1" applyAlignment="1">
      <alignment horizontal="center" vertical="center" wrapText="1"/>
    </xf>
    <xf numFmtId="190" fontId="13" fillId="0" borderId="169" xfId="0" applyNumberFormat="1" applyFont="1" applyBorder="1" applyAlignment="1">
      <alignment horizontal="center" vertical="center"/>
    </xf>
    <xf numFmtId="0" fontId="0" fillId="0" borderId="0" xfId="0" applyAlignment="1">
      <alignment horizontal="left" vertical="center" wrapText="1"/>
    </xf>
    <xf numFmtId="0" fontId="13" fillId="0" borderId="127" xfId="0" applyFont="1" applyFill="1" applyBorder="1" applyAlignment="1">
      <alignment vertical="center" wrapText="1"/>
    </xf>
    <xf numFmtId="0" fontId="175" fillId="11" borderId="315" xfId="0" applyFont="1" applyFill="1" applyBorder="1" applyAlignment="1">
      <alignment horizontal="center" vertical="center" wrapText="1"/>
    </xf>
    <xf numFmtId="0" fontId="175" fillId="11" borderId="0" xfId="0" applyFont="1" applyFill="1" applyBorder="1" applyAlignment="1">
      <alignment horizontal="center" vertical="center"/>
    </xf>
    <xf numFmtId="0" fontId="175" fillId="11" borderId="316" xfId="0" applyFont="1" applyFill="1" applyBorder="1" applyAlignment="1">
      <alignment horizontal="center" vertical="center" wrapText="1"/>
    </xf>
    <xf numFmtId="0" fontId="175" fillId="11" borderId="319" xfId="0" applyFont="1" applyFill="1" applyBorder="1" applyAlignment="1">
      <alignment horizontal="center" vertical="center"/>
    </xf>
    <xf numFmtId="0" fontId="175" fillId="11" borderId="314" xfId="0" applyFont="1" applyFill="1" applyBorder="1" applyAlignment="1">
      <alignment horizontal="center" vertical="center" wrapText="1"/>
    </xf>
    <xf numFmtId="0" fontId="175" fillId="11" borderId="318" xfId="0" applyFont="1" applyFill="1" applyBorder="1" applyAlignment="1">
      <alignment horizontal="center" vertical="center"/>
    </xf>
    <xf numFmtId="0" fontId="175" fillId="11" borderId="315" xfId="0" applyFont="1" applyFill="1" applyBorder="1" applyAlignment="1">
      <alignment horizontal="center" vertical="center"/>
    </xf>
    <xf numFmtId="0" fontId="98" fillId="7" borderId="346" xfId="17" applyFont="1" applyFill="1" applyBorder="1" applyAlignment="1">
      <alignment horizontal="center" vertical="center"/>
    </xf>
    <xf numFmtId="0" fontId="98" fillId="7" borderId="337" xfId="17" applyFont="1" applyFill="1" applyBorder="1" applyAlignment="1">
      <alignment horizontal="center" vertical="center"/>
    </xf>
    <xf numFmtId="0" fontId="98" fillId="7" borderId="338" xfId="17" applyFont="1" applyFill="1" applyBorder="1" applyAlignment="1">
      <alignment horizontal="center" vertical="center"/>
    </xf>
    <xf numFmtId="0" fontId="98" fillId="7" borderId="339" xfId="17" applyFont="1" applyFill="1" applyBorder="1" applyAlignment="1">
      <alignment horizontal="center" vertical="center"/>
    </xf>
    <xf numFmtId="0" fontId="98" fillId="7" borderId="141" xfId="17" applyFont="1" applyFill="1" applyBorder="1" applyAlignment="1">
      <alignment horizontal="center" vertical="center" wrapText="1"/>
    </xf>
    <xf numFmtId="0" fontId="171" fillId="7" borderId="15" xfId="17" applyFont="1" applyFill="1" applyBorder="1" applyAlignment="1">
      <alignment horizontal="center" vertical="center"/>
    </xf>
    <xf numFmtId="0" fontId="98" fillId="7" borderId="336" xfId="17" applyFont="1" applyFill="1" applyBorder="1" applyAlignment="1">
      <alignment horizontal="center" vertical="center"/>
    </xf>
    <xf numFmtId="0" fontId="176" fillId="7" borderId="28" xfId="0" applyFont="1" applyFill="1" applyBorder="1" applyAlignment="1">
      <alignment horizontal="center" vertical="center" wrapText="1"/>
    </xf>
    <xf numFmtId="0" fontId="0" fillId="0" borderId="0" xfId="0" applyBorder="1">
      <alignment vertical="center"/>
    </xf>
    <xf numFmtId="0" fontId="98" fillId="7" borderId="13" xfId="17" applyFont="1" applyFill="1" applyBorder="1" applyAlignment="1">
      <alignment horizontal="center" vertical="center"/>
    </xf>
    <xf numFmtId="0" fontId="98" fillId="7" borderId="340" xfId="17" applyFont="1" applyFill="1" applyBorder="1" applyAlignment="1">
      <alignment horizontal="center" vertical="center"/>
    </xf>
    <xf numFmtId="0" fontId="98" fillId="7" borderId="141" xfId="17" applyFont="1" applyFill="1" applyBorder="1" applyAlignment="1">
      <alignment horizontal="center" vertical="center"/>
    </xf>
    <xf numFmtId="0" fontId="98" fillId="7" borderId="15" xfId="17" applyFont="1" applyFill="1" applyBorder="1" applyAlignment="1">
      <alignment horizontal="center" vertical="center"/>
    </xf>
    <xf numFmtId="0" fontId="12" fillId="10" borderId="174" xfId="0" applyFont="1" applyFill="1" applyBorder="1" applyAlignment="1">
      <alignment horizontal="center" vertical="center"/>
    </xf>
    <xf numFmtId="0" fontId="12" fillId="10" borderId="175" xfId="0" applyFont="1" applyFill="1" applyBorder="1" applyAlignment="1">
      <alignment horizontal="center" vertical="center"/>
    </xf>
    <xf numFmtId="0" fontId="12" fillId="10" borderId="177" xfId="0" applyFont="1" applyFill="1" applyBorder="1" applyAlignment="1">
      <alignment horizontal="center" vertical="center"/>
    </xf>
    <xf numFmtId="0" fontId="12" fillId="10" borderId="178" xfId="0" applyFont="1" applyFill="1" applyBorder="1" applyAlignment="1">
      <alignment horizontal="center" vertical="center"/>
    </xf>
    <xf numFmtId="14" fontId="114" fillId="4" borderId="248" xfId="0" applyNumberFormat="1" applyFont="1" applyFill="1" applyBorder="1" applyAlignment="1">
      <alignment horizontal="center" vertical="center"/>
    </xf>
    <xf numFmtId="14" fontId="114" fillId="4" borderId="249" xfId="0" applyNumberFormat="1" applyFont="1" applyFill="1" applyBorder="1" applyAlignment="1">
      <alignment horizontal="center" vertical="center"/>
    </xf>
    <xf numFmtId="14" fontId="114" fillId="5" borderId="0" xfId="0" applyNumberFormat="1" applyFont="1" applyFill="1" applyBorder="1" applyAlignment="1">
      <alignment horizontal="center" vertical="center"/>
    </xf>
    <xf numFmtId="0" fontId="13" fillId="0" borderId="166" xfId="0" applyFont="1" applyFill="1" applyBorder="1" applyAlignment="1">
      <alignment horizontal="left" vertical="center" wrapText="1"/>
    </xf>
    <xf numFmtId="0" fontId="13" fillId="0" borderId="167" xfId="0" applyFont="1" applyFill="1" applyBorder="1" applyAlignment="1">
      <alignment horizontal="left" vertical="center" wrapText="1"/>
    </xf>
    <xf numFmtId="0" fontId="12" fillId="4" borderId="166" xfId="0" applyFont="1" applyFill="1" applyBorder="1" applyAlignment="1">
      <alignment horizontal="center" vertical="center"/>
    </xf>
    <xf numFmtId="0" fontId="12" fillId="4" borderId="167" xfId="0" applyFont="1" applyFill="1" applyBorder="1" applyAlignment="1">
      <alignment horizontal="center" vertical="center"/>
    </xf>
    <xf numFmtId="0" fontId="13" fillId="0" borderId="0" xfId="0" applyFont="1" applyFill="1" applyBorder="1" applyAlignment="1">
      <alignment horizontal="center" vertical="center" wrapText="1"/>
    </xf>
    <xf numFmtId="0" fontId="13" fillId="0" borderId="164" xfId="0" applyFont="1" applyFill="1" applyBorder="1" applyAlignment="1">
      <alignment horizontal="center" vertical="center" wrapText="1"/>
    </xf>
    <xf numFmtId="0" fontId="13" fillId="0" borderId="164" xfId="0" applyFont="1" applyFill="1" applyBorder="1" applyAlignment="1">
      <alignment horizontal="left" vertical="center" wrapText="1"/>
    </xf>
    <xf numFmtId="0" fontId="23" fillId="43" borderId="282" xfId="12" applyFont="1" applyFill="1" applyBorder="1" applyAlignment="1">
      <alignment horizontal="center" vertical="center"/>
    </xf>
    <xf numFmtId="0" fontId="23" fillId="43" borderId="283" xfId="12" applyFont="1" applyFill="1" applyBorder="1" applyAlignment="1">
      <alignment horizontal="center" vertical="center"/>
    </xf>
    <xf numFmtId="0" fontId="23" fillId="42" borderId="282" xfId="12" applyFont="1" applyFill="1" applyBorder="1" applyAlignment="1">
      <alignment horizontal="center" vertical="center"/>
    </xf>
    <xf numFmtId="0" fontId="23" fillId="42" borderId="283" xfId="12" applyFont="1" applyFill="1" applyBorder="1" applyAlignment="1">
      <alignment horizontal="center" vertical="center"/>
    </xf>
    <xf numFmtId="0" fontId="23" fillId="42" borderId="271" xfId="12" applyFont="1" applyFill="1" applyBorder="1" applyAlignment="1">
      <alignment horizontal="center" vertical="center"/>
    </xf>
    <xf numFmtId="0" fontId="23" fillId="42" borderId="278" xfId="12" applyFont="1" applyFill="1" applyBorder="1" applyAlignment="1">
      <alignment horizontal="center" vertical="center"/>
    </xf>
    <xf numFmtId="0" fontId="23" fillId="36" borderId="269" xfId="12" applyFont="1" applyFill="1" applyBorder="1" applyAlignment="1">
      <alignment horizontal="center" vertical="center"/>
    </xf>
    <xf numFmtId="0" fontId="23" fillId="36" borderId="109" xfId="12" applyFont="1" applyFill="1" applyBorder="1" applyAlignment="1">
      <alignment horizontal="center" vertical="center"/>
    </xf>
    <xf numFmtId="14" fontId="23" fillId="43" borderId="282" xfId="12" applyNumberFormat="1" applyFont="1" applyFill="1" applyBorder="1" applyAlignment="1">
      <alignment horizontal="center" vertical="center"/>
    </xf>
    <xf numFmtId="14" fontId="23" fillId="43" borderId="283" xfId="12" applyNumberFormat="1" applyFont="1" applyFill="1" applyBorder="1" applyAlignment="1">
      <alignment horizontal="center" vertical="center"/>
    </xf>
    <xf numFmtId="201" fontId="23" fillId="43" borderId="282" xfId="12" applyNumberFormat="1" applyFont="1" applyFill="1" applyBorder="1" applyAlignment="1">
      <alignment horizontal="center" vertical="center"/>
    </xf>
    <xf numFmtId="201" fontId="23" fillId="43" borderId="283" xfId="12" applyNumberFormat="1" applyFont="1" applyFill="1" applyBorder="1" applyAlignment="1">
      <alignment horizontal="center" vertical="center"/>
    </xf>
    <xf numFmtId="201" fontId="23" fillId="42" borderId="282" xfId="12" applyNumberFormat="1" applyFont="1" applyFill="1" applyBorder="1" applyAlignment="1">
      <alignment horizontal="center" vertical="center"/>
    </xf>
    <xf numFmtId="201" fontId="23" fillId="42" borderId="283" xfId="12" applyNumberFormat="1" applyFont="1" applyFill="1" applyBorder="1" applyAlignment="1">
      <alignment horizontal="center" vertical="center"/>
    </xf>
    <xf numFmtId="0" fontId="0" fillId="0" borderId="270" xfId="0" applyBorder="1" applyAlignment="1">
      <alignment horizontal="center" vertical="center" wrapText="1"/>
    </xf>
    <xf numFmtId="0" fontId="0" fillId="0" borderId="274" xfId="0" applyBorder="1" applyAlignment="1">
      <alignment horizontal="center" vertical="center"/>
    </xf>
    <xf numFmtId="0" fontId="42" fillId="0" borderId="107" xfId="0" applyFont="1" applyBorder="1" applyAlignment="1">
      <alignment horizontal="center" vertical="center"/>
    </xf>
    <xf numFmtId="0" fontId="42" fillId="27" borderId="107" xfId="0" applyFont="1" applyFill="1" applyBorder="1" applyAlignment="1">
      <alignment horizontal="center" vertical="center"/>
    </xf>
    <xf numFmtId="0" fontId="42" fillId="27" borderId="108" xfId="0" applyFont="1" applyFill="1" applyBorder="1" applyAlignment="1">
      <alignment horizontal="center" vertical="center"/>
    </xf>
    <xf numFmtId="0" fontId="42" fillId="27" borderId="269" xfId="0" applyFont="1" applyFill="1" applyBorder="1" applyAlignment="1">
      <alignment horizontal="center" vertical="center"/>
    </xf>
    <xf numFmtId="0" fontId="42" fillId="27" borderId="109" xfId="0" applyFont="1" applyFill="1" applyBorder="1" applyAlignment="1">
      <alignment horizontal="center" vertical="center"/>
    </xf>
    <xf numFmtId="0" fontId="0" fillId="0" borderId="270" xfId="0" applyBorder="1" applyAlignment="1">
      <alignment horizontal="center" vertical="center"/>
    </xf>
    <xf numFmtId="0" fontId="114" fillId="4" borderId="188" xfId="0" applyFont="1" applyFill="1" applyBorder="1" applyAlignment="1">
      <alignment horizontal="center" vertical="center"/>
    </xf>
    <xf numFmtId="0" fontId="114" fillId="4" borderId="0" xfId="0" applyFont="1" applyFill="1" applyBorder="1" applyAlignment="1">
      <alignment horizontal="center" vertical="center"/>
    </xf>
    <xf numFmtId="0" fontId="114" fillId="4" borderId="205" xfId="0" applyFont="1" applyFill="1" applyBorder="1" applyAlignment="1">
      <alignment horizontal="center" vertical="center"/>
    </xf>
    <xf numFmtId="0" fontId="114" fillId="4" borderId="207" xfId="0" applyFont="1" applyFill="1" applyBorder="1" applyAlignment="1">
      <alignment horizontal="center" vertical="center"/>
    </xf>
    <xf numFmtId="0" fontId="114" fillId="4" borderId="209" xfId="0" applyFont="1" applyFill="1" applyBorder="1" applyAlignment="1">
      <alignment horizontal="center" vertical="center"/>
    </xf>
    <xf numFmtId="0" fontId="111" fillId="32" borderId="204" xfId="0" applyFont="1" applyFill="1" applyBorder="1" applyAlignment="1">
      <alignment horizontal="center" vertical="center" wrapText="1"/>
    </xf>
    <xf numFmtId="0" fontId="111" fillId="32" borderId="211" xfId="0" applyFont="1" applyFill="1" applyBorder="1" applyAlignment="1">
      <alignment horizontal="center" vertical="center" wrapText="1"/>
    </xf>
    <xf numFmtId="0" fontId="111" fillId="32" borderId="212" xfId="0" applyFont="1" applyFill="1" applyBorder="1" applyAlignment="1">
      <alignment horizontal="center" vertical="center" wrapText="1"/>
    </xf>
    <xf numFmtId="0" fontId="77" fillId="10" borderId="160" xfId="0" applyFont="1" applyFill="1" applyBorder="1" applyAlignment="1">
      <alignment horizontal="center" vertical="center"/>
    </xf>
    <xf numFmtId="0" fontId="77" fillId="10" borderId="161" xfId="0" applyFont="1" applyFill="1" applyBorder="1" applyAlignment="1">
      <alignment horizontal="center" vertical="center"/>
    </xf>
    <xf numFmtId="0" fontId="77" fillId="10" borderId="163" xfId="0" applyFont="1" applyFill="1" applyBorder="1" applyAlignment="1">
      <alignment horizontal="center" vertical="center"/>
    </xf>
    <xf numFmtId="0" fontId="77" fillId="10" borderId="0" xfId="0" applyFont="1" applyFill="1" applyBorder="1" applyAlignment="1">
      <alignment horizontal="center" vertical="center"/>
    </xf>
    <xf numFmtId="0" fontId="77" fillId="10" borderId="186" xfId="0" applyFont="1" applyFill="1" applyBorder="1" applyAlignment="1">
      <alignment horizontal="center" vertical="center"/>
    </xf>
    <xf numFmtId="0" fontId="77" fillId="10" borderId="123" xfId="0" applyFont="1" applyFill="1" applyBorder="1" applyAlignment="1">
      <alignment horizontal="center" vertical="center"/>
    </xf>
    <xf numFmtId="0" fontId="77" fillId="10" borderId="200" xfId="0" applyFont="1" applyFill="1" applyBorder="1" applyAlignment="1">
      <alignment horizontal="center" vertical="center" wrapText="1"/>
    </xf>
    <xf numFmtId="0" fontId="77" fillId="10" borderId="161" xfId="0" applyFont="1" applyFill="1" applyBorder="1" applyAlignment="1">
      <alignment horizontal="center" vertical="center" wrapText="1"/>
    </xf>
    <xf numFmtId="0" fontId="77" fillId="10" borderId="186" xfId="0" applyFont="1" applyFill="1" applyBorder="1" applyAlignment="1">
      <alignment horizontal="center" vertical="center" wrapText="1"/>
    </xf>
    <xf numFmtId="0" fontId="77" fillId="10" borderId="162" xfId="0" applyFont="1" applyFill="1" applyBorder="1" applyAlignment="1">
      <alignment horizontal="center" vertical="center" wrapText="1"/>
    </xf>
    <xf numFmtId="0" fontId="77" fillId="10" borderId="164" xfId="0" applyFont="1" applyFill="1" applyBorder="1" applyAlignment="1">
      <alignment horizontal="center" vertical="center" wrapText="1"/>
    </xf>
    <xf numFmtId="0" fontId="77" fillId="10" borderId="0" xfId="0" applyFont="1" applyFill="1" applyBorder="1" applyAlignment="1">
      <alignment horizontal="center" vertical="center" wrapText="1"/>
    </xf>
    <xf numFmtId="0" fontId="140" fillId="0" borderId="266" xfId="0" applyFont="1" applyBorder="1" applyAlignment="1">
      <alignment vertical="top" wrapText="1"/>
    </xf>
    <xf numFmtId="0" fontId="140" fillId="0" borderId="265" xfId="0" applyFont="1" applyBorder="1" applyAlignment="1">
      <alignment vertical="top" wrapText="1"/>
    </xf>
    <xf numFmtId="0" fontId="140" fillId="0" borderId="267" xfId="0" applyFont="1" applyBorder="1" applyAlignment="1">
      <alignment vertical="top" wrapText="1"/>
    </xf>
    <xf numFmtId="0" fontId="141" fillId="5" borderId="257" xfId="0" applyFont="1" applyFill="1" applyBorder="1" applyAlignment="1">
      <alignment horizontal="center" vertical="center" wrapText="1"/>
    </xf>
    <xf numFmtId="0" fontId="141" fillId="5" borderId="262" xfId="0" applyFont="1" applyFill="1" applyBorder="1" applyAlignment="1">
      <alignment horizontal="center" vertical="center" wrapText="1"/>
    </xf>
    <xf numFmtId="0" fontId="141" fillId="5" borderId="260" xfId="0" applyFont="1" applyFill="1" applyBorder="1" applyAlignment="1">
      <alignment horizontal="center" vertical="center" wrapText="1"/>
    </xf>
    <xf numFmtId="0" fontId="141" fillId="5" borderId="255" xfId="0" applyFont="1" applyFill="1" applyBorder="1" applyAlignment="1">
      <alignment horizontal="center" vertical="center" wrapText="1"/>
    </xf>
    <xf numFmtId="0" fontId="140" fillId="5" borderId="257" xfId="0" applyFont="1" applyFill="1" applyBorder="1" applyAlignment="1">
      <alignment horizontal="center" vertical="center" wrapText="1"/>
    </xf>
    <xf numFmtId="0" fontId="140" fillId="5" borderId="262" xfId="0" applyFont="1" applyFill="1" applyBorder="1" applyAlignment="1">
      <alignment horizontal="center" vertical="center" wrapText="1"/>
    </xf>
    <xf numFmtId="0" fontId="140" fillId="5" borderId="258" xfId="0" applyFont="1" applyFill="1" applyBorder="1" applyAlignment="1">
      <alignment horizontal="center" vertical="center" wrapText="1"/>
    </xf>
    <xf numFmtId="0" fontId="140" fillId="5" borderId="259" xfId="0" applyFont="1" applyFill="1" applyBorder="1" applyAlignment="1">
      <alignment horizontal="center" vertical="center" wrapText="1"/>
    </xf>
    <xf numFmtId="0" fontId="140" fillId="5" borderId="260" xfId="0" applyFont="1" applyFill="1" applyBorder="1" applyAlignment="1">
      <alignment horizontal="center" vertical="center" wrapText="1"/>
    </xf>
    <xf numFmtId="0" fontId="140" fillId="5" borderId="255" xfId="0" applyFont="1" applyFill="1" applyBorder="1" applyAlignment="1">
      <alignment horizontal="center" vertical="center" wrapText="1"/>
    </xf>
    <xf numFmtId="0" fontId="140" fillId="5" borderId="261" xfId="0" applyFont="1" applyFill="1" applyBorder="1" applyAlignment="1">
      <alignment horizontal="center" vertical="center" wrapText="1"/>
    </xf>
    <xf numFmtId="0" fontId="140" fillId="5" borderId="263" xfId="0" applyFont="1" applyFill="1" applyBorder="1" applyAlignment="1">
      <alignment horizontal="center" vertical="center" wrapText="1"/>
    </xf>
    <xf numFmtId="0" fontId="141" fillId="5" borderId="261" xfId="0" applyFont="1" applyFill="1" applyBorder="1" applyAlignment="1">
      <alignment horizontal="center" vertical="center" wrapText="1"/>
    </xf>
    <xf numFmtId="0" fontId="141" fillId="5" borderId="263" xfId="0" applyFont="1" applyFill="1" applyBorder="1" applyAlignment="1">
      <alignment horizontal="center" vertical="center" wrapText="1"/>
    </xf>
    <xf numFmtId="0" fontId="141" fillId="5" borderId="258" xfId="0" applyFont="1" applyFill="1" applyBorder="1" applyAlignment="1">
      <alignment horizontal="center" vertical="center" wrapText="1"/>
    </xf>
    <xf numFmtId="0" fontId="141" fillId="5" borderId="259" xfId="0" applyFont="1" applyFill="1" applyBorder="1" applyAlignment="1">
      <alignment horizontal="center" vertical="center" wrapText="1"/>
    </xf>
    <xf numFmtId="0" fontId="25" fillId="5" borderId="257" xfId="0" applyFont="1" applyFill="1" applyBorder="1" applyAlignment="1">
      <alignment horizontal="center" vertical="center" wrapText="1"/>
    </xf>
    <xf numFmtId="0" fontId="25" fillId="5" borderId="262" xfId="0" applyFont="1" applyFill="1" applyBorder="1" applyAlignment="1">
      <alignment horizontal="center" vertical="center" wrapText="1"/>
    </xf>
    <xf numFmtId="0" fontId="25" fillId="5" borderId="258" xfId="0" applyFont="1" applyFill="1" applyBorder="1" applyAlignment="1">
      <alignment horizontal="center" vertical="center" wrapText="1"/>
    </xf>
    <xf numFmtId="0" fontId="25" fillId="5" borderId="259" xfId="0" applyFont="1" applyFill="1" applyBorder="1" applyAlignment="1">
      <alignment horizontal="center" vertical="center" wrapText="1"/>
    </xf>
    <xf numFmtId="0" fontId="25" fillId="5" borderId="260" xfId="0" applyFont="1" applyFill="1" applyBorder="1" applyAlignment="1">
      <alignment horizontal="center" vertical="center" wrapText="1"/>
    </xf>
    <xf numFmtId="0" fontId="25" fillId="5" borderId="255" xfId="0" applyFont="1" applyFill="1" applyBorder="1" applyAlignment="1">
      <alignment horizontal="center" vertical="center" wrapText="1"/>
    </xf>
    <xf numFmtId="0" fontId="25" fillId="5" borderId="261" xfId="0" applyFont="1" applyFill="1" applyBorder="1" applyAlignment="1">
      <alignment horizontal="center" vertical="center" wrapText="1"/>
    </xf>
    <xf numFmtId="0" fontId="25" fillId="5" borderId="263" xfId="0" applyFont="1" applyFill="1" applyBorder="1" applyAlignment="1">
      <alignment horizontal="center" vertical="center" wrapText="1"/>
    </xf>
    <xf numFmtId="0" fontId="25" fillId="16" borderId="231" xfId="0" applyFont="1" applyFill="1" applyBorder="1" applyAlignment="1">
      <alignment horizontal="center" vertical="center" wrapText="1"/>
    </xf>
    <xf numFmtId="0" fontId="126" fillId="14" borderId="231" xfId="0" applyFont="1" applyFill="1" applyBorder="1" applyAlignment="1">
      <alignment horizontal="center" vertical="center" wrapText="1"/>
    </xf>
    <xf numFmtId="0" fontId="86" fillId="26" borderId="0" xfId="0" applyFont="1" applyFill="1" applyAlignment="1">
      <alignment vertical="center" wrapText="1"/>
    </xf>
    <xf numFmtId="184" fontId="48" fillId="5" borderId="0" xfId="0" applyNumberFormat="1" applyFont="1" applyFill="1">
      <alignment vertical="center"/>
    </xf>
    <xf numFmtId="196" fontId="49" fillId="0" borderId="0" xfId="0" applyNumberFormat="1" applyFont="1">
      <alignment vertical="center"/>
    </xf>
    <xf numFmtId="193" fontId="63" fillId="0" borderId="0" xfId="0" applyNumberFormat="1" applyFont="1">
      <alignment vertical="center"/>
    </xf>
  </cellXfs>
  <cellStyles count="15">
    <cellStyle name="백분율" xfId="9" builtinId="5"/>
    <cellStyle name="백분율 2" xfId="6"/>
    <cellStyle name="백분율 2 2" xfId="8"/>
    <cellStyle name="쉼표 [0]" xfId="4" builtinId="6"/>
    <cellStyle name="쉼표 [0] 2" xfId="15"/>
    <cellStyle name="쉼표 [0] 7" xfId="13"/>
    <cellStyle name="표준" xfId="0" builtinId="0"/>
    <cellStyle name="표준 10" xfId="17"/>
    <cellStyle name="표준 2" xfId="5"/>
    <cellStyle name="표준 2 2" xfId="7"/>
    <cellStyle name="표준 2 4" xfId="12"/>
    <cellStyle name="표준 4" xfId="16"/>
    <cellStyle name="표준_2005년 매출실적_050331" xfId="14"/>
    <cellStyle name="표준_매출원가명세서" xfId="11"/>
    <cellStyle name="하이퍼링크" xfId="10" builtinId="8"/>
  </cellStyles>
  <dxfs count="4">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409DAD"/>
      <rgbColor rgb="00BFDEE4"/>
      <rgbColor rgb="00AA5CAA"/>
      <rgbColor rgb="00E3C9E3"/>
      <rgbColor rgb="00BDB694"/>
      <rgbColor rgb="00E9E7DB"/>
      <rgbColor rgb="009BCA40"/>
      <rgbColor rgb="00DEEDBF"/>
      <rgbColor rgb="00007C92"/>
      <rgbColor rgb="008E258D"/>
      <rgbColor rgb="00A79E70"/>
      <rgbColor rgb="007AB800"/>
      <rgbColor rgb="0000338D"/>
      <rgbColor rgb="00C84E00"/>
      <rgbColor rgb="0098C6EA"/>
      <rgbColor rgb="0000338D"/>
      <rgbColor rgb="004066AA"/>
      <rgbColor rgb="00BFCCE3"/>
      <rgbColor rgb="00D67A40"/>
      <rgbColor rgb="00F1D3BF"/>
      <rgbColor rgb="00B2D4EF"/>
      <rgbColor rgb="00E5F1FA"/>
      <rgbColor rgb="00B6646B"/>
      <rgbColor rgb="00E7CBCE"/>
      <rgbColor rgb="003366FF"/>
      <rgbColor rgb="0033CCCC"/>
      <rgbColor rgb="0099CC00"/>
      <rgbColor rgb="00F5B36A"/>
      <rgbColor rgb="00FF9900"/>
      <rgbColor rgb="00FF6600"/>
      <rgbColor rgb="00666699"/>
      <rgbColor rgb="00969696"/>
      <rgbColor rgb="00003366"/>
      <rgbColor rgb="00339966"/>
      <rgbColor rgb="00003300"/>
      <rgbColor rgb="00333300"/>
      <rgbColor rgb="00993300"/>
      <rgbColor rgb="00E6E9EE"/>
      <rgbColor rgb="00333399"/>
      <rgbColor rgb="00333333"/>
    </indexedColors>
    <mruColors>
      <color rgb="FF007C92"/>
      <color rgb="FF409DAD"/>
      <color rgb="FF31869B"/>
      <color rgb="FF00338D"/>
      <color rgb="FF95B3D7"/>
      <color rgb="FF99CCFF"/>
      <color rgb="FFFFCC66"/>
      <color rgb="FF99FF99"/>
      <color rgb="FF8099C6"/>
      <color rgb="FFE46D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2.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8.xml"/><Relationship Id="rId68" Type="http://schemas.openxmlformats.org/officeDocument/2006/relationships/externalLink" Target="externalLinks/externalLink13.xml"/><Relationship Id="rId84" Type="http://schemas.openxmlformats.org/officeDocument/2006/relationships/externalLink" Target="externalLinks/externalLink29.xml"/><Relationship Id="rId89" Type="http://schemas.openxmlformats.org/officeDocument/2006/relationships/externalLink" Target="externalLinks/externalLink34.xml"/><Relationship Id="rId112" Type="http://schemas.openxmlformats.org/officeDocument/2006/relationships/externalLink" Target="externalLinks/externalLink57.xml"/><Relationship Id="rId133" Type="http://schemas.openxmlformats.org/officeDocument/2006/relationships/externalLink" Target="externalLinks/externalLink78.xml"/><Relationship Id="rId138" Type="http://schemas.openxmlformats.org/officeDocument/2006/relationships/externalLink" Target="externalLinks/externalLink83.xml"/><Relationship Id="rId154" Type="http://schemas.openxmlformats.org/officeDocument/2006/relationships/externalLink" Target="externalLinks/externalLink99.xml"/><Relationship Id="rId159" Type="http://schemas.openxmlformats.org/officeDocument/2006/relationships/externalLink" Target="externalLinks/externalLink104.xml"/><Relationship Id="rId175" Type="http://schemas.openxmlformats.org/officeDocument/2006/relationships/customXml" Target="../customXml/item1.xml"/><Relationship Id="rId170" Type="http://schemas.openxmlformats.org/officeDocument/2006/relationships/externalLink" Target="externalLinks/externalLink115.xml"/><Relationship Id="rId16" Type="http://schemas.openxmlformats.org/officeDocument/2006/relationships/worksheet" Target="worksheets/sheet16.xml"/><Relationship Id="rId107" Type="http://schemas.openxmlformats.org/officeDocument/2006/relationships/externalLink" Target="externalLinks/externalLink52.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3.xml"/><Relationship Id="rId74" Type="http://schemas.openxmlformats.org/officeDocument/2006/relationships/externalLink" Target="externalLinks/externalLink19.xml"/><Relationship Id="rId79" Type="http://schemas.openxmlformats.org/officeDocument/2006/relationships/externalLink" Target="externalLinks/externalLink24.xml"/><Relationship Id="rId102" Type="http://schemas.openxmlformats.org/officeDocument/2006/relationships/externalLink" Target="externalLinks/externalLink47.xml"/><Relationship Id="rId123" Type="http://schemas.openxmlformats.org/officeDocument/2006/relationships/externalLink" Target="externalLinks/externalLink68.xml"/><Relationship Id="rId128" Type="http://schemas.openxmlformats.org/officeDocument/2006/relationships/externalLink" Target="externalLinks/externalLink73.xml"/><Relationship Id="rId144" Type="http://schemas.openxmlformats.org/officeDocument/2006/relationships/externalLink" Target="externalLinks/externalLink89.xml"/><Relationship Id="rId149" Type="http://schemas.openxmlformats.org/officeDocument/2006/relationships/externalLink" Target="externalLinks/externalLink94.xml"/><Relationship Id="rId5" Type="http://schemas.openxmlformats.org/officeDocument/2006/relationships/worksheet" Target="worksheets/sheet5.xml"/><Relationship Id="rId90" Type="http://schemas.openxmlformats.org/officeDocument/2006/relationships/externalLink" Target="externalLinks/externalLink35.xml"/><Relationship Id="rId95" Type="http://schemas.openxmlformats.org/officeDocument/2006/relationships/externalLink" Target="externalLinks/externalLink40.xml"/><Relationship Id="rId160" Type="http://schemas.openxmlformats.org/officeDocument/2006/relationships/externalLink" Target="externalLinks/externalLink105.xml"/><Relationship Id="rId165" Type="http://schemas.openxmlformats.org/officeDocument/2006/relationships/externalLink" Target="externalLinks/externalLink11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9.xml"/><Relationship Id="rId69" Type="http://schemas.openxmlformats.org/officeDocument/2006/relationships/externalLink" Target="externalLinks/externalLink14.xml"/><Relationship Id="rId113" Type="http://schemas.openxmlformats.org/officeDocument/2006/relationships/externalLink" Target="externalLinks/externalLink58.xml"/><Relationship Id="rId118" Type="http://schemas.openxmlformats.org/officeDocument/2006/relationships/externalLink" Target="externalLinks/externalLink63.xml"/><Relationship Id="rId134" Type="http://schemas.openxmlformats.org/officeDocument/2006/relationships/externalLink" Target="externalLinks/externalLink79.xml"/><Relationship Id="rId139" Type="http://schemas.openxmlformats.org/officeDocument/2006/relationships/externalLink" Target="externalLinks/externalLink84.xml"/><Relationship Id="rId80" Type="http://schemas.openxmlformats.org/officeDocument/2006/relationships/externalLink" Target="externalLinks/externalLink25.xml"/><Relationship Id="rId85" Type="http://schemas.openxmlformats.org/officeDocument/2006/relationships/externalLink" Target="externalLinks/externalLink30.xml"/><Relationship Id="rId150" Type="http://schemas.openxmlformats.org/officeDocument/2006/relationships/externalLink" Target="externalLinks/externalLink95.xml"/><Relationship Id="rId155" Type="http://schemas.openxmlformats.org/officeDocument/2006/relationships/externalLink" Target="externalLinks/externalLink100.xml"/><Relationship Id="rId171" Type="http://schemas.openxmlformats.org/officeDocument/2006/relationships/theme" Target="theme/theme1.xml"/><Relationship Id="rId176" Type="http://schemas.openxmlformats.org/officeDocument/2006/relationships/customXml" Target="../customXml/item2.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4.xml"/><Relationship Id="rId103" Type="http://schemas.openxmlformats.org/officeDocument/2006/relationships/externalLink" Target="externalLinks/externalLink48.xml"/><Relationship Id="rId108" Type="http://schemas.openxmlformats.org/officeDocument/2006/relationships/externalLink" Target="externalLinks/externalLink53.xml"/><Relationship Id="rId124" Type="http://schemas.openxmlformats.org/officeDocument/2006/relationships/externalLink" Target="externalLinks/externalLink69.xml"/><Relationship Id="rId129" Type="http://schemas.openxmlformats.org/officeDocument/2006/relationships/externalLink" Target="externalLinks/externalLink74.xml"/><Relationship Id="rId54" Type="http://schemas.openxmlformats.org/officeDocument/2006/relationships/worksheet" Target="worksheets/sheet54.xml"/><Relationship Id="rId70" Type="http://schemas.openxmlformats.org/officeDocument/2006/relationships/externalLink" Target="externalLinks/externalLink15.xml"/><Relationship Id="rId75" Type="http://schemas.openxmlformats.org/officeDocument/2006/relationships/externalLink" Target="externalLinks/externalLink20.xml"/><Relationship Id="rId91" Type="http://schemas.openxmlformats.org/officeDocument/2006/relationships/externalLink" Target="externalLinks/externalLink36.xml"/><Relationship Id="rId96" Type="http://schemas.openxmlformats.org/officeDocument/2006/relationships/externalLink" Target="externalLinks/externalLink41.xml"/><Relationship Id="rId140" Type="http://schemas.openxmlformats.org/officeDocument/2006/relationships/externalLink" Target="externalLinks/externalLink85.xml"/><Relationship Id="rId145" Type="http://schemas.openxmlformats.org/officeDocument/2006/relationships/externalLink" Target="externalLinks/externalLink90.xml"/><Relationship Id="rId161" Type="http://schemas.openxmlformats.org/officeDocument/2006/relationships/externalLink" Target="externalLinks/externalLink106.xml"/><Relationship Id="rId166" Type="http://schemas.openxmlformats.org/officeDocument/2006/relationships/externalLink" Target="externalLinks/externalLink11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9.xml"/><Relationship Id="rId119" Type="http://schemas.openxmlformats.org/officeDocument/2006/relationships/externalLink" Target="externalLinks/externalLink6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5.xml"/><Relationship Id="rId65" Type="http://schemas.openxmlformats.org/officeDocument/2006/relationships/externalLink" Target="externalLinks/externalLink10.xml"/><Relationship Id="rId73" Type="http://schemas.openxmlformats.org/officeDocument/2006/relationships/externalLink" Target="externalLinks/externalLink18.xml"/><Relationship Id="rId78" Type="http://schemas.openxmlformats.org/officeDocument/2006/relationships/externalLink" Target="externalLinks/externalLink23.xml"/><Relationship Id="rId81" Type="http://schemas.openxmlformats.org/officeDocument/2006/relationships/externalLink" Target="externalLinks/externalLink26.xml"/><Relationship Id="rId86" Type="http://schemas.openxmlformats.org/officeDocument/2006/relationships/externalLink" Target="externalLinks/externalLink31.xml"/><Relationship Id="rId94" Type="http://schemas.openxmlformats.org/officeDocument/2006/relationships/externalLink" Target="externalLinks/externalLink39.xml"/><Relationship Id="rId99" Type="http://schemas.openxmlformats.org/officeDocument/2006/relationships/externalLink" Target="externalLinks/externalLink44.xml"/><Relationship Id="rId101" Type="http://schemas.openxmlformats.org/officeDocument/2006/relationships/externalLink" Target="externalLinks/externalLink46.xml"/><Relationship Id="rId122" Type="http://schemas.openxmlformats.org/officeDocument/2006/relationships/externalLink" Target="externalLinks/externalLink67.xml"/><Relationship Id="rId130" Type="http://schemas.openxmlformats.org/officeDocument/2006/relationships/externalLink" Target="externalLinks/externalLink75.xml"/><Relationship Id="rId135" Type="http://schemas.openxmlformats.org/officeDocument/2006/relationships/externalLink" Target="externalLinks/externalLink80.xml"/><Relationship Id="rId143" Type="http://schemas.openxmlformats.org/officeDocument/2006/relationships/externalLink" Target="externalLinks/externalLink88.xml"/><Relationship Id="rId148" Type="http://schemas.openxmlformats.org/officeDocument/2006/relationships/externalLink" Target="externalLinks/externalLink93.xml"/><Relationship Id="rId151" Type="http://schemas.openxmlformats.org/officeDocument/2006/relationships/externalLink" Target="externalLinks/externalLink96.xml"/><Relationship Id="rId156" Type="http://schemas.openxmlformats.org/officeDocument/2006/relationships/externalLink" Target="externalLinks/externalLink101.xml"/><Relationship Id="rId164" Type="http://schemas.openxmlformats.org/officeDocument/2006/relationships/externalLink" Target="externalLinks/externalLink109.xml"/><Relationship Id="rId169" Type="http://schemas.openxmlformats.org/officeDocument/2006/relationships/externalLink" Target="externalLinks/externalLink114.xml"/><Relationship Id="rId177"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72"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4.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1.xml"/><Relationship Id="rId97" Type="http://schemas.openxmlformats.org/officeDocument/2006/relationships/externalLink" Target="externalLinks/externalLink42.xml"/><Relationship Id="rId104" Type="http://schemas.openxmlformats.org/officeDocument/2006/relationships/externalLink" Target="externalLinks/externalLink49.xml"/><Relationship Id="rId120" Type="http://schemas.openxmlformats.org/officeDocument/2006/relationships/externalLink" Target="externalLinks/externalLink65.xml"/><Relationship Id="rId125" Type="http://schemas.openxmlformats.org/officeDocument/2006/relationships/externalLink" Target="externalLinks/externalLink70.xml"/><Relationship Id="rId141" Type="http://schemas.openxmlformats.org/officeDocument/2006/relationships/externalLink" Target="externalLinks/externalLink86.xml"/><Relationship Id="rId146" Type="http://schemas.openxmlformats.org/officeDocument/2006/relationships/externalLink" Target="externalLinks/externalLink91.xml"/><Relationship Id="rId167" Type="http://schemas.openxmlformats.org/officeDocument/2006/relationships/externalLink" Target="externalLinks/externalLink112.xml"/><Relationship Id="rId7" Type="http://schemas.openxmlformats.org/officeDocument/2006/relationships/worksheet" Target="worksheets/sheet7.xml"/><Relationship Id="rId71" Type="http://schemas.openxmlformats.org/officeDocument/2006/relationships/externalLink" Target="externalLinks/externalLink16.xml"/><Relationship Id="rId92" Type="http://schemas.openxmlformats.org/officeDocument/2006/relationships/externalLink" Target="externalLinks/externalLink37.xml"/><Relationship Id="rId162" Type="http://schemas.openxmlformats.org/officeDocument/2006/relationships/externalLink" Target="externalLinks/externalLink10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1.xml"/><Relationship Id="rId87" Type="http://schemas.openxmlformats.org/officeDocument/2006/relationships/externalLink" Target="externalLinks/externalLink32.xml"/><Relationship Id="rId110" Type="http://schemas.openxmlformats.org/officeDocument/2006/relationships/externalLink" Target="externalLinks/externalLink55.xml"/><Relationship Id="rId115" Type="http://schemas.openxmlformats.org/officeDocument/2006/relationships/externalLink" Target="externalLinks/externalLink60.xml"/><Relationship Id="rId131" Type="http://schemas.openxmlformats.org/officeDocument/2006/relationships/externalLink" Target="externalLinks/externalLink76.xml"/><Relationship Id="rId136" Type="http://schemas.openxmlformats.org/officeDocument/2006/relationships/externalLink" Target="externalLinks/externalLink81.xml"/><Relationship Id="rId157" Type="http://schemas.openxmlformats.org/officeDocument/2006/relationships/externalLink" Target="externalLinks/externalLink102.xml"/><Relationship Id="rId61" Type="http://schemas.openxmlformats.org/officeDocument/2006/relationships/externalLink" Target="externalLinks/externalLink6.xml"/><Relationship Id="rId82" Type="http://schemas.openxmlformats.org/officeDocument/2006/relationships/externalLink" Target="externalLinks/externalLink27.xml"/><Relationship Id="rId152" Type="http://schemas.openxmlformats.org/officeDocument/2006/relationships/externalLink" Target="externalLinks/externalLink97.xml"/><Relationship Id="rId173"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1.xml"/><Relationship Id="rId77" Type="http://schemas.openxmlformats.org/officeDocument/2006/relationships/externalLink" Target="externalLinks/externalLink22.xml"/><Relationship Id="rId100" Type="http://schemas.openxmlformats.org/officeDocument/2006/relationships/externalLink" Target="externalLinks/externalLink45.xml"/><Relationship Id="rId105" Type="http://schemas.openxmlformats.org/officeDocument/2006/relationships/externalLink" Target="externalLinks/externalLink50.xml"/><Relationship Id="rId126" Type="http://schemas.openxmlformats.org/officeDocument/2006/relationships/externalLink" Target="externalLinks/externalLink71.xml"/><Relationship Id="rId147" Type="http://schemas.openxmlformats.org/officeDocument/2006/relationships/externalLink" Target="externalLinks/externalLink92.xml"/><Relationship Id="rId168" Type="http://schemas.openxmlformats.org/officeDocument/2006/relationships/externalLink" Target="externalLinks/externalLink11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7.xml"/><Relationship Id="rId93" Type="http://schemas.openxmlformats.org/officeDocument/2006/relationships/externalLink" Target="externalLinks/externalLink38.xml"/><Relationship Id="rId98" Type="http://schemas.openxmlformats.org/officeDocument/2006/relationships/externalLink" Target="externalLinks/externalLink43.xml"/><Relationship Id="rId121" Type="http://schemas.openxmlformats.org/officeDocument/2006/relationships/externalLink" Target="externalLinks/externalLink66.xml"/><Relationship Id="rId142" Type="http://schemas.openxmlformats.org/officeDocument/2006/relationships/externalLink" Target="externalLinks/externalLink87.xml"/><Relationship Id="rId163" Type="http://schemas.openxmlformats.org/officeDocument/2006/relationships/externalLink" Target="externalLinks/externalLink10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2.xml"/><Relationship Id="rId116" Type="http://schemas.openxmlformats.org/officeDocument/2006/relationships/externalLink" Target="externalLinks/externalLink61.xml"/><Relationship Id="rId137" Type="http://schemas.openxmlformats.org/officeDocument/2006/relationships/externalLink" Target="externalLinks/externalLink82.xml"/><Relationship Id="rId158" Type="http://schemas.openxmlformats.org/officeDocument/2006/relationships/externalLink" Target="externalLinks/externalLink10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7.xml"/><Relationship Id="rId83" Type="http://schemas.openxmlformats.org/officeDocument/2006/relationships/externalLink" Target="externalLinks/externalLink28.xml"/><Relationship Id="rId88" Type="http://schemas.openxmlformats.org/officeDocument/2006/relationships/externalLink" Target="externalLinks/externalLink33.xml"/><Relationship Id="rId111" Type="http://schemas.openxmlformats.org/officeDocument/2006/relationships/externalLink" Target="externalLinks/externalLink56.xml"/><Relationship Id="rId132" Type="http://schemas.openxmlformats.org/officeDocument/2006/relationships/externalLink" Target="externalLinks/externalLink77.xml"/><Relationship Id="rId153" Type="http://schemas.openxmlformats.org/officeDocument/2006/relationships/externalLink" Target="externalLinks/externalLink98.xml"/><Relationship Id="rId174"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2.xml"/><Relationship Id="rId106" Type="http://schemas.openxmlformats.org/officeDocument/2006/relationships/externalLink" Target="externalLinks/externalLink51.xml"/><Relationship Id="rId127" Type="http://schemas.openxmlformats.org/officeDocument/2006/relationships/externalLink" Target="externalLinks/externalLink7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30073769473219"/>
          <c:y val="0.13181818181818197"/>
          <c:w val="0.72149085919543365"/>
          <c:h val="0.73000332082005848"/>
        </c:manualLayout>
      </c:layout>
      <c:barChart>
        <c:barDir val="bar"/>
        <c:grouping val="stacked"/>
        <c:varyColors val="0"/>
        <c:ser>
          <c:idx val="0"/>
          <c:order val="0"/>
          <c:spPr>
            <a:noFill/>
            <a:ln w="3175">
              <a:solidFill>
                <a:srgbClr val="FFFFFF"/>
              </a:solidFill>
              <a:prstDash val="solid"/>
            </a:ln>
          </c:spPr>
          <c:invertIfNegative val="0"/>
          <c:val>
            <c:numRef>
              <c:f>Result!$C$5:$C$7</c:f>
              <c:numCache>
                <c:formatCode>_(* #,##0_);_(* \(#,##0\);_(* "-"_);_(@_)</c:formatCode>
                <c:ptCount val="3"/>
                <c:pt idx="0">
                  <c:v>135079.20090135417</c:v>
                </c:pt>
                <c:pt idx="2">
                  <c:v>103789.10072598132</c:v>
                </c:pt>
              </c:numCache>
            </c:numRef>
          </c:val>
        </c:ser>
        <c:ser>
          <c:idx val="1"/>
          <c:order val="1"/>
          <c:spPr>
            <a:solidFill>
              <a:srgbClr val="007C92"/>
            </a:solidFill>
            <a:ln w="3175">
              <a:solidFill>
                <a:srgbClr val="FFFFFF"/>
              </a:solidFill>
              <a:prstDash val="solid"/>
            </a:ln>
          </c:spPr>
          <c:invertIfNegative val="0"/>
          <c:val>
            <c:numRef>
              <c:f>Result!$D$5:$D$7</c:f>
              <c:numCache>
                <c:formatCode>_(* #,##0_);_(* \(#,##0\);_(* "-"_);_(@_)</c:formatCode>
                <c:ptCount val="3"/>
                <c:pt idx="0">
                  <c:v>2226.4228241567616</c:v>
                </c:pt>
                <c:pt idx="1">
                  <c:v>0</c:v>
                </c:pt>
                <c:pt idx="2">
                  <c:v>35104.218795243272</c:v>
                </c:pt>
              </c:numCache>
            </c:numRef>
          </c:val>
        </c:ser>
        <c:ser>
          <c:idx val="2"/>
          <c:order val="2"/>
          <c:spPr>
            <a:noFill/>
            <a:ln w="3175">
              <a:solidFill>
                <a:srgbClr val="FFFFFF"/>
              </a:solidFill>
              <a:prstDash val="solid"/>
            </a:ln>
          </c:spPr>
          <c:invertIfNegative val="0"/>
          <c:val>
            <c:numRef>
              <c:f>Result!$E$5:$E$7</c:f>
              <c:numCache>
                <c:formatCode>_(* #,##0_);_(* \(#,##0\);_(* "-"_);_(@_)</c:formatCode>
                <c:ptCount val="3"/>
                <c:pt idx="0">
                  <c:v>137305.62372551093</c:v>
                </c:pt>
                <c:pt idx="2">
                  <c:v>138893.31952122459</c:v>
                </c:pt>
              </c:numCache>
            </c:numRef>
          </c:val>
        </c:ser>
        <c:dLbls>
          <c:showLegendKey val="0"/>
          <c:showVal val="0"/>
          <c:showCatName val="0"/>
          <c:showSerName val="0"/>
          <c:showPercent val="0"/>
          <c:showBubbleSize val="0"/>
        </c:dLbls>
        <c:gapWidth val="40"/>
        <c:overlap val="68"/>
        <c:axId val="308523416"/>
        <c:axId val="308523808"/>
      </c:barChart>
      <c:catAx>
        <c:axId val="308523416"/>
        <c:scaling>
          <c:orientation val="minMax"/>
        </c:scaling>
        <c:delete val="0"/>
        <c:axPos val="l"/>
        <c:numFmt formatCode="@" sourceLinked="0"/>
        <c:majorTickMark val="out"/>
        <c:minorTickMark val="none"/>
        <c:tickLblPos val="nextTo"/>
        <c:spPr>
          <a:ln w="3175">
            <a:solidFill>
              <a:srgbClr val="000000"/>
            </a:solidFill>
            <a:prstDash val="solid"/>
          </a:ln>
        </c:spPr>
        <c:txPr>
          <a:bodyPr/>
          <a:lstStyle/>
          <a:p>
            <a:pPr>
              <a:defRPr sz="1000" b="1" i="0" baseline="0">
                <a:solidFill>
                  <a:schemeClr val="bg1"/>
                </a:solidFill>
                <a:latin typeface="+mj-ea"/>
                <a:ea typeface="+mj-ea"/>
              </a:defRPr>
            </a:pPr>
            <a:endParaRPr lang="ko-KR"/>
          </a:p>
        </c:txPr>
        <c:crossAx val="308523808"/>
        <c:crosses val="autoZero"/>
        <c:auto val="0"/>
        <c:lblAlgn val="ctr"/>
        <c:lblOffset val="100"/>
        <c:noMultiLvlLbl val="0"/>
      </c:catAx>
      <c:valAx>
        <c:axId val="308523808"/>
        <c:scaling>
          <c:orientation val="minMax"/>
        </c:scaling>
        <c:delete val="0"/>
        <c:axPos val="b"/>
        <c:numFmt formatCode="_(* #,##0_);_(* \(#,##0\);_(* &quot;-&quot;_);_(@_)" sourceLinked="1"/>
        <c:majorTickMark val="out"/>
        <c:minorTickMark val="none"/>
        <c:tickLblPos val="nextTo"/>
        <c:spPr>
          <a:ln w="3175">
            <a:solidFill>
              <a:srgbClr val="000000"/>
            </a:solidFill>
            <a:prstDash val="solid"/>
          </a:ln>
        </c:spPr>
        <c:txPr>
          <a:bodyPr/>
          <a:lstStyle/>
          <a:p>
            <a:pPr>
              <a:defRPr sz="900" b="0">
                <a:latin typeface="+mj-ea"/>
                <a:ea typeface="+mj-ea"/>
              </a:defRPr>
            </a:pPr>
            <a:endParaRPr lang="ko-KR"/>
          </a:p>
        </c:txPr>
        <c:crossAx val="308523416"/>
        <c:crosses val="autoZero"/>
        <c:crossBetween val="between"/>
      </c:valAx>
      <c:spPr>
        <a:noFill/>
        <a:ln w="25400">
          <a:noFill/>
        </a:ln>
      </c:spPr>
    </c:plotArea>
    <c:plotVisOnly val="1"/>
    <c:dispBlanksAs val="gap"/>
    <c:showDLblsOverMax val="0"/>
  </c:chart>
  <c:spPr>
    <a:noFill/>
    <a:ln w="9525">
      <a:noFill/>
    </a:ln>
  </c:spPr>
  <c:txPr>
    <a:bodyPr/>
    <a:lstStyle/>
    <a:p>
      <a:pPr>
        <a:defRPr sz="900" b="0" i="0" baseline="0">
          <a:solidFill>
            <a:srgbClr val="000000"/>
          </a:solidFill>
          <a:latin typeface="Arial" pitchFamily="34" charset="0"/>
          <a:ea typeface="Univers 45 Light"/>
          <a:cs typeface="Univers 45 Light"/>
        </a:defRPr>
      </a:pPr>
      <a:endParaRPr lang="ko-KR"/>
    </a:p>
  </c:txPr>
  <c:printSettings>
    <c:headerFooter/>
    <c:pageMargins b="0.75000000000000078" l="0.70000000000000062" r="0.70000000000000062" t="0.75000000000000078" header="0.30000000000000032" footer="0.30000000000000032"/>
    <c:pageSetup/>
  </c:printSettings>
</c:chartSpace>
</file>

<file path=xl/ctrlProps/ctrlProp1.xml><?xml version="1.0" encoding="utf-8"?>
<formControlPr xmlns="http://schemas.microsoft.com/office/spreadsheetml/2009/9/main" objectType="Drop" dropLines="3" dropStyle="combo" dx="16" fmlaLink="$X$34" fmlaRange="$M$73:$M$75" sel="3" val="0"/>
</file>

<file path=xl/ctrlProps/ctrlProp2.xml><?xml version="1.0" encoding="utf-8"?>
<formControlPr xmlns="http://schemas.microsoft.com/office/spreadsheetml/2009/9/main" objectType="Drop" dropLines="5" dropStyle="combo" dx="16" fmlaLink="WACC!$X$47" fmlaRange="WACC!$M$102:$M$106" sel="2" val="0"/>
</file>

<file path=xl/ctrlProps/ctrlProp3.xml><?xml version="1.0" encoding="utf-8"?>
<formControlPr xmlns="http://schemas.microsoft.com/office/spreadsheetml/2009/9/main" objectType="Drop" dropLines="5" dropStyle="combo" dx="16" fmlaLink="$X$40" fmlaRange="$B$159:$B$164" sel="2"/>
</file>

<file path=xl/ctrlProps/ctrlProp4.xml><?xml version="1.0" encoding="utf-8"?>
<formControlPr xmlns="http://schemas.microsoft.com/office/spreadsheetml/2009/9/main" objectType="Drop" dropLines="5" dropStyle="combo" dx="16" fmlaLink="$X$50" fmlaRange="$Z$50:$Z$52" sel="3" val="0"/>
</file>

<file path=xl/ctrlProps/ctrlProp5.xml><?xml version="1.0" encoding="utf-8"?>
<formControlPr xmlns="http://schemas.microsoft.com/office/spreadsheetml/2009/9/main" objectType="Drop" dropLines="5" dropStyle="combo" dx="16" fmlaLink="$X$53" fmlaRange="$Z$53:$Z$55" sel="3" val="0"/>
</file>

<file path=xl/ctrlProps/ctrlProp6.xml><?xml version="1.0" encoding="utf-8"?>
<formControlPr xmlns="http://schemas.microsoft.com/office/spreadsheetml/2009/9/main" objectType="Drop" dropLines="5" dropStyle="combo" dx="16" fmlaLink="$X$42" fmlaRange="$B$159:$B$164" sel="1" val="0"/>
</file>

<file path=xl/ctrlProps/ctrlProp7.xml><?xml version="1.0" encoding="utf-8"?>
<formControlPr xmlns="http://schemas.microsoft.com/office/spreadsheetml/2009/9/main" objectType="Drop" dropLines="3" dropStyle="combo" dx="16" fmlaLink="$V$34" fmlaRange="#REF!" sel="0" val="0"/>
</file>

<file path=xl/ctrlProps/ctrlProp8.xml><?xml version="1.0" encoding="utf-8"?>
<formControlPr xmlns="http://schemas.microsoft.com/office/spreadsheetml/2009/9/main" objectType="Drop" dropLines="5" dropStyle="combo" dx="16" fmlaLink="'WACC(보고서)'!$V$47" fmlaRange="'WACC(보고서)'!#REF!" sel="0" val="0"/>
</file>

<file path=xl/ctrlProps/ctrlProp9.xml><?xml version="1.0" encoding="utf-8"?>
<formControlPr xmlns="http://schemas.microsoft.com/office/spreadsheetml/2009/9/main" objectType="Drop" dropLines="5" dropStyle="combo" dx="16" fmlaLink="$V$40" fmlaRange="#REF!" sel="0" val="0"/>
</file>

<file path=xl/ctrlProps/ctrlProp10.xml><?xml version="1.0" encoding="utf-8"?>
<formControlPr xmlns="http://schemas.microsoft.com/office/spreadsheetml/2009/9/main" objectType="Drop" dropLines="5" dropStyle="combo" dx="16" fmlaLink="$V$50" fmlaRange="$X$50:$X$53" sel="1" val="0"/>
</file>

<file path=xl/ctrlProps/ctrlProp11.xml><?xml version="1.0" encoding="utf-8"?>
<formControlPr xmlns="http://schemas.microsoft.com/office/spreadsheetml/2009/9/main" objectType="Drop" dropLines="5" dropStyle="combo" dx="16" fmlaLink="$V$54" fmlaRange="$X$54:$X$56" sel="2" val="0"/>
</file>

<file path=xl/ctrlProps/ctrlProp12.xml><?xml version="1.0" encoding="utf-8"?>
<formControlPr xmlns="http://schemas.microsoft.com/office/spreadsheetml/2009/9/main" objectType="Drop" dropLines="5" dropStyle="combo" dx="16" fmlaLink="$V$42" fmlaRange="#REF!" sel="0" val="0"/>
</file>

<file path=xl/ctrlProps/ctrlProp13.xml><?xml version="1.0" encoding="utf-8"?>
<formControlPr xmlns="http://schemas.microsoft.com/office/spreadsheetml/2009/9/main" objectType="Drop" dropLines="2" dropStyle="combo" dx="16" fmlaLink="$O$33" fmlaRange="$P$32:$P$33" sel="2" val="0"/>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12</xdr:col>
      <xdr:colOff>171450</xdr:colOff>
      <xdr:row>16</xdr:row>
      <xdr:rowOff>95250</xdr:rowOff>
    </xdr:from>
    <xdr:to>
      <xdr:col>13</xdr:col>
      <xdr:colOff>628650</xdr:colOff>
      <xdr:row>19</xdr:row>
      <xdr:rowOff>38100</xdr:rowOff>
    </xdr:to>
    <xdr:pic>
      <xdr:nvPicPr>
        <xdr:cNvPr id="2" name="Picture 1" descr="Blue logo"/>
        <xdr:cNvPicPr>
          <a:picLocks noChangeAspect="1" noChangeArrowheads="1"/>
        </xdr:cNvPicPr>
      </xdr:nvPicPr>
      <xdr:blipFill>
        <a:blip xmlns:r="http://schemas.openxmlformats.org/officeDocument/2006/relationships" r:embed="rId1" cstate="print"/>
        <a:srcRect/>
        <a:stretch>
          <a:fillRect/>
        </a:stretch>
      </xdr:blipFill>
      <xdr:spPr bwMode="auto">
        <a:xfrm>
          <a:off x="7648575" y="3848100"/>
          <a:ext cx="1333500" cy="48577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8</xdr:col>
      <xdr:colOff>53417</xdr:colOff>
      <xdr:row>29</xdr:row>
      <xdr:rowOff>32373</xdr:rowOff>
    </xdr:to>
    <xdr:graphicFrame macro="">
      <xdr:nvGraphicFramePr>
        <xdr:cNvPr id="3" name="차트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600075</xdr:colOff>
      <xdr:row>3</xdr:row>
      <xdr:rowOff>0</xdr:rowOff>
    </xdr:from>
    <xdr:to>
      <xdr:col>3</xdr:col>
      <xdr:colOff>95811</xdr:colOff>
      <xdr:row>5</xdr:row>
      <xdr:rowOff>38100</xdr:rowOff>
    </xdr:to>
    <xdr:sp macro="" textlink="">
      <xdr:nvSpPr>
        <xdr:cNvPr id="2" name="TextBox 8"/>
        <xdr:cNvSpPr txBox="1"/>
      </xdr:nvSpPr>
      <xdr:spPr>
        <a:xfrm>
          <a:off x="762000" y="904875"/>
          <a:ext cx="810186" cy="361950"/>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(1)</a:t>
          </a:r>
          <a:endParaRPr lang="ko-KR" altLang="en-US" sz="800" b="0">
            <a:solidFill>
              <a:schemeClr val="bg1"/>
            </a:solidFill>
            <a:latin typeface="+mj-ea"/>
            <a:ea typeface="+mj-ea"/>
          </a:endParaRPr>
        </a:p>
      </xdr:txBody>
    </xdr:sp>
    <xdr:clientData/>
  </xdr:twoCellAnchor>
  <xdr:twoCellAnchor>
    <xdr:from>
      <xdr:col>8</xdr:col>
      <xdr:colOff>516031</xdr:colOff>
      <xdr:row>2</xdr:row>
      <xdr:rowOff>104775</xdr:rowOff>
    </xdr:from>
    <xdr:to>
      <xdr:col>9</xdr:col>
      <xdr:colOff>207310</xdr:colOff>
      <xdr:row>4</xdr:row>
      <xdr:rowOff>28575</xdr:rowOff>
    </xdr:to>
    <xdr:sp macro="" textlink="">
      <xdr:nvSpPr>
        <xdr:cNvPr id="3" name="TextBox 8"/>
        <xdr:cNvSpPr txBox="1"/>
      </xdr:nvSpPr>
      <xdr:spPr>
        <a:xfrm>
          <a:off x="4668931" y="838200"/>
          <a:ext cx="424704" cy="266700"/>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(3)</a:t>
          </a:r>
          <a:endParaRPr lang="ko-KR" altLang="en-US" sz="800" b="0">
            <a:solidFill>
              <a:schemeClr val="bg1"/>
            </a:solidFill>
            <a:latin typeface="+mj-ea"/>
            <a:ea typeface="+mj-ea"/>
          </a:endParaRPr>
        </a:p>
      </xdr:txBody>
    </xdr:sp>
    <xdr:clientData/>
  </xdr:twoCellAnchor>
  <xdr:twoCellAnchor>
    <xdr:from>
      <xdr:col>10</xdr:col>
      <xdr:colOff>369234</xdr:colOff>
      <xdr:row>2</xdr:row>
      <xdr:rowOff>38100</xdr:rowOff>
    </xdr:from>
    <xdr:to>
      <xdr:col>12</xdr:col>
      <xdr:colOff>26335</xdr:colOff>
      <xdr:row>4</xdr:row>
      <xdr:rowOff>38100</xdr:rowOff>
    </xdr:to>
    <xdr:sp macro="" textlink="">
      <xdr:nvSpPr>
        <xdr:cNvPr id="4" name="TextBox 8"/>
        <xdr:cNvSpPr txBox="1"/>
      </xdr:nvSpPr>
      <xdr:spPr>
        <a:xfrm>
          <a:off x="5950884" y="771525"/>
          <a:ext cx="533401" cy="333375"/>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(4)</a:t>
          </a:r>
          <a:endParaRPr lang="ko-KR" altLang="en-US" sz="800" b="0">
            <a:solidFill>
              <a:schemeClr val="bg1"/>
            </a:solidFill>
            <a:latin typeface="+mj-ea"/>
            <a:ea typeface="+mj-ea"/>
          </a:endParaRPr>
        </a:p>
      </xdr:txBody>
    </xdr:sp>
    <xdr:clientData/>
  </xdr:twoCellAnchor>
  <xdr:twoCellAnchor>
    <xdr:from>
      <xdr:col>1</xdr:col>
      <xdr:colOff>923925</xdr:colOff>
      <xdr:row>39</xdr:row>
      <xdr:rowOff>31936</xdr:rowOff>
    </xdr:from>
    <xdr:to>
      <xdr:col>3</xdr:col>
      <xdr:colOff>19611</xdr:colOff>
      <xdr:row>40</xdr:row>
      <xdr:rowOff>302558</xdr:rowOff>
    </xdr:to>
    <xdr:sp macro="" textlink="">
      <xdr:nvSpPr>
        <xdr:cNvPr id="5" name="TextBox 8"/>
        <xdr:cNvSpPr txBox="1"/>
      </xdr:nvSpPr>
      <xdr:spPr>
        <a:xfrm>
          <a:off x="1085850" y="6366061"/>
          <a:ext cx="410136" cy="423022"/>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(5)</a:t>
          </a:r>
          <a:endParaRPr lang="ko-KR" altLang="en-US" sz="800" b="0">
            <a:solidFill>
              <a:schemeClr val="bg1"/>
            </a:solidFill>
            <a:latin typeface="+mj-ea"/>
            <a:ea typeface="+mj-ea"/>
          </a:endParaRPr>
        </a:p>
      </xdr:txBody>
    </xdr:sp>
    <xdr:clientData/>
  </xdr:twoCellAnchor>
  <xdr:twoCellAnchor>
    <xdr:from>
      <xdr:col>6</xdr:col>
      <xdr:colOff>386604</xdr:colOff>
      <xdr:row>39</xdr:row>
      <xdr:rowOff>127186</xdr:rowOff>
    </xdr:from>
    <xdr:to>
      <xdr:col>7</xdr:col>
      <xdr:colOff>247651</xdr:colOff>
      <xdr:row>40</xdr:row>
      <xdr:rowOff>419100</xdr:rowOff>
    </xdr:to>
    <xdr:sp macro="" textlink="">
      <xdr:nvSpPr>
        <xdr:cNvPr id="6" name="TextBox 8"/>
        <xdr:cNvSpPr txBox="1"/>
      </xdr:nvSpPr>
      <xdr:spPr>
        <a:xfrm>
          <a:off x="2996454" y="6461311"/>
          <a:ext cx="613522" cy="444314"/>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(6)</a:t>
          </a:r>
          <a:endParaRPr lang="ko-KR" altLang="en-US" sz="800" b="0">
            <a:solidFill>
              <a:schemeClr val="bg1"/>
            </a:solidFill>
            <a:latin typeface="+mj-ea"/>
            <a:ea typeface="+mj-ea"/>
          </a:endParaRPr>
        </a:p>
      </xdr:txBody>
    </xdr:sp>
    <xdr:clientData/>
  </xdr:twoCellAnchor>
  <xdr:twoCellAnchor>
    <xdr:from>
      <xdr:col>4</xdr:col>
      <xdr:colOff>285751</xdr:colOff>
      <xdr:row>43</xdr:row>
      <xdr:rowOff>129988</xdr:rowOff>
    </xdr:from>
    <xdr:to>
      <xdr:col>5</xdr:col>
      <xdr:colOff>162486</xdr:colOff>
      <xdr:row>46</xdr:row>
      <xdr:rowOff>38660</xdr:rowOff>
    </xdr:to>
    <xdr:sp macro="" textlink="">
      <xdr:nvSpPr>
        <xdr:cNvPr id="7" name="TextBox 6"/>
        <xdr:cNvSpPr txBox="1"/>
      </xdr:nvSpPr>
      <xdr:spPr>
        <a:xfrm>
          <a:off x="1962151" y="7378513"/>
          <a:ext cx="610160" cy="556372"/>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(8)</a:t>
          </a:r>
          <a:endParaRPr lang="ko-KR" altLang="en-US" sz="800" b="0">
            <a:solidFill>
              <a:schemeClr val="bg1"/>
            </a:solidFill>
            <a:latin typeface="+mj-ea"/>
            <a:ea typeface="+mj-ea"/>
          </a:endParaRPr>
        </a:p>
      </xdr:txBody>
    </xdr:sp>
    <xdr:clientData/>
  </xdr:twoCellAnchor>
  <xdr:twoCellAnchor>
    <xdr:from>
      <xdr:col>12</xdr:col>
      <xdr:colOff>471769</xdr:colOff>
      <xdr:row>44</xdr:row>
      <xdr:rowOff>120463</xdr:rowOff>
    </xdr:from>
    <xdr:to>
      <xdr:col>13</xdr:col>
      <xdr:colOff>143997</xdr:colOff>
      <xdr:row>45</xdr:row>
      <xdr:rowOff>295835</xdr:rowOff>
    </xdr:to>
    <xdr:sp macro="" textlink="">
      <xdr:nvSpPr>
        <xdr:cNvPr id="8" name="TextBox 8"/>
        <xdr:cNvSpPr txBox="1"/>
      </xdr:nvSpPr>
      <xdr:spPr>
        <a:xfrm>
          <a:off x="6929719" y="7540438"/>
          <a:ext cx="405653" cy="346822"/>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(9)</a:t>
          </a:r>
          <a:endParaRPr lang="ko-KR" altLang="en-US" sz="800" b="0">
            <a:solidFill>
              <a:schemeClr val="bg1"/>
            </a:solidFill>
            <a:latin typeface="+mj-ea"/>
            <a:ea typeface="+mj-ea"/>
          </a:endParaRPr>
        </a:p>
      </xdr:txBody>
    </xdr:sp>
    <xdr:clientData/>
  </xdr:twoCellAnchor>
  <xdr:twoCellAnchor>
    <xdr:from>
      <xdr:col>6</xdr:col>
      <xdr:colOff>196103</xdr:colOff>
      <xdr:row>2</xdr:row>
      <xdr:rowOff>114300</xdr:rowOff>
    </xdr:from>
    <xdr:to>
      <xdr:col>7</xdr:col>
      <xdr:colOff>468407</xdr:colOff>
      <xdr:row>4</xdr:row>
      <xdr:rowOff>28575</xdr:rowOff>
    </xdr:to>
    <xdr:sp macro="" textlink="">
      <xdr:nvSpPr>
        <xdr:cNvPr id="9" name="TextBox 8"/>
        <xdr:cNvSpPr txBox="1"/>
      </xdr:nvSpPr>
      <xdr:spPr>
        <a:xfrm>
          <a:off x="2805953" y="847725"/>
          <a:ext cx="1024779" cy="247650"/>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(2)</a:t>
          </a:r>
          <a:endParaRPr lang="ko-KR" altLang="en-US" sz="800" b="0">
            <a:solidFill>
              <a:schemeClr val="bg1"/>
            </a:solidFill>
            <a:latin typeface="+mj-ea"/>
            <a:ea typeface="+mj-ea"/>
          </a:endParaRPr>
        </a:p>
      </xdr:txBody>
    </xdr:sp>
    <xdr:clientData/>
  </xdr:twoCellAnchor>
  <xdr:twoCellAnchor>
    <xdr:from>
      <xdr:col>1</xdr:col>
      <xdr:colOff>1090893</xdr:colOff>
      <xdr:row>43</xdr:row>
      <xdr:rowOff>146236</xdr:rowOff>
    </xdr:from>
    <xdr:to>
      <xdr:col>4</xdr:col>
      <xdr:colOff>10647</xdr:colOff>
      <xdr:row>45</xdr:row>
      <xdr:rowOff>226358</xdr:rowOff>
    </xdr:to>
    <xdr:sp macro="" textlink="">
      <xdr:nvSpPr>
        <xdr:cNvPr id="10" name="TextBox 8"/>
        <xdr:cNvSpPr txBox="1"/>
      </xdr:nvSpPr>
      <xdr:spPr>
        <a:xfrm>
          <a:off x="1252818" y="7394761"/>
          <a:ext cx="434229" cy="423022"/>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(7)</a:t>
          </a:r>
          <a:endParaRPr lang="ko-KR" altLang="en-US" sz="800" b="0">
            <a:solidFill>
              <a:schemeClr val="bg1"/>
            </a:solidFill>
            <a:latin typeface="+mj-ea"/>
            <a:ea typeface="+mj-ea"/>
          </a:endParaRPr>
        </a:p>
      </xdr:txBody>
    </xdr:sp>
    <xdr:clientData/>
  </xdr:twoCellAnchor>
  <mc:AlternateContent xmlns:mc="http://schemas.openxmlformats.org/markup-compatibility/2006">
    <mc:Choice xmlns:a14="http://schemas.microsoft.com/office/drawing/2010/main" Requires="a14">
      <xdr:twoCellAnchor editAs="oneCell">
        <xdr:from>
          <xdr:col>18</xdr:col>
          <xdr:colOff>9525</xdr:colOff>
          <xdr:row>33</xdr:row>
          <xdr:rowOff>0</xdr:rowOff>
        </xdr:from>
        <xdr:to>
          <xdr:col>20</xdr:col>
          <xdr:colOff>0</xdr:colOff>
          <xdr:row>34</xdr:row>
          <xdr:rowOff>19050</xdr:rowOff>
        </xdr:to>
        <xdr:sp macro="" textlink="">
          <xdr:nvSpPr>
            <xdr:cNvPr id="410625" name="Drop Down 1" hidden="1">
              <a:extLst>
                <a:ext uri="{63B3BB69-23CF-44E3-9099-C40C66FF867C}">
                  <a14:compatExt spid="_x0000_s4106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19050</xdr:colOff>
          <xdr:row>46</xdr:row>
          <xdr:rowOff>9525</xdr:rowOff>
        </xdr:from>
        <xdr:to>
          <xdr:col>20</xdr:col>
          <xdr:colOff>9525</xdr:colOff>
          <xdr:row>47</xdr:row>
          <xdr:rowOff>28575</xdr:rowOff>
        </xdr:to>
        <xdr:sp macro="" textlink="">
          <xdr:nvSpPr>
            <xdr:cNvPr id="410626" name="Drop Down 2" hidden="1">
              <a:extLst>
                <a:ext uri="{63B3BB69-23CF-44E3-9099-C40C66FF867C}">
                  <a14:compatExt spid="_x0000_s4106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38</xdr:row>
          <xdr:rowOff>161925</xdr:rowOff>
        </xdr:from>
        <xdr:to>
          <xdr:col>20</xdr:col>
          <xdr:colOff>0</xdr:colOff>
          <xdr:row>40</xdr:row>
          <xdr:rowOff>9525</xdr:rowOff>
        </xdr:to>
        <xdr:sp macro="" textlink="">
          <xdr:nvSpPr>
            <xdr:cNvPr id="410627" name="Drop Down 3" hidden="1">
              <a:extLst>
                <a:ext uri="{63B3BB69-23CF-44E3-9099-C40C66FF867C}">
                  <a14:compatExt spid="_x0000_s4106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48</xdr:row>
          <xdr:rowOff>161925</xdr:rowOff>
        </xdr:from>
        <xdr:to>
          <xdr:col>20</xdr:col>
          <xdr:colOff>0</xdr:colOff>
          <xdr:row>50</xdr:row>
          <xdr:rowOff>9525</xdr:rowOff>
        </xdr:to>
        <xdr:sp macro="" textlink="">
          <xdr:nvSpPr>
            <xdr:cNvPr id="410628" name="Drop Down 4" hidden="1">
              <a:extLst>
                <a:ext uri="{63B3BB69-23CF-44E3-9099-C40C66FF867C}">
                  <a14:compatExt spid="_x0000_s4106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51</xdr:row>
          <xdr:rowOff>161925</xdr:rowOff>
        </xdr:from>
        <xdr:to>
          <xdr:col>20</xdr:col>
          <xdr:colOff>0</xdr:colOff>
          <xdr:row>53</xdr:row>
          <xdr:rowOff>9525</xdr:rowOff>
        </xdr:to>
        <xdr:sp macro="" textlink="">
          <xdr:nvSpPr>
            <xdr:cNvPr id="410629" name="Drop Down 5" hidden="1">
              <a:extLst>
                <a:ext uri="{63B3BB69-23CF-44E3-9099-C40C66FF867C}">
                  <a14:compatExt spid="_x0000_s4106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40</xdr:row>
          <xdr:rowOff>438150</xdr:rowOff>
        </xdr:from>
        <xdr:to>
          <xdr:col>19</xdr:col>
          <xdr:colOff>571500</xdr:colOff>
          <xdr:row>42</xdr:row>
          <xdr:rowOff>19050</xdr:rowOff>
        </xdr:to>
        <xdr:sp macro="" textlink="">
          <xdr:nvSpPr>
            <xdr:cNvPr id="410630" name="Drop Down 6" hidden="1">
              <a:extLst>
                <a:ext uri="{63B3BB69-23CF-44E3-9099-C40C66FF867C}">
                  <a14:compatExt spid="_x0000_s4106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xdr:col>
      <xdr:colOff>581025</xdr:colOff>
      <xdr:row>2</xdr:row>
      <xdr:rowOff>152400</xdr:rowOff>
    </xdr:from>
    <xdr:to>
      <xdr:col>2</xdr:col>
      <xdr:colOff>76761</xdr:colOff>
      <xdr:row>5</xdr:row>
      <xdr:rowOff>19050</xdr:rowOff>
    </xdr:to>
    <xdr:sp macro="" textlink="">
      <xdr:nvSpPr>
        <xdr:cNvPr id="2" name="TextBox 8"/>
        <xdr:cNvSpPr txBox="1"/>
      </xdr:nvSpPr>
      <xdr:spPr>
        <a:xfrm>
          <a:off x="781050" y="885825"/>
          <a:ext cx="848286" cy="381000"/>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(1)</a:t>
          </a:r>
          <a:endParaRPr lang="ko-KR" altLang="en-US" sz="800" b="0">
            <a:solidFill>
              <a:schemeClr val="bg1"/>
            </a:solidFill>
            <a:latin typeface="+mj-ea"/>
            <a:ea typeface="+mj-ea"/>
          </a:endParaRPr>
        </a:p>
      </xdr:txBody>
    </xdr:sp>
    <xdr:clientData/>
  </xdr:twoCellAnchor>
  <xdr:twoCellAnchor>
    <xdr:from>
      <xdr:col>7</xdr:col>
      <xdr:colOff>468406</xdr:colOff>
      <xdr:row>2</xdr:row>
      <xdr:rowOff>152400</xdr:rowOff>
    </xdr:from>
    <xdr:to>
      <xdr:col>8</xdr:col>
      <xdr:colOff>159685</xdr:colOff>
      <xdr:row>4</xdr:row>
      <xdr:rowOff>76200</xdr:rowOff>
    </xdr:to>
    <xdr:sp macro="" textlink="">
      <xdr:nvSpPr>
        <xdr:cNvPr id="3" name="TextBox 8"/>
        <xdr:cNvSpPr txBox="1"/>
      </xdr:nvSpPr>
      <xdr:spPr>
        <a:xfrm>
          <a:off x="4297456" y="885825"/>
          <a:ext cx="329454" cy="266700"/>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(3)</a:t>
          </a:r>
          <a:endParaRPr lang="ko-KR" altLang="en-US" sz="800" b="0">
            <a:solidFill>
              <a:schemeClr val="bg1"/>
            </a:solidFill>
            <a:latin typeface="+mj-ea"/>
            <a:ea typeface="+mj-ea"/>
          </a:endParaRPr>
        </a:p>
      </xdr:txBody>
    </xdr:sp>
    <xdr:clientData/>
  </xdr:twoCellAnchor>
  <xdr:twoCellAnchor>
    <xdr:from>
      <xdr:col>8</xdr:col>
      <xdr:colOff>302558</xdr:colOff>
      <xdr:row>2</xdr:row>
      <xdr:rowOff>85725</xdr:rowOff>
    </xdr:from>
    <xdr:to>
      <xdr:col>9</xdr:col>
      <xdr:colOff>57150</xdr:colOff>
      <xdr:row>4</xdr:row>
      <xdr:rowOff>85725</xdr:rowOff>
    </xdr:to>
    <xdr:sp macro="" textlink="">
      <xdr:nvSpPr>
        <xdr:cNvPr id="4" name="TextBox 8"/>
        <xdr:cNvSpPr txBox="1"/>
      </xdr:nvSpPr>
      <xdr:spPr>
        <a:xfrm>
          <a:off x="4626908" y="819150"/>
          <a:ext cx="383242" cy="342900"/>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(4)</a:t>
          </a:r>
          <a:endParaRPr lang="ko-KR" altLang="en-US" sz="800" b="0">
            <a:solidFill>
              <a:schemeClr val="bg1"/>
            </a:solidFill>
            <a:latin typeface="+mj-ea"/>
            <a:ea typeface="+mj-ea"/>
          </a:endParaRPr>
        </a:p>
      </xdr:txBody>
    </xdr:sp>
    <xdr:clientData/>
  </xdr:twoCellAnchor>
  <xdr:twoCellAnchor>
    <xdr:from>
      <xdr:col>1</xdr:col>
      <xdr:colOff>923926</xdr:colOff>
      <xdr:row>39</xdr:row>
      <xdr:rowOff>41461</xdr:rowOff>
    </xdr:from>
    <xdr:to>
      <xdr:col>1</xdr:col>
      <xdr:colOff>1343025</xdr:colOff>
      <xdr:row>40</xdr:row>
      <xdr:rowOff>257175</xdr:rowOff>
    </xdr:to>
    <xdr:sp macro="" textlink="">
      <xdr:nvSpPr>
        <xdr:cNvPr id="5" name="TextBox 8"/>
        <xdr:cNvSpPr txBox="1"/>
      </xdr:nvSpPr>
      <xdr:spPr>
        <a:xfrm>
          <a:off x="1123951" y="3708586"/>
          <a:ext cx="419099" cy="272864"/>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(5)</a:t>
          </a:r>
          <a:endParaRPr lang="ko-KR" altLang="en-US" sz="800" b="0">
            <a:solidFill>
              <a:schemeClr val="bg1"/>
            </a:solidFill>
            <a:latin typeface="+mj-ea"/>
            <a:ea typeface="+mj-ea"/>
          </a:endParaRPr>
        </a:p>
      </xdr:txBody>
    </xdr:sp>
    <xdr:clientData/>
  </xdr:twoCellAnchor>
  <xdr:twoCellAnchor>
    <xdr:from>
      <xdr:col>10</xdr:col>
      <xdr:colOff>253254</xdr:colOff>
      <xdr:row>40</xdr:row>
      <xdr:rowOff>22411</xdr:rowOff>
    </xdr:from>
    <xdr:to>
      <xdr:col>10</xdr:col>
      <xdr:colOff>571501</xdr:colOff>
      <xdr:row>41</xdr:row>
      <xdr:rowOff>19050</xdr:rowOff>
    </xdr:to>
    <xdr:sp macro="" textlink="">
      <xdr:nvSpPr>
        <xdr:cNvPr id="6" name="TextBox 8"/>
        <xdr:cNvSpPr txBox="1"/>
      </xdr:nvSpPr>
      <xdr:spPr>
        <a:xfrm>
          <a:off x="5663454" y="3746686"/>
          <a:ext cx="318247" cy="339539"/>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(6)</a:t>
          </a:r>
          <a:endParaRPr lang="ko-KR" altLang="en-US" sz="800" b="0">
            <a:solidFill>
              <a:schemeClr val="bg1"/>
            </a:solidFill>
            <a:latin typeface="+mj-ea"/>
            <a:ea typeface="+mj-ea"/>
          </a:endParaRPr>
        </a:p>
      </xdr:txBody>
    </xdr:sp>
    <xdr:clientData/>
  </xdr:twoCellAnchor>
  <xdr:twoCellAnchor>
    <xdr:from>
      <xdr:col>3</xdr:col>
      <xdr:colOff>295276</xdr:colOff>
      <xdr:row>43</xdr:row>
      <xdr:rowOff>133350</xdr:rowOff>
    </xdr:from>
    <xdr:to>
      <xdr:col>5</xdr:col>
      <xdr:colOff>19050</xdr:colOff>
      <xdr:row>46</xdr:row>
      <xdr:rowOff>19610</xdr:rowOff>
    </xdr:to>
    <xdr:sp macro="" textlink="">
      <xdr:nvSpPr>
        <xdr:cNvPr id="7" name="TextBox 6"/>
        <xdr:cNvSpPr txBox="1"/>
      </xdr:nvSpPr>
      <xdr:spPr>
        <a:xfrm>
          <a:off x="1962151" y="4733925"/>
          <a:ext cx="352424" cy="457760"/>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(8)</a:t>
          </a:r>
          <a:endParaRPr lang="ko-KR" altLang="en-US" sz="800" b="0">
            <a:solidFill>
              <a:schemeClr val="bg1"/>
            </a:solidFill>
            <a:latin typeface="+mj-ea"/>
            <a:ea typeface="+mj-ea"/>
          </a:endParaRPr>
        </a:p>
      </xdr:txBody>
    </xdr:sp>
    <xdr:clientData/>
  </xdr:twoCellAnchor>
  <xdr:twoCellAnchor>
    <xdr:from>
      <xdr:col>10</xdr:col>
      <xdr:colOff>409575</xdr:colOff>
      <xdr:row>44</xdr:row>
      <xdr:rowOff>53788</xdr:rowOff>
    </xdr:from>
    <xdr:to>
      <xdr:col>12</xdr:col>
      <xdr:colOff>47625</xdr:colOff>
      <xdr:row>45</xdr:row>
      <xdr:rowOff>295835</xdr:rowOff>
    </xdr:to>
    <xdr:sp macro="" textlink="">
      <xdr:nvSpPr>
        <xdr:cNvPr id="8" name="TextBox 8"/>
        <xdr:cNvSpPr txBox="1"/>
      </xdr:nvSpPr>
      <xdr:spPr>
        <a:xfrm>
          <a:off x="5819775" y="4501963"/>
          <a:ext cx="361950" cy="299197"/>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(9)</a:t>
          </a:r>
          <a:endParaRPr lang="ko-KR" altLang="en-US" sz="800" b="0">
            <a:solidFill>
              <a:schemeClr val="bg1"/>
            </a:solidFill>
            <a:latin typeface="+mj-ea"/>
            <a:ea typeface="+mj-ea"/>
          </a:endParaRPr>
        </a:p>
      </xdr:txBody>
    </xdr:sp>
    <xdr:clientData/>
  </xdr:twoCellAnchor>
  <xdr:twoCellAnchor>
    <xdr:from>
      <xdr:col>5</xdr:col>
      <xdr:colOff>43703</xdr:colOff>
      <xdr:row>3</xdr:row>
      <xdr:rowOff>104775</xdr:rowOff>
    </xdr:from>
    <xdr:to>
      <xdr:col>6</xdr:col>
      <xdr:colOff>316007</xdr:colOff>
      <xdr:row>5</xdr:row>
      <xdr:rowOff>19050</xdr:rowOff>
    </xdr:to>
    <xdr:sp macro="" textlink="">
      <xdr:nvSpPr>
        <xdr:cNvPr id="9" name="TextBox 8"/>
        <xdr:cNvSpPr txBox="1"/>
      </xdr:nvSpPr>
      <xdr:spPr>
        <a:xfrm>
          <a:off x="2510678" y="1009650"/>
          <a:ext cx="1043829" cy="257175"/>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(2)</a:t>
          </a:r>
          <a:endParaRPr lang="ko-KR" altLang="en-US" sz="800" b="0">
            <a:solidFill>
              <a:schemeClr val="bg1"/>
            </a:solidFill>
            <a:latin typeface="+mj-ea"/>
            <a:ea typeface="+mj-ea"/>
          </a:endParaRPr>
        </a:p>
      </xdr:txBody>
    </xdr:sp>
    <xdr:clientData/>
  </xdr:twoCellAnchor>
  <xdr:twoCellAnchor>
    <xdr:from>
      <xdr:col>1</xdr:col>
      <xdr:colOff>838200</xdr:colOff>
      <xdr:row>44</xdr:row>
      <xdr:rowOff>79561</xdr:rowOff>
    </xdr:from>
    <xdr:to>
      <xdr:col>1</xdr:col>
      <xdr:colOff>1334622</xdr:colOff>
      <xdr:row>45</xdr:row>
      <xdr:rowOff>331133</xdr:rowOff>
    </xdr:to>
    <xdr:sp macro="" textlink="">
      <xdr:nvSpPr>
        <xdr:cNvPr id="10" name="TextBox 8"/>
        <xdr:cNvSpPr txBox="1"/>
      </xdr:nvSpPr>
      <xdr:spPr>
        <a:xfrm>
          <a:off x="1038225" y="5308786"/>
          <a:ext cx="496422" cy="423022"/>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(7)</a:t>
          </a:r>
          <a:endParaRPr lang="ko-KR" altLang="en-US" sz="800" b="0">
            <a:solidFill>
              <a:schemeClr val="bg1"/>
            </a:solidFill>
            <a:latin typeface="+mj-ea"/>
            <a:ea typeface="+mj-ea"/>
          </a:endParaRPr>
        </a:p>
      </xdr:txBody>
    </xdr:sp>
    <xdr:clientData/>
  </xdr:twoCellAnchor>
  <mc:AlternateContent xmlns:mc="http://schemas.openxmlformats.org/markup-compatibility/2006">
    <mc:Choice xmlns:a14="http://schemas.microsoft.com/office/drawing/2010/main" Requires="a14">
      <xdr:twoCellAnchor editAs="oneCell">
        <xdr:from>
          <xdr:col>16</xdr:col>
          <xdr:colOff>9525</xdr:colOff>
          <xdr:row>33</xdr:row>
          <xdr:rowOff>0</xdr:rowOff>
        </xdr:from>
        <xdr:to>
          <xdr:col>18</xdr:col>
          <xdr:colOff>0</xdr:colOff>
          <xdr:row>34</xdr:row>
          <xdr:rowOff>38100</xdr:rowOff>
        </xdr:to>
        <xdr:sp macro="" textlink="">
          <xdr:nvSpPr>
            <xdr:cNvPr id="561153" name="Drop Down 1" hidden="1">
              <a:extLst>
                <a:ext uri="{63B3BB69-23CF-44E3-9099-C40C66FF867C}">
                  <a14:compatExt spid="_x0000_s561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19050</xdr:colOff>
          <xdr:row>46</xdr:row>
          <xdr:rowOff>9525</xdr:rowOff>
        </xdr:from>
        <xdr:to>
          <xdr:col>18</xdr:col>
          <xdr:colOff>9525</xdr:colOff>
          <xdr:row>47</xdr:row>
          <xdr:rowOff>47625</xdr:rowOff>
        </xdr:to>
        <xdr:sp macro="" textlink="">
          <xdr:nvSpPr>
            <xdr:cNvPr id="561154" name="Drop Down 2" hidden="1">
              <a:extLst>
                <a:ext uri="{63B3BB69-23CF-44E3-9099-C40C66FF867C}">
                  <a14:compatExt spid="_x0000_s561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xdr:colOff>
          <xdr:row>38</xdr:row>
          <xdr:rowOff>161925</xdr:rowOff>
        </xdr:from>
        <xdr:to>
          <xdr:col>18</xdr:col>
          <xdr:colOff>0</xdr:colOff>
          <xdr:row>40</xdr:row>
          <xdr:rowOff>123825</xdr:rowOff>
        </xdr:to>
        <xdr:sp macro="" textlink="">
          <xdr:nvSpPr>
            <xdr:cNvPr id="561155" name="Drop Down 3" hidden="1">
              <a:extLst>
                <a:ext uri="{63B3BB69-23CF-44E3-9099-C40C66FF867C}">
                  <a14:compatExt spid="_x0000_s561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xdr:colOff>
          <xdr:row>48</xdr:row>
          <xdr:rowOff>161925</xdr:rowOff>
        </xdr:from>
        <xdr:to>
          <xdr:col>18</xdr:col>
          <xdr:colOff>0</xdr:colOff>
          <xdr:row>50</xdr:row>
          <xdr:rowOff>38100</xdr:rowOff>
        </xdr:to>
        <xdr:sp macro="" textlink="">
          <xdr:nvSpPr>
            <xdr:cNvPr id="561156" name="Drop Down 4" hidden="1">
              <a:extLst>
                <a:ext uri="{63B3BB69-23CF-44E3-9099-C40C66FF867C}">
                  <a14:compatExt spid="_x0000_s561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xdr:colOff>
          <xdr:row>52</xdr:row>
          <xdr:rowOff>161925</xdr:rowOff>
        </xdr:from>
        <xdr:to>
          <xdr:col>18</xdr:col>
          <xdr:colOff>0</xdr:colOff>
          <xdr:row>54</xdr:row>
          <xdr:rowOff>9525</xdr:rowOff>
        </xdr:to>
        <xdr:sp macro="" textlink="">
          <xdr:nvSpPr>
            <xdr:cNvPr id="561157" name="Drop Down 5" hidden="1">
              <a:extLst>
                <a:ext uri="{63B3BB69-23CF-44E3-9099-C40C66FF867C}">
                  <a14:compatExt spid="_x0000_s561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40</xdr:row>
          <xdr:rowOff>438150</xdr:rowOff>
        </xdr:from>
        <xdr:to>
          <xdr:col>17</xdr:col>
          <xdr:colOff>571500</xdr:colOff>
          <xdr:row>42</xdr:row>
          <xdr:rowOff>38100</xdr:rowOff>
        </xdr:to>
        <xdr:sp macro="" textlink="">
          <xdr:nvSpPr>
            <xdr:cNvPr id="561158" name="Drop Down 6" hidden="1">
              <a:extLst>
                <a:ext uri="{63B3BB69-23CF-44E3-9099-C40C66FF867C}">
                  <a14:compatExt spid="_x0000_s561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28575</xdr:colOff>
          <xdr:row>32</xdr:row>
          <xdr:rowOff>0</xdr:rowOff>
        </xdr:from>
        <xdr:to>
          <xdr:col>15</xdr:col>
          <xdr:colOff>0</xdr:colOff>
          <xdr:row>32</xdr:row>
          <xdr:rowOff>161925</xdr:rowOff>
        </xdr:to>
        <xdr:sp macro="" textlink="">
          <xdr:nvSpPr>
            <xdr:cNvPr id="411649" name="Drop Down 1" hidden="1">
              <a:extLst>
                <a:ext uri="{63B3BB69-23CF-44E3-9099-C40C66FF867C}">
                  <a14:compatExt spid="_x0000_s4116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12</xdr:col>
      <xdr:colOff>56029</xdr:colOff>
      <xdr:row>22</xdr:row>
      <xdr:rowOff>24629</xdr:rowOff>
    </xdr:to>
    <xdr:pic>
      <xdr:nvPicPr>
        <xdr:cNvPr id="2" name="그림 1"/>
        <xdr:cNvPicPr>
          <a:picLocks noChangeAspect="1"/>
        </xdr:cNvPicPr>
      </xdr:nvPicPr>
      <xdr:blipFill>
        <a:blip xmlns:r="http://schemas.openxmlformats.org/officeDocument/2006/relationships" r:embed="rId1"/>
        <a:stretch>
          <a:fillRect/>
        </a:stretch>
      </xdr:blipFill>
      <xdr:spPr>
        <a:xfrm>
          <a:off x="123265" y="840441"/>
          <a:ext cx="7575176" cy="4069953"/>
        </a:xfrm>
        <a:prstGeom prst="rect">
          <a:avLst/>
        </a:prstGeom>
      </xdr:spPr>
    </xdr:pic>
    <xdr:clientData/>
  </xdr:twoCellAnchor>
  <xdr:twoCellAnchor editAs="oneCell">
    <xdr:from>
      <xdr:col>1</xdr:col>
      <xdr:colOff>0</xdr:colOff>
      <xdr:row>23</xdr:row>
      <xdr:rowOff>0</xdr:rowOff>
    </xdr:from>
    <xdr:to>
      <xdr:col>12</xdr:col>
      <xdr:colOff>87332</xdr:colOff>
      <xdr:row>41</xdr:row>
      <xdr:rowOff>100853</xdr:rowOff>
    </xdr:to>
    <xdr:pic>
      <xdr:nvPicPr>
        <xdr:cNvPr id="3" name="그림 2"/>
        <xdr:cNvPicPr>
          <a:picLocks noChangeAspect="1"/>
        </xdr:cNvPicPr>
      </xdr:nvPicPr>
      <xdr:blipFill>
        <a:blip xmlns:r="http://schemas.openxmlformats.org/officeDocument/2006/relationships" r:embed="rId2"/>
        <a:stretch>
          <a:fillRect/>
        </a:stretch>
      </xdr:blipFill>
      <xdr:spPr>
        <a:xfrm>
          <a:off x="123265" y="5098676"/>
          <a:ext cx="7606479" cy="39332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400050</xdr:colOff>
      <xdr:row>4</xdr:row>
      <xdr:rowOff>28575</xdr:rowOff>
    </xdr:from>
    <xdr:to>
      <xdr:col>5</xdr:col>
      <xdr:colOff>76200</xdr:colOff>
      <xdr:row>5</xdr:row>
      <xdr:rowOff>38100</xdr:rowOff>
    </xdr:to>
    <xdr:sp macro="" textlink="">
      <xdr:nvSpPr>
        <xdr:cNvPr id="2" name="TextBox 8"/>
        <xdr:cNvSpPr txBox="1"/>
      </xdr:nvSpPr>
      <xdr:spPr>
        <a:xfrm>
          <a:off x="2638425" y="552450"/>
          <a:ext cx="447675" cy="161925"/>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(1)</a:t>
          </a:r>
          <a:endParaRPr lang="ko-KR" altLang="en-US" sz="800" b="0">
            <a:solidFill>
              <a:schemeClr val="bg1"/>
            </a:solidFill>
            <a:latin typeface="+mj-ea"/>
            <a:ea typeface="+mj-ea"/>
          </a:endParaRPr>
        </a:p>
      </xdr:txBody>
    </xdr:sp>
    <xdr:clientData/>
  </xdr:twoCellAnchor>
  <xdr:twoCellAnchor>
    <xdr:from>
      <xdr:col>5</xdr:col>
      <xdr:colOff>409575</xdr:colOff>
      <xdr:row>4</xdr:row>
      <xdr:rowOff>28575</xdr:rowOff>
    </xdr:from>
    <xdr:to>
      <xdr:col>6</xdr:col>
      <xdr:colOff>85725</xdr:colOff>
      <xdr:row>5</xdr:row>
      <xdr:rowOff>38100</xdr:rowOff>
    </xdr:to>
    <xdr:sp macro="" textlink="">
      <xdr:nvSpPr>
        <xdr:cNvPr id="3" name="TextBox 8"/>
        <xdr:cNvSpPr txBox="1"/>
      </xdr:nvSpPr>
      <xdr:spPr>
        <a:xfrm>
          <a:off x="3419475" y="552450"/>
          <a:ext cx="447675" cy="161925"/>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(1)</a:t>
          </a:r>
          <a:endParaRPr lang="ko-KR" altLang="en-US" sz="800" b="0">
            <a:solidFill>
              <a:schemeClr val="bg1"/>
            </a:solidFill>
            <a:latin typeface="+mj-ea"/>
            <a:ea typeface="+mj-ea"/>
          </a:endParaRPr>
        </a:p>
      </xdr:txBody>
    </xdr:sp>
    <xdr:clientData/>
  </xdr:twoCellAnchor>
  <xdr:twoCellAnchor>
    <xdr:from>
      <xdr:col>6</xdr:col>
      <xdr:colOff>400050</xdr:colOff>
      <xdr:row>4</xdr:row>
      <xdr:rowOff>28575</xdr:rowOff>
    </xdr:from>
    <xdr:to>
      <xdr:col>7</xdr:col>
      <xdr:colOff>76200</xdr:colOff>
      <xdr:row>5</xdr:row>
      <xdr:rowOff>38100</xdr:rowOff>
    </xdr:to>
    <xdr:sp macro="" textlink="">
      <xdr:nvSpPr>
        <xdr:cNvPr id="4" name="TextBox 8"/>
        <xdr:cNvSpPr txBox="1"/>
      </xdr:nvSpPr>
      <xdr:spPr>
        <a:xfrm>
          <a:off x="4181475" y="552450"/>
          <a:ext cx="447675" cy="161925"/>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(1)</a:t>
          </a:r>
          <a:endParaRPr lang="ko-KR" altLang="en-US" sz="800" b="0">
            <a:solidFill>
              <a:schemeClr val="bg1"/>
            </a:solidFill>
            <a:latin typeface="+mj-ea"/>
            <a:ea typeface="+mj-ea"/>
          </a:endParaRPr>
        </a:p>
      </xdr:txBody>
    </xdr:sp>
    <xdr:clientData/>
  </xdr:twoCellAnchor>
  <xdr:twoCellAnchor>
    <xdr:from>
      <xdr:col>8</xdr:col>
      <xdr:colOff>619125</xdr:colOff>
      <xdr:row>3</xdr:row>
      <xdr:rowOff>133350</xdr:rowOff>
    </xdr:from>
    <xdr:to>
      <xdr:col>9</xdr:col>
      <xdr:colOff>247650</xdr:colOff>
      <xdr:row>4</xdr:row>
      <xdr:rowOff>142875</xdr:rowOff>
    </xdr:to>
    <xdr:sp macro="" textlink="">
      <xdr:nvSpPr>
        <xdr:cNvPr id="5" name="TextBox 8"/>
        <xdr:cNvSpPr txBox="1"/>
      </xdr:nvSpPr>
      <xdr:spPr>
        <a:xfrm>
          <a:off x="5943600" y="590550"/>
          <a:ext cx="447675" cy="247650"/>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(2)</a:t>
          </a:r>
          <a:endParaRPr lang="ko-KR" altLang="en-US" sz="800" b="0">
            <a:solidFill>
              <a:schemeClr val="bg1"/>
            </a:solidFill>
            <a:latin typeface="+mj-ea"/>
            <a:ea typeface="+mj-ea"/>
          </a:endParaRPr>
        </a:p>
      </xdr:txBody>
    </xdr:sp>
    <xdr:clientData/>
  </xdr:twoCellAnchor>
  <xdr:twoCellAnchor>
    <xdr:from>
      <xdr:col>9</xdr:col>
      <xdr:colOff>419100</xdr:colOff>
      <xdr:row>3</xdr:row>
      <xdr:rowOff>133350</xdr:rowOff>
    </xdr:from>
    <xdr:to>
      <xdr:col>10</xdr:col>
      <xdr:colOff>95250</xdr:colOff>
      <xdr:row>4</xdr:row>
      <xdr:rowOff>142875</xdr:rowOff>
    </xdr:to>
    <xdr:sp macro="" textlink="">
      <xdr:nvSpPr>
        <xdr:cNvPr id="6" name="TextBox 8"/>
        <xdr:cNvSpPr txBox="1"/>
      </xdr:nvSpPr>
      <xdr:spPr>
        <a:xfrm>
          <a:off x="6562725" y="504825"/>
          <a:ext cx="447675" cy="161925"/>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(2)</a:t>
          </a:r>
          <a:endParaRPr lang="ko-KR" altLang="en-US" sz="800" b="0">
            <a:solidFill>
              <a:schemeClr val="bg1"/>
            </a:solidFill>
            <a:latin typeface="+mj-ea"/>
            <a:ea typeface="+mj-ea"/>
          </a:endParaRPr>
        </a:p>
      </xdr:txBody>
    </xdr:sp>
    <xdr:clientData/>
  </xdr:twoCellAnchor>
  <xdr:twoCellAnchor>
    <xdr:from>
      <xdr:col>10</xdr:col>
      <xdr:colOff>419100</xdr:colOff>
      <xdr:row>4</xdr:row>
      <xdr:rowOff>0</xdr:rowOff>
    </xdr:from>
    <xdr:to>
      <xdr:col>11</xdr:col>
      <xdr:colOff>95250</xdr:colOff>
      <xdr:row>5</xdr:row>
      <xdr:rowOff>9525</xdr:rowOff>
    </xdr:to>
    <xdr:sp macro="" textlink="">
      <xdr:nvSpPr>
        <xdr:cNvPr id="7" name="TextBox 8"/>
        <xdr:cNvSpPr txBox="1"/>
      </xdr:nvSpPr>
      <xdr:spPr>
        <a:xfrm>
          <a:off x="7334250" y="523875"/>
          <a:ext cx="447675" cy="161925"/>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(2)</a:t>
          </a:r>
          <a:endParaRPr lang="ko-KR" altLang="en-US" sz="800" b="0">
            <a:solidFill>
              <a:schemeClr val="bg1"/>
            </a:solidFill>
            <a:latin typeface="+mj-ea"/>
            <a:ea typeface="+mj-ea"/>
          </a:endParaRPr>
        </a:p>
      </xdr:txBody>
    </xdr:sp>
    <xdr:clientData/>
  </xdr:twoCellAnchor>
  <xdr:twoCellAnchor>
    <xdr:from>
      <xdr:col>3</xdr:col>
      <xdr:colOff>438150</xdr:colOff>
      <xdr:row>19</xdr:row>
      <xdr:rowOff>123825</xdr:rowOff>
    </xdr:from>
    <xdr:to>
      <xdr:col>4</xdr:col>
      <xdr:colOff>152400</xdr:colOff>
      <xdr:row>21</xdr:row>
      <xdr:rowOff>47625</xdr:rowOff>
    </xdr:to>
    <xdr:sp macro="" textlink="">
      <xdr:nvSpPr>
        <xdr:cNvPr id="8" name="TextBox 8"/>
        <xdr:cNvSpPr txBox="1"/>
      </xdr:nvSpPr>
      <xdr:spPr>
        <a:xfrm>
          <a:off x="1943100" y="3457575"/>
          <a:ext cx="447675" cy="247650"/>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bg1"/>
              </a:solidFill>
              <a:latin typeface="+mj-ea"/>
              <a:ea typeface="+mj-ea"/>
            </a:rPr>
            <a:t>(3)</a:t>
          </a:r>
          <a:endParaRPr lang="ko-KR" altLang="en-US" sz="800" b="0">
            <a:solidFill>
              <a:schemeClr val="bg1"/>
            </a:solidFill>
            <a:latin typeface="+mj-ea"/>
            <a:ea typeface="+mj-ea"/>
          </a:endParaRPr>
        </a:p>
      </xdr:txBody>
    </xdr:sp>
    <xdr:clientData/>
  </xdr:twoCellAnchor>
  <xdr:twoCellAnchor>
    <xdr:from>
      <xdr:col>1</xdr:col>
      <xdr:colOff>628650</xdr:colOff>
      <xdr:row>31</xdr:row>
      <xdr:rowOff>0</xdr:rowOff>
    </xdr:from>
    <xdr:to>
      <xdr:col>2</xdr:col>
      <xdr:colOff>390525</xdr:colOff>
      <xdr:row>32</xdr:row>
      <xdr:rowOff>57150</xdr:rowOff>
    </xdr:to>
    <xdr:sp macro="" textlink="">
      <xdr:nvSpPr>
        <xdr:cNvPr id="9" name="TextBox 8"/>
        <xdr:cNvSpPr txBox="1"/>
      </xdr:nvSpPr>
      <xdr:spPr>
        <a:xfrm>
          <a:off x="762000" y="4543425"/>
          <a:ext cx="447675" cy="209550"/>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accent5">
                  <a:lumMod val="50000"/>
                </a:schemeClr>
              </a:solidFill>
              <a:latin typeface="+mj-ea"/>
              <a:ea typeface="+mj-ea"/>
            </a:rPr>
            <a:t>(2)</a:t>
          </a:r>
          <a:endParaRPr lang="ko-KR" altLang="en-US" sz="800" b="0">
            <a:solidFill>
              <a:schemeClr val="accent5">
                <a:lumMod val="50000"/>
              </a:schemeClr>
            </a:solidFill>
            <a:latin typeface="+mj-ea"/>
            <a:ea typeface="+mj-ea"/>
          </a:endParaRPr>
        </a:p>
      </xdr:txBody>
    </xdr:sp>
    <xdr:clientData/>
  </xdr:twoCellAnchor>
  <xdr:twoCellAnchor>
    <xdr:from>
      <xdr:col>1</xdr:col>
      <xdr:colOff>628650</xdr:colOff>
      <xdr:row>13</xdr:row>
      <xdr:rowOff>142875</xdr:rowOff>
    </xdr:from>
    <xdr:to>
      <xdr:col>2</xdr:col>
      <xdr:colOff>390525</xdr:colOff>
      <xdr:row>15</xdr:row>
      <xdr:rowOff>47625</xdr:rowOff>
    </xdr:to>
    <xdr:sp macro="" textlink="">
      <xdr:nvSpPr>
        <xdr:cNvPr id="10" name="TextBox 9"/>
        <xdr:cNvSpPr txBox="1"/>
      </xdr:nvSpPr>
      <xdr:spPr>
        <a:xfrm>
          <a:off x="762000" y="2038350"/>
          <a:ext cx="447675" cy="209550"/>
        </a:xfrm>
        <a:prstGeom prst="rect">
          <a:avLst/>
        </a:prstGeom>
        <a:noFill/>
      </xdr:spPr>
      <xdr:txBody>
        <a:bodyPr wrap="square" rtlCol="0" anchor="b">
          <a:noAutofit/>
        </a:bodyPr>
        <a:lstStyle>
          <a:defPPr>
            <a:defRPr lang="ko-KR"/>
          </a:defPPr>
          <a:lvl1pPr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1pPr>
          <a:lvl2pPr marL="4572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2pPr>
          <a:lvl3pPr marL="9144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3pPr>
          <a:lvl4pPr marL="13716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4pPr>
          <a:lvl5pPr marL="1828800" algn="ctr" rtl="0" fontAlgn="base">
            <a:lnSpc>
              <a:spcPct val="130000"/>
            </a:lnSpc>
            <a:spcBef>
              <a:spcPct val="50000"/>
            </a:spcBef>
            <a:spcAft>
              <a:spcPct val="0"/>
            </a:spcAft>
            <a:buClr>
              <a:srgbClr val="003366"/>
            </a:buClr>
            <a:buSzPct val="80000"/>
            <a:buFont typeface="Wingdings" pitchFamily="2" charset="2"/>
            <a:defRPr sz="1000" b="1" kern="1200">
              <a:solidFill>
                <a:schemeClr val="bg1"/>
              </a:solidFill>
              <a:latin typeface="Arial" charset="0"/>
              <a:ea typeface="바탕" pitchFamily="18" charset="-127"/>
              <a:cs typeface="+mn-cs"/>
            </a:defRPr>
          </a:lvl5pPr>
          <a:lvl6pPr marL="2286000" algn="l" defTabSz="914400" rtl="0" eaLnBrk="1" latinLnBrk="1" hangingPunct="1">
            <a:defRPr sz="1000" b="1" kern="1200">
              <a:solidFill>
                <a:schemeClr val="bg1"/>
              </a:solidFill>
              <a:latin typeface="Arial" charset="0"/>
              <a:ea typeface="바탕" pitchFamily="18" charset="-127"/>
              <a:cs typeface="+mn-cs"/>
            </a:defRPr>
          </a:lvl6pPr>
          <a:lvl7pPr marL="2743200" algn="l" defTabSz="914400" rtl="0" eaLnBrk="1" latinLnBrk="1" hangingPunct="1">
            <a:defRPr sz="1000" b="1" kern="1200">
              <a:solidFill>
                <a:schemeClr val="bg1"/>
              </a:solidFill>
              <a:latin typeface="Arial" charset="0"/>
              <a:ea typeface="바탕" pitchFamily="18" charset="-127"/>
              <a:cs typeface="+mn-cs"/>
            </a:defRPr>
          </a:lvl7pPr>
          <a:lvl8pPr marL="3200400" algn="l" defTabSz="914400" rtl="0" eaLnBrk="1" latinLnBrk="1" hangingPunct="1">
            <a:defRPr sz="1000" b="1" kern="1200">
              <a:solidFill>
                <a:schemeClr val="bg1"/>
              </a:solidFill>
              <a:latin typeface="Arial" charset="0"/>
              <a:ea typeface="바탕" pitchFamily="18" charset="-127"/>
              <a:cs typeface="+mn-cs"/>
            </a:defRPr>
          </a:lvl8pPr>
          <a:lvl9pPr marL="3657600" algn="l" defTabSz="914400" rtl="0" eaLnBrk="1" latinLnBrk="1" hangingPunct="1">
            <a:defRPr sz="1000" b="1" kern="1200">
              <a:solidFill>
                <a:schemeClr val="bg1"/>
              </a:solidFill>
              <a:latin typeface="Arial" charset="0"/>
              <a:ea typeface="바탕" pitchFamily="18" charset="-127"/>
              <a:cs typeface="+mn-cs"/>
            </a:defRPr>
          </a:lvl9pPr>
        </a:lstStyle>
        <a:p>
          <a:r>
            <a:rPr lang="en-US" altLang="ko-KR" sz="800" b="0">
              <a:solidFill>
                <a:schemeClr val="accent5">
                  <a:lumMod val="50000"/>
                </a:schemeClr>
              </a:solidFill>
              <a:latin typeface="+mj-ea"/>
              <a:ea typeface="+mj-ea"/>
            </a:rPr>
            <a:t>(2)</a:t>
          </a:r>
          <a:endParaRPr lang="ko-KR" altLang="en-US" sz="800" b="0">
            <a:solidFill>
              <a:schemeClr val="accent5">
                <a:lumMod val="50000"/>
              </a:schemeClr>
            </a:solidFill>
            <a:latin typeface="+mj-ea"/>
            <a:ea typeface="+mj-ea"/>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22</xdr:row>
      <xdr:rowOff>1</xdr:rowOff>
    </xdr:from>
    <xdr:to>
      <xdr:col>14</xdr:col>
      <xdr:colOff>457200</xdr:colOff>
      <xdr:row>39</xdr:row>
      <xdr:rowOff>30965</xdr:rowOff>
    </xdr:to>
    <xdr:pic>
      <xdr:nvPicPr>
        <xdr:cNvPr id="2" name="그림 1"/>
        <xdr:cNvPicPr>
          <a:picLocks noChangeAspect="1"/>
        </xdr:cNvPicPr>
      </xdr:nvPicPr>
      <xdr:blipFill>
        <a:blip xmlns:r="http://schemas.openxmlformats.org/officeDocument/2006/relationships" r:embed="rId1"/>
        <a:stretch>
          <a:fillRect/>
        </a:stretch>
      </xdr:blipFill>
      <xdr:spPr>
        <a:xfrm>
          <a:off x="123825" y="4038601"/>
          <a:ext cx="7839075" cy="26217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i0128267/Local%20Settings/Temporary%20Internet%20Files/OLK4/My%20Documents/&#51473;&#51109;&#44592;&#44221;&#50689;&#44228;&#54925;/1&#52264;&#51312;&#51221;/&#44277;&#47924;&#50629;&#47924;/&#45824;&#48376;&#49324;/&#44148;&#52629;&#49884;&#44277;&#54016;%20&#44277;&#49324;&#54788;&#54889;&#48372;&#44256;/4&#50900;&#49892;&#51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hyunchulpark1\My%20Documents\5.Latin%20America%20Project\4.%20Cost%20analysis\080711_cost%20analysis_LA%20local%20production_v.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sec\CDG\CDG2\AVELANGE\FILETR98\CORIND9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DOCUME~1\kshoon\LOCALS~1\Temp\data\&#51060;&#51652;&#50857;\&#51060;&#51652;&#50857;\&#54924;&#51032;,&#54665;&#49324;\&#51204;&#52404;&#51473;&#50669;&#54924;&#51032;\doosan\dsgleman.s\M.I.F.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WINNT\Profiles\laube\Desktop\Monitoring\Monitoring\230500\Basisdaten\H&#246;rmann-NachkalkulationMai-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oneqdata03\equities$\Telecoms\Incumbents\Excel\models\Telekom%20Austri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My%20Documents\&#48729;&#44536;&#47112;\&#48729;&#44536;&#47112;2002.3.31&#48152;&#44592;&#44160;&#53664;\&#45824;&#51088;3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X:\sec\CDG\CDG2\AVELANGE\FILETR98\VERIND9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X:\sec\CDG\CDG2\AVELANGE\FILETR98\DEVL97\LOTUS\CORIND9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y%20Documents/&#51473;&#51109;&#44592;&#44221;&#50689;&#44228;&#54925;/1&#52264;&#51312;&#51221;/&#44277;&#47924;&#50629;&#47924;/&#45824;&#48376;&#49324;/&#44148;&#52629;&#49884;&#44277;&#54016;%20&#44277;&#49324;&#54788;&#54889;&#48372;&#44256;/4&#50900;&#49892;&#51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4256;&#44305;&#54788;124986\MY%20DOCUMENTS\My%20Documents\&#44221;&#50689;\&#44592;&#53440;\11&#50900;AS&#54408;&#51656;&#54217;&#44032;(&#51649;&#506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54200;&#50689;&#54984;\&#54200;&#50689;&#54984;\&#54200;&#50689;&#54984;\&#44221;&#50689;&#51204;&#47029;\My%20Documents\&#44592;&#53440;\M.I.F.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G:\Pcg%20division\Ann&#233;e%202002\Jplus\OEM\Actual\06\OEM%20Overall%20Splintex%20Reporting%20-%20AC%2006.2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ocuments%20and%20Settings/dohyunkim/Local%20Settings/Temporary%20Internet%20Files/OLKF/&#44048;&#49324;-&#44592;&#47568;/00-5%20&#54620;&#51652;&#51473;&#44277;&#50629;/WF200/TMP/~TMP7233.$$$/WF200/TMP/~TMP7201.$$$/ACT/ACT97/&#51116;&#47924;&#51228;&#54364;.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Startup" Target="&#48372;&#44256;/&#49892;&#51201;&#48372;&#44256;/9&#50900;&#49892;&#51201;/TABL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48149;&#54788;&#49689;\&#54788;&#51109;&#48324;\DOCUME~1\ADMINI~1\LOCALS~1\Temp\&#49569;&#49888;&#44288;'s&#47928;&#49436;\&#44277;&#47928;&#50577;&#49885;.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C"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MSOFFICE\HEXCEL\&#51060;&#50689;&#54617;\&#51088;&#49328;&#54868;\94&#51088;&#4932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My%20Documents\&#51077;&#52272;\&#48264;&#50689;&#47196;\&#47924;&#50504;&#54616;&#49688;\&#49892;&#54665;(1)\&#45236;&#50669;&#49436;(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49900;&#54788;&#51221;\My%20Documents\My%20Documents\My%20Documents\competitor\HK&#48708;&#44368;&#51064;&#50896;8&#509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65.141.4.95\&#44608;&#51456;&#49437;\My%20Documents\My%20Documents\competitor\HK&#48708;&#44368;&#51064;&#50896;8&#509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98&#44228;&#54925;\&#44608;&#48337;&#44540;\98&#44228;&#54925;\&#44608;&#48337;&#44540;\97&#49892;&#51201;\9month\&#51228;&#51312;&#48708;&#5085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Krselfsr01\lob\work\&#54620;&#49436;&#51228;&#50557;\A&#51312;&#49436;-&#54620;&#4943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BUDGET\HIGHWAY\KYUNGIN2\THIRD.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ATA\EXCEL\SUPERVIS\&#44048;&#46021;&#54788;&#5488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DKIM\&#44277;&#50976;&#54260;&#45908;\&#44592;&#53440;\visionproject\PPM.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Bhlee\5.&#49552;&#51061;&#44288;&#47532;\gong\gong\MSOFFICE\EXCEL\PYB\&#50900;&#48324;&#49892;&#51201;\96\MSOFFICE\HEXCEL\PYB\DATA\JEJO95G.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F:\WINDOWS\TEMP\&#44053;&#50865;\&#48372;&#46020;&#51088;&#47308;\2001&#45380;&#44228;&#54925;\&#49552;&#51061;&#44228;&#54925;\&#49552;&#51061;&#44228;&#49328;&#4943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WINDOWS\TEMP\&#44256;&#47924;&#49324;&#50629;&#44228;&#54925;(&#51648;&#48516;&#48708;&#54252;&#54632;).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Startup" Target="&#54532;&#47196;&#51229;&#53944;/D5/WINDOWS/&#52380;&#47560;REPO.RT/&#48156;&#49324;&#44288;&#44228;.&#50557;/&#50836;&#53356;&#52628;&#4932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My%20Documents\&#49552;&#51061;&#44288;&#47532;\&#48169;&#52840;-&#50577;&#49885;\2000&#45380;&#50696;&#49328;\99&#45380;&#52628;&#5122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aottfsr02\fas\My%20Documents\coxdata\forecast%20pre-launch\Quarterly%20Treasury%20Cashflow%20December%206%20200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EARTH\&#48372;&#44256;\&#50696;&#49328;\2001&#45380;&#54032;%20&#51228;2&#50504;&#49688;&#51221;%2017200MT%20010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ngnt\project\WINDOWS\&#48148;&#53461;%20&#54868;&#47732;\LG_CALTEX\LG_CALTEX\&#49888;&#44368;&#49885;&#44060;&#51064;\01&#44144;&#47000;&#49440;&#44204;&#51201;\SECL_HYCO\DCS&#44204;&#51201;\cs1000\DEC_DHDSR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4608;&#53468;&#48373;\&#44608;&#53468;&#48373;\DATA\H\TIME\T960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Vivendi_&#51060;&#51652;&#47564;\&#44396;&#47588;&#54016;\PR-2003ver7.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SIA/4.%20ETC/2.%202015&#45380;/Reference%20Data/PJT%20PAN_Valuation%20Model_Draft_20140214_&#52572;&#51333;Fin.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50629;&#47924;&#51088;&#47308;%20&#47784;&#51020;/Valuation/&#54596;&#47589;&#49828;/PJT%20PAN_Valuation%20Model_Draft_20140214_&#52572;&#51333;Fin.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F:\My%20Documents\&#51473;&#51109;&#44592;\99~03&#51648;&#44553;&#51060;&#5108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92.168.1.153\&#44592;&#54925;&#49892;\&#50900;&#52264;&#44208;&#49328;\9604&#50900;&#5226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H4743\share%202\TUJA\JABARA\&#51088;&#48148;&#46972;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4256;&#44305;&#54788;124986\MY%20DOCUMENTS\My%20Documents\&#44221;&#50689;\&#44592;&#53440;\DATA\&#50896;&#44032;&#51208;&#4404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yangtaekim/AppData/Local/Microsoft/Windows/Temporary%20Internet%20Files/Content.Outlook/VF5P6C6A/Bloomberg_Template_GTM_0724.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WORK\&#45824;&#50689;&#54252;&#51109;\My%20Documents\work-&#49436;&#51068;\&#51068;&#49340;\&#51068;&#49340;&#54788;&#44552;&#55120;&#47492;&#54364;.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Krselfsr01\lob\WORK\&#45824;&#50689;&#54252;&#51109;\My%20Documents\work-&#49436;&#51068;\&#51068;&#49340;\&#51068;&#49340;&#54788;&#44552;&#55120;&#47492;&#5436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Documents%20and%20Settings\woosoklee\Local%20Settings\Temporary%20Internet%20Files\Content.MSO\MSE\Project%20Ticket%20PPA%20Model_20081211_v3(reviewed)\%20%20&#54620;&#51648;&#51312;&#49436;(01)&#51032;%20&#50892;&#53356;&#49884;&#53944;"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Fs\(&#48512;&#49436;)%20&#44592;&#54925;&#44288;&#47532;&#54016;\My%20Documents\&#49464;&#50500;&#47700;&#53448;\&#48152;&#44592;\&#48516;&#49437;&#51312;&#49436;.xls" TargetMode="External"/></Relationships>
</file>

<file path=xl/externalLinks/_rels/externalLink49.xml.rels><?xml version="1.0" encoding="UTF-8" standalone="yes"?>
<Relationships xmlns="http://schemas.openxmlformats.org/package/2006/relationships"><Relationship Id="rId1" Type="http://schemas.microsoft.com/office/2006/relationships/xlExternalLinkPath/xlPathMissing" Target="Worksheet%20in%205760%20&#44048;&#44032;&#49345;&#44033;&#48708;(&#45572;&#44228;&#50529;)&#47749;&#49464;&#49436;"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Documents%20and%20Settings\woosoklee\Local%20Settings\Temporary%20Internet%20Files\Content.MSO\MSE\Project%20Ticket%20PPA%20Model_20081211_v3(reviewed)\%208100%20&#51077;&#51613;&#51312;&#49436;&#51032;%20&#50892;&#53356;&#49884;&#53944;"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Fs\(&#48512;&#49436;)%20&#44592;&#54925;&#44288;&#47532;&#54016;\My%20Documents\&#49464;&#50500;ent\&#45349;&#49468;\&#51221;&#50980;&#54872;&#51312;&#49436;\5811%20&#47924;&#54805;&#51088;&#49328;%20Combined%20Leadsheet.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F:\&#54788;&#45824;&#50948;&#50500;\WACC\WINDOWS\TEMP\Grv46B.tmp\C(060630)-PJH.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WINDOWS\TEMP\Grv46B.tmp\C(060630)-PJH.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000503-note\&#44277;&#50976;&#54260;&#45908;\Notebook_Work\&#54620;&#51068;&#51060;&#54868;\2003%20&#48152;&#44592;\Documents%20and%20Settings\jungjh2\My%20Documents\MY%20WORK\2003&#45380;\&#49340;&#49457;&#51333;&#54633;&#54868;&#54617;\SGC&#48372;&#44256;&#49436;\&#52628;&#51221;BS.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PathMissing" Target="2261%20wtb_1Q03&#51032;%20&#50892;&#53356;&#49884;&#53944;"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Users/dlee22/Desktop/PJT%20OA2/05%20Model/4.%20Research/OA2_&#47532;&#49436;&#52824;&#51088;&#47308;&#51221;&#47532;_20150608_v1.xlsx" TargetMode="External"/></Relationships>
</file>

<file path=xl/externalLinks/_rels/externalLink57.xml.rels><?xml version="1.0" encoding="UTF-8" standalone="yes"?>
<Relationships xmlns="http://schemas.openxmlformats.org/package/2006/relationships"><Relationship Id="rId1" Type="http://schemas.microsoft.com/office/2006/relationships/xlExternalLinkPath/xlPathMissing" Target="6330-1%20&#52264;&#51077;&#44552;&#51032;%20&#50892;&#53356;&#49884;&#53944;"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s\(&#48512;&#49436;)%20&#44592;&#54925;&#44288;&#47532;&#54016;\My%20Documents\&#49464;&#50500;ent\&#45349;&#49468;\&#51221;&#50980;&#54872;&#51312;&#49436;\6511%20&#44592;&#53440;&#44256;&#51221;&#48512;&#52292;%20Combined%20Leadsheet.xls" TargetMode="External"/></Relationships>
</file>

<file path=xl/externalLinks/_rels/externalLink59.xml.rels><?xml version="1.0" encoding="UTF-8" standalone="yes"?>
<Relationships xmlns="http://schemas.openxmlformats.org/package/2006/relationships"><Relationship Id="rId1" Type="http://schemas.microsoft.com/office/2006/relationships/xlExternalLinkPath/xlPathMissing" Target="Worksheet%20in%205720%20&#50976;&#54805;&#51088;&#49328;%20LEAD"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Fs\(&#48512;&#49436;)%20&#44592;&#54925;&#44288;&#47532;&#54016;\WINDOWS\TEMP\5712%20&#50976;&#54805;&#51088;&#49328;&#47532;&#46300;.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192.168.28.220\&#44608;&#54952;&#49457;\&#44592;&#47568;AS&#45796;&#50868;&#47196;&#46300;\&#46041;&#50896;&#51613;&#44428;\2263%20WTB(31%2012%2002).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F:\My%20Documents\Book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192.168.1.153\&#44592;&#54925;&#49892;\&#51116;&#47924;_&#54924;&#44228;&#51088;&#47308;\&#51088;&#44552;&#44228;&#54925;\2009&#45380;&#44221;&#50689;&#44228;&#54925;(&#49345;&#49464;&#50577;&#4988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E:\Reporting\Audit\&#54620;&#44397;&#53084;&#47560;\&#48372;&#44256;&#49436;\2004.03.31%20&#44048;&#49324;&#48372;&#44256;&#49436;\My%20Documents\&#44592;&#47568;&#44048;&#49324;\2002&#45380;\&#54620;&#44397;&#53084;&#47560;\&#51221;&#49328;&#54364;\&#49340;&#54868;95.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E:\Reporting\Audit\&#54620;&#44397;&#53084;&#47560;\&#48372;&#44256;&#49436;\2004.03.31%20&#44048;&#49324;&#48372;&#44256;&#49436;\My%20Documents\&#44592;&#47568;&#44048;&#49324;\2002&#45380;\&#54620;&#44397;&#53084;&#47560;\&#51221;&#49328;&#54364;\KET\&#49340;&#54868;95.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Krselfsr01\lob\Reporting\Audit\&#54620;&#44397;&#53084;&#47560;\&#48372;&#44256;&#49436;\2004.03.31%20&#44048;&#49324;&#48372;&#44256;&#49436;\My%20Documents\&#44592;&#47568;&#44048;&#49324;\2002&#45380;\&#54620;&#44397;&#53084;&#47560;\&#51221;&#49328;&#54364;\KET\&#49340;&#54868;9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46.1.214.37\&#44221;&#47532;&#48512;&#47928;\&#9733;hoony_docu\1_&#50629;&#47924;\2.&#51116;&#47924;&#54924;&#44228;\A.&#44208;&#49328;\&#51228;8&#44592;&#44208;&#49328;\&#51217;&#45824;&#48708;&#54620;&#46020;&#51216;&#44160;_060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G:\KSC\95KSC\&#44228;&#50557;&#45236;&#5066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E:\Reporting\Audit\&#46041;&#50500;&#53804;&#51088;&#51088;&#47928;\&#44592;&#47568;&#51312;&#49436;\&#44592;&#47568;&#44048;&#49324;-2004.3.31\&#50629;&#47924;&#54260;&#45908;\&#44048;&#49324;&#48372;&#44256;&#49436;&#52572;&#51333;\&#49340;&#54868;95.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rinter\c\WINDOWS\TEMP\NC8376C5.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50724;&#52268;&#51452;\MY%20DOCUMENTS\windows\TEMP\&#52285;&#49888;&#48372;&#44256;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E:\Reporting\Audit\&#46041;&#50500;&#53804;&#51088;&#51088;&#47928;\&#44592;&#47568;&#51312;&#49436;\&#44592;&#47568;&#44048;&#49324;-2004.3.31\Reporting\Audit\&#46041;&#50500;&#53804;&#51088;&#51088;&#47928;\&#48372;&#44256;&#49436;\&#48372;&#44256;&#49436;-2003.03.31\&#48512;&#44397;&#51613;&#44428;\DATA\KET&#44048;~1\KET\&#49340;&#54868;95.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Krselfsr01\lob\Reporting\Audit\&#46041;&#50500;&#53804;&#51088;&#51088;&#47928;\&#44592;&#47568;&#51312;&#49436;\&#44592;&#47568;&#44048;&#49324;-2004.3.31\Reporting\Audit\&#46041;&#50500;&#53804;&#51088;&#51088;&#47928;\&#48372;&#44256;&#49436;\&#48372;&#44256;&#49436;-2003.03.31\&#48512;&#44397;&#51613;&#44428;\DATA\KET&#44048;~1\KET\&#49340;&#54868;95.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F:\USER\imsi\KG08A\YBC\WINDOWS\TEMP\&#48512;&#49549;&#49892;&#51228;&#52636;&#50857;.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WINDOWS\TEMP\NC8376C5.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A:\WORK\&#45824;&#50689;&#54252;&#51109;\work\&#54620;&#49436;&#51228;&#50557;\A&#51312;&#49436;-&#54620;&#49436;.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44608;&#55148;&#50689;\KHY6\&#44208;&#49328;\&#45380;&#44208;&#49328;\99&#45380;\6&#50900;\&#48512;&#52292;.&#51088;&#48376;\&#44256;&#51221;&#48512;&#5229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n-company/(&#51452;)&#46160;&#49328;&#51228;&#52636;&#50857;/02.34&#48516;&#44592;&#47749;&#49464;&#49436;&#52509;&#44292;/02.14&#48516;&#44592;&#47749;&#49464;&#49436;&#52509;&#44292;/EXCEL/&#49688;&#51452;/&#49324;&#50629;&#49457;~1/96/&#49552;&#51061;&#44592;0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My%20Documents\&#44048;&#49324;&#50629;&#47924;&#51088;&#47308;\2001&#45380;&#44048;&#49324;&#48372;&#44256;&#49436;\&#50629;&#47924;&#54260;&#45908;\&#44048;&#49324;&#48372;&#44256;&#49436;&#52572;&#51333;\KET\&#49340;&#54868;95.XLS"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Santong22"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54200;&#50689;&#54984;\&#54200;&#50689;&#54984;\&#54200;&#50689;&#54984;\&#44221;&#50689;&#51204;&#47029;\&#54200;&#50689;&#54984;\&#51452;&#44036;&#44228;&#54925;\&#51452;&#44036;&#44228;&#54925;\&#51452;&#44036;&#44228;&#54925;\OVERHAUL\%234BLOW\970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Client%2001\&#54788;&#45824;&#44592;&#49696;&#53804;&#51088;\&#44592;&#47568;&#44048;&#49324;\&#54788;&#44552;&#55120;&#47492;&#54364;-HVIC01.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45380;&#46020;&#44208;~1/&#50629;&#47924;&#54260;&#45908;/&#44048;&#49324;&#48372;&#44256;&#49436;&#52572;&#51333;/KET/&#49340;&#54868;95.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Krselfsr01\lob\kbs\2000&#45380;%20&#51473;&#44036;&#44048;&#49324;\KET\&#49340;&#54868;95.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CgkimBox\KCG\XLS\&#44208;&#49328;(1999)\JJang\KETDATA\XLS\&#49340;&#54868;9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Krselfsr01\lob\CgkimBox\KCG\XLS\&#44208;&#49328;(1999)\JJang\KETDATA\XLS\&#49340;&#54868;95.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Documents%20and%20Settings\&#44608;&#51008;&#53468;\Local%20Settings\Temporary%20Internet%20Files\Content.IE5\0STUVWF7\CgkimBox\KCG\XLS\&#44208;&#49328;(1999)\JJang\KETDATA\XLS\&#49340;&#54868;95.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Krselfsr01\lob\kbs\2000&#45380;%20&#51473;&#44036;&#44048;&#49324;\&#49340;&#54868;95.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E:\kbs\2000&#45380;%20&#51473;&#44036;&#44048;&#49324;\KET\&#49340;&#54868;95.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51221;&#54805;&#49688;notebook\&#44277;&#50976;\My%20Documents\&#54260;&#49828;&#53440;-2000&#51312;&#49436;.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F:\USER\imsi\KG08A\YBC\WINDOWS\TEMP\99&#45380;&#52628;&#5122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DP6129\&#44256;&#50689;&#48372;&#51068;&#48152;\98&#50672;&#47568;&#44208;&#49328;\My%20Documents\IPIC\A&#44256;&#50689;&#48372;\IPIC\9806&#44208;&#49328;\WORK\RAW\RAW9701\RAW9701.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A:\Documents%20and%20Settings\&#44608;&#51008;&#53468;\Local%20Settings\Temporary%20Internet%20Files\Content.IE5\0STUVWF7\kbs\2000&#45380;%20&#51473;&#44036;&#44048;&#49324;\KET\&#49340;&#54868;95.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RSELFSR01\Assurance%203\WORK\&#45824;&#50689;&#54252;&#51109;\work\&#54620;&#49436;&#51228;&#50557;\A&#51312;&#49436;-&#54620;&#4943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Documents%20and%20Settings/bukdoo/My%20Documents/&#44288;&#47532;&#48376;&#48512;&#51088;&#47308;/(&#51452;)&#46160;&#49328;%20&#44208;&#49328;/2002&#44208;&#49328;/02.12&#50900;&#44208;&#49328;/0212&#51116;&#47924;&#51228;&#54364;,&#44208;&#49328;&#47749;&#49464;/2002&#44208;&#49328;&#47749;&#49464;/EXCEL/&#49688;&#51452;/&#49324;&#50629;&#49457;~1/96/&#49552;&#51061;&#44592;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P:\WINDOWS\TEMP\&#44144;&#47000;&#49692;&#50948;.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A:\&#44608;&#46020;&#54805;\2000&#44221;&#47532;\8&#50900;&#47560;&#44048;\8&#50900;&#50808;&#45800;&#52264;.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51060;&#54788;&#51452;\C\WINDOWS\TEMP\NC8376C5.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H1780\c\TUJA\JABARA\&#51088;&#48148;&#46972;1.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48149;&#51008;&#55148;\&#49548;&#51116;&#50689;&#50629;\KimSangGu\96&#45380;&#50696;&#49328;&#44288;&#47532;\96&#50696;&#49328;&#49888;&#52397;&#51012;%20&#50948;&#54620;%20&#50577;&#49885;&#48143;%20&#44277;&#47928;.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44608;&#52285;&#51312;\&#45432;&#47924;&#48708;\My%20Documents\Data\Utilization\&#51208;&#44048;MH\&#49373;&#49328;&#49457;98.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A:\Documents%20and%20Settings\&#44608;&#51008;&#53468;\Local%20Settings\Temporary%20Internet%20Files\Content.IE5\0STUVWF7\My%20Documents\&#44592;&#47568;&#44048;&#49324;\&#48709;&#49556;&#44592;&#47568;&#44048;&#49324;\&#50629;&#47924;&#54260;&#45908;\&#44048;&#49324;&#48372;&#44256;&#49436;&#52572;&#51333;\JJang\KETDATA\XLS\&#49340;&#54868;95.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49900;&#51116;&#54616;\C\windows\TEMP\&#44288;&#44305;&#49324;&#44144;&#4753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F:\WINDOWS\TEMP\WINDOWS\TEMP\&#51473;&#51109;&#44592;\99~03&#51648;&#44553;&#51060;&#51088;.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DWFS11\SYS\work98\&#49552;&#51061;\&#49552;&#51061;9801.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My%20Documents\&#51077;&#52272;\&#48264;&#50689;&#47196;\&#45824;&#51652;3&#44277;\&#49892;&#54665;&#45236;&#50669;.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F:\DOCUME~1\TGLEE~1.KOS\LOCALS~1\Temp\&#44608;&#54952;&#44540;&#51088;&#47308;\&#54952;&#44540;&#51060;&#44732;\Infranet\2001.6\wp\&#51060;&#53468;&#44221;\&#44048;&#49324;&#51312;&#49436;\&#53084;&#47212;&#48708;&#50500;\99&#52572;&#51333;&#54028;&#51068;\&#44277;&#50976;\&#44608;&#51221;&#49689;\wmm\&#51228;&#51312;,&#51116;&#47308;&#48708;.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A:\2003&#44048;&#49324;\&#45824;&#49457;&#49828;&#54008;\My%20Documents\&#44592;&#47568;&#44048;&#49324;\&#45824;&#49457;&#49828;&#54008;\&#50629;&#47924;&#54260;&#45908;\&#44048;&#49324;&#48372;&#44256;&#49436;&#52572;&#51333;\JJang\KETDATA\XLS\&#49340;&#54868;95.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B:\&#49340;&#54868;95.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51060;&#44288;&#49345;\D\backup\DATA\&#44288;&#47532;\2000&#45380;&#50696;&#49328;\&#50577;&#49885;\&#53664;&#47785;&#50577;&#49885;\&#47588;&#52636;&#50896;&#44032;&#44592;&#49457;3&#52264;.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KRSELFSR01\Assurance%203\WORK\&#45824;&#50689;&#54252;&#51109;\My%20Documents\work-&#49436;&#51068;\&#51068;&#49340;\&#51068;&#49340;&#54788;&#44552;&#55120;&#47492;&#5436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Krselfsr01\lob\WORK\&#49457;&#51652;C&amp;C\&#51473;&#44036;&#44048;&#49324;-&#46300;&#47548;&#46972;&#51064;.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50980;&#50756;&#51116;112257\TEMP\WINDOWS\TEMP\&#44221;&#50689;&#49892;&#51201;\11&#50900;AS&#54408;&#51656;&#54217;&#44032;(&#51649;&#50689;).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SIA/1.%20Deal%20Advisory/2.%202015&#45380;/Project%20Feel%20(Filmax)/Modeling/PJT%20Feel_Valuation%20Model_Draft_20150813_Real%20Final.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SIA/1.%20Deal%20Advisory/2.%202015&#45380;/Project%20IT/Data/3.%20KPMG%20CF/&#54788;&#45824;&#50472;&#50532;&#50500;&#51060;/PJT%20HM3(C)_Valuation%20Model_20140814_v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조립지적"/>
      <sheetName val="시산표"/>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assumptions"/>
      <sheetName val="Price Gap calculation"/>
      <sheetName val="Simulation results"/>
      <sheetName val="Actual 관세 Logic"/>
      <sheetName val="Saving from import tariff"/>
      <sheetName val="Cost base as of June '08"/>
      <sheetName val="Retail price assumption"/>
      <sheetName val="정리"/>
      <sheetName val="Sales&amp;Market share"/>
      <sheetName val="Imported machine"/>
      <sheetName val="Summary"/>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98"/>
      <sheetName val="D"/>
      <sheetName val="영업손익(요약)"/>
    </sheetNames>
    <sheetDataSet>
      <sheetData sheetId="0"/>
      <sheetData sheetId="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시멘트"/>
      <sheetName val="공통가설"/>
      <sheetName val="C-A(취합)파리"/>
      <sheetName val="첨부1"/>
      <sheetName val="ADR"/>
      <sheetName val="A4288"/>
      <sheetName val="노무비"/>
      <sheetName val="수입"/>
      <sheetName val="시산표(매출조정전)"/>
      <sheetName val="간접"/>
      <sheetName val="집계표"/>
      <sheetName val="손익"/>
      <sheetName val="현금흐름"/>
      <sheetName val="SG"/>
      <sheetName val="수정시산표"/>
      <sheetName val="주택"/>
      <sheetName val="주택(백만원)"/>
      <sheetName val="신공항A-9(원가수정)"/>
      <sheetName val="자바라1"/>
      <sheetName val="손익분석"/>
      <sheetName val="KUNGDEVI"/>
      <sheetName val="그래프"/>
      <sheetName val="관로내역원"/>
      <sheetName val="SUMMARY"/>
      <sheetName val="PAINT"/>
      <sheetName val="GDP"/>
      <sheetName val="손익기01"/>
      <sheetName val="5Traffic1"/>
      <sheetName val="부문인원3"/>
      <sheetName val="Sheet1"/>
      <sheetName val="CTEMCOST"/>
      <sheetName val="ELECTRIC"/>
      <sheetName val="감독1130"/>
      <sheetName val="현장관리비"/>
      <sheetName val="COL"/>
      <sheetName val="동선(을)"/>
      <sheetName val="인사자료총집계"/>
      <sheetName val="전계가"/>
      <sheetName val="변경실행(2차) "/>
      <sheetName val="원가계산서"/>
      <sheetName val="금액내역서"/>
      <sheetName val="실행내역"/>
      <sheetName val="호프"/>
      <sheetName val="설계내역서"/>
      <sheetName val="예가표"/>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CC Down load 0716"/>
      <sheetName val="화물2팀"/>
      <sheetName val="bm(CIcable)"/>
      <sheetName val="01"/>
      <sheetName val="8월차잔"/>
      <sheetName val="요약"/>
      <sheetName val="공사개요"/>
      <sheetName val="  한국 AMP ASP-23 판매가격  "/>
      <sheetName val="산근"/>
      <sheetName val="내역"/>
      <sheetName val="여흥"/>
      <sheetName val="APT"/>
      <sheetName val="b_balju (2)"/>
      <sheetName val="b_gunmul"/>
      <sheetName val="나.출고"/>
      <sheetName val="나.입고"/>
      <sheetName val="유동성사채"/>
      <sheetName val="금융"/>
      <sheetName val="결재인"/>
      <sheetName val="단가"/>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감가상각"/>
      <sheetName val="ABUT수량-A1"/>
      <sheetName val="인원계획-미화"/>
      <sheetName val="갑지(추정)"/>
      <sheetName val="SCHEDULE"/>
      <sheetName val="공사비집계"/>
      <sheetName val="Prices"/>
      <sheetName val="A"/>
      <sheetName val="노임단가"/>
      <sheetName val="982월원안"/>
      <sheetName val="내역서"/>
      <sheetName val="TR제작사양"/>
      <sheetName val="장기대여금1"/>
      <sheetName val="공통비총괄표"/>
      <sheetName val="Variables"/>
      <sheetName val="제조원가 원단위 분석"/>
      <sheetName val="종합표양식(품의 &amp; 입고)_2"/>
      <sheetName val="상각스케쥴(조정)"/>
      <sheetName val="JUCKEYK"/>
      <sheetName val="원가관리 (동월대비)"/>
      <sheetName val="45,46"/>
      <sheetName val="방배동내역(리라)"/>
      <sheetName val="금융비용"/>
      <sheetName val="총괄내역서"/>
      <sheetName val="익월수주전망"/>
      <sheetName val="DATA"/>
      <sheetName val="실적공사"/>
      <sheetName val="업무처리전"/>
      <sheetName val="980731"/>
      <sheetName val="광곡세부내역"/>
      <sheetName val="2연암거"/>
      <sheetName val="경사수로집계표"/>
      <sheetName val="경사수로"/>
      <sheetName val="진입교량"/>
      <sheetName val="S&amp;R"/>
      <sheetName val="93"/>
      <sheetName val="2-2.매출분석"/>
      <sheetName val="Training"/>
      <sheetName val="Facility Information"/>
      <sheetName val="General"/>
      <sheetName val="Instructions"/>
      <sheetName val="People"/>
      <sheetName val="Quality"/>
      <sheetName val="Risk"/>
      <sheetName val="주차"/>
      <sheetName val="기계경비(시간당)"/>
      <sheetName val="램머"/>
      <sheetName val="수주현황2월"/>
      <sheetName val="견적의뢰"/>
      <sheetName val="화의-현금흐름"/>
      <sheetName val="#REF"/>
      <sheetName val="유림골조"/>
      <sheetName val="기본DATA"/>
      <sheetName val="추가예산"/>
      <sheetName val="실행철강하도"/>
      <sheetName val="재료"/>
      <sheetName val="Sheet13"/>
      <sheetName val="Sheet14"/>
      <sheetName val="회사정보"/>
      <sheetName val="공통부대관리"/>
      <sheetName val="MIJIBI"/>
      <sheetName val="입찰내역서"/>
      <sheetName val="중기조종사 단위단가"/>
      <sheetName val="6PILE  (돌출)"/>
      <sheetName val="기성청구 공문"/>
      <sheetName val="IW-LIST"/>
      <sheetName val="SO416"/>
      <sheetName val="개발비자산성검토"/>
      <sheetName val="가공MH"/>
      <sheetName val="08년(Form1)"/>
      <sheetName val="SIL98"/>
      <sheetName val="예정(3)"/>
      <sheetName val="동원(3)"/>
      <sheetName val="역T형"/>
      <sheetName val="woo(mac)"/>
      <sheetName val="MIBK원단위"/>
      <sheetName val="RECIMAKE"/>
      <sheetName val="Proposal"/>
      <sheetName val="일위대가표"/>
      <sheetName val="손익현황"/>
      <sheetName val="현황CODE"/>
      <sheetName val="Total"/>
      <sheetName val="지점장"/>
      <sheetName val="XZLC004_PART2"/>
      <sheetName val="XZLC003_PART1"/>
      <sheetName val="토목검측서"/>
      <sheetName val="A-100전제"/>
      <sheetName val="몰드시스템 리스트"/>
      <sheetName val="정비손익"/>
      <sheetName val="200"/>
      <sheetName val="Calen"/>
      <sheetName val="Borrower"/>
      <sheetName val="7 (2)"/>
      <sheetName val="원가(통신)"/>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표지"/>
      <sheetName val="설비원가"/>
      <sheetName val="부서코드표"/>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물량표"/>
      <sheetName val="表21 净利润调节表"/>
      <sheetName val="시산표"/>
      <sheetName val="점수계산1-2"/>
      <sheetName val="일위대가"/>
      <sheetName val="미드수량"/>
      <sheetName val="참조"/>
      <sheetName val="DATE"/>
      <sheetName val="대비표"/>
      <sheetName val="현장지지물물량"/>
      <sheetName val="양식3"/>
      <sheetName val="97년추정손익계산서"/>
      <sheetName val="SM1-09"/>
      <sheetName val="SM2-09"/>
      <sheetName val="BD-09"/>
      <sheetName val="12년 CF(9월)"/>
      <sheetName val="13월별BS"/>
      <sheetName val="RE9604"/>
      <sheetName val="평가제외"/>
      <sheetName val="집행내역"/>
      <sheetName val="A-4"/>
      <sheetName val="하수급견적대비"/>
      <sheetName val="재고현황"/>
      <sheetName val="발행제기"/>
      <sheetName val="2.대외공문"/>
      <sheetName val="골조시행"/>
      <sheetName val="업무연락"/>
      <sheetName val="Ethylene"/>
      <sheetName val="월별매출"/>
      <sheetName val="ChlorAlkali"/>
      <sheetName val="VXXXXXXX"/>
      <sheetName val="퇴충"/>
      <sheetName val="영동(D)"/>
      <sheetName val="조명시설"/>
      <sheetName val="수지"/>
      <sheetName val="FAB"/>
      <sheetName val="BEST"/>
      <sheetName val="완제품3"/>
      <sheetName val="비가동-20"/>
      <sheetName val="통장출금액"/>
      <sheetName val="실적"/>
      <sheetName val="37개월"/>
      <sheetName val="총내역서"/>
      <sheetName val="카메라"/>
      <sheetName val="요약PL"/>
      <sheetName val="근거 및 가정"/>
      <sheetName val="CAUDIT"/>
      <sheetName val="단가표"/>
      <sheetName val="slipsumpR"/>
      <sheetName val="09~10년 매출계획"/>
      <sheetName val="2 카드채권(대출포함)"/>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118.세금과공과"/>
      <sheetName val="수선비"/>
      <sheetName val="감가상각비"/>
      <sheetName val="물량표(신)"/>
      <sheetName val="대공종"/>
      <sheetName val="CC_Down_load_0716"/>
      <sheetName val="변경실행(2차)_"/>
      <sheetName val="나_출고"/>
      <sheetName val="나_입고"/>
      <sheetName val="09년_인건비(속리산)"/>
      <sheetName val="합산목표(감가+57_5)"/>
      <sheetName val="기성청구_공문"/>
      <sheetName val="부하계산서"/>
      <sheetName val="주형"/>
      <sheetName val="sum1 (2)"/>
      <sheetName val="적격"/>
      <sheetName val="자재단가"/>
      <sheetName val="3.바닥판설계"/>
      <sheetName val="504전기실 동부하-L"/>
      <sheetName val="Sheet15"/>
      <sheetName val="Sheet9"/>
      <sheetName val="DUT-BAT1"/>
      <sheetName val="2.총괄표"/>
      <sheetName val="LinerWt"/>
      <sheetName val="적용건축"/>
      <sheetName val="양식(직판용)"/>
      <sheetName val="部署名"/>
      <sheetName val="車両別燃費及び油類単価"/>
      <sheetName val="1_종합손익(도급)1"/>
      <sheetName val="推移グラフ"/>
      <sheetName val="참조시트"/>
      <sheetName val="BAND(200)"/>
      <sheetName val="OUTER AREA(겹침없음)"/>
      <sheetName val="EG-09"/>
      <sheetName val="M3산출"/>
      <sheetName val="EL 표면적"/>
      <sheetName val="월별수입"/>
      <sheetName val="차수"/>
      <sheetName val="담보"/>
      <sheetName val="1유리"/>
      <sheetName val="예적금"/>
      <sheetName val="월별손익"/>
      <sheetName val="매출"/>
      <sheetName val="Year"/>
      <sheetName val="조정내역"/>
      <sheetName val="CF6"/>
      <sheetName val="P.M 별"/>
      <sheetName val="FRQ"/>
      <sheetName val="기준"/>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연혁"/>
      <sheetName val="조직 (2)"/>
      <sheetName val="조직"/>
      <sheetName val="판매실적"/>
      <sheetName val="생산실적"/>
      <sheetName val="OT현황"/>
      <sheetName val="인건비"/>
      <sheetName val="인원현황 (2)"/>
      <sheetName val="설비투자"/>
      <sheetName val="제조원가"/>
      <sheetName val="토지지가"/>
      <sheetName val="인력구조"/>
      <sheetName val="로운영"/>
      <sheetName val="로운영(2)"/>
      <sheetName val="생산실적 (2)"/>
      <sheetName val="토지현황"/>
      <sheetName val="건축물"/>
      <sheetName val="고정자산현황"/>
      <sheetName val="제품재고현황"/>
      <sheetName val="생산량"/>
      <sheetName val="Sheet1"/>
      <sheetName val="제병(92~96)"/>
      <sheetName val="제병('82~96)"/>
      <sheetName val="COLOR별 인쇄"/>
      <sheetName val="COLOR별 인쇄(92~96)"/>
      <sheetName val="Sheet1 (2)"/>
      <sheetName val="Sheet1 (3)"/>
      <sheetName val="년 생산실적(92~96)"/>
      <sheetName val="생산실적 (3)"/>
      <sheetName val="Sheet1 (4)"/>
      <sheetName val="JC실적"/>
      <sheetName val="JC실적(92~96)"/>
      <sheetName val="조정시간(92~96)"/>
      <sheetName val="정상수율"/>
      <sheetName val="F-CLAY"/>
      <sheetName val="Sheet7"/>
      <sheetName val="Sheet8"/>
      <sheetName val="Sheet9"/>
      <sheetName val="Sheet10"/>
      <sheetName val="Sheet11"/>
      <sheetName val="Sheet12"/>
      <sheetName val="Sheet13"/>
      <sheetName val="Sheet14"/>
      <sheetName val="Sheet15"/>
      <sheetName val="Sheet16"/>
      <sheetName val="은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rag"/>
      <sheetName val="Prämissen1"/>
      <sheetName val="Prämissen2"/>
      <sheetName val="Prämissen3"/>
      <sheetName val="Ausgabenplan"/>
      <sheetName val="kalkAbschreib"/>
      <sheetName val="Seite 1"/>
      <sheetName val="Seite 2"/>
      <sheetName val="Seite 3"/>
      <sheetName val="Modul1"/>
    </sheetNames>
    <sheetDataSet>
      <sheetData sheetId="0" refreshError="1">
        <row r="32">
          <cell r="E32">
            <v>1</v>
          </cell>
          <cell r="F32">
            <v>2</v>
          </cell>
          <cell r="G32">
            <v>3</v>
          </cell>
          <cell r="H32">
            <v>4</v>
          </cell>
          <cell r="I32">
            <v>5</v>
          </cell>
          <cell r="J32">
            <v>6</v>
          </cell>
          <cell r="K32">
            <v>7</v>
          </cell>
          <cell r="L32">
            <v>8</v>
          </cell>
          <cell r="M32">
            <v>9</v>
          </cell>
          <cell r="N32">
            <v>10</v>
          </cell>
          <cell r="O32">
            <v>11</v>
          </cell>
          <cell r="P32">
            <v>12</v>
          </cell>
          <cell r="Q32">
            <v>13</v>
          </cell>
          <cell r="R32">
            <v>14</v>
          </cell>
          <cell r="S32">
            <v>15</v>
          </cell>
          <cell r="T32">
            <v>16</v>
          </cell>
          <cell r="U32">
            <v>17</v>
          </cell>
          <cell r="V32">
            <v>18</v>
          </cell>
          <cell r="W32">
            <v>19</v>
          </cell>
          <cell r="X32">
            <v>20</v>
          </cell>
        </row>
        <row r="77">
          <cell r="E77">
            <v>-3.2223499999999996</v>
          </cell>
          <cell r="F77">
            <v>-0.94346499999999922</v>
          </cell>
          <cell r="G77">
            <v>1.7632630000000009</v>
          </cell>
          <cell r="H77">
            <v>4.6448224900000001</v>
          </cell>
          <cell r="I77">
            <v>7.7085514772000021</v>
          </cell>
          <cell r="J77">
            <v>10.962154964641002</v>
          </cell>
          <cell r="K77">
            <v>14.413723303861483</v>
          </cell>
          <cell r="L77">
            <v>18.071751465272641</v>
          </cell>
          <cell r="M77">
            <v>21.945159272140902</v>
          </cell>
          <cell r="N77">
            <v>26.043312646360715</v>
          </cell>
          <cell r="O77" t="str">
            <v/>
          </cell>
          <cell r="P77" t="str">
            <v/>
          </cell>
          <cell r="Q77" t="str">
            <v/>
          </cell>
          <cell r="R77" t="str">
            <v/>
          </cell>
          <cell r="S77" t="str">
            <v/>
          </cell>
          <cell r="T77" t="str">
            <v/>
          </cell>
          <cell r="U77" t="str">
            <v/>
          </cell>
          <cell r="V77" t="str">
            <v/>
          </cell>
          <cell r="W77" t="str">
            <v/>
          </cell>
          <cell r="X77" t="str">
            <v/>
          </cell>
        </row>
        <row r="78">
          <cell r="E78">
            <v>-4.4196174999999993</v>
          </cell>
          <cell r="F78">
            <v>-3.2562527499999998</v>
          </cell>
          <cell r="G78">
            <v>-1.9431429499999995</v>
          </cell>
          <cell r="H78">
            <v>-0.56884212849999949</v>
          </cell>
          <cell r="I78">
            <v>0.86921801702000079</v>
          </cell>
          <cell r="J78">
            <v>2.3737342376243507</v>
          </cell>
          <cell r="K78">
            <v>3.9475381563515186</v>
          </cell>
          <cell r="L78">
            <v>5.5936030128454242</v>
          </cell>
          <cell r="M78">
            <v>7.315050745249315</v>
          </cell>
          <cell r="N78">
            <v>9.1151594262262474</v>
          </cell>
          <cell r="O78" t="str">
            <v/>
          </cell>
          <cell r="P78" t="str">
            <v/>
          </cell>
          <cell r="Q78" t="str">
            <v/>
          </cell>
          <cell r="R78" t="str">
            <v/>
          </cell>
          <cell r="S78" t="str">
            <v/>
          </cell>
          <cell r="T78" t="str">
            <v/>
          </cell>
          <cell r="U78" t="str">
            <v/>
          </cell>
          <cell r="V78" t="str">
            <v/>
          </cell>
          <cell r="W78" t="str">
            <v/>
          </cell>
          <cell r="X78"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t"/>
      <sheetName val="Combined PandL"/>
      <sheetName val="Core Profit and Loss"/>
      <sheetName val="Equity Accounted"/>
      <sheetName val="Mobilkom"/>
      <sheetName val="FCF"/>
      <sheetName val="SOTP"/>
      <sheetName val="UPDATE"/>
      <sheetName val="Telekom Austria"/>
      <sheetName val="Global Auto"/>
      <sheetName val="personal"/>
      <sheetName val="tickers"/>
      <sheetName val="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임차보증금"/>
      <sheetName val="현금과예금"/>
      <sheetName val="유가증권명세서"/>
      <sheetName val="매출총괄"/>
      <sheetName val="외상매출금"/>
      <sheetName val="받을어음"/>
      <sheetName val="미수금"/>
      <sheetName val="미수수익명세서"/>
      <sheetName val="재고자산"/>
      <sheetName val="상품명세"/>
      <sheetName val="제품명세 "/>
      <sheetName val="재공품 "/>
      <sheetName val="도농재료 "/>
      <sheetName val="김해재료 "/>
      <sheetName val="광주재료 "/>
      <sheetName val="논산재료 "/>
      <sheetName val="도농저장품"/>
      <sheetName val="김해저장품"/>
      <sheetName val="광주저장품"/>
      <sheetName val="미착재료"/>
      <sheetName val="제품타계정 "/>
      <sheetName val="상품타계정"/>
      <sheetName val="재료타계정"/>
      <sheetName val="선급금"/>
      <sheetName val="선급비용명세"/>
      <sheetName val="선급비용"/>
      <sheetName val="장기예금"/>
      <sheetName val="투자유권"/>
      <sheetName val="특정"/>
      <sheetName val="분석적검토(대차)"/>
      <sheetName val="530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o"/>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
    </sheetNames>
    <sheetDataSet>
      <sheetData sheetId="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호프"/>
      <sheetName val="4월실적"/>
    </sheetNames>
    <sheetDataSet>
      <sheetData sheetId="0" refreshError="1"/>
      <sheetData sheetId="1" refreshError="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득점현황"/>
      <sheetName val="평가결과"/>
      <sheetName val="평가결과 (2)"/>
      <sheetName val="평가결과 (3)"/>
      <sheetName val="문제점요약"/>
      <sheetName val="첨부자료"/>
      <sheetName val="기준건수"/>
      <sheetName val="평균득점"/>
      <sheetName val="표지"/>
      <sheetName val="실적건수"/>
      <sheetName val="시험연구비상각"/>
      <sheetName val="경영현황"/>
      <sheetName val="비가동-20"/>
      <sheetName val="12년금액"/>
      <sheetName val="12년수량"/>
      <sheetName val="부하 분석 종합"/>
      <sheetName val="생산계획 2010"/>
      <sheetName val="11월AS품질평가(직영)"/>
      <sheetName val="외주현황.wq1"/>
      <sheetName val="B"/>
      <sheetName val="rt"/>
      <sheetName val="찍기"/>
      <sheetName val="7 (2)"/>
      <sheetName val="부서코드표"/>
      <sheetName val="1997"/>
      <sheetName val="CD-실적"/>
      <sheetName val="생산량"/>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연혁"/>
      <sheetName val="조직 (2)"/>
      <sheetName val="조직"/>
      <sheetName val="판매실적"/>
      <sheetName val="생산실적"/>
      <sheetName val="OT현황"/>
      <sheetName val="인건비"/>
      <sheetName val="인원현황 (2)"/>
      <sheetName val="설비투자"/>
      <sheetName val="제조원가"/>
      <sheetName val="토지지가"/>
      <sheetName val="인력구조"/>
      <sheetName val="로운영"/>
      <sheetName val="로운영(2)"/>
      <sheetName val="생산실적 (2)"/>
      <sheetName val="토지현황"/>
      <sheetName val="건축물"/>
      <sheetName val="고정자산현황"/>
      <sheetName val="제품재고현황"/>
      <sheetName val="생산량"/>
      <sheetName val="Sheet1"/>
      <sheetName val="제병(92~96)"/>
      <sheetName val="제병('82~96)"/>
      <sheetName val="COLOR별 인쇄"/>
      <sheetName val="COLOR별 인쇄(92~96)"/>
      <sheetName val="Sheet1 (2)"/>
      <sheetName val="Sheet1 (3)"/>
      <sheetName val="년 생산실적(92~96)"/>
      <sheetName val="생산실적 (3)"/>
      <sheetName val="Sheet1 (4)"/>
      <sheetName val="JC실적"/>
      <sheetName val="JC실적(92~96)"/>
      <sheetName val="조정시간(92~96)"/>
      <sheetName val="정상수율"/>
      <sheetName val="F-CLAY"/>
      <sheetName val="Sheet7"/>
      <sheetName val="Sheet8"/>
      <sheetName val="Sheet9"/>
      <sheetName val="Sheet10"/>
      <sheetName val="Sheet11"/>
      <sheetName val="Sheet12"/>
      <sheetName val="Sheet13"/>
      <sheetName val="Sheet14"/>
      <sheetName val="Sheet15"/>
      <sheetName val="Sheet16"/>
      <sheetName val="시산표"/>
      <sheetName val="공문"/>
      <sheetName val="평가&amp;선급.미지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39">
          <cell r="B39" t="str">
            <v>'92</v>
          </cell>
          <cell r="C39" t="str">
            <v>'93</v>
          </cell>
          <cell r="D39" t="str">
            <v>'94</v>
          </cell>
          <cell r="E39" t="str">
            <v>'95</v>
          </cell>
          <cell r="F39" t="str">
            <v>'96</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E-AC"/>
      <sheetName val="Sales-AC"/>
      <sheetName val="EBIT-AC"/>
      <sheetName val="NOCE-AC"/>
      <sheetName val="Comments"/>
      <sheetName val="MTH sales"/>
      <sheetName val="YTD sales"/>
      <sheetName val="Costs Savings"/>
      <sheetName val="CST-CAPEX"/>
      <sheetName val="Claims"/>
      <sheetName val="PPM2-Global"/>
      <sheetName val="E111-AC"/>
      <sheetName val="DIV-VAR-AC"/>
      <sheetName val="MAN-VAR-AC"/>
      <sheetName val="SG&amp;A"/>
      <sheetName val="RECEIVABLES"/>
      <sheetName val="DSO Due - BU"/>
      <sheetName val="S+E-FC"/>
      <sheetName val="Sales-FC"/>
      <sheetName val="EBIT-FC"/>
      <sheetName val="NOCE-FC"/>
      <sheetName val="DELINS"/>
      <sheetName val="E111-FC"/>
      <sheetName val="DIV-VAR-FC"/>
      <sheetName val="MAN-VAR-FC"/>
      <sheetName val="시산표"/>
      <sheetName val="OEM Overall Splintex Reporting "/>
      <sheetName val="7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7">
          <cell r="E7">
            <v>-7.7149352127432749E-2</v>
          </cell>
        </row>
        <row r="8">
          <cell r="E8">
            <v>5.9986311153433843E-2</v>
          </cell>
        </row>
        <row r="9">
          <cell r="E9">
            <v>1.3950993510634018E-2</v>
          </cell>
        </row>
        <row r="10">
          <cell r="E10">
            <v>2.0229013854930655E-2</v>
          </cell>
        </row>
        <row r="11">
          <cell r="E11">
            <v>-3.571686899760939E-2</v>
          </cell>
        </row>
        <row r="12">
          <cell r="E12">
            <v>-9.2845607289468474E-2</v>
          </cell>
        </row>
        <row r="13">
          <cell r="E13">
            <v>-0.10271532353446716</v>
          </cell>
        </row>
        <row r="14">
          <cell r="E14">
            <v>1.7545373514431403E-2</v>
          </cell>
        </row>
        <row r="15">
          <cell r="E15">
            <v>-9.3767132924963831E-2</v>
          </cell>
        </row>
        <row r="16">
          <cell r="E16">
            <v>1.8423154497781292E-2</v>
          </cell>
        </row>
        <row r="17">
          <cell r="E17">
            <v>2.75385528877207E-2</v>
          </cell>
        </row>
        <row r="18">
          <cell r="E18">
            <v>0.14958382271468151</v>
          </cell>
        </row>
        <row r="19">
          <cell r="E19">
            <v>2.0577522604199483E-2</v>
          </cell>
        </row>
        <row r="20">
          <cell r="E20">
            <v>1.9351100000000229E-2</v>
          </cell>
        </row>
        <row r="21">
          <cell r="E21">
            <v>-5.8781813737581283E-2</v>
          </cell>
        </row>
        <row r="22">
          <cell r="E22">
            <v>1.3157701331520477E-2</v>
          </cell>
        </row>
      </sheetData>
      <sheetData sheetId="9" refreshError="1">
        <row r="9">
          <cell r="X9" t="e">
            <v>#VALUE!</v>
          </cell>
        </row>
        <row r="10">
          <cell r="X10" t="e">
            <v>#VALUE!</v>
          </cell>
        </row>
        <row r="11">
          <cell r="X11" t="e">
            <v>#DIV/0!</v>
          </cell>
        </row>
        <row r="12">
          <cell r="X12" t="e">
            <v>#DIV/0!</v>
          </cell>
        </row>
        <row r="13">
          <cell r="X13" t="e">
            <v>#DIV/0!</v>
          </cell>
        </row>
        <row r="14">
          <cell r="X14" t="e">
            <v>#VALUE!</v>
          </cell>
        </row>
        <row r="16">
          <cell r="X16">
            <v>1.0909090909090908</v>
          </cell>
        </row>
        <row r="17">
          <cell r="X17">
            <v>0.90909090909090906</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5">
          <cell r="B5" t="str">
            <v>RENAULT</v>
          </cell>
          <cell r="T5">
            <v>3.697480362463778E-2</v>
          </cell>
        </row>
        <row r="6">
          <cell r="B6" t="str">
            <v>PSA</v>
          </cell>
          <cell r="T6">
            <v>-4.4388463593285389E-2</v>
          </cell>
        </row>
        <row r="7">
          <cell r="B7" t="str">
            <v>VW</v>
          </cell>
          <cell r="T7">
            <v>-1.0929036919973174E-2</v>
          </cell>
        </row>
        <row r="8">
          <cell r="B8" t="str">
            <v>FIAT</v>
          </cell>
          <cell r="T8">
            <v>-9.9235513675197687E-2</v>
          </cell>
        </row>
        <row r="9">
          <cell r="B9" t="str">
            <v>GM</v>
          </cell>
          <cell r="T9">
            <v>-0.16460622375269204</v>
          </cell>
        </row>
        <row r="10">
          <cell r="B10" t="str">
            <v>DB</v>
          </cell>
          <cell r="T10">
            <v>-6.6826950474061772E-2</v>
          </cell>
        </row>
        <row r="11">
          <cell r="B11" t="str">
            <v>BMW</v>
          </cell>
          <cell r="T11">
            <v>0.1031859240458424</v>
          </cell>
        </row>
        <row r="12">
          <cell r="B12" t="str">
            <v>JAPAN</v>
          </cell>
          <cell r="T12">
            <v>-1.8935697882345736E-2</v>
          </cell>
        </row>
        <row r="13">
          <cell r="B13" t="str">
            <v>OTHERS</v>
          </cell>
        </row>
        <row r="18">
          <cell r="T18">
            <v>1.5735865801214447E-2</v>
          </cell>
        </row>
        <row r="19">
          <cell r="T19">
            <v>-5.9226496785394607E-2</v>
          </cell>
        </row>
        <row r="20">
          <cell r="T20">
            <v>-4.8174589445532302E-2</v>
          </cell>
        </row>
        <row r="21">
          <cell r="T21">
            <v>0.28713012569938812</v>
          </cell>
        </row>
        <row r="22">
          <cell r="T22">
            <v>0</v>
          </cell>
        </row>
        <row r="24">
          <cell r="T24">
            <v>3.6072389094525766E-2</v>
          </cell>
        </row>
      </sheetData>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PL"/>
      <sheetName val="시산표"/>
      <sheetName val="Sheet1"/>
      <sheetName val="득점현황"/>
      <sheetName val="공문"/>
      <sheetName val="외화계약"/>
    </sheetNames>
    <sheetDataSet>
      <sheetData sheetId="0"/>
      <sheetData sheetId="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BLE"/>
      <sheetName val="YTD sales"/>
      <sheetName val="CST-CAPEX"/>
      <sheetName val="DELINS"/>
      <sheetName val="Costs Savings"/>
      <sheetName val="손익현황"/>
      <sheetName val="현황CODE"/>
      <sheetName val="시산표"/>
      <sheetName val="P.M 별"/>
      <sheetName val="comps LFY+"/>
      <sheetName val="HDI implied"/>
      <sheetName val="수입"/>
      <sheetName val="Sheet2"/>
      <sheetName val="환율"/>
      <sheetName val="Trans"/>
      <sheetName val="criteria"/>
      <sheetName val="100"/>
      <sheetName val="99 11월 제조품List"/>
      <sheetName val="99년10월 제조품매출누계"/>
      <sheetName val="#1 Bas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양식"/>
      <sheetName val="본사공가현황"/>
      <sheetName val="#REF"/>
      <sheetName val="Sheet1"/>
      <sheetName val="982월원안"/>
      <sheetName val="수입"/>
      <sheetName val="7 (2)"/>
      <sheetName val="갑지1"/>
      <sheetName val="공통비총괄표"/>
      <sheetName val="지역개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4자산"/>
      <sheetName val="1월보"/>
      <sheetName val="2월보"/>
      <sheetName val="3월보"/>
      <sheetName val="4월보 "/>
      <sheetName val="5월보"/>
      <sheetName val="6월보"/>
      <sheetName val="7월보"/>
      <sheetName val="8월보"/>
      <sheetName val="9월보"/>
      <sheetName val="10월보"/>
      <sheetName val="11월보"/>
      <sheetName val="12월보"/>
      <sheetName val="_94자산"/>
      <sheetName val="명품세부"/>
      <sheetName val="수원세부"/>
      <sheetName val="천안세부"/>
      <sheetName val="동백세부"/>
      <sheetName val="진주점세부"/>
      <sheetName val="콩코스세부"/>
      <sheetName val="타임월드세부"/>
      <sheetName val="BS"/>
      <sheetName val="BS조정"/>
      <sheetName val="PL"/>
      <sheetName val="PL조정"/>
      <sheetName val="Sheet2"/>
      <sheetName val="Sheet3"/>
      <sheetName val="일위대가"/>
      <sheetName val="노임단가"/>
      <sheetName val="단가조사"/>
      <sheetName val="일반경비"/>
      <sheetName val="98계획(기초)"/>
      <sheetName val="3.판관비명세서"/>
      <sheetName val="1ST"/>
      <sheetName val="ROLL"/>
      <sheetName val="월별비교(물리)"/>
      <sheetName val="B"/>
      <sheetName val="오정용선임"/>
      <sheetName val="base"/>
      <sheetName val="RD제품개발투자비(매가)"/>
      <sheetName val="94자산"/>
      <sheetName val="연돌일위집계"/>
      <sheetName val="LVL도급비"/>
      <sheetName val="분석1안"/>
      <sheetName val="PJ-1"/>
      <sheetName val="신규기준"/>
      <sheetName val="차체 품안표"/>
      <sheetName val="10한빛"/>
      <sheetName val="#REF"/>
      <sheetName val="목록대장"/>
      <sheetName val="요약"/>
      <sheetName val="표지"/>
      <sheetName val="Sheet1"/>
      <sheetName val="부재료입고집계"/>
      <sheetName val="내역서"/>
      <sheetName val="FC-06"/>
      <sheetName val="SPEC"/>
      <sheetName val="미익SUB"/>
      <sheetName val="백데이터"/>
      <sheetName val="DWPM"/>
      <sheetName val="EQT-ESTN"/>
      <sheetName val="수입"/>
      <sheetName val="Munka1"/>
      <sheetName val="4월보_"/>
      <sheetName val="3_판관비명세서"/>
      <sheetName val="RTW위주"/>
      <sheetName val="A1"/>
      <sheetName val="매도가능 기타"/>
      <sheetName val="US Codes"/>
      <sheetName val="64164"/>
      <sheetName val="H-BPi"/>
      <sheetName val="공틀공사"/>
      <sheetName val="시설일위"/>
      <sheetName val="식재수량표"/>
      <sheetName val="식재일위"/>
      <sheetName val="코드표"/>
      <sheetName val="업무실적"/>
      <sheetName val="1.변경범위"/>
      <sheetName val="Valuation"/>
      <sheetName val="6월"/>
      <sheetName val="공문"/>
      <sheetName val="DB@Acess"/>
      <sheetName val="Civil"/>
    </sheetNames>
    <sheetDataSet>
      <sheetData sheetId="0" refreshError="1">
        <row r="1">
          <cell r="A1" t="str">
            <v xml:space="preserve"> 사업장 : 여천공장</v>
          </cell>
        </row>
        <row r="3">
          <cell r="A3">
            <v>1</v>
          </cell>
        </row>
        <row r="4">
          <cell r="A4">
            <v>2</v>
          </cell>
        </row>
        <row r="5">
          <cell r="A5">
            <v>3</v>
          </cell>
        </row>
        <row r="6">
          <cell r="A6">
            <v>4</v>
          </cell>
        </row>
        <row r="7">
          <cell r="A7">
            <v>5</v>
          </cell>
        </row>
        <row r="8">
          <cell r="A8">
            <v>6</v>
          </cell>
        </row>
        <row r="9">
          <cell r="A9">
            <v>7</v>
          </cell>
          <cell r="B9" t="str">
            <v>동력부</v>
          </cell>
          <cell r="C9" t="str">
            <v>신규</v>
          </cell>
          <cell r="D9" t="str">
            <v>안    전</v>
          </cell>
          <cell r="E9" t="str">
            <v>94-N-19</v>
          </cell>
          <cell r="F9" t="str">
            <v xml:space="preserve"> PCR 조정실 증축공사</v>
          </cell>
          <cell r="G9" t="str">
            <v>-</v>
          </cell>
          <cell r="H9" t="str">
            <v xml:space="preserve"> 94.10.25</v>
          </cell>
          <cell r="I9">
            <v>46</v>
          </cell>
          <cell r="J9" t="str">
            <v>96.1.4</v>
          </cell>
          <cell r="K9">
            <v>45.345280000000002</v>
          </cell>
          <cell r="L9">
            <v>0.98576695652173918</v>
          </cell>
          <cell r="M9" t="str">
            <v>94.11-94.12</v>
          </cell>
          <cell r="N9" t="str">
            <v>원명운</v>
          </cell>
          <cell r="O9" t="str">
            <v xml:space="preserve"> '94.7 : 기기설치및 사업종결</v>
          </cell>
        </row>
        <row r="10">
          <cell r="A10">
            <v>8</v>
          </cell>
          <cell r="B10" t="str">
            <v>물류부</v>
          </cell>
          <cell r="C10" t="str">
            <v>신규</v>
          </cell>
          <cell r="D10" t="str">
            <v>기    타</v>
          </cell>
          <cell r="E10" t="str">
            <v>94-Y-54</v>
          </cell>
          <cell r="F10" t="str">
            <v xml:space="preserve"> 제품출하 차량안내 방송용 P.A 구입</v>
          </cell>
          <cell r="G10" t="str">
            <v>-</v>
          </cell>
          <cell r="H10" t="str">
            <v xml:space="preserve"> 94.10.4</v>
          </cell>
          <cell r="I10">
            <v>5.8</v>
          </cell>
          <cell r="J10" t="str">
            <v>94.12.21</v>
          </cell>
          <cell r="K10">
            <v>4.8330000000000002</v>
          </cell>
          <cell r="L10">
            <v>0.83327586206896553</v>
          </cell>
          <cell r="M10" t="str">
            <v xml:space="preserve"> 94. 9- 12</v>
          </cell>
          <cell r="N10" t="str">
            <v>김동기</v>
          </cell>
          <cell r="O10" t="str">
            <v xml:space="preserve"> 기기설치:7  사업종결:8</v>
          </cell>
        </row>
        <row r="11">
          <cell r="A11">
            <v>9</v>
          </cell>
          <cell r="B11" t="str">
            <v>자재부</v>
          </cell>
          <cell r="C11" t="str">
            <v>신규</v>
          </cell>
          <cell r="D11" t="str">
            <v>기    타</v>
          </cell>
          <cell r="E11" t="str">
            <v>94-Y-08</v>
          </cell>
          <cell r="F11" t="str">
            <v xml:space="preserve"> DIGITAL 저울 구입</v>
          </cell>
          <cell r="G11">
            <v>2.5</v>
          </cell>
          <cell r="H11" t="str">
            <v>94.3. 7</v>
          </cell>
          <cell r="I11">
            <v>2.23</v>
          </cell>
          <cell r="J11" t="str">
            <v xml:space="preserve"> 94.4.22</v>
          </cell>
          <cell r="K11">
            <v>2.23</v>
          </cell>
          <cell r="L11">
            <v>1</v>
          </cell>
          <cell r="M11" t="str">
            <v xml:space="preserve"> 94. 3</v>
          </cell>
          <cell r="N11" t="str">
            <v>조윤현</v>
          </cell>
          <cell r="O11" t="str">
            <v xml:space="preserve"> STACK SUPPORT의 기계분석완료후 사업추진(S/D작업)</v>
          </cell>
        </row>
        <row r="12">
          <cell r="A12">
            <v>10</v>
          </cell>
          <cell r="B12" t="str">
            <v>자재부</v>
          </cell>
          <cell r="C12" t="str">
            <v>신규</v>
          </cell>
          <cell r="D12" t="str">
            <v>기    타</v>
          </cell>
          <cell r="E12" t="str">
            <v>94-Y-19</v>
          </cell>
          <cell r="F12" t="str">
            <v xml:space="preserve"> 출하 및 적재용 지게차 구입</v>
          </cell>
          <cell r="G12">
            <v>65</v>
          </cell>
          <cell r="H12" t="str">
            <v>94.5.10</v>
          </cell>
          <cell r="I12">
            <v>65</v>
          </cell>
          <cell r="J12" t="str">
            <v>94.11.23</v>
          </cell>
          <cell r="K12">
            <v>68.142899999999997</v>
          </cell>
          <cell r="L12">
            <v>1.0483523076923076</v>
          </cell>
          <cell r="M12" t="str">
            <v xml:space="preserve"> 94. 5- 6</v>
          </cell>
          <cell r="N12" t="str">
            <v>김동기</v>
          </cell>
          <cell r="O12" t="str">
            <v xml:space="preserve"> UCC&amp;P로부터 PACKAGE 받은후사업추진  사업전용:94-Y-41</v>
          </cell>
        </row>
        <row r="13">
          <cell r="A13">
            <v>11</v>
          </cell>
          <cell r="B13" t="str">
            <v>자재부</v>
          </cell>
          <cell r="C13" t="str">
            <v>신규</v>
          </cell>
          <cell r="D13" t="str">
            <v>기    타</v>
          </cell>
          <cell r="E13" t="str">
            <v>94-Y-24</v>
          </cell>
          <cell r="F13" t="str">
            <v xml:space="preserve"> 제품 적재용 PE PALLET 구입</v>
          </cell>
          <cell r="G13">
            <v>225</v>
          </cell>
          <cell r="H13" t="str">
            <v>94.5.26</v>
          </cell>
          <cell r="I13">
            <v>225</v>
          </cell>
          <cell r="J13" t="str">
            <v>94.10.4</v>
          </cell>
          <cell r="K13">
            <v>238.65</v>
          </cell>
          <cell r="L13">
            <v>1.0606666666666666</v>
          </cell>
          <cell r="M13" t="str">
            <v xml:space="preserve"> 94. 5- 7</v>
          </cell>
          <cell r="N13" t="str">
            <v>김동기</v>
          </cell>
          <cell r="O13" t="str">
            <v xml:space="preserve"> '94.11월까지 촉매MODULE 임대를연장하고 도입여부결정 사업전용(중흥부두)</v>
          </cell>
        </row>
        <row r="14">
          <cell r="A14">
            <v>12</v>
          </cell>
          <cell r="B14" t="str">
            <v>전해부</v>
          </cell>
          <cell r="C14" t="str">
            <v>이월</v>
          </cell>
          <cell r="D14" t="str">
            <v>원가절감</v>
          </cell>
          <cell r="E14" t="str">
            <v>93-Y-023</v>
          </cell>
          <cell r="F14" t="str">
            <v xml:space="preserve"> I.M ANODE COATING 시설 설치</v>
          </cell>
          <cell r="G14">
            <v>200</v>
          </cell>
          <cell r="H14" t="str">
            <v>93.7.14</v>
          </cell>
          <cell r="I14">
            <v>200</v>
          </cell>
          <cell r="J14">
            <v>0</v>
          </cell>
          <cell r="K14">
            <v>0</v>
          </cell>
          <cell r="L14">
            <v>0</v>
          </cell>
          <cell r="M14" t="str">
            <v xml:space="preserve"> 93. 6-12</v>
          </cell>
          <cell r="N14" t="str">
            <v>이점우</v>
          </cell>
          <cell r="O14" t="str">
            <v xml:space="preserve"> 예산초과사업(초과금액:175.8백만원) 합의서 작성지연,  종결:12</v>
          </cell>
        </row>
        <row r="15">
          <cell r="A15">
            <v>13</v>
          </cell>
          <cell r="B15" t="str">
            <v>전해부</v>
          </cell>
          <cell r="C15" t="str">
            <v>이월</v>
          </cell>
          <cell r="D15" t="str">
            <v>기    타</v>
          </cell>
          <cell r="E15" t="str">
            <v>93-Y-024</v>
          </cell>
          <cell r="F15" t="str">
            <v xml:space="preserve"> E-300 교체</v>
          </cell>
          <cell r="G15">
            <v>854</v>
          </cell>
          <cell r="H15" t="str">
            <v>93.7.22</v>
          </cell>
          <cell r="I15">
            <v>854</v>
          </cell>
          <cell r="J15" t="str">
            <v xml:space="preserve"> 94.7.19</v>
          </cell>
          <cell r="K15">
            <v>869.91587000000004</v>
          </cell>
          <cell r="L15">
            <v>1.0186368501170961</v>
          </cell>
          <cell r="M15" t="str">
            <v xml:space="preserve"> 93. 7-94. 7</v>
          </cell>
          <cell r="N15" t="str">
            <v>이점우</v>
          </cell>
          <cell r="O15" t="str">
            <v xml:space="preserve"> '94. 10 : 설치공사 및 시운전</v>
          </cell>
        </row>
        <row r="16">
          <cell r="A16">
            <v>14</v>
          </cell>
          <cell r="B16" t="str">
            <v>전해부</v>
          </cell>
          <cell r="C16" t="str">
            <v>이월</v>
          </cell>
          <cell r="D16" t="str">
            <v>공정개선</v>
          </cell>
          <cell r="E16" t="str">
            <v>93-Y-034</v>
          </cell>
          <cell r="F16" t="str">
            <v xml:space="preserve"> R/G CAUSTIC LOADING ARM 설치</v>
          </cell>
          <cell r="G16">
            <v>49.8</v>
          </cell>
          <cell r="H16" t="str">
            <v>93.9.25</v>
          </cell>
          <cell r="I16">
            <v>49.8</v>
          </cell>
          <cell r="J16" t="str">
            <v xml:space="preserve"> 94.5.23</v>
          </cell>
          <cell r="K16">
            <v>55.18</v>
          </cell>
          <cell r="L16">
            <v>1.1080321285140562</v>
          </cell>
          <cell r="M16" t="str">
            <v xml:space="preserve"> 93. 9-94. 3</v>
          </cell>
          <cell r="N16" t="str">
            <v>이영학</v>
          </cell>
          <cell r="O16" t="str">
            <v xml:space="preserve"> COMPRESSOR P/R발행:6 CONSTRUTION WORK:10 시운전:12</v>
          </cell>
        </row>
        <row r="17">
          <cell r="A17">
            <v>15</v>
          </cell>
          <cell r="B17" t="str">
            <v>전해부</v>
          </cell>
          <cell r="C17" t="str">
            <v>신규</v>
          </cell>
          <cell r="D17" t="str">
            <v>공정개선</v>
          </cell>
          <cell r="E17" t="str">
            <v>94-Y-05</v>
          </cell>
          <cell r="F17" t="str">
            <v xml:space="preserve"> RECTIFORMER THYRISTOR 1조 구입</v>
          </cell>
          <cell r="G17">
            <v>110.3</v>
          </cell>
          <cell r="H17" t="str">
            <v>94.2. 3</v>
          </cell>
          <cell r="I17">
            <v>70</v>
          </cell>
          <cell r="J17" t="str">
            <v>94.11.8</v>
          </cell>
          <cell r="K17">
            <v>61.62</v>
          </cell>
          <cell r="L17">
            <v>0.88028571428571423</v>
          </cell>
          <cell r="M17" t="str">
            <v xml:space="preserve"> 94. 1- 6</v>
          </cell>
          <cell r="N17" t="str">
            <v>박종태</v>
          </cell>
          <cell r="O17" t="str">
            <v xml:space="preserve">  설치:'95년 년차보수시</v>
          </cell>
        </row>
        <row r="18">
          <cell r="A18">
            <v>16</v>
          </cell>
          <cell r="B18" t="str">
            <v>전해부</v>
          </cell>
          <cell r="C18" t="str">
            <v>신규</v>
          </cell>
          <cell r="D18" t="str">
            <v>기    타</v>
          </cell>
          <cell r="E18" t="str">
            <v>94-Y-11</v>
          </cell>
          <cell r="F18" t="str">
            <v xml:space="preserve"> CELL 실험실 HOOD 교체</v>
          </cell>
          <cell r="G18">
            <v>4</v>
          </cell>
          <cell r="H18" t="str">
            <v>94.4. 6</v>
          </cell>
          <cell r="I18">
            <v>3.5</v>
          </cell>
          <cell r="J18" t="str">
            <v xml:space="preserve"> 94.6.22</v>
          </cell>
          <cell r="K18">
            <v>2.4</v>
          </cell>
          <cell r="L18">
            <v>0.68571428571428572</v>
          </cell>
          <cell r="M18" t="str">
            <v xml:space="preserve"> 94. 4- 6</v>
          </cell>
          <cell r="N18" t="str">
            <v>남인철</v>
          </cell>
          <cell r="O18" t="str">
            <v xml:space="preserve"> PUMP의 기술검토  '94. 9 : 종 결</v>
          </cell>
        </row>
        <row r="19">
          <cell r="A19">
            <v>17</v>
          </cell>
          <cell r="B19" t="str">
            <v>전해부</v>
          </cell>
          <cell r="C19" t="str">
            <v>신규</v>
          </cell>
          <cell r="D19" t="str">
            <v>공정개선</v>
          </cell>
          <cell r="E19" t="str">
            <v>94-Y-12</v>
          </cell>
          <cell r="F19" t="str">
            <v xml:space="preserve"> R-4 전해조 교체</v>
          </cell>
          <cell r="G19">
            <v>1150</v>
          </cell>
          <cell r="H19" t="str">
            <v>94.4. 7</v>
          </cell>
          <cell r="I19">
            <v>1150</v>
          </cell>
          <cell r="J19" t="str">
            <v>94.12.28</v>
          </cell>
          <cell r="K19">
            <v>980.84</v>
          </cell>
          <cell r="L19">
            <v>0.85290434782608704</v>
          </cell>
          <cell r="M19" t="str">
            <v xml:space="preserve"> 94. 1- 8</v>
          </cell>
          <cell r="N19" t="str">
            <v>이점우</v>
          </cell>
          <cell r="O19" t="str">
            <v xml:space="preserve"> 열교환기 입고:'95.3  교체설치:'95 년차보수</v>
          </cell>
        </row>
        <row r="20">
          <cell r="A20">
            <v>18</v>
          </cell>
          <cell r="B20" t="str">
            <v>전해부</v>
          </cell>
          <cell r="C20" t="str">
            <v>신규</v>
          </cell>
          <cell r="D20" t="str">
            <v>공정개선</v>
          </cell>
          <cell r="E20" t="str">
            <v>94-Y-13</v>
          </cell>
          <cell r="F20" t="str">
            <v xml:space="preserve"> I.M MEMBRANE 및 부품교체</v>
          </cell>
          <cell r="G20">
            <v>695</v>
          </cell>
          <cell r="H20" t="str">
            <v>94.4. 7</v>
          </cell>
          <cell r="I20">
            <v>369.1</v>
          </cell>
          <cell r="J20" t="str">
            <v>94.12.28</v>
          </cell>
          <cell r="K20">
            <v>335.38</v>
          </cell>
          <cell r="L20">
            <v>0.90864264426984553</v>
          </cell>
          <cell r="M20" t="str">
            <v xml:space="preserve"> 94. 1-12</v>
          </cell>
          <cell r="N20" t="str">
            <v>이점우</v>
          </cell>
          <cell r="O20" t="str">
            <v xml:space="preserve"> '95.7월 : 종결예정</v>
          </cell>
        </row>
        <row r="21">
          <cell r="A21">
            <v>19</v>
          </cell>
          <cell r="B21" t="str">
            <v>전해부</v>
          </cell>
          <cell r="C21" t="str">
            <v>신규</v>
          </cell>
          <cell r="D21" t="str">
            <v>공해방지</v>
          </cell>
          <cell r="E21" t="str">
            <v>94-Y-16</v>
          </cell>
          <cell r="F21" t="str">
            <v xml:space="preserve"> V-911/V-914 POND 대용 TANK 설치</v>
          </cell>
          <cell r="G21">
            <v>1232</v>
          </cell>
          <cell r="H21" t="str">
            <v>94.4.25</v>
          </cell>
          <cell r="I21">
            <v>1210</v>
          </cell>
          <cell r="J21" t="str">
            <v>96.1.19</v>
          </cell>
          <cell r="K21">
            <v>1176.08926</v>
          </cell>
          <cell r="L21">
            <v>0.97197459504132233</v>
          </cell>
          <cell r="M21" t="str">
            <v xml:space="preserve"> 94. 1-12</v>
          </cell>
          <cell r="N21" t="str">
            <v>박종태</v>
          </cell>
          <cell r="O21" t="str">
            <v xml:space="preserve"> '94. 9 : 기기입고   '94. 11 : 설치예정</v>
          </cell>
        </row>
        <row r="22">
          <cell r="A22">
            <v>20</v>
          </cell>
          <cell r="B22" t="str">
            <v>전해부</v>
          </cell>
          <cell r="C22" t="str">
            <v>신규</v>
          </cell>
          <cell r="D22" t="str">
            <v>기    타</v>
          </cell>
          <cell r="E22" t="str">
            <v>94-Y-21</v>
          </cell>
          <cell r="F22" t="str">
            <v xml:space="preserve"> I.M 현장 사무실 에어콘 교체</v>
          </cell>
          <cell r="G22">
            <v>3.5</v>
          </cell>
          <cell r="H22" t="str">
            <v>94.5.20</v>
          </cell>
          <cell r="I22">
            <v>3.5</v>
          </cell>
          <cell r="J22" t="str">
            <v xml:space="preserve"> 94.9.27</v>
          </cell>
          <cell r="K22">
            <v>3.8</v>
          </cell>
          <cell r="L22">
            <v>1.0857142857142856</v>
          </cell>
          <cell r="M22" t="str">
            <v xml:space="preserve"> 94. 5- 7</v>
          </cell>
          <cell r="N22" t="str">
            <v>이영학</v>
          </cell>
          <cell r="O22" t="str">
            <v xml:space="preserve"> 사업전용:HDPE부 CYLINDER HOUSE 설치</v>
          </cell>
        </row>
        <row r="23">
          <cell r="A23">
            <v>21</v>
          </cell>
          <cell r="B23" t="str">
            <v>전해부</v>
          </cell>
          <cell r="C23" t="str">
            <v>신규</v>
          </cell>
          <cell r="D23" t="str">
            <v>기    타</v>
          </cell>
          <cell r="E23" t="str">
            <v>94-Y-22</v>
          </cell>
          <cell r="F23" t="str">
            <v xml:space="preserve"> CONDENSER/SUBSTATION 에어콘 교체</v>
          </cell>
          <cell r="G23">
            <v>22</v>
          </cell>
          <cell r="H23" t="str">
            <v>94.5.20</v>
          </cell>
          <cell r="I23">
            <v>22</v>
          </cell>
          <cell r="J23" t="str">
            <v xml:space="preserve"> 94.9.27</v>
          </cell>
          <cell r="K23">
            <v>21</v>
          </cell>
          <cell r="L23">
            <v>0.95454545454545459</v>
          </cell>
          <cell r="M23" t="str">
            <v xml:space="preserve"> 94. 5- 7</v>
          </cell>
          <cell r="N23" t="str">
            <v>이영학</v>
          </cell>
          <cell r="O23" t="str">
            <v xml:space="preserve"> '94.7월 : 종결</v>
          </cell>
        </row>
        <row r="24">
          <cell r="A24">
            <v>22</v>
          </cell>
          <cell r="B24" t="str">
            <v>전해부</v>
          </cell>
          <cell r="C24" t="str">
            <v>신규</v>
          </cell>
          <cell r="D24" t="str">
            <v>공정개선</v>
          </cell>
          <cell r="E24" t="str">
            <v>94-Y-25</v>
          </cell>
          <cell r="F24" t="str">
            <v xml:space="preserve"> CF-301 CONVEYOR 교체</v>
          </cell>
          <cell r="G24">
            <v>100</v>
          </cell>
          <cell r="H24" t="str">
            <v>94.5.26</v>
          </cell>
          <cell r="I24">
            <v>81</v>
          </cell>
          <cell r="J24" t="str">
            <v>94.12.29</v>
          </cell>
          <cell r="K24">
            <v>64.128</v>
          </cell>
          <cell r="L24">
            <v>0.79170370370370369</v>
          </cell>
          <cell r="M24" t="str">
            <v xml:space="preserve"> 94. 5-10</v>
          </cell>
          <cell r="N24" t="str">
            <v>이영학</v>
          </cell>
          <cell r="O24" t="str">
            <v xml:space="preserve"> PUMP 구입:9  설치:10</v>
          </cell>
        </row>
        <row r="25">
          <cell r="A25">
            <v>23</v>
          </cell>
          <cell r="B25" t="str">
            <v>전해부</v>
          </cell>
          <cell r="C25" t="str">
            <v>신규</v>
          </cell>
          <cell r="D25" t="str">
            <v>공정개선</v>
          </cell>
          <cell r="E25" t="str">
            <v>94-Y-26</v>
          </cell>
          <cell r="F25" t="str">
            <v xml:space="preserve"> R-620 LOWER SIDE GRAPHITE 교체</v>
          </cell>
          <cell r="G25">
            <v>60</v>
          </cell>
          <cell r="H25" t="str">
            <v>94.6. 7</v>
          </cell>
          <cell r="I25">
            <v>17</v>
          </cell>
          <cell r="J25" t="str">
            <v>94.12.23</v>
          </cell>
          <cell r="K25">
            <v>18.872</v>
          </cell>
          <cell r="L25">
            <v>1.1101176470588234</v>
          </cell>
          <cell r="M25" t="str">
            <v xml:space="preserve"> 94. 1- 7</v>
          </cell>
          <cell r="N25" t="str">
            <v>박종태</v>
          </cell>
          <cell r="O25" t="str">
            <v xml:space="preserve"> 열교환기 입고:7  설치:8</v>
          </cell>
        </row>
        <row r="26">
          <cell r="A26">
            <v>24</v>
          </cell>
          <cell r="B26" t="str">
            <v>전해부</v>
          </cell>
          <cell r="C26" t="str">
            <v>신규</v>
          </cell>
          <cell r="D26" t="str">
            <v>공정개선</v>
          </cell>
          <cell r="E26" t="str">
            <v>94-Y-29</v>
          </cell>
          <cell r="F26" t="str">
            <v xml:space="preserve"> 지원시설과 TRANSFORMER 교체</v>
          </cell>
          <cell r="G26">
            <v>46</v>
          </cell>
          <cell r="H26" t="str">
            <v>94.6. 7</v>
          </cell>
          <cell r="I26">
            <v>59.5</v>
          </cell>
          <cell r="J26" t="str">
            <v>94.12.29</v>
          </cell>
          <cell r="K26">
            <v>53.65</v>
          </cell>
          <cell r="L26">
            <v>0.90168067226890758</v>
          </cell>
          <cell r="M26" t="str">
            <v xml:space="preserve"> 94. 5-11</v>
          </cell>
          <cell r="N26" t="str">
            <v>이영학</v>
          </cell>
          <cell r="O26" t="str">
            <v xml:space="preserve"> 기초공사:6-7, TANK제작및LINING, 배관·계전공사:7-11</v>
          </cell>
        </row>
        <row r="27">
          <cell r="A27">
            <v>25</v>
          </cell>
          <cell r="B27" t="str">
            <v>전해부</v>
          </cell>
          <cell r="C27" t="str">
            <v>신규</v>
          </cell>
          <cell r="D27" t="str">
            <v>안    전</v>
          </cell>
          <cell r="E27" t="str">
            <v>94-Y-30</v>
          </cell>
          <cell r="F27" t="str">
            <v xml:space="preserve"> 무전기 구입</v>
          </cell>
          <cell r="G27">
            <v>7</v>
          </cell>
          <cell r="H27" t="str">
            <v xml:space="preserve"> 94.6. 2</v>
          </cell>
          <cell r="I27">
            <v>6.2</v>
          </cell>
          <cell r="J27" t="str">
            <v xml:space="preserve"> 94.9.27</v>
          </cell>
          <cell r="K27">
            <v>6.1456</v>
          </cell>
          <cell r="L27">
            <v>0.99122580645161285</v>
          </cell>
          <cell r="M27" t="str">
            <v xml:space="preserve"> 94. 4- 6</v>
          </cell>
          <cell r="N27" t="str">
            <v>남인철</v>
          </cell>
          <cell r="O27" t="str">
            <v xml:space="preserve"> PUMP 구매및 입고:11  사업종결:12</v>
          </cell>
        </row>
        <row r="28">
          <cell r="A28">
            <v>26</v>
          </cell>
          <cell r="B28" t="str">
            <v>전해부</v>
          </cell>
          <cell r="C28" t="str">
            <v>신규</v>
          </cell>
          <cell r="D28" t="str">
            <v>공정개선</v>
          </cell>
          <cell r="E28" t="str">
            <v>94-Y-32</v>
          </cell>
          <cell r="F28" t="str">
            <v xml:space="preserve"> OFF-SITE CONVEYOR 수리</v>
          </cell>
          <cell r="G28">
            <v>100</v>
          </cell>
          <cell r="H28" t="str">
            <v xml:space="preserve"> 94.6.28</v>
          </cell>
          <cell r="I28">
            <v>170</v>
          </cell>
          <cell r="J28" t="str">
            <v>94.12.29</v>
          </cell>
          <cell r="K28">
            <v>156</v>
          </cell>
          <cell r="L28">
            <v>0.91764705882352937</v>
          </cell>
          <cell r="M28" t="str">
            <v xml:space="preserve"> 94. 5-11</v>
          </cell>
          <cell r="N28" t="str">
            <v>이영학</v>
          </cell>
          <cell r="O28" t="str">
            <v xml:space="preserve"> 공장외곽지역 200m를 교체하는사업으로 업체선정및가격으로 지연</v>
          </cell>
        </row>
        <row r="29">
          <cell r="A29">
            <v>27</v>
          </cell>
          <cell r="B29" t="str">
            <v>전해부</v>
          </cell>
          <cell r="C29" t="str">
            <v>신규</v>
          </cell>
          <cell r="D29" t="str">
            <v>공해방지</v>
          </cell>
          <cell r="E29" t="str">
            <v>94-Y-45</v>
          </cell>
          <cell r="F29" t="str">
            <v xml:space="preserve"> HCl 선적 LINE 교체</v>
          </cell>
          <cell r="G29">
            <v>50</v>
          </cell>
          <cell r="H29" t="str">
            <v xml:space="preserve"> 94.8.16</v>
          </cell>
          <cell r="I29">
            <v>50</v>
          </cell>
          <cell r="J29" t="str">
            <v>96.1.19</v>
          </cell>
          <cell r="K29">
            <v>40.686177000000001</v>
          </cell>
          <cell r="L29">
            <v>0.81372354000000002</v>
          </cell>
          <cell r="M29" t="str">
            <v xml:space="preserve"> 94. 8-12</v>
          </cell>
          <cell r="N29" t="str">
            <v>이영학</v>
          </cell>
          <cell r="O29" t="str">
            <v xml:space="preserve"> '93년추진사업을자산화로이체한사업임. 종결:7</v>
          </cell>
        </row>
        <row r="30">
          <cell r="A30">
            <v>28</v>
          </cell>
          <cell r="B30" t="str">
            <v>전해부</v>
          </cell>
          <cell r="C30" t="str">
            <v>신규</v>
          </cell>
          <cell r="D30" t="str">
            <v>공해방지</v>
          </cell>
          <cell r="E30" t="str">
            <v>94-Y-46</v>
          </cell>
          <cell r="F30" t="str">
            <v xml:space="preserve"> REDDISH WATER PUMP 교체</v>
          </cell>
          <cell r="G30">
            <v>31.5</v>
          </cell>
          <cell r="H30" t="str">
            <v xml:space="preserve"> 94.8.16</v>
          </cell>
          <cell r="I30">
            <v>31.5</v>
          </cell>
          <cell r="J30">
            <v>0</v>
          </cell>
          <cell r="K30">
            <v>0</v>
          </cell>
          <cell r="L30">
            <v>0</v>
          </cell>
          <cell r="M30" t="str">
            <v xml:space="preserve"> 94. 8-12</v>
          </cell>
          <cell r="N30" t="str">
            <v>박종태</v>
          </cell>
          <cell r="O30" t="str">
            <v xml:space="preserve"> '94. 8월 : 종결</v>
          </cell>
        </row>
        <row r="31">
          <cell r="A31">
            <v>29</v>
          </cell>
          <cell r="B31" t="str">
            <v>전해부</v>
          </cell>
          <cell r="C31" t="str">
            <v>신규</v>
          </cell>
          <cell r="D31" t="str">
            <v>기    타</v>
          </cell>
          <cell r="E31" t="str">
            <v>94-Y-62</v>
          </cell>
          <cell r="F31" t="str">
            <v xml:space="preserve"> 현장 시설물 ROOF 설치</v>
          </cell>
          <cell r="G31" t="str">
            <v>-</v>
          </cell>
          <cell r="H31" t="str">
            <v>94.12.12</v>
          </cell>
          <cell r="I31">
            <v>3</v>
          </cell>
          <cell r="J31" t="str">
            <v>95.3.28</v>
          </cell>
          <cell r="K31">
            <v>1.6659999999999999</v>
          </cell>
          <cell r="L31">
            <v>0.55533333333333335</v>
          </cell>
          <cell r="M31">
            <v>94.12</v>
          </cell>
          <cell r="N31" t="str">
            <v>박종태</v>
          </cell>
          <cell r="O31" t="str">
            <v xml:space="preserve"> 예산초과사업(초과금액:13.5):분광광도계및초음파세척기구매</v>
          </cell>
        </row>
        <row r="32">
          <cell r="A32">
            <v>30</v>
          </cell>
          <cell r="B32" t="str">
            <v>정비부</v>
          </cell>
          <cell r="C32" t="str">
            <v>신규</v>
          </cell>
          <cell r="D32" t="str">
            <v>기    타</v>
          </cell>
          <cell r="E32" t="str">
            <v>94-047</v>
          </cell>
          <cell r="F32" t="str">
            <v xml:space="preserve"> 보전관리 종합전산화(CMMS) 공사</v>
          </cell>
          <cell r="G32">
            <v>400</v>
          </cell>
          <cell r="H32" t="str">
            <v>94.6.20</v>
          </cell>
          <cell r="I32">
            <v>452.6</v>
          </cell>
          <cell r="J32" t="str">
            <v xml:space="preserve"> </v>
          </cell>
          <cell r="K32">
            <v>0</v>
          </cell>
          <cell r="L32">
            <v>0</v>
          </cell>
          <cell r="M32">
            <v>0</v>
          </cell>
          <cell r="N32" t="str">
            <v>이형채</v>
          </cell>
          <cell r="O32" t="str">
            <v xml:space="preserve"> 완전교체 예정에서 부분교체</v>
          </cell>
        </row>
        <row r="33">
          <cell r="A33">
            <v>31</v>
          </cell>
          <cell r="B33" t="str">
            <v>정비부</v>
          </cell>
          <cell r="C33" t="str">
            <v>신규</v>
          </cell>
          <cell r="D33" t="str">
            <v>원가절감</v>
          </cell>
          <cell r="E33" t="str">
            <v>94-N-02</v>
          </cell>
          <cell r="F33" t="str">
            <v xml:space="preserve"> NCC 대정비용 특수공구 구매</v>
          </cell>
          <cell r="G33">
            <v>92.5</v>
          </cell>
          <cell r="H33" t="str">
            <v>94.1.19</v>
          </cell>
          <cell r="I33">
            <v>92.5</v>
          </cell>
          <cell r="J33" t="str">
            <v xml:space="preserve"> 94.8.16</v>
          </cell>
          <cell r="K33">
            <v>92.283839999999998</v>
          </cell>
          <cell r="L33">
            <v>0.99766313513513516</v>
          </cell>
          <cell r="M33" t="str">
            <v xml:space="preserve"> 94. 1- 3</v>
          </cell>
          <cell r="N33" t="str">
            <v>박장진</v>
          </cell>
          <cell r="O33" t="str">
            <v xml:space="preserve"> 사업전용 : 폐수냉각 설비 설치(94-Y-58)</v>
          </cell>
        </row>
        <row r="34">
          <cell r="A34">
            <v>32</v>
          </cell>
          <cell r="B34" t="str">
            <v>정비부</v>
          </cell>
          <cell r="C34" t="str">
            <v>신규</v>
          </cell>
          <cell r="D34" t="str">
            <v>기    타</v>
          </cell>
          <cell r="E34" t="str">
            <v>94-N-16</v>
          </cell>
          <cell r="F34" t="str">
            <v xml:space="preserve"> 금속 성분 분석기 구매</v>
          </cell>
          <cell r="G34">
            <v>40</v>
          </cell>
          <cell r="H34" t="str">
            <v>94.5.20</v>
          </cell>
          <cell r="I34">
            <v>40</v>
          </cell>
          <cell r="J34" t="str">
            <v>95.1.21</v>
          </cell>
          <cell r="K34">
            <v>43</v>
          </cell>
          <cell r="L34">
            <v>1.075</v>
          </cell>
          <cell r="M34" t="str">
            <v xml:space="preserve"> 94. 5-10</v>
          </cell>
          <cell r="N34" t="str">
            <v>유  근</v>
          </cell>
          <cell r="O34" t="str">
            <v xml:space="preserve"> 폐수냉각탑 SPEC.이 변경되어 재설게. 설치:9 시운전:10</v>
          </cell>
        </row>
        <row r="35">
          <cell r="A35">
            <v>33</v>
          </cell>
          <cell r="B35" t="str">
            <v>정비부</v>
          </cell>
          <cell r="C35" t="str">
            <v>신규</v>
          </cell>
          <cell r="D35" t="str">
            <v>기    타</v>
          </cell>
          <cell r="E35" t="str">
            <v>94-N-21</v>
          </cell>
          <cell r="F35" t="str">
            <v xml:space="preserve"> 초음파 두께 측정기 구입</v>
          </cell>
          <cell r="G35" t="str">
            <v>-</v>
          </cell>
          <cell r="H35" t="str">
            <v xml:space="preserve"> 94.10.25</v>
          </cell>
          <cell r="I35">
            <v>14.4</v>
          </cell>
          <cell r="J35" t="str">
            <v>95.3.6</v>
          </cell>
          <cell r="K35">
            <v>11.247999999999999</v>
          </cell>
          <cell r="L35">
            <v>0.78111111111111109</v>
          </cell>
          <cell r="M35" t="str">
            <v xml:space="preserve"> 94.10- 12</v>
          </cell>
          <cell r="N35" t="str">
            <v>김용수</v>
          </cell>
          <cell r="O35" t="str">
            <v xml:space="preserve"> 환경안전실에서 기술검토중 사업전용(동력부 - 폐수처리장)</v>
          </cell>
        </row>
        <row r="36">
          <cell r="A36">
            <v>34</v>
          </cell>
          <cell r="B36" t="str">
            <v>정비부</v>
          </cell>
          <cell r="C36" t="str">
            <v>신규</v>
          </cell>
          <cell r="D36" t="str">
            <v>기    타</v>
          </cell>
          <cell r="E36" t="str">
            <v>94-N-22</v>
          </cell>
          <cell r="F36" t="str">
            <v xml:space="preserve"> 2공장 용접 배관 작업장 신축</v>
          </cell>
          <cell r="G36" t="str">
            <v>-</v>
          </cell>
          <cell r="H36" t="str">
            <v xml:space="preserve"> 94.11. 7</v>
          </cell>
          <cell r="I36">
            <v>35.5</v>
          </cell>
          <cell r="J36" t="str">
            <v>95.7.13</v>
          </cell>
          <cell r="K36">
            <v>30.261700000000001</v>
          </cell>
          <cell r="L36">
            <v>0.85244225352112679</v>
          </cell>
          <cell r="M36" t="str">
            <v xml:space="preserve"> 94.11-12</v>
          </cell>
          <cell r="N36" t="str">
            <v>김한균</v>
          </cell>
          <cell r="O36" t="str">
            <v xml:space="preserve"> PUMP 재질(HI-CR강)TEST중. 기기설치:11 시운전:12</v>
          </cell>
        </row>
        <row r="37">
          <cell r="A37">
            <v>35</v>
          </cell>
          <cell r="B37" t="str">
            <v>정비부</v>
          </cell>
          <cell r="C37" t="str">
            <v>신규</v>
          </cell>
          <cell r="D37" t="str">
            <v>원가절감</v>
          </cell>
          <cell r="E37" t="str">
            <v>94-Y-01</v>
          </cell>
          <cell r="F37" t="str">
            <v xml:space="preserve"> SURFACE GRINDING M/C 교체사업</v>
          </cell>
          <cell r="G37">
            <v>32</v>
          </cell>
          <cell r="H37" t="str">
            <v>94.1.14</v>
          </cell>
          <cell r="I37">
            <v>30.75</v>
          </cell>
          <cell r="J37" t="str">
            <v xml:space="preserve"> 94.3.23</v>
          </cell>
          <cell r="K37">
            <v>27.5</v>
          </cell>
          <cell r="L37">
            <v>0.89430894308943087</v>
          </cell>
          <cell r="M37" t="str">
            <v xml:space="preserve"> 94. 1- 3</v>
          </cell>
          <cell r="N37" t="str">
            <v>유칠성</v>
          </cell>
          <cell r="O37" t="str">
            <v xml:space="preserve"> '94. 8월 : 종결</v>
          </cell>
        </row>
        <row r="38">
          <cell r="A38">
            <v>36</v>
          </cell>
          <cell r="B38" t="str">
            <v>정비부</v>
          </cell>
          <cell r="C38" t="str">
            <v>신규</v>
          </cell>
          <cell r="D38" t="str">
            <v>기    타</v>
          </cell>
          <cell r="E38" t="str">
            <v>94-Y-03</v>
          </cell>
          <cell r="F38" t="str">
            <v xml:space="preserve"> 노후 자산성 공기구 교체</v>
          </cell>
          <cell r="G38">
            <v>20</v>
          </cell>
          <cell r="H38" t="str">
            <v>94.1.27</v>
          </cell>
          <cell r="I38">
            <v>19.8</v>
          </cell>
          <cell r="J38" t="str">
            <v xml:space="preserve"> 94.8.16</v>
          </cell>
          <cell r="K38">
            <v>15.345000000000001</v>
          </cell>
          <cell r="L38">
            <v>0.77500000000000002</v>
          </cell>
          <cell r="M38" t="str">
            <v xml:space="preserve"> 94. 1- 3</v>
          </cell>
          <cell r="N38" t="str">
            <v>김형룡</v>
          </cell>
          <cell r="O38" t="str">
            <v xml:space="preserve"> '94. 11월 : 종결</v>
          </cell>
        </row>
        <row r="39">
          <cell r="A39">
            <v>37</v>
          </cell>
          <cell r="B39" t="str">
            <v>정비부</v>
          </cell>
          <cell r="C39" t="str">
            <v>신규</v>
          </cell>
          <cell r="D39" t="str">
            <v>안    전</v>
          </cell>
          <cell r="E39" t="str">
            <v>94-Y-06</v>
          </cell>
          <cell r="F39" t="str">
            <v xml:space="preserve"> 5TON 지게차 구매</v>
          </cell>
          <cell r="G39">
            <v>29.9</v>
          </cell>
          <cell r="H39" t="str">
            <v>94.2.23</v>
          </cell>
          <cell r="I39">
            <v>29</v>
          </cell>
          <cell r="J39" t="str">
            <v xml:space="preserve"> 94.5.11</v>
          </cell>
          <cell r="K39">
            <v>26.2958</v>
          </cell>
          <cell r="L39">
            <v>0.90675172413793104</v>
          </cell>
          <cell r="M39" t="str">
            <v xml:space="preserve"> 94. 2- 3</v>
          </cell>
          <cell r="N39" t="str">
            <v>김용관</v>
          </cell>
        </row>
        <row r="40">
          <cell r="A40">
            <v>38</v>
          </cell>
          <cell r="B40" t="str">
            <v>정비부</v>
          </cell>
          <cell r="C40" t="str">
            <v>신규</v>
          </cell>
          <cell r="D40" t="str">
            <v>품질개선</v>
          </cell>
          <cell r="E40" t="str">
            <v>94-Y-10</v>
          </cell>
          <cell r="F40" t="str">
            <v xml:space="preserve"> AIRLESS PAINTER 구매(1대)</v>
          </cell>
          <cell r="G40">
            <v>4.5</v>
          </cell>
          <cell r="H40" t="str">
            <v>94.3.29</v>
          </cell>
          <cell r="I40">
            <v>4.05</v>
          </cell>
          <cell r="J40" t="str">
            <v xml:space="preserve"> 94.8.16</v>
          </cell>
          <cell r="K40">
            <v>3.0194999999999999</v>
          </cell>
          <cell r="L40">
            <v>0.74555555555555553</v>
          </cell>
          <cell r="M40" t="str">
            <v xml:space="preserve"> 94. 3- 4</v>
          </cell>
          <cell r="N40" t="str">
            <v>성헌모</v>
          </cell>
          <cell r="O40" t="str">
            <v xml:space="preserve"> 탈수기 제작업체와슬러지성능 PILOT TEST 완료후 설치예정</v>
          </cell>
        </row>
        <row r="41">
          <cell r="A41">
            <v>39</v>
          </cell>
          <cell r="B41" t="str">
            <v>총무부</v>
          </cell>
          <cell r="C41" t="str">
            <v>신규</v>
          </cell>
          <cell r="D41" t="str">
            <v>기    타</v>
          </cell>
          <cell r="E41" t="str">
            <v>94-N-11</v>
          </cell>
          <cell r="F41" t="str">
            <v xml:space="preserve"> 환경관리 기구(농기구) 보관창고</v>
          </cell>
          <cell r="G41" t="str">
            <v>-</v>
          </cell>
          <cell r="H41" t="str">
            <v>94.3.29</v>
          </cell>
          <cell r="I41">
            <v>4.4000000000000004</v>
          </cell>
          <cell r="J41" t="str">
            <v>95.1.10</v>
          </cell>
          <cell r="K41">
            <v>4.4000000000000004</v>
          </cell>
          <cell r="L41">
            <v>1</v>
          </cell>
          <cell r="M41">
            <v>0</v>
          </cell>
          <cell r="N41" t="str">
            <v>이종원</v>
          </cell>
          <cell r="O41" t="str">
            <v xml:space="preserve"> 사업전용:동력부 PCR ROOM 증축공사(46.0)</v>
          </cell>
        </row>
        <row r="42">
          <cell r="A42">
            <v>40</v>
          </cell>
          <cell r="B42" t="str">
            <v>품보실</v>
          </cell>
          <cell r="C42" t="str">
            <v>신규</v>
          </cell>
          <cell r="D42" t="str">
            <v>공정개선</v>
          </cell>
          <cell r="E42" t="str">
            <v>94-N-09</v>
          </cell>
          <cell r="F42" t="str">
            <v xml:space="preserve"> QUENCH OIL VISCO METER REVISION</v>
          </cell>
          <cell r="G42">
            <v>34</v>
          </cell>
          <cell r="H42" t="str">
            <v>94.3.29</v>
          </cell>
          <cell r="I42">
            <v>34</v>
          </cell>
          <cell r="J42" t="str">
            <v>95.3.13</v>
          </cell>
          <cell r="K42">
            <v>30</v>
          </cell>
          <cell r="L42">
            <v>0.88235294117647056</v>
          </cell>
          <cell r="M42" t="str">
            <v xml:space="preserve"> 94. 1-12</v>
          </cell>
          <cell r="N42" t="str">
            <v>여상석</v>
          </cell>
        </row>
        <row r="43">
          <cell r="A43">
            <v>41</v>
          </cell>
          <cell r="B43" t="str">
            <v>품보실</v>
          </cell>
          <cell r="C43" t="str">
            <v>신규</v>
          </cell>
          <cell r="D43" t="str">
            <v>원가절감</v>
          </cell>
          <cell r="E43" t="str">
            <v>94-N-10</v>
          </cell>
          <cell r="F43" t="str">
            <v xml:space="preserve"> HYDROGEN PURIFIER 설치</v>
          </cell>
          <cell r="G43">
            <v>23.7</v>
          </cell>
          <cell r="H43" t="str">
            <v>94.3.31</v>
          </cell>
          <cell r="I43">
            <v>23.7</v>
          </cell>
          <cell r="J43" t="str">
            <v>95.2.9</v>
          </cell>
          <cell r="K43">
            <v>20.989339999999999</v>
          </cell>
          <cell r="L43">
            <v>0.8856261603375527</v>
          </cell>
          <cell r="M43" t="str">
            <v xml:space="preserve"> 94. 4- 6</v>
          </cell>
          <cell r="N43" t="str">
            <v>우홍식</v>
          </cell>
          <cell r="O43" t="str">
            <v xml:space="preserve"> 사업전용:초음파 두께 측정기 구입(14.4)</v>
          </cell>
        </row>
        <row r="44">
          <cell r="A44">
            <v>42</v>
          </cell>
          <cell r="B44" t="str">
            <v>품보실</v>
          </cell>
          <cell r="C44" t="str">
            <v>신규</v>
          </cell>
          <cell r="D44" t="str">
            <v>기    타</v>
          </cell>
          <cell r="E44" t="str">
            <v>94-N-12</v>
          </cell>
          <cell r="F44" t="str">
            <v xml:space="preserve"> 가스 공급실 증설</v>
          </cell>
          <cell r="G44" t="str">
            <v>-</v>
          </cell>
          <cell r="H44" t="str">
            <v>94.3.29</v>
          </cell>
          <cell r="I44">
            <v>2.5</v>
          </cell>
          <cell r="J44" t="str">
            <v xml:space="preserve"> 94.4.22</v>
          </cell>
          <cell r="K44">
            <v>2.5</v>
          </cell>
          <cell r="L44">
            <v>1</v>
          </cell>
          <cell r="M44" t="str">
            <v xml:space="preserve"> 94. 1- 4</v>
          </cell>
          <cell r="N44" t="str">
            <v>우홍식</v>
          </cell>
        </row>
        <row r="45">
          <cell r="A45">
            <v>43</v>
          </cell>
          <cell r="B45" t="str">
            <v>품보실</v>
          </cell>
          <cell r="C45" t="str">
            <v>신규</v>
          </cell>
          <cell r="D45" t="str">
            <v>공정개선</v>
          </cell>
          <cell r="E45" t="str">
            <v>94-Y-17</v>
          </cell>
          <cell r="F45" t="str">
            <v xml:space="preserve"> AT-2113 교체</v>
          </cell>
          <cell r="G45">
            <v>58</v>
          </cell>
          <cell r="H45" t="str">
            <v>94.4.29</v>
          </cell>
          <cell r="I45">
            <v>58</v>
          </cell>
          <cell r="J45" t="str">
            <v>95.1.18</v>
          </cell>
          <cell r="K45">
            <v>57.17</v>
          </cell>
          <cell r="L45">
            <v>0.9856896551724138</v>
          </cell>
          <cell r="M45" t="str">
            <v xml:space="preserve"> 94. 4-11</v>
          </cell>
          <cell r="N45" t="str">
            <v>최상근</v>
          </cell>
          <cell r="O45" t="str">
            <v xml:space="preserve"> 예산초과사업(154.2백만원) '95.1:완공 '95년 지출:DIKE(99백만원)</v>
          </cell>
        </row>
        <row r="46">
          <cell r="A46">
            <v>44</v>
          </cell>
          <cell r="B46" t="str">
            <v>품보실</v>
          </cell>
          <cell r="C46" t="str">
            <v>신규</v>
          </cell>
          <cell r="D46" t="str">
            <v>품질개선</v>
          </cell>
          <cell r="E46" t="str">
            <v>94-Y-20</v>
          </cell>
          <cell r="F46" t="str">
            <v xml:space="preserve"> EDC MOISTURE ANALYZER 교체</v>
          </cell>
          <cell r="G46">
            <v>64</v>
          </cell>
          <cell r="H46" t="str">
            <v>94.5.14</v>
          </cell>
          <cell r="I46">
            <v>64</v>
          </cell>
          <cell r="J46" t="str">
            <v>95.1.18</v>
          </cell>
          <cell r="K46">
            <v>60</v>
          </cell>
          <cell r="L46">
            <v>0.9375</v>
          </cell>
          <cell r="M46" t="str">
            <v xml:space="preserve"> 94. 4-11</v>
          </cell>
          <cell r="N46" t="str">
            <v>최상근</v>
          </cell>
        </row>
        <row r="47">
          <cell r="A47">
            <v>45</v>
          </cell>
          <cell r="B47" t="str">
            <v>품보실</v>
          </cell>
          <cell r="C47" t="str">
            <v>신규</v>
          </cell>
          <cell r="D47" t="str">
            <v>공해방지</v>
          </cell>
          <cell r="E47" t="str">
            <v>94-Y-28</v>
          </cell>
          <cell r="F47" t="str">
            <v xml:space="preserve"> AREA MONITOR SYSTEM 설치</v>
          </cell>
          <cell r="G47">
            <v>106</v>
          </cell>
          <cell r="H47" t="str">
            <v xml:space="preserve"> 94.6.15</v>
          </cell>
          <cell r="I47">
            <v>106</v>
          </cell>
          <cell r="J47" t="str">
            <v>95.2.15</v>
          </cell>
          <cell r="K47">
            <v>90</v>
          </cell>
          <cell r="L47">
            <v>0.84905660377358494</v>
          </cell>
          <cell r="M47" t="str">
            <v xml:space="preserve"> 94. 5-12</v>
          </cell>
          <cell r="N47" t="str">
            <v>최상근</v>
          </cell>
        </row>
        <row r="48">
          <cell r="A48">
            <v>46</v>
          </cell>
          <cell r="B48" t="str">
            <v>품보실</v>
          </cell>
          <cell r="C48" t="str">
            <v>신규</v>
          </cell>
          <cell r="D48" t="str">
            <v>품질개선</v>
          </cell>
          <cell r="E48" t="str">
            <v>94-Y-33</v>
          </cell>
          <cell r="F48" t="str">
            <v xml:space="preserve"> 염소가스 전용 수분 분석기 구매</v>
          </cell>
          <cell r="G48">
            <v>30</v>
          </cell>
          <cell r="H48" t="str">
            <v xml:space="preserve"> 94.6.28</v>
          </cell>
          <cell r="I48">
            <v>30</v>
          </cell>
          <cell r="J48" t="str">
            <v>95.5.25</v>
          </cell>
          <cell r="K48">
            <v>24.778528999999999</v>
          </cell>
          <cell r="L48">
            <v>0.82595096666666667</v>
          </cell>
          <cell r="M48" t="str">
            <v xml:space="preserve"> 94. 6-10</v>
          </cell>
          <cell r="N48" t="str">
            <v>문병일</v>
          </cell>
        </row>
        <row r="49">
          <cell r="A49">
            <v>47</v>
          </cell>
          <cell r="B49" t="str">
            <v>품보실</v>
          </cell>
          <cell r="C49" t="str">
            <v>신규</v>
          </cell>
          <cell r="D49" t="str">
            <v>품질개선</v>
          </cell>
          <cell r="E49" t="str">
            <v>94-Y-36</v>
          </cell>
          <cell r="F49" t="str">
            <v xml:space="preserve"> ANALYTICAL BALANCE 2대 구입</v>
          </cell>
          <cell r="G49">
            <v>15</v>
          </cell>
          <cell r="H49" t="str">
            <v xml:space="preserve"> 94.7. 4</v>
          </cell>
          <cell r="I49">
            <v>13</v>
          </cell>
          <cell r="J49" t="str">
            <v>94.11.30</v>
          </cell>
          <cell r="K49">
            <v>13</v>
          </cell>
          <cell r="L49">
            <v>1</v>
          </cell>
          <cell r="M49" t="str">
            <v xml:space="preserve"> 94. 6-10</v>
          </cell>
          <cell r="N49" t="str">
            <v>이내영</v>
          </cell>
        </row>
        <row r="50">
          <cell r="A50">
            <v>48</v>
          </cell>
          <cell r="B50" t="str">
            <v>품보실</v>
          </cell>
          <cell r="C50" t="str">
            <v>신규</v>
          </cell>
          <cell r="D50" t="str">
            <v>품질개선</v>
          </cell>
          <cell r="E50" t="str">
            <v>94-Y-37</v>
          </cell>
          <cell r="F50" t="str">
            <v xml:space="preserve"> MELT INDEXER 2대 구입</v>
          </cell>
          <cell r="G50">
            <v>50</v>
          </cell>
          <cell r="H50" t="str">
            <v xml:space="preserve"> 94.7. 4</v>
          </cell>
          <cell r="I50">
            <v>40.65</v>
          </cell>
          <cell r="J50" t="str">
            <v>94.12.21</v>
          </cell>
          <cell r="K50">
            <v>38.972628</v>
          </cell>
          <cell r="L50">
            <v>0.9587362361623617</v>
          </cell>
          <cell r="M50" t="str">
            <v xml:space="preserve"> 94. 6-10</v>
          </cell>
          <cell r="N50" t="str">
            <v>이내영</v>
          </cell>
          <cell r="O50" t="str">
            <v xml:space="preserve"> 상세한 기술습득 및 검토로 지연. 종결:12 사업전용(중흥부두)</v>
          </cell>
        </row>
        <row r="51">
          <cell r="A51">
            <v>49</v>
          </cell>
          <cell r="B51" t="str">
            <v>품보실</v>
          </cell>
          <cell r="C51" t="str">
            <v>신규</v>
          </cell>
          <cell r="D51" t="str">
            <v>품질개선</v>
          </cell>
          <cell r="E51" t="str">
            <v>94-Y-38</v>
          </cell>
          <cell r="F51" t="str">
            <v xml:space="preserve"> MDR 분석기기 구입</v>
          </cell>
          <cell r="G51">
            <v>60</v>
          </cell>
          <cell r="H51" t="str">
            <v xml:space="preserve"> 94.7. 6</v>
          </cell>
          <cell r="I51">
            <v>59.73</v>
          </cell>
          <cell r="J51" t="str">
            <v>94.11.16</v>
          </cell>
          <cell r="K51">
            <v>56.309784999999998</v>
          </cell>
          <cell r="L51">
            <v>0.94273874100117194</v>
          </cell>
          <cell r="M51" t="str">
            <v xml:space="preserve"> 94. 6-10</v>
          </cell>
          <cell r="N51" t="str">
            <v>이내영</v>
          </cell>
        </row>
        <row r="52">
          <cell r="A52">
            <v>50</v>
          </cell>
          <cell r="B52" t="str">
            <v>품보실</v>
          </cell>
          <cell r="C52" t="str">
            <v>신규</v>
          </cell>
          <cell r="D52" t="str">
            <v>품질개선</v>
          </cell>
          <cell r="E52" t="str">
            <v>94-Y-39</v>
          </cell>
          <cell r="F52" t="str">
            <v xml:space="preserve"> BALANCE 구매</v>
          </cell>
          <cell r="G52">
            <v>10</v>
          </cell>
          <cell r="H52" t="str">
            <v xml:space="preserve"> 94.7. 6</v>
          </cell>
          <cell r="I52">
            <v>4.5</v>
          </cell>
          <cell r="J52" t="str">
            <v>94.12.8</v>
          </cell>
          <cell r="K52">
            <v>3.6</v>
          </cell>
          <cell r="L52">
            <v>0.8</v>
          </cell>
          <cell r="M52" t="str">
            <v xml:space="preserve"> 94. 6-10</v>
          </cell>
          <cell r="N52" t="str">
            <v>이성철</v>
          </cell>
          <cell r="O52" t="str">
            <v xml:space="preserve"> '94. 9 : SCL PUMP 설치  '94.10 : 시운전</v>
          </cell>
        </row>
        <row r="53">
          <cell r="A53">
            <v>51</v>
          </cell>
          <cell r="B53" t="str">
            <v>품보실</v>
          </cell>
          <cell r="C53" t="str">
            <v>신규</v>
          </cell>
          <cell r="D53" t="str">
            <v>공정개선</v>
          </cell>
          <cell r="E53" t="str">
            <v>94-Y-42</v>
          </cell>
          <cell r="F53" t="str">
            <v xml:space="preserve"> ECH, VCM LAB LAN망 설치 기기접속</v>
          </cell>
          <cell r="G53">
            <v>24</v>
          </cell>
          <cell r="H53" t="str">
            <v xml:space="preserve"> 94.7.28</v>
          </cell>
          <cell r="I53">
            <v>24</v>
          </cell>
          <cell r="J53" t="str">
            <v>94.12.31</v>
          </cell>
          <cell r="K53">
            <v>22.8</v>
          </cell>
          <cell r="L53">
            <v>0.95000000000000007</v>
          </cell>
          <cell r="M53" t="str">
            <v xml:space="preserve"> 94. 7-12</v>
          </cell>
          <cell r="N53" t="str">
            <v>이성철</v>
          </cell>
          <cell r="O53" t="str">
            <v xml:space="preserve"> '94. 9:발주/구매  '94.10:설치공사  '94.12:시운전</v>
          </cell>
        </row>
        <row r="54">
          <cell r="A54">
            <v>52</v>
          </cell>
          <cell r="B54" t="str">
            <v>품보실</v>
          </cell>
          <cell r="C54" t="str">
            <v>신규</v>
          </cell>
          <cell r="D54" t="str">
            <v>품질개선</v>
          </cell>
          <cell r="E54" t="str">
            <v>94-Y-43</v>
          </cell>
          <cell r="F54" t="str">
            <v xml:space="preserve"> 타공강도 시험기 구입</v>
          </cell>
          <cell r="G54" t="str">
            <v>-</v>
          </cell>
          <cell r="H54" t="str">
            <v xml:space="preserve"> 94.8. 3</v>
          </cell>
          <cell r="I54">
            <v>4.3</v>
          </cell>
          <cell r="J54" t="str">
            <v>94.12.21</v>
          </cell>
          <cell r="K54">
            <v>4</v>
          </cell>
          <cell r="L54">
            <v>0.93023255813953487</v>
          </cell>
          <cell r="M54" t="str">
            <v xml:space="preserve"> 94. 7- 9</v>
          </cell>
          <cell r="N54" t="str">
            <v>한광희</v>
          </cell>
          <cell r="O54" t="str">
            <v xml:space="preserve"> 예산초과사업(45백만원) 8380 BASE RESIN CONVEYING LINE 전용</v>
          </cell>
        </row>
        <row r="55">
          <cell r="A55">
            <v>53</v>
          </cell>
          <cell r="B55" t="str">
            <v>품보실</v>
          </cell>
          <cell r="C55" t="str">
            <v>신규</v>
          </cell>
          <cell r="D55" t="str">
            <v>품질개선</v>
          </cell>
          <cell r="E55" t="str">
            <v>94-Y-44</v>
          </cell>
          <cell r="F55" t="str">
            <v xml:space="preserve"> BAND SEALER 구입</v>
          </cell>
          <cell r="G55" t="str">
            <v>-</v>
          </cell>
          <cell r="H55" t="str">
            <v xml:space="preserve"> 94.8. 3</v>
          </cell>
          <cell r="I55">
            <v>4.2</v>
          </cell>
          <cell r="J55" t="str">
            <v>94.11.30</v>
          </cell>
          <cell r="K55">
            <v>4.5999999999999996</v>
          </cell>
          <cell r="L55">
            <v>1.0952380952380951</v>
          </cell>
          <cell r="M55" t="str">
            <v xml:space="preserve"> 94. 7- 9</v>
          </cell>
          <cell r="N55" t="str">
            <v>한광희</v>
          </cell>
        </row>
        <row r="56">
          <cell r="A56">
            <v>54</v>
          </cell>
          <cell r="B56" t="str">
            <v>품보실</v>
          </cell>
          <cell r="C56" t="str">
            <v>신규</v>
          </cell>
          <cell r="D56" t="str">
            <v>품질개선</v>
          </cell>
          <cell r="E56" t="str">
            <v>94-Y-49</v>
          </cell>
          <cell r="F56" t="str">
            <v xml:space="preserve"> MUFLE FURNACE 구매</v>
          </cell>
          <cell r="G56" t="str">
            <v>-</v>
          </cell>
          <cell r="H56" t="str">
            <v xml:space="preserve"> 94.9. 5</v>
          </cell>
          <cell r="I56">
            <v>5</v>
          </cell>
          <cell r="J56" t="str">
            <v>94.12.27</v>
          </cell>
          <cell r="K56">
            <v>3.52</v>
          </cell>
          <cell r="L56">
            <v>0.70399999999999996</v>
          </cell>
          <cell r="M56" t="str">
            <v xml:space="preserve"> 94. 9- 12</v>
          </cell>
          <cell r="N56" t="str">
            <v>문병일</v>
          </cell>
          <cell r="O56" t="str">
            <v xml:space="preserve"> 사업전용:VCM부 S-801(3단 SEPARATOR) 교체(40.0)</v>
          </cell>
        </row>
        <row r="57">
          <cell r="A57">
            <v>55</v>
          </cell>
          <cell r="B57" t="str">
            <v>환안실</v>
          </cell>
          <cell r="C57" t="str">
            <v>신규</v>
          </cell>
          <cell r="D57" t="str">
            <v>공해방지</v>
          </cell>
          <cell r="E57" t="str">
            <v>94-N-13</v>
          </cell>
          <cell r="F57" t="str">
            <v xml:space="preserve"> 용존산소 측정기 구매</v>
          </cell>
          <cell r="G57">
            <v>4</v>
          </cell>
          <cell r="H57" t="str">
            <v>94.4. 6</v>
          </cell>
          <cell r="I57">
            <v>3.6</v>
          </cell>
          <cell r="J57" t="str">
            <v xml:space="preserve"> 94.9.26</v>
          </cell>
          <cell r="K57">
            <v>3.9247999999999998</v>
          </cell>
          <cell r="L57">
            <v>1.0902222222222222</v>
          </cell>
          <cell r="M57" t="str">
            <v xml:space="preserve"> 94. 4- 5</v>
          </cell>
          <cell r="N57" t="str">
            <v>이영희</v>
          </cell>
        </row>
        <row r="58">
          <cell r="A58">
            <v>56</v>
          </cell>
          <cell r="B58" t="str">
            <v>환안실</v>
          </cell>
          <cell r="C58" t="str">
            <v>신규</v>
          </cell>
          <cell r="D58" t="str">
            <v>안    전</v>
          </cell>
          <cell r="E58" t="str">
            <v>94-N-15</v>
          </cell>
          <cell r="F58" t="str">
            <v xml:space="preserve"> 안전장비 구입</v>
          </cell>
          <cell r="G58" t="str">
            <v>-</v>
          </cell>
          <cell r="H58" t="str">
            <v>94.5. 4</v>
          </cell>
          <cell r="I58">
            <v>7</v>
          </cell>
          <cell r="J58" t="str">
            <v>95.3.6</v>
          </cell>
          <cell r="K58">
            <v>6.94</v>
          </cell>
          <cell r="L58">
            <v>0.99142857142857144</v>
          </cell>
          <cell r="M58">
            <v>0</v>
          </cell>
          <cell r="N58" t="str">
            <v>김한균</v>
          </cell>
          <cell r="O58" t="str">
            <v xml:space="preserve"> '94. 6 : 종결예정</v>
          </cell>
        </row>
        <row r="59">
          <cell r="A59">
            <v>57</v>
          </cell>
          <cell r="B59" t="str">
            <v>환안실</v>
          </cell>
          <cell r="C59" t="str">
            <v>신규</v>
          </cell>
          <cell r="D59" t="str">
            <v>공해방지</v>
          </cell>
          <cell r="E59" t="str">
            <v>94-Y-51</v>
          </cell>
          <cell r="F59" t="str">
            <v xml:space="preserve"> 초순수 제조장치 구매</v>
          </cell>
          <cell r="G59">
            <v>12</v>
          </cell>
          <cell r="H59" t="str">
            <v xml:space="preserve"> 94.9.13</v>
          </cell>
          <cell r="I59">
            <v>8.5</v>
          </cell>
          <cell r="J59" t="str">
            <v>94.12.1</v>
          </cell>
          <cell r="K59">
            <v>10.93</v>
          </cell>
          <cell r="L59">
            <v>1.2858823529411765</v>
          </cell>
          <cell r="M59" t="str">
            <v xml:space="preserve"> 94. 4- 5</v>
          </cell>
          <cell r="N59" t="str">
            <v>이영희</v>
          </cell>
        </row>
        <row r="60">
          <cell r="A60">
            <v>58</v>
          </cell>
          <cell r="B60" t="str">
            <v>환안실</v>
          </cell>
          <cell r="C60" t="str">
            <v>신규</v>
          </cell>
          <cell r="D60" t="str">
            <v>공해방지</v>
          </cell>
          <cell r="E60" t="str">
            <v>94-Y-59</v>
          </cell>
          <cell r="F60" t="str">
            <v xml:space="preserve"> 우폐수 분리 PIT 설치</v>
          </cell>
          <cell r="G60">
            <v>400</v>
          </cell>
          <cell r="H60" t="str">
            <v xml:space="preserve"> 94.11.14</v>
          </cell>
          <cell r="I60">
            <v>380</v>
          </cell>
          <cell r="J60" t="str">
            <v>95.12.8</v>
          </cell>
          <cell r="K60">
            <v>363.65302100000002</v>
          </cell>
          <cell r="L60">
            <v>0.9569816342105264</v>
          </cell>
          <cell r="M60" t="str">
            <v xml:space="preserve"> 94. 11-12</v>
          </cell>
          <cell r="N60" t="str">
            <v>신광빈</v>
          </cell>
        </row>
        <row r="61">
          <cell r="A61">
            <v>59</v>
          </cell>
          <cell r="B61" t="str">
            <v>ECH부</v>
          </cell>
          <cell r="C61" t="str">
            <v>신규</v>
          </cell>
          <cell r="D61" t="str">
            <v>공해방지</v>
          </cell>
          <cell r="E61" t="str">
            <v>94-Y-34</v>
          </cell>
          <cell r="F61" t="str">
            <v xml:space="preserve"> 열교환기 설치</v>
          </cell>
          <cell r="G61">
            <v>30</v>
          </cell>
          <cell r="H61" t="str">
            <v xml:space="preserve"> 94.6.30</v>
          </cell>
          <cell r="I61">
            <v>30</v>
          </cell>
          <cell r="J61" t="str">
            <v>95.12.18</v>
          </cell>
          <cell r="K61">
            <v>27.935680999999999</v>
          </cell>
          <cell r="L61">
            <v>0.93118936666666663</v>
          </cell>
          <cell r="M61">
            <v>0</v>
          </cell>
          <cell r="N61" t="str">
            <v>김창경</v>
          </cell>
          <cell r="O61" t="str">
            <v xml:space="preserve"> 94. 6 : 승인 품의 예정</v>
          </cell>
        </row>
        <row r="62">
          <cell r="A62">
            <v>60</v>
          </cell>
          <cell r="B62" t="str">
            <v>ECH부</v>
          </cell>
          <cell r="C62" t="str">
            <v>신규</v>
          </cell>
          <cell r="D62" t="str">
            <v>공정개선</v>
          </cell>
          <cell r="E62" t="str">
            <v>94-Y-52</v>
          </cell>
          <cell r="F62" t="str">
            <v xml:space="preserve"> LIME PUMP 교체</v>
          </cell>
          <cell r="G62">
            <v>24</v>
          </cell>
          <cell r="H62" t="str">
            <v xml:space="preserve"> 94.9.29</v>
          </cell>
          <cell r="I62">
            <v>24.95</v>
          </cell>
          <cell r="J62" t="str">
            <v>95.12.18</v>
          </cell>
          <cell r="K62">
            <v>23.2</v>
          </cell>
          <cell r="L62">
            <v>0.9298597194388778</v>
          </cell>
          <cell r="M62">
            <v>0</v>
          </cell>
          <cell r="N62" t="str">
            <v>김창경</v>
          </cell>
          <cell r="O62" t="str">
            <v xml:space="preserve"> '94. 6 : 승인예정  '94. 11 : 종결예정</v>
          </cell>
        </row>
        <row r="63">
          <cell r="A63">
            <v>61</v>
          </cell>
          <cell r="B63" t="str">
            <v>ECH부</v>
          </cell>
          <cell r="C63" t="str">
            <v>신규</v>
          </cell>
          <cell r="D63" t="str">
            <v>공정개선</v>
          </cell>
          <cell r="E63" t="str">
            <v>94-Y-53</v>
          </cell>
          <cell r="F63" t="str">
            <v xml:space="preserve"> TANK(TK-204) 교체</v>
          </cell>
          <cell r="G63" t="str">
            <v>-</v>
          </cell>
          <cell r="H63" t="str">
            <v xml:space="preserve"> 94.9.29</v>
          </cell>
          <cell r="I63">
            <v>88</v>
          </cell>
          <cell r="J63" t="str">
            <v>94.12.27</v>
          </cell>
          <cell r="K63">
            <v>91</v>
          </cell>
          <cell r="L63">
            <v>1.0340909090909092</v>
          </cell>
          <cell r="M63" t="str">
            <v xml:space="preserve"> 94. 9- 11</v>
          </cell>
          <cell r="N63" t="str">
            <v>김형준</v>
          </cell>
        </row>
        <row r="64">
          <cell r="A64">
            <v>62</v>
          </cell>
          <cell r="B64" t="str">
            <v>ECH부</v>
          </cell>
          <cell r="C64" t="str">
            <v>신규</v>
          </cell>
          <cell r="D64" t="str">
            <v>공해방지</v>
          </cell>
          <cell r="E64" t="str">
            <v>94-Y-56</v>
          </cell>
          <cell r="F64" t="str">
            <v xml:space="preserve"> 탈수기 설치</v>
          </cell>
          <cell r="G64">
            <v>130</v>
          </cell>
          <cell r="H64" t="str">
            <v xml:space="preserve"> 94.10.11</v>
          </cell>
          <cell r="I64">
            <v>130</v>
          </cell>
          <cell r="J64" t="str">
            <v>95.12.18</v>
          </cell>
          <cell r="K64">
            <v>118.007662</v>
          </cell>
          <cell r="L64">
            <v>0.90775124615384617</v>
          </cell>
          <cell r="M64" t="str">
            <v xml:space="preserve"> 94.10-95.3</v>
          </cell>
          <cell r="N64" t="str">
            <v>김형준</v>
          </cell>
          <cell r="O64" t="str">
            <v xml:space="preserve"> '94. 6 : 승인예정  '94. 11 : 종결예정</v>
          </cell>
        </row>
        <row r="65">
          <cell r="A65">
            <v>63</v>
          </cell>
          <cell r="B65" t="str">
            <v>ECH부</v>
          </cell>
          <cell r="C65" t="str">
            <v>신규</v>
          </cell>
          <cell r="D65" t="str">
            <v>공해방지</v>
          </cell>
          <cell r="E65" t="str">
            <v>94-Y-58</v>
          </cell>
          <cell r="F65" t="str">
            <v xml:space="preserve"> 폐수냉각 설비 설치</v>
          </cell>
          <cell r="G65">
            <v>45</v>
          </cell>
          <cell r="H65" t="str">
            <v xml:space="preserve"> 94.11. 7</v>
          </cell>
          <cell r="I65">
            <v>55</v>
          </cell>
          <cell r="J65" t="str">
            <v>95.12.18</v>
          </cell>
          <cell r="K65">
            <v>49</v>
          </cell>
          <cell r="L65">
            <v>0.89090909090909087</v>
          </cell>
          <cell r="M65" t="str">
            <v>94.11-95.2</v>
          </cell>
          <cell r="N65" t="str">
            <v>이광열</v>
          </cell>
          <cell r="O65" t="str">
            <v xml:space="preserve"> 94년 11월 17일 승인액 추가품의(13.0백만원)</v>
          </cell>
        </row>
        <row r="66">
          <cell r="A66">
            <v>64</v>
          </cell>
          <cell r="B66" t="str">
            <v>ENGIN.</v>
          </cell>
          <cell r="C66" t="str">
            <v>신규</v>
          </cell>
          <cell r="D66" t="str">
            <v>기    타</v>
          </cell>
          <cell r="E66" t="str">
            <v>94-Y-40</v>
          </cell>
          <cell r="F66" t="str">
            <v xml:space="preserve"> 영빈관 보수</v>
          </cell>
          <cell r="G66" t="str">
            <v>-</v>
          </cell>
          <cell r="H66" t="str">
            <v xml:space="preserve"> 94.7.14</v>
          </cell>
          <cell r="I66">
            <v>748</v>
          </cell>
          <cell r="J66" t="str">
            <v>95.5.30</v>
          </cell>
          <cell r="K66">
            <v>950.0308</v>
          </cell>
          <cell r="L66">
            <v>1.2700946524064172</v>
          </cell>
          <cell r="M66" t="str">
            <v xml:space="preserve"> 94. 9-12</v>
          </cell>
          <cell r="N66" t="str">
            <v>김홍건</v>
          </cell>
        </row>
        <row r="67">
          <cell r="A67">
            <v>65</v>
          </cell>
          <cell r="B67" t="str">
            <v>HDPE부</v>
          </cell>
          <cell r="C67" t="str">
            <v>신규</v>
          </cell>
          <cell r="D67" t="str">
            <v>원가절감</v>
          </cell>
          <cell r="E67" t="str">
            <v>94-Y-41</v>
          </cell>
          <cell r="F67" t="str">
            <v xml:space="preserve"> LP-ⅠPELLETING SYSTEM의 S/P 구매</v>
          </cell>
          <cell r="G67" t="str">
            <v>-</v>
          </cell>
          <cell r="H67" t="str">
            <v xml:space="preserve"> 94.7.18</v>
          </cell>
          <cell r="I67">
            <v>167</v>
          </cell>
          <cell r="J67" t="str">
            <v>94.11. 7</v>
          </cell>
          <cell r="K67">
            <v>161.16141999999999</v>
          </cell>
          <cell r="L67">
            <v>0.9650384431137724</v>
          </cell>
          <cell r="M67" t="str">
            <v xml:space="preserve"> 94. 6- 9</v>
          </cell>
          <cell r="N67" t="str">
            <v>인치동</v>
          </cell>
        </row>
        <row r="68">
          <cell r="A68">
            <v>66</v>
          </cell>
          <cell r="B68" t="str">
            <v>HDPE부</v>
          </cell>
          <cell r="C68" t="str">
            <v>신규</v>
          </cell>
          <cell r="D68" t="str">
            <v>기    타</v>
          </cell>
          <cell r="E68" t="str">
            <v>94-Y-50</v>
          </cell>
          <cell r="F68" t="str">
            <v xml:space="preserve"> LP-ⅠPELLETING SYSTEM의 M/S 구매</v>
          </cell>
          <cell r="G68" t="str">
            <v>-</v>
          </cell>
          <cell r="H68" t="str">
            <v xml:space="preserve"> 94.9.13</v>
          </cell>
          <cell r="I68">
            <v>452</v>
          </cell>
          <cell r="J68" t="str">
            <v>95.9.26</v>
          </cell>
          <cell r="K68">
            <v>382.7</v>
          </cell>
          <cell r="L68">
            <v>0.84668141592920354</v>
          </cell>
          <cell r="M68" t="str">
            <v xml:space="preserve"> 94. 8-95. 4</v>
          </cell>
          <cell r="N68" t="str">
            <v>권형진</v>
          </cell>
          <cell r="O68" t="str">
            <v xml:space="preserve"> '94.10 : 기기입고    '94.12 : 설치 및 시운전</v>
          </cell>
        </row>
        <row r="69">
          <cell r="A69">
            <v>67</v>
          </cell>
          <cell r="B69" t="str">
            <v>HDPE부</v>
          </cell>
          <cell r="C69" t="str">
            <v>신규</v>
          </cell>
          <cell r="D69" t="str">
            <v>안    전</v>
          </cell>
          <cell r="E69" t="str">
            <v>94-Y-57</v>
          </cell>
          <cell r="F69" t="str">
            <v xml:space="preserve"> CYLINDER HOUSE 설치</v>
          </cell>
          <cell r="G69" t="str">
            <v>-</v>
          </cell>
          <cell r="H69" t="str">
            <v xml:space="preserve"> 94.10.25</v>
          </cell>
          <cell r="I69">
            <v>1.4</v>
          </cell>
          <cell r="J69" t="str">
            <v>94.12.30</v>
          </cell>
          <cell r="K69">
            <v>1.4025000000000001</v>
          </cell>
          <cell r="L69">
            <v>1.0017857142857145</v>
          </cell>
          <cell r="M69">
            <v>0</v>
          </cell>
          <cell r="N69" t="str">
            <v>인치동</v>
          </cell>
        </row>
        <row r="70">
          <cell r="A70">
            <v>68</v>
          </cell>
          <cell r="B70" t="str">
            <v>LDPE부</v>
          </cell>
          <cell r="C70" t="str">
            <v>신규</v>
          </cell>
          <cell r="D70" t="str">
            <v>안    전</v>
          </cell>
          <cell r="E70" t="str">
            <v>94-Y-02</v>
          </cell>
          <cell r="F70" t="str">
            <v xml:space="preserve"> 노후 가스 검지기 교체 사업</v>
          </cell>
          <cell r="G70">
            <v>150</v>
          </cell>
          <cell r="H70" t="str">
            <v>94.1.18</v>
          </cell>
          <cell r="I70">
            <v>150</v>
          </cell>
          <cell r="J70" t="str">
            <v>94.11.9</v>
          </cell>
          <cell r="K70">
            <v>118.941</v>
          </cell>
          <cell r="L70">
            <v>0.79293999999999998</v>
          </cell>
          <cell r="M70" t="str">
            <v xml:space="preserve"> 94. 1- 4</v>
          </cell>
          <cell r="N70" t="str">
            <v>전정준</v>
          </cell>
          <cell r="O70" t="str">
            <v xml:space="preserve"> 공장 예비비 사용</v>
          </cell>
        </row>
        <row r="71">
          <cell r="A71">
            <v>69</v>
          </cell>
          <cell r="B71" t="str">
            <v>LDPE부</v>
          </cell>
          <cell r="C71" t="str">
            <v>신규</v>
          </cell>
          <cell r="D71" t="str">
            <v>공정개선</v>
          </cell>
          <cell r="E71" t="str">
            <v>94-Y-07</v>
          </cell>
          <cell r="F71" t="str">
            <v xml:space="preserve"> GLANDLEAKAGE LINE KO POT 설치</v>
          </cell>
          <cell r="G71">
            <v>15</v>
          </cell>
          <cell r="H71" t="str">
            <v>94.3. 3</v>
          </cell>
          <cell r="I71">
            <v>15</v>
          </cell>
          <cell r="J71" t="str">
            <v>94.12.2</v>
          </cell>
          <cell r="K71">
            <v>11.8185</v>
          </cell>
          <cell r="L71">
            <v>0.78790000000000004</v>
          </cell>
          <cell r="M71" t="str">
            <v xml:space="preserve"> 94. 2- 7</v>
          </cell>
          <cell r="N71" t="str">
            <v>천명준</v>
          </cell>
          <cell r="O71" t="str">
            <v xml:space="preserve"> 공장 예비비 사용</v>
          </cell>
        </row>
        <row r="72">
          <cell r="A72">
            <v>70</v>
          </cell>
          <cell r="B72" t="str">
            <v>LDPE부</v>
          </cell>
          <cell r="C72" t="str">
            <v>신규</v>
          </cell>
          <cell r="D72" t="str">
            <v>공해방지</v>
          </cell>
          <cell r="E72" t="str">
            <v>94-Y-14</v>
          </cell>
          <cell r="F72" t="str">
            <v xml:space="preserve"> PRESS FILTER 설치</v>
          </cell>
          <cell r="G72">
            <v>10</v>
          </cell>
          <cell r="H72" t="str">
            <v>94.4.15</v>
          </cell>
          <cell r="I72">
            <v>11</v>
          </cell>
          <cell r="J72" t="str">
            <v>94.12.2</v>
          </cell>
          <cell r="K72">
            <v>10.833299999999999</v>
          </cell>
          <cell r="L72">
            <v>0.98484545454545447</v>
          </cell>
          <cell r="M72" t="str">
            <v xml:space="preserve"> 94. 4- 5</v>
          </cell>
          <cell r="N72" t="str">
            <v>윤동열</v>
          </cell>
          <cell r="O72" t="str">
            <v xml:space="preserve"> 공장 예비비 사용</v>
          </cell>
        </row>
        <row r="73">
          <cell r="A73">
            <v>71</v>
          </cell>
          <cell r="B73" t="str">
            <v>NCC부</v>
          </cell>
          <cell r="C73" t="str">
            <v>이월</v>
          </cell>
          <cell r="D73" t="str">
            <v>공정개선</v>
          </cell>
          <cell r="E73" t="str">
            <v>93-YN-004</v>
          </cell>
          <cell r="F73" t="str">
            <v xml:space="preserve"> FIRST EVENTING SYSTEM 구축</v>
          </cell>
          <cell r="G73">
            <v>103</v>
          </cell>
          <cell r="H73" t="str">
            <v>93.10.27</v>
          </cell>
          <cell r="I73">
            <v>103</v>
          </cell>
          <cell r="J73" t="str">
            <v xml:space="preserve"> 94.5.16</v>
          </cell>
          <cell r="K73">
            <v>100.5778</v>
          </cell>
          <cell r="L73">
            <v>0.97648349514563104</v>
          </cell>
          <cell r="M73" t="str">
            <v xml:space="preserve"> 93.11-94. 5</v>
          </cell>
          <cell r="N73" t="str">
            <v>이길선</v>
          </cell>
          <cell r="O73" t="str">
            <v xml:space="preserve"> 취소사업전용(HDPE:J 촉매 주입시설 설치(LP-Ⅰ))</v>
          </cell>
        </row>
        <row r="74">
          <cell r="A74">
            <v>72</v>
          </cell>
          <cell r="B74" t="str">
            <v>NCC부</v>
          </cell>
          <cell r="C74" t="str">
            <v>신규</v>
          </cell>
          <cell r="D74" t="str">
            <v>공정개선</v>
          </cell>
          <cell r="E74" t="str">
            <v>94-N-01</v>
          </cell>
          <cell r="F74" t="str">
            <v xml:space="preserve"> 열교환기 CLEANING TOOL 구매</v>
          </cell>
          <cell r="G74">
            <v>33</v>
          </cell>
          <cell r="H74" t="str">
            <v>94.1.19</v>
          </cell>
          <cell r="I74">
            <v>34.5</v>
          </cell>
          <cell r="J74" t="str">
            <v xml:space="preserve"> 94.7. 7</v>
          </cell>
          <cell r="K74">
            <v>31.9</v>
          </cell>
          <cell r="L74">
            <v>0.92463768115942024</v>
          </cell>
          <cell r="M74" t="str">
            <v xml:space="preserve"> 94. 1- 3</v>
          </cell>
          <cell r="N74" t="str">
            <v>김  환</v>
          </cell>
          <cell r="O74" t="str">
            <v xml:space="preserve"> 취소사업전용(LDPE:포장조 DEDUSTING SYSTEM 교체)</v>
          </cell>
        </row>
        <row r="75">
          <cell r="A75">
            <v>73</v>
          </cell>
          <cell r="B75" t="str">
            <v>NCC부</v>
          </cell>
          <cell r="C75" t="str">
            <v>신규</v>
          </cell>
          <cell r="D75" t="str">
            <v>공해방지</v>
          </cell>
          <cell r="E75" t="str">
            <v>94-N-03</v>
          </cell>
          <cell r="F75" t="str">
            <v xml:space="preserve"> 산업용 폐오일 회수 PUMP 구매</v>
          </cell>
          <cell r="G75">
            <v>9</v>
          </cell>
          <cell r="H75" t="str">
            <v>94.2.15</v>
          </cell>
          <cell r="I75">
            <v>9</v>
          </cell>
          <cell r="J75" t="str">
            <v xml:space="preserve"> 94.5.16</v>
          </cell>
          <cell r="K75">
            <v>8.8000000000000007</v>
          </cell>
          <cell r="L75">
            <v>0.97777777777777786</v>
          </cell>
          <cell r="M75" t="str">
            <v xml:space="preserve"> 94. 2- 4</v>
          </cell>
          <cell r="N75" t="str">
            <v>정상환</v>
          </cell>
          <cell r="O75" t="str">
            <v xml:space="preserve"> 공장 예비비 사용</v>
          </cell>
        </row>
        <row r="76">
          <cell r="A76">
            <v>74</v>
          </cell>
          <cell r="B76" t="str">
            <v>NCC부</v>
          </cell>
          <cell r="C76" t="str">
            <v>신규</v>
          </cell>
          <cell r="D76" t="str">
            <v>공정개선</v>
          </cell>
          <cell r="E76" t="str">
            <v>94-N-05</v>
          </cell>
          <cell r="F76" t="str">
            <v xml:space="preserve"> CARBURIZATION METER 구매</v>
          </cell>
          <cell r="G76">
            <v>14.3</v>
          </cell>
          <cell r="H76" t="str">
            <v>94.2.22</v>
          </cell>
          <cell r="I76">
            <v>14.3</v>
          </cell>
          <cell r="J76" t="str">
            <v xml:space="preserve"> 94.5.11</v>
          </cell>
          <cell r="K76">
            <v>12.32</v>
          </cell>
          <cell r="L76">
            <v>0.86153846153846148</v>
          </cell>
          <cell r="M76" t="str">
            <v xml:space="preserve"> 94. 1- 4</v>
          </cell>
          <cell r="N76" t="str">
            <v>공원국</v>
          </cell>
          <cell r="O76" t="str">
            <v xml:space="preserve"> 예산외</v>
          </cell>
        </row>
        <row r="77">
          <cell r="A77">
            <v>75</v>
          </cell>
          <cell r="B77" t="str">
            <v>NCC부</v>
          </cell>
          <cell r="C77" t="str">
            <v>신규</v>
          </cell>
          <cell r="D77" t="str">
            <v>공정개선</v>
          </cell>
          <cell r="E77" t="str">
            <v>94-N-06</v>
          </cell>
          <cell r="F77" t="str">
            <v xml:space="preserve"> DRUM HANDLER 구매</v>
          </cell>
          <cell r="G77">
            <v>2</v>
          </cell>
          <cell r="H77" t="str">
            <v>94.2.22</v>
          </cell>
          <cell r="I77">
            <v>1.65</v>
          </cell>
          <cell r="J77" t="str">
            <v xml:space="preserve"> 94.5.14</v>
          </cell>
          <cell r="K77">
            <v>1.5229999999999999</v>
          </cell>
          <cell r="L77">
            <v>0.92303030303030298</v>
          </cell>
          <cell r="M77" t="str">
            <v xml:space="preserve"> 94. 1- 4</v>
          </cell>
          <cell r="N77" t="str">
            <v>장인주</v>
          </cell>
          <cell r="O77" t="str">
            <v xml:space="preserve"> 공장 예비비 사용</v>
          </cell>
        </row>
        <row r="78">
          <cell r="A78">
            <v>76</v>
          </cell>
          <cell r="B78" t="str">
            <v>NCC부</v>
          </cell>
          <cell r="C78" t="str">
            <v>신규</v>
          </cell>
          <cell r="D78" t="str">
            <v>공정개선</v>
          </cell>
          <cell r="E78" t="str">
            <v>94-N-07</v>
          </cell>
          <cell r="F78" t="str">
            <v xml:space="preserve"> BORE SCOPE 구매</v>
          </cell>
          <cell r="G78">
            <v>80</v>
          </cell>
          <cell r="H78" t="str">
            <v>94.3. 2</v>
          </cell>
          <cell r="I78">
            <v>79.459999999999994</v>
          </cell>
          <cell r="J78" t="str">
            <v xml:space="preserve"> 94.5.16</v>
          </cell>
          <cell r="K78">
            <v>76.277000000000001</v>
          </cell>
          <cell r="L78">
            <v>0.95994210923735224</v>
          </cell>
          <cell r="M78" t="str">
            <v xml:space="preserve"> 94. 2- 4</v>
          </cell>
          <cell r="N78" t="str">
            <v>문경욱</v>
          </cell>
          <cell r="O78" t="str">
            <v xml:space="preserve"> 공장 예비비 사용</v>
          </cell>
        </row>
        <row r="79">
          <cell r="A79">
            <v>77</v>
          </cell>
          <cell r="B79" t="str">
            <v>NCC부</v>
          </cell>
          <cell r="C79" t="str">
            <v>신규</v>
          </cell>
          <cell r="D79" t="str">
            <v>기    타</v>
          </cell>
          <cell r="E79" t="str">
            <v>94-N-18</v>
          </cell>
          <cell r="F79" t="str">
            <v xml:space="preserve"> DCS 보호용 AIR-CON 1SET 설치</v>
          </cell>
          <cell r="G79" t="str">
            <v>-</v>
          </cell>
          <cell r="H79" t="str">
            <v xml:space="preserve"> 94.7.15</v>
          </cell>
          <cell r="I79">
            <v>3.6</v>
          </cell>
          <cell r="J79" t="str">
            <v>94.11.18</v>
          </cell>
          <cell r="K79">
            <v>3.6</v>
          </cell>
          <cell r="L79">
            <v>1</v>
          </cell>
          <cell r="M79" t="str">
            <v xml:space="preserve"> 94. 7- 8</v>
          </cell>
          <cell r="N79" t="str">
            <v>김한기</v>
          </cell>
          <cell r="O79" t="str">
            <v xml:space="preserve"> 취소사업전용(LDPE:제 1계열 PELLETIZER 교체)</v>
          </cell>
        </row>
        <row r="80">
          <cell r="A80">
            <v>78</v>
          </cell>
          <cell r="B80" t="str">
            <v>PVC부</v>
          </cell>
          <cell r="C80" t="str">
            <v>신규</v>
          </cell>
          <cell r="D80" t="str">
            <v>공해방지</v>
          </cell>
          <cell r="E80" t="str">
            <v>94-Y-18</v>
          </cell>
          <cell r="F80" t="str">
            <v xml:space="preserve"> 폐수 LINE에 마이크로 필터 설치</v>
          </cell>
          <cell r="G80">
            <v>16.5</v>
          </cell>
          <cell r="H80" t="str">
            <v>94.5. 9</v>
          </cell>
          <cell r="I80">
            <v>16.5</v>
          </cell>
          <cell r="J80">
            <v>0</v>
          </cell>
          <cell r="K80">
            <v>0</v>
          </cell>
          <cell r="L80">
            <v>0</v>
          </cell>
          <cell r="M80" t="str">
            <v xml:space="preserve"> 94. 4- 9</v>
          </cell>
          <cell r="N80" t="str">
            <v>김경수</v>
          </cell>
          <cell r="O80" t="str">
            <v xml:space="preserve"> 공장 예비비 사용</v>
          </cell>
        </row>
        <row r="81">
          <cell r="A81">
            <v>79</v>
          </cell>
          <cell r="B81" t="str">
            <v>PVC부</v>
          </cell>
          <cell r="C81" t="str">
            <v>신규</v>
          </cell>
          <cell r="D81" t="str">
            <v>기    타</v>
          </cell>
          <cell r="E81" t="str">
            <v>94-Y-63</v>
          </cell>
          <cell r="F81" t="str">
            <v xml:space="preserve"> 95년도 PVC 년차보수 작업</v>
          </cell>
          <cell r="G81" t="str">
            <v>-</v>
          </cell>
          <cell r="H81" t="str">
            <v>94.12.19</v>
          </cell>
          <cell r="I81">
            <v>97</v>
          </cell>
          <cell r="J81">
            <v>0</v>
          </cell>
          <cell r="K81">
            <v>0</v>
          </cell>
          <cell r="L81">
            <v>0</v>
          </cell>
          <cell r="M81" t="str">
            <v>95. 1</v>
          </cell>
          <cell r="N81" t="str">
            <v>-</v>
          </cell>
          <cell r="O81" t="str">
            <v xml:space="preserve"> 공장 예비비 사용</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내역서"/>
    </sheetNames>
    <sheetDataSet>
      <sheetData sheetId="0" refreshError="1">
        <row r="21">
          <cell r="B21" t="str">
            <v>1.토공</v>
          </cell>
        </row>
        <row r="22">
          <cell r="B22" t="str">
            <v>토사절취</v>
          </cell>
          <cell r="C22" t="str">
            <v>도쟈 19ton</v>
          </cell>
          <cell r="D22">
            <v>465.1</v>
          </cell>
          <cell r="E22" t="str">
            <v>m3</v>
          </cell>
        </row>
        <row r="23">
          <cell r="B23" t="str">
            <v>노 상</v>
          </cell>
          <cell r="D23">
            <v>1294.5</v>
          </cell>
          <cell r="E23" t="str">
            <v>m3</v>
          </cell>
        </row>
        <row r="24">
          <cell r="B24" t="str">
            <v>운반성토</v>
          </cell>
          <cell r="C24" t="str">
            <v>토사</v>
          </cell>
          <cell r="D24">
            <v>46662</v>
          </cell>
          <cell r="E24" t="str">
            <v>m3</v>
          </cell>
        </row>
        <row r="25">
          <cell r="B25" t="str">
            <v>성토정지</v>
          </cell>
          <cell r="C25" t="str">
            <v>도쟈 19ton</v>
          </cell>
          <cell r="D25">
            <v>55356.07</v>
          </cell>
          <cell r="E25" t="str">
            <v>m3</v>
          </cell>
        </row>
        <row r="26">
          <cell r="B26" t="str">
            <v>터파기(육상성토)</v>
          </cell>
          <cell r="D26">
            <v>8420.14</v>
          </cell>
          <cell r="E26" t="str">
            <v>m3</v>
          </cell>
        </row>
        <row r="27">
          <cell r="B27" t="str">
            <v>기계터파기(수중)</v>
          </cell>
          <cell r="C27" t="str">
            <v>토사(0-4m)</v>
          </cell>
          <cell r="D27">
            <v>6075.87</v>
          </cell>
          <cell r="E27" t="str">
            <v>m3</v>
          </cell>
        </row>
        <row r="28">
          <cell r="B28" t="str">
            <v>잔토처리(기계)</v>
          </cell>
          <cell r="C28" t="str">
            <v>토사(현장내)</v>
          </cell>
          <cell r="D28">
            <v>6535.73</v>
          </cell>
          <cell r="E28" t="str">
            <v>m3</v>
          </cell>
        </row>
        <row r="29">
          <cell r="B29" t="str">
            <v>되메우기</v>
          </cell>
          <cell r="C29" t="str">
            <v>기계</v>
          </cell>
          <cell r="D29">
            <v>8145.84</v>
          </cell>
          <cell r="E29" t="str">
            <v>m3</v>
          </cell>
        </row>
        <row r="30">
          <cell r="B30" t="str">
            <v>표토제거(사토)</v>
          </cell>
          <cell r="C30" t="str">
            <v>도쟈 19ton</v>
          </cell>
          <cell r="D30">
            <v>3202</v>
          </cell>
          <cell r="E30" t="str">
            <v>m3</v>
          </cell>
        </row>
        <row r="31">
          <cell r="B31" t="str">
            <v>표토제거(탑구간)</v>
          </cell>
          <cell r="C31" t="str">
            <v>도쟈 19ton</v>
          </cell>
          <cell r="D31">
            <v>3202</v>
          </cell>
          <cell r="E31" t="str">
            <v>m3</v>
          </cell>
        </row>
        <row r="32">
          <cell r="B32" t="str">
            <v>츠구터파기(토사)</v>
          </cell>
          <cell r="C32" t="str">
            <v>기계</v>
          </cell>
          <cell r="D32">
            <v>201.25</v>
          </cell>
          <cell r="E32" t="str">
            <v>m3</v>
          </cell>
        </row>
        <row r="33">
          <cell r="B33" t="str">
            <v>측구뚝쌓기</v>
          </cell>
          <cell r="C33" t="str">
            <v>인력다짐</v>
          </cell>
          <cell r="D33">
            <v>16.12</v>
          </cell>
          <cell r="E33" t="str">
            <v>m3</v>
          </cell>
        </row>
        <row r="34">
          <cell r="B34" t="str">
            <v>치환다짐포설및다짐</v>
          </cell>
          <cell r="C34" t="str">
            <v>보조기층재</v>
          </cell>
          <cell r="D34">
            <v>1552.94</v>
          </cell>
          <cell r="E34" t="str">
            <v>m2</v>
          </cell>
        </row>
        <row r="35">
          <cell r="B35" t="str">
            <v>줄떼붙임</v>
          </cell>
          <cell r="D35">
            <v>4261.78</v>
          </cell>
          <cell r="E35" t="str">
            <v>m2</v>
          </cell>
        </row>
        <row r="36">
          <cell r="A36">
            <v>10</v>
          </cell>
          <cell r="B36" t="str">
            <v>P P 마대쌓기</v>
          </cell>
          <cell r="C36" t="str">
            <v>45*70</v>
          </cell>
          <cell r="D36">
            <v>560.20000000000005</v>
          </cell>
          <cell r="E36" t="str">
            <v>m2</v>
          </cell>
        </row>
        <row r="37">
          <cell r="B37" t="str">
            <v>물 푸 기</v>
          </cell>
          <cell r="E37" t="str">
            <v>HR</v>
          </cell>
        </row>
        <row r="38">
          <cell r="B38" t="str">
            <v>2.구조물공</v>
          </cell>
        </row>
        <row r="39">
          <cell r="B39" t="str">
            <v>1)침사지및유입펌프장</v>
          </cell>
        </row>
        <row r="40">
          <cell r="B40" t="str">
            <v>콘크리트펌프카타설</v>
          </cell>
          <cell r="C40" t="str">
            <v>무근</v>
          </cell>
          <cell r="D40">
            <v>67.05</v>
          </cell>
          <cell r="E40" t="str">
            <v>m3</v>
          </cell>
        </row>
        <row r="41">
          <cell r="B41" t="str">
            <v>콘크리트펌프카타설</v>
          </cell>
          <cell r="C41" t="str">
            <v>철근</v>
          </cell>
          <cell r="D41">
            <v>1409.52</v>
          </cell>
          <cell r="E41" t="str">
            <v>m3</v>
          </cell>
        </row>
        <row r="42">
          <cell r="B42" t="str">
            <v>합판거푸집</v>
          </cell>
          <cell r="C42" t="str">
            <v>6회</v>
          </cell>
          <cell r="D42">
            <v>13.62</v>
          </cell>
          <cell r="E42" t="str">
            <v>m2</v>
          </cell>
        </row>
        <row r="43">
          <cell r="B43" t="str">
            <v>합판거푸집</v>
          </cell>
          <cell r="C43" t="str">
            <v>3회</v>
          </cell>
          <cell r="D43">
            <v>1180.8499999999999</v>
          </cell>
          <cell r="E43" t="str">
            <v>m2</v>
          </cell>
        </row>
        <row r="44">
          <cell r="B44" t="str">
            <v>원형거푸집</v>
          </cell>
          <cell r="C44" t="str">
            <v>3회</v>
          </cell>
          <cell r="D44">
            <v>2.77</v>
          </cell>
          <cell r="E44" t="str">
            <v>m2</v>
          </cell>
        </row>
        <row r="45">
          <cell r="B45" t="str">
            <v>FORM-TIE</v>
          </cell>
          <cell r="C45" t="str">
            <v>3회 T=800</v>
          </cell>
          <cell r="D45">
            <v>247.63</v>
          </cell>
          <cell r="E45" t="str">
            <v>m2</v>
          </cell>
        </row>
        <row r="46">
          <cell r="B46" t="str">
            <v>FORM-TIE</v>
          </cell>
          <cell r="C46" t="str">
            <v>3회 T=500</v>
          </cell>
          <cell r="D46">
            <v>1622.41</v>
          </cell>
          <cell r="E46" t="str">
            <v>m2</v>
          </cell>
        </row>
        <row r="47">
          <cell r="B47" t="str">
            <v>강관동바리(3개월)</v>
          </cell>
          <cell r="C47" t="str">
            <v>4.2M이상</v>
          </cell>
          <cell r="D47">
            <v>194.63</v>
          </cell>
          <cell r="E47" t="str">
            <v>공/m3</v>
          </cell>
        </row>
        <row r="48">
          <cell r="B48" t="str">
            <v>강관동바리(3개월)</v>
          </cell>
          <cell r="C48" t="str">
            <v>4.2M이하</v>
          </cell>
          <cell r="D48">
            <v>1709.97</v>
          </cell>
          <cell r="E48" t="str">
            <v>공/m3</v>
          </cell>
        </row>
        <row r="49">
          <cell r="B49" t="str">
            <v>강관비계매기</v>
          </cell>
          <cell r="C49" t="str">
            <v>3개월</v>
          </cell>
          <cell r="D49">
            <v>1104.03</v>
          </cell>
          <cell r="E49" t="str">
            <v>m2</v>
          </cell>
        </row>
        <row r="50">
          <cell r="B50" t="str">
            <v>침투성+수성페인트</v>
          </cell>
          <cell r="D50">
            <v>428.71</v>
          </cell>
          <cell r="E50" t="str">
            <v>m2</v>
          </cell>
        </row>
        <row r="51">
          <cell r="B51" t="str">
            <v>에폭시방수</v>
          </cell>
          <cell r="D51">
            <v>981.96</v>
          </cell>
          <cell r="E51" t="str">
            <v>m2</v>
          </cell>
        </row>
        <row r="52">
          <cell r="B52" t="str">
            <v>지수판설치</v>
          </cell>
          <cell r="C52" t="str">
            <v>B=230,T=5MM</v>
          </cell>
          <cell r="D52">
            <v>423.87</v>
          </cell>
          <cell r="E52" t="str">
            <v>m</v>
          </cell>
        </row>
        <row r="53">
          <cell r="B53" t="str">
            <v>양 생</v>
          </cell>
          <cell r="C53" t="str">
            <v>비닐</v>
          </cell>
          <cell r="D53">
            <v>1388.4449999999999</v>
          </cell>
          <cell r="E53" t="str">
            <v>m2</v>
          </cell>
        </row>
        <row r="54">
          <cell r="B54" t="str">
            <v>시공이음면정리</v>
          </cell>
          <cell r="D54">
            <v>137.78</v>
          </cell>
          <cell r="E54" t="str">
            <v>m2</v>
          </cell>
        </row>
        <row r="55">
          <cell r="B55" t="str">
            <v>몰탈</v>
          </cell>
          <cell r="C55" t="str">
            <v>1:3</v>
          </cell>
          <cell r="D55">
            <v>10.53</v>
          </cell>
          <cell r="E55" t="str">
            <v>m3</v>
          </cell>
        </row>
        <row r="56">
          <cell r="B56" t="str">
            <v>FORM-TIE 구멍채우기</v>
          </cell>
          <cell r="D56">
            <v>1748</v>
          </cell>
          <cell r="E56" t="str">
            <v>EA</v>
          </cell>
        </row>
        <row r="57">
          <cell r="B57" t="str">
            <v>난간(STS)</v>
          </cell>
          <cell r="C57" t="str">
            <v>수평(1.2M)</v>
          </cell>
          <cell r="D57">
            <v>93.03</v>
          </cell>
          <cell r="E57" t="str">
            <v>스판</v>
          </cell>
        </row>
        <row r="58">
          <cell r="B58" t="str">
            <v>난간(STS)</v>
          </cell>
          <cell r="C58" t="str">
            <v>경사(0.9M)</v>
          </cell>
          <cell r="D58">
            <v>30</v>
          </cell>
          <cell r="E58" t="str">
            <v>스판</v>
          </cell>
        </row>
        <row r="59">
          <cell r="B59" t="str">
            <v>사다리설치</v>
          </cell>
          <cell r="C59" t="str">
            <v>A-TYPE</v>
          </cell>
          <cell r="D59">
            <v>51</v>
          </cell>
          <cell r="E59" t="str">
            <v>EA</v>
          </cell>
        </row>
        <row r="60">
          <cell r="B60" t="str">
            <v>사다리설치</v>
          </cell>
          <cell r="C60" t="str">
            <v>B-TYPE</v>
          </cell>
          <cell r="D60">
            <v>20.6</v>
          </cell>
          <cell r="E60" t="str">
            <v>EA</v>
          </cell>
        </row>
        <row r="61">
          <cell r="B61" t="str">
            <v>PVC PIPE T S 접합</v>
          </cell>
          <cell r="C61" t="str">
            <v>D=100M/M</v>
          </cell>
          <cell r="D61">
            <v>0.9</v>
          </cell>
          <cell r="E61" t="str">
            <v>m</v>
          </cell>
        </row>
        <row r="62">
          <cell r="B62" t="str">
            <v>PVC PIPE T S 접합</v>
          </cell>
          <cell r="C62" t="str">
            <v>D=150M/M</v>
          </cell>
          <cell r="D62">
            <v>1.5</v>
          </cell>
          <cell r="E62" t="str">
            <v>m</v>
          </cell>
        </row>
        <row r="63">
          <cell r="B63" t="str">
            <v>슬리브</v>
          </cell>
          <cell r="C63" t="str">
            <v>D=150,T=500</v>
          </cell>
          <cell r="D63">
            <v>5</v>
          </cell>
          <cell r="E63" t="str">
            <v>EA</v>
          </cell>
        </row>
        <row r="64">
          <cell r="B64" t="str">
            <v>슬리브</v>
          </cell>
          <cell r="C64" t="str">
            <v>D=200,T=500</v>
          </cell>
          <cell r="D64">
            <v>2</v>
          </cell>
          <cell r="E64" t="str">
            <v>EA</v>
          </cell>
        </row>
        <row r="65">
          <cell r="B65" t="str">
            <v>슬리브</v>
          </cell>
          <cell r="C65" t="str">
            <v>D=500,T=500</v>
          </cell>
          <cell r="D65">
            <v>1</v>
          </cell>
          <cell r="E65" t="str">
            <v>EA</v>
          </cell>
        </row>
        <row r="66">
          <cell r="B66" t="str">
            <v>슬리브</v>
          </cell>
          <cell r="C66" t="str">
            <v>D=300,T=500</v>
          </cell>
          <cell r="D66">
            <v>1</v>
          </cell>
          <cell r="E66" t="str">
            <v>EA</v>
          </cell>
        </row>
        <row r="67">
          <cell r="B67" t="str">
            <v>JOINT-FILLER</v>
          </cell>
          <cell r="C67" t="str">
            <v>T=20M/M</v>
          </cell>
          <cell r="D67">
            <v>22.15</v>
          </cell>
          <cell r="E67" t="str">
            <v>m2</v>
          </cell>
        </row>
        <row r="68">
          <cell r="B68" t="str">
            <v>실런트</v>
          </cell>
          <cell r="C68" t="str">
            <v>T=20M/M</v>
          </cell>
          <cell r="D68">
            <v>70.349999999999994</v>
          </cell>
          <cell r="E68" t="str">
            <v>m</v>
          </cell>
        </row>
        <row r="69">
          <cell r="B69" t="str">
            <v>흙채움</v>
          </cell>
          <cell r="C69" t="str">
            <v>인력</v>
          </cell>
          <cell r="D69">
            <v>485.36</v>
          </cell>
          <cell r="E69" t="str">
            <v>m2</v>
          </cell>
        </row>
        <row r="70">
          <cell r="B70" t="str">
            <v>철근가공및조립</v>
          </cell>
          <cell r="C70" t="str">
            <v>복잡</v>
          </cell>
          <cell r="D70">
            <v>150.38300000000001</v>
          </cell>
          <cell r="E70" t="str">
            <v>TON</v>
          </cell>
        </row>
        <row r="71">
          <cell r="B71" t="str">
            <v>PC PILE항타</v>
          </cell>
          <cell r="C71" t="str">
            <v>천공후항타</v>
          </cell>
          <cell r="D71">
            <v>6</v>
          </cell>
          <cell r="E71" t="str">
            <v>본</v>
          </cell>
        </row>
        <row r="72">
          <cell r="B72" t="str">
            <v>말뚝박기용천공</v>
          </cell>
          <cell r="C72" t="str">
            <v>토사</v>
          </cell>
          <cell r="D72">
            <v>54</v>
          </cell>
          <cell r="E72" t="str">
            <v>m</v>
          </cell>
        </row>
        <row r="73">
          <cell r="B73" t="str">
            <v>PC 파일두부보강</v>
          </cell>
          <cell r="C73" t="str">
            <v>T=500,L=9.0M</v>
          </cell>
          <cell r="D73">
            <v>6</v>
          </cell>
          <cell r="E73" t="str">
            <v>본</v>
          </cell>
        </row>
        <row r="74">
          <cell r="B74" t="str">
            <v>SHEET-PILE항타인발</v>
          </cell>
          <cell r="C74" t="str">
            <v>L=9.0M</v>
          </cell>
          <cell r="D74">
            <v>75</v>
          </cell>
          <cell r="E74" t="str">
            <v>본</v>
          </cell>
        </row>
        <row r="75">
          <cell r="B75" t="str">
            <v>SHEET-PILE</v>
          </cell>
          <cell r="C75" t="str">
            <v>임대료</v>
          </cell>
          <cell r="D75">
            <v>1</v>
          </cell>
          <cell r="E75" t="str">
            <v>식</v>
          </cell>
        </row>
        <row r="76">
          <cell r="B76" t="str">
            <v>2)유량조정조</v>
          </cell>
        </row>
        <row r="77">
          <cell r="B77" t="str">
            <v>콘크리트펌프카타설</v>
          </cell>
          <cell r="C77" t="str">
            <v>무근</v>
          </cell>
          <cell r="D77">
            <v>26.79</v>
          </cell>
          <cell r="E77" t="str">
            <v>m3</v>
          </cell>
        </row>
        <row r="78">
          <cell r="B78" t="str">
            <v>콘크리트펌프카타설</v>
          </cell>
          <cell r="C78" t="str">
            <v>철근</v>
          </cell>
          <cell r="D78">
            <v>401.3</v>
          </cell>
          <cell r="E78" t="str">
            <v>m3</v>
          </cell>
        </row>
        <row r="79">
          <cell r="B79" t="str">
            <v>합판거푸집</v>
          </cell>
          <cell r="C79" t="str">
            <v>6회</v>
          </cell>
          <cell r="D79">
            <v>7.39</v>
          </cell>
          <cell r="E79" t="str">
            <v>m2</v>
          </cell>
        </row>
        <row r="80">
          <cell r="B80" t="str">
            <v>합판거푸집</v>
          </cell>
          <cell r="C80" t="str">
            <v>3회</v>
          </cell>
          <cell r="D80">
            <v>163.88</v>
          </cell>
          <cell r="E80" t="str">
            <v>m2</v>
          </cell>
        </row>
        <row r="81">
          <cell r="B81" t="str">
            <v>원형거푸집</v>
          </cell>
          <cell r="C81" t="str">
            <v>3회</v>
          </cell>
          <cell r="D81">
            <v>252.8</v>
          </cell>
          <cell r="E81" t="str">
            <v>m2</v>
          </cell>
        </row>
        <row r="82">
          <cell r="B82" t="str">
            <v>FORM-TIE</v>
          </cell>
          <cell r="C82" t="str">
            <v>3회 T=800</v>
          </cell>
          <cell r="D82">
            <v>680.73</v>
          </cell>
          <cell r="E82" t="str">
            <v>m2</v>
          </cell>
        </row>
        <row r="83">
          <cell r="B83" t="str">
            <v>FORM-TIE</v>
          </cell>
          <cell r="C83" t="str">
            <v>3회 T=500</v>
          </cell>
          <cell r="D83">
            <v>237.56</v>
          </cell>
          <cell r="E83" t="str">
            <v>m2</v>
          </cell>
        </row>
        <row r="84">
          <cell r="B84" t="str">
            <v>강관동바리(3개월)</v>
          </cell>
          <cell r="C84" t="str">
            <v>4.2M이상</v>
          </cell>
          <cell r="D84">
            <v>31.68</v>
          </cell>
          <cell r="E84" t="str">
            <v>공/m3</v>
          </cell>
        </row>
        <row r="85">
          <cell r="B85" t="str">
            <v>강관동바리(3개월)</v>
          </cell>
          <cell r="C85" t="str">
            <v>4.2M이하</v>
          </cell>
          <cell r="D85">
            <v>611.74</v>
          </cell>
          <cell r="E85" t="str">
            <v>공/m3</v>
          </cell>
        </row>
        <row r="86">
          <cell r="B86" t="str">
            <v>강관비계매기</v>
          </cell>
          <cell r="C86" t="str">
            <v>3개월</v>
          </cell>
          <cell r="D86">
            <v>510</v>
          </cell>
          <cell r="E86" t="str">
            <v>m2</v>
          </cell>
        </row>
        <row r="87">
          <cell r="B87" t="str">
            <v>침투성+수성페인트</v>
          </cell>
          <cell r="D87">
            <v>173.84</v>
          </cell>
          <cell r="E87" t="str">
            <v>m2</v>
          </cell>
        </row>
        <row r="88">
          <cell r="B88" t="str">
            <v>지수판설치</v>
          </cell>
          <cell r="C88" t="str">
            <v>B=230,T=5MM</v>
          </cell>
          <cell r="D88">
            <v>131.5</v>
          </cell>
          <cell r="E88" t="str">
            <v>m</v>
          </cell>
        </row>
        <row r="89">
          <cell r="B89" t="str">
            <v>양 생</v>
          </cell>
          <cell r="C89" t="str">
            <v>비닐</v>
          </cell>
          <cell r="D89">
            <v>238.04</v>
          </cell>
          <cell r="E89" t="str">
            <v>m2</v>
          </cell>
        </row>
        <row r="90">
          <cell r="B90" t="str">
            <v>시공이음면정리</v>
          </cell>
          <cell r="D90">
            <v>48.89</v>
          </cell>
          <cell r="E90" t="str">
            <v>m2</v>
          </cell>
        </row>
        <row r="91">
          <cell r="B91" t="str">
            <v>난간(STS)</v>
          </cell>
          <cell r="C91" t="str">
            <v>수평(1.2M)</v>
          </cell>
          <cell r="D91">
            <v>39.29</v>
          </cell>
          <cell r="E91" t="str">
            <v>스판</v>
          </cell>
        </row>
        <row r="92">
          <cell r="B92" t="str">
            <v>난간(STS)</v>
          </cell>
          <cell r="C92" t="str">
            <v>경사(0.9M)</v>
          </cell>
          <cell r="D92">
            <v>13.06</v>
          </cell>
          <cell r="E92" t="str">
            <v>스판</v>
          </cell>
        </row>
        <row r="93">
          <cell r="B93" t="str">
            <v>슬리브</v>
          </cell>
          <cell r="C93" t="str">
            <v>D=300,T=400</v>
          </cell>
          <cell r="D93">
            <v>2</v>
          </cell>
          <cell r="E93" t="str">
            <v>EA</v>
          </cell>
        </row>
        <row r="94">
          <cell r="B94" t="str">
            <v>철근가공및조립</v>
          </cell>
          <cell r="C94" t="str">
            <v>복잡</v>
          </cell>
          <cell r="D94">
            <v>43.308</v>
          </cell>
          <cell r="E94" t="str">
            <v>TON</v>
          </cell>
        </row>
        <row r="95">
          <cell r="B95" t="str">
            <v>FORM-TIE 구멍채우기</v>
          </cell>
          <cell r="D95">
            <v>873</v>
          </cell>
          <cell r="E95" t="str">
            <v>EA</v>
          </cell>
        </row>
        <row r="96">
          <cell r="B96" t="str">
            <v>3)유입유량계실</v>
          </cell>
        </row>
        <row r="97">
          <cell r="B97" t="str">
            <v>콘크리트펌프카타설</v>
          </cell>
          <cell r="C97" t="str">
            <v>무근</v>
          </cell>
          <cell r="D97">
            <v>3.57</v>
          </cell>
          <cell r="E97" t="str">
            <v>m3</v>
          </cell>
        </row>
        <row r="98">
          <cell r="B98" t="str">
            <v>콘크리트펌프카타설</v>
          </cell>
          <cell r="C98" t="str">
            <v>철근</v>
          </cell>
          <cell r="D98">
            <v>26.79</v>
          </cell>
          <cell r="E98" t="str">
            <v>m3</v>
          </cell>
        </row>
        <row r="99">
          <cell r="B99" t="str">
            <v>합판거푸집</v>
          </cell>
          <cell r="C99" t="str">
            <v>6회</v>
          </cell>
          <cell r="D99">
            <v>1.98</v>
          </cell>
          <cell r="E99" t="str">
            <v>m2</v>
          </cell>
        </row>
        <row r="100">
          <cell r="B100" t="str">
            <v>합판거푸집</v>
          </cell>
          <cell r="C100" t="str">
            <v>3회</v>
          </cell>
          <cell r="D100">
            <v>37.82</v>
          </cell>
          <cell r="E100" t="str">
            <v>m2</v>
          </cell>
        </row>
        <row r="101">
          <cell r="B101" t="str">
            <v>FORM-TIE</v>
          </cell>
          <cell r="C101" t="str">
            <v>3회 T=300</v>
          </cell>
          <cell r="D101">
            <v>84</v>
          </cell>
          <cell r="E101" t="str">
            <v>m2</v>
          </cell>
        </row>
        <row r="102">
          <cell r="B102" t="str">
            <v>강관동바리(3개월)</v>
          </cell>
          <cell r="C102" t="str">
            <v>4.2M이하</v>
          </cell>
          <cell r="D102">
            <v>40.5</v>
          </cell>
          <cell r="E102" t="str">
            <v>공/m3</v>
          </cell>
        </row>
        <row r="103">
          <cell r="B103" t="str">
            <v>강관비계매기</v>
          </cell>
          <cell r="C103" t="str">
            <v>3개월</v>
          </cell>
          <cell r="D103">
            <v>97.2</v>
          </cell>
          <cell r="E103" t="str">
            <v>m2</v>
          </cell>
        </row>
        <row r="104">
          <cell r="B104" t="str">
            <v>모체침투성방수</v>
          </cell>
          <cell r="D104">
            <v>58.38</v>
          </cell>
          <cell r="E104" t="str">
            <v>m2</v>
          </cell>
        </row>
        <row r="105">
          <cell r="B105" t="str">
            <v>지수판설치</v>
          </cell>
          <cell r="C105" t="str">
            <v>B=230,T=5MM</v>
          </cell>
          <cell r="D105">
            <v>16.2</v>
          </cell>
          <cell r="E105" t="str">
            <v>m</v>
          </cell>
        </row>
        <row r="106">
          <cell r="B106" t="str">
            <v>양 생</v>
          </cell>
          <cell r="C106" t="str">
            <v>비닐</v>
          </cell>
          <cell r="D106">
            <v>29.46</v>
          </cell>
          <cell r="E106" t="str">
            <v>m2</v>
          </cell>
        </row>
        <row r="107">
          <cell r="B107" t="str">
            <v>시공이음면정리</v>
          </cell>
          <cell r="D107">
            <v>4.8600000000000003</v>
          </cell>
          <cell r="E107" t="str">
            <v>m2</v>
          </cell>
        </row>
        <row r="108">
          <cell r="B108" t="str">
            <v>FORM-TIE 구멍채우기</v>
          </cell>
          <cell r="D108">
            <v>90</v>
          </cell>
          <cell r="E108" t="str">
            <v>EA</v>
          </cell>
        </row>
        <row r="109">
          <cell r="B109" t="str">
            <v>사다리설치</v>
          </cell>
          <cell r="C109" t="str">
            <v>A-TYPE</v>
          </cell>
          <cell r="D109">
            <v>51</v>
          </cell>
          <cell r="E109" t="str">
            <v>EA</v>
          </cell>
        </row>
        <row r="110">
          <cell r="B110" t="str">
            <v>철근가공및조립</v>
          </cell>
          <cell r="C110" t="str">
            <v>복잡</v>
          </cell>
          <cell r="D110">
            <v>2.9009999999999998</v>
          </cell>
          <cell r="E110" t="str">
            <v>TON</v>
          </cell>
        </row>
        <row r="111">
          <cell r="B111" t="str">
            <v>슬리브</v>
          </cell>
          <cell r="C111" t="str">
            <v>D=500,T=300</v>
          </cell>
          <cell r="D111">
            <v>2</v>
          </cell>
          <cell r="E111" t="str">
            <v>EA</v>
          </cell>
        </row>
        <row r="112">
          <cell r="B112" t="str">
            <v>PC PILE항타</v>
          </cell>
          <cell r="C112" t="str">
            <v>천공후항타</v>
          </cell>
          <cell r="D112">
            <v>4</v>
          </cell>
          <cell r="E112" t="str">
            <v>본</v>
          </cell>
        </row>
        <row r="113">
          <cell r="B113" t="str">
            <v>말뚝박기용천공</v>
          </cell>
          <cell r="C113" t="str">
            <v>토사</v>
          </cell>
          <cell r="D113">
            <v>28</v>
          </cell>
          <cell r="E113" t="str">
            <v>m</v>
          </cell>
        </row>
        <row r="114">
          <cell r="B114" t="str">
            <v>PC 파일두부보강</v>
          </cell>
          <cell r="C114" t="str">
            <v>T=400,L=7.0M</v>
          </cell>
          <cell r="D114">
            <v>4</v>
          </cell>
          <cell r="E114" t="str">
            <v>본</v>
          </cell>
        </row>
        <row r="115">
          <cell r="B115" t="str">
            <v>무늬철판뚜껑</v>
          </cell>
          <cell r="C115" t="str">
            <v>1222*1222</v>
          </cell>
          <cell r="D115">
            <v>1</v>
          </cell>
          <cell r="E115" t="str">
            <v>EA</v>
          </cell>
        </row>
        <row r="116">
          <cell r="B116" t="str">
            <v>4)최초침전지분배조</v>
          </cell>
        </row>
        <row r="117">
          <cell r="B117" t="str">
            <v>콘크리트펌프카타설</v>
          </cell>
          <cell r="C117" t="str">
            <v>무근</v>
          </cell>
          <cell r="D117">
            <v>6.84</v>
          </cell>
          <cell r="E117" t="str">
            <v>m3</v>
          </cell>
        </row>
        <row r="118">
          <cell r="B118" t="str">
            <v>콘크리트펌프카타설</v>
          </cell>
          <cell r="C118" t="str">
            <v>철근</v>
          </cell>
          <cell r="D118">
            <v>107.27</v>
          </cell>
          <cell r="E118" t="str">
            <v>m3</v>
          </cell>
        </row>
        <row r="119">
          <cell r="B119" t="str">
            <v>합판거푸집</v>
          </cell>
          <cell r="C119" t="str">
            <v>6회</v>
          </cell>
          <cell r="D119">
            <v>4.28</v>
          </cell>
          <cell r="E119" t="str">
            <v>m2</v>
          </cell>
        </row>
        <row r="120">
          <cell r="B120" t="str">
            <v>합판거푸집</v>
          </cell>
          <cell r="C120" t="str">
            <v>3회</v>
          </cell>
          <cell r="D120">
            <v>169.13</v>
          </cell>
          <cell r="E120" t="str">
            <v>m2</v>
          </cell>
        </row>
        <row r="121">
          <cell r="B121" t="str">
            <v>FORM-TIE</v>
          </cell>
          <cell r="C121" t="str">
            <v>3회 T=400</v>
          </cell>
          <cell r="D121">
            <v>218.25</v>
          </cell>
          <cell r="E121" t="str">
            <v>m2</v>
          </cell>
        </row>
        <row r="122">
          <cell r="B122" t="str">
            <v>FORM-TIE</v>
          </cell>
          <cell r="C122" t="str">
            <v>3회 T=300</v>
          </cell>
          <cell r="D122">
            <v>53.04</v>
          </cell>
          <cell r="E122" t="str">
            <v>m2</v>
          </cell>
        </row>
        <row r="123">
          <cell r="B123" t="str">
            <v>강관동바리(3개월)</v>
          </cell>
          <cell r="C123" t="str">
            <v>4.2M이상</v>
          </cell>
          <cell r="D123">
            <v>64.87</v>
          </cell>
          <cell r="E123" t="str">
            <v>공/m3</v>
          </cell>
        </row>
        <row r="124">
          <cell r="B124" t="str">
            <v>강관동바리(3개월)</v>
          </cell>
          <cell r="C124" t="str">
            <v>4.2M이하</v>
          </cell>
          <cell r="D124">
            <v>61.94</v>
          </cell>
          <cell r="E124" t="str">
            <v>공/m3</v>
          </cell>
        </row>
        <row r="125">
          <cell r="B125" t="str">
            <v>강관비계매기</v>
          </cell>
          <cell r="C125" t="str">
            <v>3개월</v>
          </cell>
          <cell r="D125">
            <v>97.2</v>
          </cell>
          <cell r="E125" t="str">
            <v>m2</v>
          </cell>
        </row>
        <row r="126">
          <cell r="B126" t="str">
            <v>모체침투성방수</v>
          </cell>
          <cell r="D126">
            <v>58.38</v>
          </cell>
          <cell r="E126" t="str">
            <v>m2</v>
          </cell>
        </row>
        <row r="127">
          <cell r="B127" t="str">
            <v>아스팔트방수</v>
          </cell>
          <cell r="C127" t="str">
            <v>2회</v>
          </cell>
          <cell r="D127">
            <v>118.93</v>
          </cell>
          <cell r="E127" t="str">
            <v>m2</v>
          </cell>
        </row>
        <row r="128">
          <cell r="B128" t="str">
            <v>에폭시방수</v>
          </cell>
          <cell r="D128">
            <v>54.43</v>
          </cell>
          <cell r="E128" t="str">
            <v>m2</v>
          </cell>
        </row>
        <row r="129">
          <cell r="B129" t="str">
            <v>지수판설치</v>
          </cell>
          <cell r="C129" t="str">
            <v>B=230,T=5MM</v>
          </cell>
          <cell r="D129">
            <v>16.2</v>
          </cell>
          <cell r="E129" t="str">
            <v>m</v>
          </cell>
        </row>
        <row r="130">
          <cell r="B130" t="str">
            <v>양 생</v>
          </cell>
          <cell r="C130" t="str">
            <v>비닐</v>
          </cell>
          <cell r="D130">
            <v>23.29</v>
          </cell>
          <cell r="E130" t="str">
            <v>m2</v>
          </cell>
        </row>
        <row r="131">
          <cell r="B131" t="str">
            <v>시공이음면정리</v>
          </cell>
          <cell r="D131">
            <v>18.43</v>
          </cell>
          <cell r="E131" t="str">
            <v>m2</v>
          </cell>
        </row>
        <row r="132">
          <cell r="B132" t="str">
            <v>난간(STS)</v>
          </cell>
          <cell r="C132" t="str">
            <v>수평(1.2M)</v>
          </cell>
          <cell r="D132">
            <v>9.17</v>
          </cell>
          <cell r="E132" t="str">
            <v>스판</v>
          </cell>
        </row>
        <row r="133">
          <cell r="B133" t="str">
            <v>난간(STS)</v>
          </cell>
          <cell r="C133" t="str">
            <v>경사(0.9M)</v>
          </cell>
          <cell r="D133">
            <v>10.33</v>
          </cell>
          <cell r="E133" t="str">
            <v>스판</v>
          </cell>
        </row>
        <row r="134">
          <cell r="B134" t="str">
            <v>사다리설치</v>
          </cell>
          <cell r="C134" t="str">
            <v>A-TYPE</v>
          </cell>
          <cell r="D134">
            <v>40</v>
          </cell>
          <cell r="E134" t="str">
            <v>EA</v>
          </cell>
        </row>
        <row r="135">
          <cell r="B135" t="str">
            <v>PVC PIPE T S 접합</v>
          </cell>
          <cell r="C135" t="str">
            <v>D=100M/M</v>
          </cell>
          <cell r="D135">
            <v>0.4</v>
          </cell>
          <cell r="E135" t="str">
            <v>m</v>
          </cell>
        </row>
        <row r="136">
          <cell r="B136" t="str">
            <v>출입문설치</v>
          </cell>
          <cell r="C136" t="str">
            <v>900*2100</v>
          </cell>
          <cell r="D136">
            <v>1.89</v>
          </cell>
          <cell r="E136" t="str">
            <v>m2</v>
          </cell>
        </row>
        <row r="137">
          <cell r="B137" t="str">
            <v>철근가공및조립</v>
          </cell>
          <cell r="C137" t="str">
            <v>복잡</v>
          </cell>
          <cell r="D137">
            <v>11.427</v>
          </cell>
          <cell r="E137" t="str">
            <v>TON</v>
          </cell>
        </row>
        <row r="138">
          <cell r="A138">
            <v>13</v>
          </cell>
          <cell r="B138" t="str">
            <v>FORM-TIE 구멍채우기</v>
          </cell>
          <cell r="D138">
            <v>290</v>
          </cell>
          <cell r="E138" t="str">
            <v>EA</v>
          </cell>
        </row>
        <row r="139">
          <cell r="B139" t="str">
            <v>슬리브</v>
          </cell>
          <cell r="C139" t="str">
            <v>D=300,T=300</v>
          </cell>
          <cell r="D139">
            <v>2</v>
          </cell>
          <cell r="E139" t="str">
            <v>EA</v>
          </cell>
        </row>
        <row r="140">
          <cell r="B140" t="str">
            <v>슬리브</v>
          </cell>
          <cell r="C140" t="str">
            <v>D=400,T=300</v>
          </cell>
          <cell r="D140">
            <v>1</v>
          </cell>
          <cell r="E140" t="str">
            <v>EA</v>
          </cell>
        </row>
        <row r="141">
          <cell r="B141" t="str">
            <v>PC PILE항타</v>
          </cell>
          <cell r="C141" t="str">
            <v>천공후항타</v>
          </cell>
          <cell r="D141">
            <v>9</v>
          </cell>
          <cell r="E141" t="str">
            <v>본</v>
          </cell>
        </row>
        <row r="142">
          <cell r="B142" t="str">
            <v>말뚝박기용천공</v>
          </cell>
          <cell r="C142" t="str">
            <v>토사</v>
          </cell>
          <cell r="D142">
            <v>45</v>
          </cell>
          <cell r="E142" t="str">
            <v>m</v>
          </cell>
        </row>
        <row r="143">
          <cell r="B143" t="str">
            <v>PC 파일두부보강</v>
          </cell>
          <cell r="C143" t="str">
            <v>T=500,L=5.0M</v>
          </cell>
          <cell r="D143">
            <v>9</v>
          </cell>
          <cell r="E143" t="str">
            <v>본</v>
          </cell>
        </row>
        <row r="144">
          <cell r="B144" t="str">
            <v>5)최초침전지</v>
          </cell>
        </row>
        <row r="145">
          <cell r="B145" t="str">
            <v>콘크리트펌프카타설</v>
          </cell>
          <cell r="C145" t="str">
            <v>무근</v>
          </cell>
          <cell r="D145">
            <v>57.44</v>
          </cell>
          <cell r="E145" t="str">
            <v>m3</v>
          </cell>
        </row>
        <row r="146">
          <cell r="B146" t="str">
            <v>콘크리트펌프카타설</v>
          </cell>
          <cell r="C146" t="str">
            <v>철근</v>
          </cell>
          <cell r="D146">
            <v>250.78</v>
          </cell>
          <cell r="E146" t="str">
            <v>m3</v>
          </cell>
        </row>
        <row r="147">
          <cell r="B147" t="str">
            <v>합판거푸집</v>
          </cell>
          <cell r="C147" t="str">
            <v>6회</v>
          </cell>
          <cell r="D147">
            <v>78.12</v>
          </cell>
          <cell r="E147" t="str">
            <v>m2</v>
          </cell>
        </row>
        <row r="148">
          <cell r="B148" t="str">
            <v>합판거푸집</v>
          </cell>
          <cell r="C148" t="str">
            <v>3회</v>
          </cell>
          <cell r="D148">
            <v>32.619999999999997</v>
          </cell>
          <cell r="E148" t="str">
            <v>m2</v>
          </cell>
        </row>
        <row r="149">
          <cell r="B149" t="str">
            <v>원형거푸집</v>
          </cell>
          <cell r="C149" t="str">
            <v>3회</v>
          </cell>
          <cell r="D149">
            <v>732.06</v>
          </cell>
          <cell r="E149" t="str">
            <v>m2</v>
          </cell>
        </row>
        <row r="150">
          <cell r="B150" t="str">
            <v>강관동바리(3개월)</v>
          </cell>
          <cell r="C150" t="str">
            <v>4.2M이하</v>
          </cell>
          <cell r="D150">
            <v>84.4</v>
          </cell>
          <cell r="E150" t="str">
            <v>공/m3</v>
          </cell>
        </row>
        <row r="151">
          <cell r="B151" t="str">
            <v>강관비계매기</v>
          </cell>
          <cell r="C151" t="str">
            <v>3개월</v>
          </cell>
          <cell r="D151">
            <v>382.64</v>
          </cell>
          <cell r="E151" t="str">
            <v>m2</v>
          </cell>
        </row>
        <row r="152">
          <cell r="B152" t="str">
            <v>에폭시방수</v>
          </cell>
          <cell r="D152">
            <v>639.88</v>
          </cell>
          <cell r="E152" t="str">
            <v>m2</v>
          </cell>
        </row>
        <row r="153">
          <cell r="B153" t="str">
            <v>지수판설치</v>
          </cell>
          <cell r="C153" t="str">
            <v>B=230,T=5MM</v>
          </cell>
          <cell r="D153">
            <v>73.52</v>
          </cell>
          <cell r="E153" t="str">
            <v>m</v>
          </cell>
        </row>
        <row r="154">
          <cell r="B154" t="str">
            <v>양 생</v>
          </cell>
          <cell r="C154" t="str">
            <v>비닐</v>
          </cell>
          <cell r="D154">
            <v>100.4</v>
          </cell>
          <cell r="E154" t="str">
            <v>m2</v>
          </cell>
        </row>
        <row r="155">
          <cell r="A155">
            <v>14</v>
          </cell>
          <cell r="B155" t="str">
            <v>시공이음면정리</v>
          </cell>
          <cell r="D155">
            <v>29.4</v>
          </cell>
          <cell r="E155" t="str">
            <v>m2</v>
          </cell>
        </row>
        <row r="156">
          <cell r="B156" t="str">
            <v>사다리설치</v>
          </cell>
          <cell r="C156" t="str">
            <v>A-TYPE</v>
          </cell>
          <cell r="D156">
            <v>14</v>
          </cell>
          <cell r="E156" t="str">
            <v>EA</v>
          </cell>
        </row>
        <row r="157">
          <cell r="B157" t="str">
            <v>철근가공및조립</v>
          </cell>
          <cell r="C157" t="str">
            <v>복잡</v>
          </cell>
          <cell r="D157">
            <v>29.954000000000001</v>
          </cell>
          <cell r="E157" t="str">
            <v>TON</v>
          </cell>
        </row>
        <row r="158">
          <cell r="B158" t="str">
            <v>V-NOTCH 웨어</v>
          </cell>
          <cell r="D158">
            <v>64.08</v>
          </cell>
          <cell r="E158" t="str">
            <v>m</v>
          </cell>
        </row>
        <row r="159">
          <cell r="B159" t="str">
            <v>BAFFLE 웨어</v>
          </cell>
          <cell r="D159">
            <v>59.7</v>
          </cell>
          <cell r="E159" t="str">
            <v>m</v>
          </cell>
        </row>
        <row r="160">
          <cell r="B160" t="str">
            <v>PC PILE항타</v>
          </cell>
          <cell r="C160" t="str">
            <v>천공후항타</v>
          </cell>
          <cell r="D160">
            <v>48</v>
          </cell>
          <cell r="E160" t="str">
            <v>본</v>
          </cell>
        </row>
        <row r="161">
          <cell r="B161" t="str">
            <v>말뚝박기용천공</v>
          </cell>
          <cell r="C161" t="str">
            <v>토사</v>
          </cell>
          <cell r="D161">
            <v>416</v>
          </cell>
          <cell r="E161" t="str">
            <v>m</v>
          </cell>
        </row>
        <row r="162">
          <cell r="B162" t="str">
            <v>PC 파일두부보강</v>
          </cell>
          <cell r="C162" t="str">
            <v>T=500,L=7.0M</v>
          </cell>
          <cell r="D162">
            <v>8</v>
          </cell>
          <cell r="E162" t="str">
            <v>본</v>
          </cell>
        </row>
        <row r="163">
          <cell r="B163" t="str">
            <v>PC 파일두부보강</v>
          </cell>
          <cell r="C163" t="str">
            <v>T=500,L=9.0M</v>
          </cell>
          <cell r="D163">
            <v>40</v>
          </cell>
          <cell r="E163" t="str">
            <v>본</v>
          </cell>
        </row>
        <row r="164">
          <cell r="B164" t="str">
            <v>슬리브</v>
          </cell>
          <cell r="C164" t="str">
            <v>D=400,T=200</v>
          </cell>
          <cell r="D164">
            <v>2</v>
          </cell>
          <cell r="E164" t="str">
            <v>EA</v>
          </cell>
        </row>
        <row r="165">
          <cell r="B165" t="str">
            <v>6)스컴분리대</v>
          </cell>
        </row>
        <row r="166">
          <cell r="B166" t="str">
            <v>콘크리트펌프카타설</v>
          </cell>
          <cell r="C166" t="str">
            <v>무근</v>
          </cell>
          <cell r="D166">
            <v>2.96</v>
          </cell>
          <cell r="E166" t="str">
            <v>m3</v>
          </cell>
        </row>
        <row r="167">
          <cell r="B167" t="str">
            <v>콘크리트펌프카타설</v>
          </cell>
          <cell r="C167" t="str">
            <v>철근</v>
          </cell>
          <cell r="D167">
            <v>26.64</v>
          </cell>
          <cell r="E167" t="str">
            <v>m3</v>
          </cell>
        </row>
        <row r="168">
          <cell r="B168" t="str">
            <v>합판거푸집</v>
          </cell>
          <cell r="C168" t="str">
            <v>6회</v>
          </cell>
          <cell r="D168">
            <v>2.44</v>
          </cell>
          <cell r="E168" t="str">
            <v>m2</v>
          </cell>
        </row>
        <row r="169">
          <cell r="B169" t="str">
            <v>합판거푸집</v>
          </cell>
          <cell r="C169" t="str">
            <v>3회</v>
          </cell>
          <cell r="D169">
            <v>232.72</v>
          </cell>
          <cell r="E169" t="str">
            <v>m2</v>
          </cell>
        </row>
        <row r="170">
          <cell r="B170" t="str">
            <v>강관동바리(3개월)</v>
          </cell>
          <cell r="C170" t="str">
            <v>4.2M이하</v>
          </cell>
          <cell r="D170">
            <v>7.36</v>
          </cell>
          <cell r="E170" t="str">
            <v>공/m3</v>
          </cell>
        </row>
        <row r="171">
          <cell r="B171" t="str">
            <v>강관비계매기</v>
          </cell>
          <cell r="C171" t="str">
            <v>3개월</v>
          </cell>
          <cell r="D171">
            <v>112.48</v>
          </cell>
          <cell r="E171" t="str">
            <v>m2</v>
          </cell>
        </row>
        <row r="172">
          <cell r="A172">
            <v>18</v>
          </cell>
          <cell r="B172" t="str">
            <v>에폭시방수</v>
          </cell>
          <cell r="D172">
            <v>64.78</v>
          </cell>
          <cell r="E172" t="str">
            <v>m2</v>
          </cell>
        </row>
        <row r="173">
          <cell r="B173" t="str">
            <v>지수판설치</v>
          </cell>
          <cell r="C173" t="str">
            <v>B=230,T=5MM</v>
          </cell>
          <cell r="D173">
            <v>27.6</v>
          </cell>
          <cell r="E173" t="str">
            <v>m</v>
          </cell>
        </row>
        <row r="174">
          <cell r="B174" t="str">
            <v>양 생</v>
          </cell>
          <cell r="C174" t="str">
            <v>비닐</v>
          </cell>
          <cell r="D174">
            <v>42.72</v>
          </cell>
          <cell r="E174" t="str">
            <v>m2</v>
          </cell>
        </row>
        <row r="175">
          <cell r="B175" t="str">
            <v>시공이음면정리</v>
          </cell>
          <cell r="D175">
            <v>4.88</v>
          </cell>
          <cell r="E175" t="str">
            <v>m2</v>
          </cell>
        </row>
        <row r="176">
          <cell r="B176" t="str">
            <v>사다리설치</v>
          </cell>
          <cell r="C176" t="str">
            <v>A-TYPE</v>
          </cell>
          <cell r="D176">
            <v>24</v>
          </cell>
          <cell r="E176" t="str">
            <v>EA</v>
          </cell>
        </row>
        <row r="177">
          <cell r="B177" t="str">
            <v>모래채움</v>
          </cell>
          <cell r="D177">
            <v>7.32</v>
          </cell>
          <cell r="E177" t="str">
            <v>m3</v>
          </cell>
        </row>
        <row r="178">
          <cell r="B178" t="str">
            <v>철근가공및조립</v>
          </cell>
          <cell r="C178" t="str">
            <v>복잡</v>
          </cell>
          <cell r="D178">
            <v>3.6019999999999999</v>
          </cell>
          <cell r="E178" t="str">
            <v>TON</v>
          </cell>
        </row>
        <row r="179">
          <cell r="B179" t="str">
            <v>슬리브</v>
          </cell>
          <cell r="C179" t="str">
            <v>D=200,T=200</v>
          </cell>
          <cell r="D179">
            <v>2</v>
          </cell>
          <cell r="E179" t="str">
            <v>EA</v>
          </cell>
        </row>
        <row r="180">
          <cell r="B180" t="str">
            <v>PVC PIPE T S 접합</v>
          </cell>
          <cell r="C180" t="str">
            <v>D=100M/M</v>
          </cell>
          <cell r="D180">
            <v>0.4</v>
          </cell>
          <cell r="E180" t="str">
            <v>m</v>
          </cell>
        </row>
        <row r="181">
          <cell r="B181" t="str">
            <v>PC PILE항타</v>
          </cell>
          <cell r="C181" t="str">
            <v>천공후항타</v>
          </cell>
          <cell r="D181">
            <v>4</v>
          </cell>
          <cell r="E181" t="str">
            <v>본</v>
          </cell>
        </row>
        <row r="182">
          <cell r="B182" t="str">
            <v>말뚝박기용천공</v>
          </cell>
          <cell r="C182" t="str">
            <v>토사</v>
          </cell>
          <cell r="D182">
            <v>32</v>
          </cell>
          <cell r="E182" t="str">
            <v>m</v>
          </cell>
        </row>
        <row r="183">
          <cell r="B183" t="str">
            <v>PC 파일두부보강</v>
          </cell>
          <cell r="C183" t="str">
            <v>T=300,L=8.0M</v>
          </cell>
          <cell r="D183">
            <v>4</v>
          </cell>
          <cell r="E183" t="str">
            <v>본</v>
          </cell>
        </row>
        <row r="184">
          <cell r="B184" t="str">
            <v>7)R.B.C 분배조</v>
          </cell>
        </row>
        <row r="185">
          <cell r="B185" t="str">
            <v>콘크리트펌프카타설</v>
          </cell>
          <cell r="C185" t="str">
            <v>무근</v>
          </cell>
          <cell r="D185">
            <v>25.02</v>
          </cell>
          <cell r="E185" t="str">
            <v>m3</v>
          </cell>
        </row>
        <row r="186">
          <cell r="B186" t="str">
            <v>콘크리트펌프카타설</v>
          </cell>
          <cell r="C186" t="str">
            <v>철근</v>
          </cell>
          <cell r="D186">
            <v>123.15</v>
          </cell>
          <cell r="E186" t="str">
            <v>m3</v>
          </cell>
        </row>
        <row r="187">
          <cell r="B187" t="str">
            <v>합판거푸집</v>
          </cell>
          <cell r="C187" t="str">
            <v>6회</v>
          </cell>
          <cell r="D187">
            <v>11.34</v>
          </cell>
          <cell r="E187" t="str">
            <v>m2</v>
          </cell>
        </row>
        <row r="188">
          <cell r="B188" t="str">
            <v>합판거푸집</v>
          </cell>
          <cell r="C188" t="str">
            <v>3회</v>
          </cell>
          <cell r="D188">
            <v>200.23</v>
          </cell>
          <cell r="E188" t="str">
            <v>m2</v>
          </cell>
        </row>
        <row r="189">
          <cell r="A189">
            <v>16</v>
          </cell>
          <cell r="B189" t="str">
            <v>FORM-TIE</v>
          </cell>
          <cell r="C189" t="str">
            <v>3회 T=400</v>
          </cell>
          <cell r="D189">
            <v>139.08000000000001</v>
          </cell>
          <cell r="E189" t="str">
            <v>m2</v>
          </cell>
        </row>
        <row r="190">
          <cell r="B190" t="str">
            <v>FORM-TIE</v>
          </cell>
          <cell r="C190" t="str">
            <v>3회 T=300</v>
          </cell>
          <cell r="D190">
            <v>149.46</v>
          </cell>
          <cell r="E190" t="str">
            <v>m2</v>
          </cell>
        </row>
        <row r="191">
          <cell r="B191" t="str">
            <v>강관동바리(3개월)</v>
          </cell>
          <cell r="C191" t="str">
            <v>4.2M이하</v>
          </cell>
          <cell r="D191">
            <v>153.24</v>
          </cell>
          <cell r="E191" t="str">
            <v>공/m3</v>
          </cell>
        </row>
        <row r="192">
          <cell r="B192" t="str">
            <v>강관비계매기</v>
          </cell>
          <cell r="C192" t="str">
            <v>3개월</v>
          </cell>
          <cell r="D192">
            <v>135.44</v>
          </cell>
          <cell r="E192" t="str">
            <v>m2</v>
          </cell>
        </row>
        <row r="193">
          <cell r="B193" t="str">
            <v>모체침투성방수</v>
          </cell>
          <cell r="D193">
            <v>41.1</v>
          </cell>
          <cell r="E193" t="str">
            <v>m2</v>
          </cell>
        </row>
        <row r="194">
          <cell r="B194" t="str">
            <v>아스팔트방수</v>
          </cell>
          <cell r="C194" t="str">
            <v>2회</v>
          </cell>
          <cell r="D194">
            <v>11.39</v>
          </cell>
          <cell r="E194" t="str">
            <v>m2</v>
          </cell>
        </row>
        <row r="195">
          <cell r="B195" t="str">
            <v>에폭시방수</v>
          </cell>
          <cell r="D195">
            <v>116.2</v>
          </cell>
          <cell r="E195" t="str">
            <v>m2</v>
          </cell>
        </row>
        <row r="196">
          <cell r="B196" t="str">
            <v>지수판설치</v>
          </cell>
          <cell r="C196" t="str">
            <v>B=230,T=5MM</v>
          </cell>
          <cell r="D196">
            <v>48.75</v>
          </cell>
          <cell r="E196" t="str">
            <v>m</v>
          </cell>
        </row>
        <row r="197">
          <cell r="B197" t="str">
            <v>양 생</v>
          </cell>
          <cell r="C197" t="str">
            <v>비닐</v>
          </cell>
          <cell r="D197">
            <v>53.04</v>
          </cell>
          <cell r="E197" t="str">
            <v>m2</v>
          </cell>
        </row>
        <row r="198">
          <cell r="B198" t="str">
            <v>시공이음면정리</v>
          </cell>
          <cell r="D198">
            <v>18.87</v>
          </cell>
          <cell r="E198" t="str">
            <v>m2</v>
          </cell>
        </row>
        <row r="199">
          <cell r="B199" t="str">
            <v>사다리설치</v>
          </cell>
          <cell r="C199" t="str">
            <v>A-TYPE</v>
          </cell>
          <cell r="D199">
            <v>60</v>
          </cell>
          <cell r="E199" t="str">
            <v>EA</v>
          </cell>
        </row>
        <row r="200">
          <cell r="B200" t="str">
            <v>PVC PIPE T S 접합</v>
          </cell>
          <cell r="C200" t="str">
            <v>D=100M/M</v>
          </cell>
          <cell r="D200">
            <v>0.4</v>
          </cell>
          <cell r="E200" t="str">
            <v>m</v>
          </cell>
        </row>
        <row r="201">
          <cell r="B201" t="str">
            <v>PVC PIPE T S 접합</v>
          </cell>
          <cell r="C201" t="str">
            <v>D=150M/M</v>
          </cell>
          <cell r="D201">
            <v>9.6</v>
          </cell>
          <cell r="E201" t="str">
            <v>m</v>
          </cell>
        </row>
        <row r="202">
          <cell r="B202" t="str">
            <v>FORM-TIE 구멍채우기</v>
          </cell>
          <cell r="D202">
            <v>390</v>
          </cell>
          <cell r="E202" t="str">
            <v>EA</v>
          </cell>
        </row>
        <row r="203">
          <cell r="B203" t="str">
            <v>슬리브</v>
          </cell>
          <cell r="C203" t="str">
            <v>D=400,T=300</v>
          </cell>
          <cell r="D203">
            <v>3</v>
          </cell>
          <cell r="E203" t="str">
            <v>EA</v>
          </cell>
        </row>
        <row r="204">
          <cell r="B204" t="str">
            <v>슬리브</v>
          </cell>
          <cell r="C204" t="str">
            <v>D=250,T=300</v>
          </cell>
          <cell r="D204">
            <v>2</v>
          </cell>
          <cell r="E204" t="str">
            <v>EA</v>
          </cell>
        </row>
        <row r="205">
          <cell r="B205" t="str">
            <v>철근가공및조립</v>
          </cell>
          <cell r="C205" t="str">
            <v>복잡</v>
          </cell>
          <cell r="D205">
            <v>9.5640000000000001</v>
          </cell>
          <cell r="E205" t="str">
            <v>TON</v>
          </cell>
        </row>
        <row r="206">
          <cell r="A206">
            <v>17</v>
          </cell>
          <cell r="B206" t="str">
            <v>PC PILE항타</v>
          </cell>
          <cell r="C206" t="str">
            <v>천공후항타</v>
          </cell>
          <cell r="D206">
            <v>12</v>
          </cell>
          <cell r="E206" t="str">
            <v>본</v>
          </cell>
        </row>
        <row r="207">
          <cell r="B207" t="str">
            <v>말뚝박기용천공</v>
          </cell>
          <cell r="C207" t="str">
            <v>토사</v>
          </cell>
          <cell r="D207">
            <v>60</v>
          </cell>
          <cell r="E207" t="str">
            <v>m</v>
          </cell>
        </row>
        <row r="208">
          <cell r="B208" t="str">
            <v>PC 파일두부보강</v>
          </cell>
          <cell r="C208" t="str">
            <v>T=300,L=8.0M</v>
          </cell>
          <cell r="D208">
            <v>12</v>
          </cell>
          <cell r="E208" t="str">
            <v>본</v>
          </cell>
        </row>
        <row r="209">
          <cell r="B209" t="str">
            <v>PLATE 웨어</v>
          </cell>
          <cell r="D209">
            <v>3</v>
          </cell>
          <cell r="E209" t="str">
            <v>m</v>
          </cell>
        </row>
        <row r="210">
          <cell r="B210" t="str">
            <v>8)R.B.C 조</v>
          </cell>
        </row>
        <row r="211">
          <cell r="B211" t="str">
            <v>콘크리트펌프카타설</v>
          </cell>
          <cell r="C211" t="str">
            <v>무근</v>
          </cell>
          <cell r="D211">
            <v>119.52</v>
          </cell>
          <cell r="E211" t="str">
            <v>m3</v>
          </cell>
        </row>
        <row r="212">
          <cell r="B212" t="str">
            <v>콘크리트펌프카타설</v>
          </cell>
          <cell r="C212" t="str">
            <v>철근</v>
          </cell>
          <cell r="D212">
            <v>512.6</v>
          </cell>
          <cell r="E212" t="str">
            <v>m3</v>
          </cell>
        </row>
        <row r="213">
          <cell r="B213" t="str">
            <v>합판거푸집</v>
          </cell>
          <cell r="C213" t="str">
            <v>6회</v>
          </cell>
          <cell r="D213">
            <v>19.2</v>
          </cell>
          <cell r="E213" t="str">
            <v>m2</v>
          </cell>
        </row>
        <row r="214">
          <cell r="B214" t="str">
            <v>합판거푸집</v>
          </cell>
          <cell r="C214" t="str">
            <v>3회</v>
          </cell>
          <cell r="D214">
            <v>1793.98</v>
          </cell>
          <cell r="E214" t="str">
            <v>m2</v>
          </cell>
        </row>
        <row r="215">
          <cell r="B215" t="str">
            <v>강관비계매기</v>
          </cell>
          <cell r="C215" t="str">
            <v>3개월</v>
          </cell>
          <cell r="D215">
            <v>409.06</v>
          </cell>
          <cell r="E215" t="str">
            <v>m2</v>
          </cell>
        </row>
        <row r="216">
          <cell r="B216" t="str">
            <v>강관동바리(3개월)</v>
          </cell>
          <cell r="C216" t="str">
            <v>4.2M이하</v>
          </cell>
          <cell r="D216">
            <v>347.8</v>
          </cell>
          <cell r="E216" t="str">
            <v>공/m3</v>
          </cell>
        </row>
        <row r="217">
          <cell r="B217" t="str">
            <v>에폭시방수</v>
          </cell>
          <cell r="D217">
            <v>1076.68</v>
          </cell>
          <cell r="E217" t="str">
            <v>m2</v>
          </cell>
        </row>
        <row r="218">
          <cell r="B218" t="str">
            <v>지수판설치</v>
          </cell>
          <cell r="C218" t="str">
            <v>B=230,T=5MM</v>
          </cell>
          <cell r="D218">
            <v>159.76</v>
          </cell>
          <cell r="E218" t="str">
            <v>m</v>
          </cell>
        </row>
        <row r="219">
          <cell r="B219" t="str">
            <v>양 생</v>
          </cell>
          <cell r="C219" t="str">
            <v>비닐</v>
          </cell>
          <cell r="D219">
            <v>1023.48</v>
          </cell>
          <cell r="E219" t="str">
            <v>m2</v>
          </cell>
        </row>
        <row r="220">
          <cell r="B220" t="str">
            <v>시공이음면정리</v>
          </cell>
          <cell r="D220">
            <v>93.76</v>
          </cell>
          <cell r="E220" t="str">
            <v>m2</v>
          </cell>
        </row>
        <row r="221">
          <cell r="B221" t="str">
            <v>사다리설치</v>
          </cell>
          <cell r="C221" t="str">
            <v>A-TYPE</v>
          </cell>
          <cell r="D221">
            <v>36</v>
          </cell>
          <cell r="E221" t="str">
            <v>EA</v>
          </cell>
        </row>
        <row r="222">
          <cell r="B222" t="str">
            <v>무늬철판뚜껑</v>
          </cell>
          <cell r="C222" t="str">
            <v>850*850</v>
          </cell>
          <cell r="D222">
            <v>2</v>
          </cell>
          <cell r="E222" t="str">
            <v>EA</v>
          </cell>
        </row>
        <row r="223">
          <cell r="B223" t="str">
            <v>흙채움</v>
          </cell>
          <cell r="C223" t="str">
            <v>인력</v>
          </cell>
          <cell r="D223">
            <v>77.819999999999993</v>
          </cell>
          <cell r="E223" t="str">
            <v>m3</v>
          </cell>
        </row>
        <row r="224">
          <cell r="B224" t="str">
            <v>STOP-LOG</v>
          </cell>
          <cell r="D224">
            <v>4</v>
          </cell>
          <cell r="E224" t="str">
            <v>EA</v>
          </cell>
        </row>
        <row r="225">
          <cell r="B225" t="str">
            <v>슬리브</v>
          </cell>
          <cell r="C225" t="str">
            <v>D=200,T=300</v>
          </cell>
          <cell r="D225">
            <v>8</v>
          </cell>
          <cell r="E225" t="str">
            <v>EA</v>
          </cell>
        </row>
        <row r="226">
          <cell r="B226" t="str">
            <v>슬리브</v>
          </cell>
          <cell r="C226" t="str">
            <v>D=150,T=300</v>
          </cell>
          <cell r="D226">
            <v>2</v>
          </cell>
          <cell r="E226" t="str">
            <v>EA</v>
          </cell>
        </row>
        <row r="227">
          <cell r="B227" t="str">
            <v>슬리브</v>
          </cell>
          <cell r="C227" t="str">
            <v>D=150,T=200</v>
          </cell>
          <cell r="D227">
            <v>4</v>
          </cell>
          <cell r="E227" t="str">
            <v>EA</v>
          </cell>
        </row>
        <row r="228">
          <cell r="B228" t="str">
            <v>PVC PIPE T S 접합</v>
          </cell>
          <cell r="C228" t="str">
            <v>D=150M/M</v>
          </cell>
          <cell r="D228">
            <v>3</v>
          </cell>
          <cell r="E228" t="str">
            <v>m</v>
          </cell>
        </row>
        <row r="229">
          <cell r="B229" t="str">
            <v>철근가공및조립</v>
          </cell>
          <cell r="C229" t="str">
            <v>복잡</v>
          </cell>
          <cell r="D229">
            <v>50.387999999999998</v>
          </cell>
          <cell r="E229" t="str">
            <v>TON</v>
          </cell>
        </row>
        <row r="230">
          <cell r="B230" t="str">
            <v>PC PILE항타</v>
          </cell>
          <cell r="C230" t="str">
            <v>천공후항타</v>
          </cell>
          <cell r="D230">
            <v>12</v>
          </cell>
          <cell r="E230" t="str">
            <v>본</v>
          </cell>
        </row>
        <row r="231">
          <cell r="B231" t="str">
            <v>말뚝박기용천공</v>
          </cell>
          <cell r="C231" t="str">
            <v>토사</v>
          </cell>
          <cell r="D231">
            <v>60</v>
          </cell>
          <cell r="E231" t="str">
            <v>m</v>
          </cell>
        </row>
        <row r="232">
          <cell r="B232" t="str">
            <v>PC 파일두부보강</v>
          </cell>
          <cell r="C232" t="str">
            <v>T=400,L=9.0M</v>
          </cell>
          <cell r="D232">
            <v>108</v>
          </cell>
          <cell r="E232" t="str">
            <v>본</v>
          </cell>
        </row>
        <row r="233">
          <cell r="B233" t="str">
            <v>9)계 단 실</v>
          </cell>
        </row>
        <row r="234">
          <cell r="B234" t="str">
            <v>콘크리트펌프카타설</v>
          </cell>
          <cell r="C234" t="str">
            <v>무근</v>
          </cell>
          <cell r="D234">
            <v>16.05</v>
          </cell>
          <cell r="E234" t="str">
            <v>m3</v>
          </cell>
        </row>
        <row r="235">
          <cell r="B235" t="str">
            <v>콘크리트펌프카타설</v>
          </cell>
          <cell r="C235" t="str">
            <v>철근</v>
          </cell>
          <cell r="D235">
            <v>165.75</v>
          </cell>
          <cell r="E235" t="str">
            <v>m3</v>
          </cell>
        </row>
        <row r="236">
          <cell r="B236" t="str">
            <v>합판거푸집</v>
          </cell>
          <cell r="C236" t="str">
            <v>6회</v>
          </cell>
          <cell r="D236">
            <v>4.13</v>
          </cell>
          <cell r="E236" t="str">
            <v>m2</v>
          </cell>
        </row>
        <row r="237">
          <cell r="B237" t="str">
            <v>합판거푸집</v>
          </cell>
          <cell r="C237" t="str">
            <v>3회</v>
          </cell>
          <cell r="D237">
            <v>208</v>
          </cell>
          <cell r="E237" t="str">
            <v>m2</v>
          </cell>
        </row>
        <row r="238">
          <cell r="B238" t="str">
            <v>FORM-TIE</v>
          </cell>
          <cell r="C238" t="str">
            <v>3회 T=400</v>
          </cell>
          <cell r="D238">
            <v>425.65</v>
          </cell>
          <cell r="E238" t="str">
            <v>m2</v>
          </cell>
        </row>
        <row r="239">
          <cell r="B239" t="str">
            <v>강관동바리(3개월)</v>
          </cell>
          <cell r="C239" t="str">
            <v>4.2M이상</v>
          </cell>
          <cell r="D239">
            <v>146.69999999999999</v>
          </cell>
          <cell r="E239" t="str">
            <v>공/m3</v>
          </cell>
        </row>
        <row r="240">
          <cell r="B240" t="str">
            <v>강관동바리(3개월)</v>
          </cell>
          <cell r="C240" t="str">
            <v>4.2M이하</v>
          </cell>
          <cell r="D240">
            <v>93.22</v>
          </cell>
          <cell r="E240" t="str">
            <v>공/m3</v>
          </cell>
        </row>
        <row r="241">
          <cell r="B241" t="str">
            <v>강관비계매기</v>
          </cell>
          <cell r="C241" t="str">
            <v>3개월</v>
          </cell>
          <cell r="D241">
            <v>285.37</v>
          </cell>
          <cell r="E241" t="str">
            <v>m2</v>
          </cell>
        </row>
        <row r="242">
          <cell r="B242" t="str">
            <v>모체침투성방수</v>
          </cell>
          <cell r="D242">
            <v>61.9</v>
          </cell>
          <cell r="E242" t="str">
            <v>m2</v>
          </cell>
        </row>
        <row r="243">
          <cell r="B243" t="str">
            <v>아스팔트방수</v>
          </cell>
          <cell r="C243" t="str">
            <v>2회</v>
          </cell>
          <cell r="D243">
            <v>241.3</v>
          </cell>
          <cell r="E243" t="str">
            <v>m2</v>
          </cell>
        </row>
        <row r="244">
          <cell r="B244" t="str">
            <v>지수판설치</v>
          </cell>
          <cell r="C244" t="str">
            <v>B=230,T=5MM</v>
          </cell>
          <cell r="D244">
            <v>72.2</v>
          </cell>
          <cell r="E244" t="str">
            <v>m</v>
          </cell>
        </row>
        <row r="245">
          <cell r="B245" t="str">
            <v>양 생</v>
          </cell>
          <cell r="C245" t="str">
            <v>비닐</v>
          </cell>
          <cell r="D245">
            <v>79.33</v>
          </cell>
          <cell r="E245" t="str">
            <v>m2</v>
          </cell>
        </row>
        <row r="246">
          <cell r="B246" t="str">
            <v>시공이음면정리</v>
          </cell>
          <cell r="D246">
            <v>37.22</v>
          </cell>
          <cell r="E246" t="str">
            <v>m2</v>
          </cell>
        </row>
        <row r="247">
          <cell r="B247" t="str">
            <v>난간(STS)</v>
          </cell>
          <cell r="C247" t="str">
            <v>경사(0.9M)</v>
          </cell>
          <cell r="D247">
            <v>11.38</v>
          </cell>
          <cell r="E247" t="str">
            <v>스판</v>
          </cell>
        </row>
        <row r="248">
          <cell r="B248" t="str">
            <v>출입문설치</v>
          </cell>
          <cell r="C248" t="str">
            <v>900*2100</v>
          </cell>
          <cell r="D248">
            <v>1.89</v>
          </cell>
          <cell r="E248" t="str">
            <v>m2</v>
          </cell>
        </row>
        <row r="249">
          <cell r="B249" t="str">
            <v>FORM-TIE 구멍채우기</v>
          </cell>
          <cell r="D249">
            <v>456</v>
          </cell>
          <cell r="E249" t="str">
            <v>EA</v>
          </cell>
        </row>
        <row r="250">
          <cell r="B250" t="str">
            <v>슬리브</v>
          </cell>
          <cell r="C250" t="str">
            <v>D=400,T=400</v>
          </cell>
          <cell r="D250">
            <v>2</v>
          </cell>
          <cell r="E250" t="str">
            <v>EA</v>
          </cell>
        </row>
        <row r="251">
          <cell r="B251" t="str">
            <v>철근가공및조립</v>
          </cell>
          <cell r="C251" t="str">
            <v>복잡</v>
          </cell>
          <cell r="D251">
            <v>22.140999999999998</v>
          </cell>
          <cell r="E251" t="str">
            <v>TON</v>
          </cell>
        </row>
        <row r="252">
          <cell r="B252" t="str">
            <v>PC PILE항타</v>
          </cell>
          <cell r="C252" t="str">
            <v>천공후항타</v>
          </cell>
          <cell r="D252">
            <v>21</v>
          </cell>
          <cell r="E252" t="str">
            <v>본</v>
          </cell>
        </row>
        <row r="253">
          <cell r="B253" t="str">
            <v>말뚝박기용천공</v>
          </cell>
          <cell r="C253" t="str">
            <v>토사</v>
          </cell>
          <cell r="D253">
            <v>84</v>
          </cell>
          <cell r="E253" t="str">
            <v>m</v>
          </cell>
        </row>
        <row r="254">
          <cell r="B254" t="str">
            <v>PC 파일두부보강</v>
          </cell>
          <cell r="C254" t="str">
            <v>T=500,L=4.0M</v>
          </cell>
          <cell r="D254">
            <v>21</v>
          </cell>
          <cell r="E254" t="str">
            <v>본</v>
          </cell>
        </row>
        <row r="255">
          <cell r="B255" t="str">
            <v>10)최종침전지</v>
          </cell>
        </row>
        <row r="256">
          <cell r="B256" t="str">
            <v>콘크리트펌프카타설</v>
          </cell>
          <cell r="C256" t="str">
            <v>무근</v>
          </cell>
          <cell r="D256">
            <v>60.08</v>
          </cell>
          <cell r="E256" t="str">
            <v>m3</v>
          </cell>
        </row>
        <row r="257">
          <cell r="B257" t="str">
            <v>콘크리트펌프카타설</v>
          </cell>
          <cell r="C257" t="str">
            <v>철근</v>
          </cell>
          <cell r="D257">
            <v>297.12</v>
          </cell>
          <cell r="E257" t="str">
            <v>m3</v>
          </cell>
        </row>
        <row r="258">
          <cell r="B258" t="str">
            <v>합판거푸집</v>
          </cell>
          <cell r="C258" t="str">
            <v>6회</v>
          </cell>
          <cell r="D258">
            <v>82.12</v>
          </cell>
          <cell r="E258" t="str">
            <v>m2</v>
          </cell>
        </row>
        <row r="259">
          <cell r="B259" t="str">
            <v>합판거푸집</v>
          </cell>
          <cell r="C259" t="str">
            <v>3회</v>
          </cell>
          <cell r="D259">
            <v>32.619999999999997</v>
          </cell>
          <cell r="E259" t="str">
            <v>m2</v>
          </cell>
        </row>
        <row r="260">
          <cell r="B260" t="str">
            <v>원형거푸집</v>
          </cell>
          <cell r="C260" t="str">
            <v>3회</v>
          </cell>
          <cell r="D260">
            <v>857.96</v>
          </cell>
          <cell r="E260" t="str">
            <v>m2</v>
          </cell>
        </row>
        <row r="261">
          <cell r="B261" t="str">
            <v>강관동바리(3개월)</v>
          </cell>
          <cell r="C261" t="str">
            <v>4.2M이상</v>
          </cell>
          <cell r="D261">
            <v>149.69999999999999</v>
          </cell>
          <cell r="E261" t="str">
            <v>공/m3</v>
          </cell>
        </row>
        <row r="262">
          <cell r="B262" t="str">
            <v>강관비계매기</v>
          </cell>
          <cell r="C262" t="str">
            <v>3개월</v>
          </cell>
          <cell r="D262">
            <v>450.88</v>
          </cell>
          <cell r="E262" t="str">
            <v>m2</v>
          </cell>
        </row>
        <row r="263">
          <cell r="B263" t="str">
            <v>에폭시방수</v>
          </cell>
          <cell r="D263">
            <v>747.62</v>
          </cell>
          <cell r="E263" t="str">
            <v>m2</v>
          </cell>
        </row>
        <row r="264">
          <cell r="B264" t="str">
            <v>지수판설치</v>
          </cell>
          <cell r="C264" t="str">
            <v>B=230,T=5MM</v>
          </cell>
          <cell r="D264">
            <v>80.42</v>
          </cell>
          <cell r="E264" t="str">
            <v>m</v>
          </cell>
        </row>
        <row r="265">
          <cell r="B265" t="str">
            <v>양 생</v>
          </cell>
          <cell r="C265" t="str">
            <v>비닐</v>
          </cell>
          <cell r="D265">
            <v>110</v>
          </cell>
          <cell r="E265" t="str">
            <v>m2</v>
          </cell>
        </row>
        <row r="266">
          <cell r="B266" t="str">
            <v>시공이음면정리</v>
          </cell>
          <cell r="D266">
            <v>32.159999999999997</v>
          </cell>
          <cell r="E266" t="str">
            <v>m2</v>
          </cell>
        </row>
        <row r="267">
          <cell r="B267" t="str">
            <v>사다리설치</v>
          </cell>
          <cell r="C267" t="str">
            <v>A-TYPE</v>
          </cell>
          <cell r="D267">
            <v>14</v>
          </cell>
          <cell r="E267" t="str">
            <v>EA</v>
          </cell>
        </row>
        <row r="268">
          <cell r="B268" t="str">
            <v>철근가공및조립</v>
          </cell>
          <cell r="C268" t="str">
            <v>복잡</v>
          </cell>
          <cell r="D268">
            <v>35.357999999999997</v>
          </cell>
          <cell r="E268" t="str">
            <v>TON</v>
          </cell>
        </row>
        <row r="269">
          <cell r="B269" t="str">
            <v>V-NOTCH 웨어</v>
          </cell>
          <cell r="D269">
            <v>71</v>
          </cell>
          <cell r="E269" t="str">
            <v>m</v>
          </cell>
        </row>
        <row r="270">
          <cell r="B270" t="str">
            <v>슬리브</v>
          </cell>
          <cell r="C270" t="str">
            <v>D=250,T=200</v>
          </cell>
          <cell r="D270">
            <v>2</v>
          </cell>
          <cell r="E270" t="str">
            <v>EA</v>
          </cell>
        </row>
        <row r="271">
          <cell r="B271" t="str">
            <v>PC PILE항타</v>
          </cell>
          <cell r="C271" t="str">
            <v>천공후항타</v>
          </cell>
          <cell r="D271">
            <v>56</v>
          </cell>
          <cell r="E271" t="str">
            <v>본</v>
          </cell>
        </row>
        <row r="272">
          <cell r="B272" t="str">
            <v>말뚝박기용천공</v>
          </cell>
          <cell r="C272" t="str">
            <v>토사</v>
          </cell>
          <cell r="D272">
            <v>328</v>
          </cell>
          <cell r="E272" t="str">
            <v>m</v>
          </cell>
        </row>
        <row r="273">
          <cell r="B273" t="str">
            <v>PC 파일두부보강</v>
          </cell>
          <cell r="C273" t="str">
            <v>T=500,L=5.0M</v>
          </cell>
          <cell r="D273">
            <v>8</v>
          </cell>
          <cell r="E273" t="str">
            <v>본</v>
          </cell>
        </row>
        <row r="274">
          <cell r="A274">
            <v>21</v>
          </cell>
          <cell r="B274" t="str">
            <v>PC 파일두부보강</v>
          </cell>
          <cell r="C274" t="str">
            <v>T=500,L=6.0M</v>
          </cell>
          <cell r="D274">
            <v>48</v>
          </cell>
          <cell r="E274" t="str">
            <v>본</v>
          </cell>
        </row>
        <row r="275">
          <cell r="B275" t="str">
            <v>11)합류맨홀</v>
          </cell>
        </row>
        <row r="276">
          <cell r="B276" t="str">
            <v>레미콘타설</v>
          </cell>
          <cell r="C276" t="str">
            <v>무근구조물</v>
          </cell>
          <cell r="D276">
            <v>0.26</v>
          </cell>
          <cell r="E276" t="str">
            <v>m3</v>
          </cell>
        </row>
        <row r="277">
          <cell r="B277" t="str">
            <v>레미콘타설</v>
          </cell>
          <cell r="C277" t="str">
            <v>철근구조물</v>
          </cell>
          <cell r="D277">
            <v>2.86</v>
          </cell>
          <cell r="E277" t="str">
            <v>m3</v>
          </cell>
        </row>
        <row r="278">
          <cell r="B278" t="str">
            <v>잡석부설</v>
          </cell>
          <cell r="D278">
            <v>0.77</v>
          </cell>
          <cell r="E278" t="str">
            <v>m3</v>
          </cell>
        </row>
        <row r="279">
          <cell r="B279" t="str">
            <v>합판거푸집</v>
          </cell>
          <cell r="C279" t="str">
            <v>6회</v>
          </cell>
          <cell r="D279">
            <v>0.64</v>
          </cell>
          <cell r="E279" t="str">
            <v>m2</v>
          </cell>
        </row>
        <row r="280">
          <cell r="B280" t="str">
            <v>합판거푸집</v>
          </cell>
          <cell r="C280" t="str">
            <v>3회</v>
          </cell>
          <cell r="D280">
            <v>24.72</v>
          </cell>
          <cell r="E280" t="str">
            <v>m2</v>
          </cell>
        </row>
        <row r="281">
          <cell r="B281" t="str">
            <v>강관비계매기</v>
          </cell>
          <cell r="C281" t="str">
            <v>3개월</v>
          </cell>
          <cell r="D281">
            <v>28.08</v>
          </cell>
          <cell r="E281" t="str">
            <v>m2</v>
          </cell>
        </row>
        <row r="282">
          <cell r="B282" t="str">
            <v>사다리설치</v>
          </cell>
          <cell r="C282" t="str">
            <v>A-TYPE</v>
          </cell>
          <cell r="D282">
            <v>9</v>
          </cell>
          <cell r="E282" t="str">
            <v>EA</v>
          </cell>
        </row>
        <row r="283">
          <cell r="B283" t="str">
            <v>철근가공및조립</v>
          </cell>
          <cell r="C283" t="str">
            <v>보통</v>
          </cell>
          <cell r="D283">
            <v>0.26200000000000001</v>
          </cell>
          <cell r="E283" t="str">
            <v>TON</v>
          </cell>
        </row>
        <row r="284">
          <cell r="B284" t="str">
            <v>슬리브</v>
          </cell>
          <cell r="C284" t="str">
            <v>D=350,T=200</v>
          </cell>
          <cell r="D284">
            <v>1</v>
          </cell>
          <cell r="E284" t="str">
            <v>EA</v>
          </cell>
        </row>
        <row r="285">
          <cell r="B285" t="str">
            <v>슬리브</v>
          </cell>
          <cell r="C285" t="str">
            <v>D=250,T=200</v>
          </cell>
          <cell r="D285">
            <v>2</v>
          </cell>
          <cell r="E285" t="str">
            <v>EA</v>
          </cell>
        </row>
        <row r="286">
          <cell r="B286" t="str">
            <v>12)염소 접촉지</v>
          </cell>
        </row>
        <row r="287">
          <cell r="B287" t="str">
            <v>콘크리트펌프카타설</v>
          </cell>
          <cell r="C287" t="str">
            <v>무근</v>
          </cell>
          <cell r="D287">
            <v>1.49</v>
          </cell>
          <cell r="E287" t="str">
            <v>m3</v>
          </cell>
        </row>
        <row r="288">
          <cell r="B288" t="str">
            <v>콘크리트펌프카타설</v>
          </cell>
          <cell r="C288" t="str">
            <v>철근</v>
          </cell>
          <cell r="D288">
            <v>23.35</v>
          </cell>
          <cell r="E288" t="str">
            <v>m3</v>
          </cell>
        </row>
        <row r="289">
          <cell r="B289" t="str">
            <v>합판거푸집</v>
          </cell>
          <cell r="C289" t="str">
            <v>6회</v>
          </cell>
          <cell r="D289">
            <v>2.31</v>
          </cell>
          <cell r="E289" t="str">
            <v>m2</v>
          </cell>
        </row>
        <row r="290">
          <cell r="B290" t="str">
            <v>합판거푸집</v>
          </cell>
          <cell r="C290" t="str">
            <v>3회</v>
          </cell>
          <cell r="D290">
            <v>7.96</v>
          </cell>
          <cell r="E290" t="str">
            <v>m2</v>
          </cell>
        </row>
        <row r="291">
          <cell r="A291">
            <v>22</v>
          </cell>
          <cell r="B291" t="str">
            <v>FORM-TIE</v>
          </cell>
          <cell r="C291" t="str">
            <v>3회 T=300</v>
          </cell>
          <cell r="D291">
            <v>121.96</v>
          </cell>
          <cell r="E291" t="str">
            <v>m2</v>
          </cell>
        </row>
        <row r="292">
          <cell r="B292" t="str">
            <v>강관동바리(3개월)</v>
          </cell>
          <cell r="C292" t="str">
            <v>4.2M이하</v>
          </cell>
          <cell r="D292">
            <v>12.32</v>
          </cell>
          <cell r="E292" t="str">
            <v>공/m3</v>
          </cell>
        </row>
        <row r="293">
          <cell r="B293" t="str">
            <v>강관비계매기</v>
          </cell>
          <cell r="C293" t="str">
            <v>3개월</v>
          </cell>
          <cell r="D293">
            <v>148.91</v>
          </cell>
          <cell r="E293" t="str">
            <v>m2</v>
          </cell>
        </row>
        <row r="294">
          <cell r="B294" t="str">
            <v>에폭시방수</v>
          </cell>
          <cell r="D294">
            <v>54.16</v>
          </cell>
          <cell r="E294" t="str">
            <v>m2</v>
          </cell>
        </row>
        <row r="295">
          <cell r="B295" t="str">
            <v>지수판설치</v>
          </cell>
          <cell r="C295" t="str">
            <v>B=230,T=5MM</v>
          </cell>
          <cell r="D295">
            <v>16.7</v>
          </cell>
          <cell r="E295" t="str">
            <v>m</v>
          </cell>
        </row>
        <row r="296">
          <cell r="B296" t="str">
            <v>양 생</v>
          </cell>
          <cell r="C296" t="str">
            <v>비닐</v>
          </cell>
          <cell r="D296">
            <v>10.199999999999999</v>
          </cell>
          <cell r="E296" t="str">
            <v>m2</v>
          </cell>
        </row>
        <row r="297">
          <cell r="B297" t="str">
            <v>시공이음면정리</v>
          </cell>
          <cell r="D297">
            <v>5.01</v>
          </cell>
          <cell r="E297" t="str">
            <v>m2</v>
          </cell>
        </row>
        <row r="298">
          <cell r="B298" t="str">
            <v>FORM-TIE 구멍채우기</v>
          </cell>
          <cell r="D298">
            <v>114</v>
          </cell>
          <cell r="E298" t="str">
            <v>EA</v>
          </cell>
        </row>
        <row r="299">
          <cell r="B299" t="str">
            <v>사다리설치</v>
          </cell>
          <cell r="C299" t="str">
            <v>A-TYPE</v>
          </cell>
          <cell r="D299">
            <v>24</v>
          </cell>
          <cell r="E299" t="str">
            <v>EA</v>
          </cell>
        </row>
        <row r="300">
          <cell r="B300" t="str">
            <v>슬리브</v>
          </cell>
          <cell r="C300" t="str">
            <v>D=600,T=300</v>
          </cell>
          <cell r="D300">
            <v>3</v>
          </cell>
          <cell r="E300" t="str">
            <v>EA</v>
          </cell>
        </row>
        <row r="301">
          <cell r="B301" t="str">
            <v>슬리브</v>
          </cell>
          <cell r="C301" t="str">
            <v>D=400,T=300</v>
          </cell>
          <cell r="D301">
            <v>1</v>
          </cell>
          <cell r="E301" t="str">
            <v>EA</v>
          </cell>
        </row>
        <row r="302">
          <cell r="B302" t="str">
            <v>슬리브</v>
          </cell>
          <cell r="C302" t="str">
            <v>D=350,T=300</v>
          </cell>
          <cell r="D302">
            <v>1</v>
          </cell>
          <cell r="E302" t="str">
            <v>EA</v>
          </cell>
        </row>
        <row r="303">
          <cell r="B303" t="str">
            <v>철근가공및조립</v>
          </cell>
          <cell r="C303" t="str">
            <v>복잡</v>
          </cell>
          <cell r="D303">
            <v>3.5579999999999998</v>
          </cell>
          <cell r="E303" t="str">
            <v>TON</v>
          </cell>
        </row>
        <row r="304">
          <cell r="B304" t="str">
            <v>PVC PIPE T S 접합</v>
          </cell>
          <cell r="C304" t="str">
            <v>D=100M/M</v>
          </cell>
          <cell r="D304">
            <v>0.2</v>
          </cell>
          <cell r="E304" t="str">
            <v>m</v>
          </cell>
        </row>
        <row r="305">
          <cell r="B305" t="str">
            <v>PC PILE항타</v>
          </cell>
          <cell r="C305" t="str">
            <v>천공후항타</v>
          </cell>
          <cell r="D305">
            <v>7</v>
          </cell>
          <cell r="E305" t="str">
            <v>본</v>
          </cell>
        </row>
        <row r="306">
          <cell r="B306" t="str">
            <v>말뚝박기용천공</v>
          </cell>
          <cell r="C306" t="str">
            <v>토사</v>
          </cell>
          <cell r="D306">
            <v>53</v>
          </cell>
          <cell r="E306" t="str">
            <v>m</v>
          </cell>
        </row>
        <row r="307">
          <cell r="B307" t="str">
            <v>PC 파일두부보강</v>
          </cell>
          <cell r="C307" t="str">
            <v>T=400,L=7.0M</v>
          </cell>
          <cell r="D307">
            <v>3</v>
          </cell>
          <cell r="E307" t="str">
            <v>본</v>
          </cell>
        </row>
        <row r="308">
          <cell r="A308">
            <v>23</v>
          </cell>
          <cell r="B308" t="str">
            <v>PC 파일두부보강</v>
          </cell>
          <cell r="C308" t="str">
            <v>T=400,L=8.0M</v>
          </cell>
          <cell r="D308">
            <v>4</v>
          </cell>
          <cell r="E308" t="str">
            <v>본</v>
          </cell>
        </row>
        <row r="309">
          <cell r="B309" t="str">
            <v>13)농축조 분배조</v>
          </cell>
        </row>
        <row r="310">
          <cell r="B310" t="str">
            <v>콘크리트펌프카타설</v>
          </cell>
          <cell r="C310" t="str">
            <v>무근</v>
          </cell>
          <cell r="D310">
            <v>2.79</v>
          </cell>
          <cell r="E310" t="str">
            <v>m3</v>
          </cell>
        </row>
        <row r="311">
          <cell r="B311" t="str">
            <v>콘크리트펌프카타설</v>
          </cell>
          <cell r="C311" t="str">
            <v>철근</v>
          </cell>
          <cell r="D311">
            <v>49.69</v>
          </cell>
          <cell r="E311" t="str">
            <v>m3</v>
          </cell>
        </row>
        <row r="312">
          <cell r="B312" t="str">
            <v>합판거푸집</v>
          </cell>
          <cell r="C312" t="str">
            <v>6회</v>
          </cell>
          <cell r="D312">
            <v>1.76</v>
          </cell>
          <cell r="E312" t="str">
            <v>m2</v>
          </cell>
        </row>
        <row r="313">
          <cell r="B313" t="str">
            <v>합판거푸집</v>
          </cell>
          <cell r="C313" t="str">
            <v>3회</v>
          </cell>
          <cell r="D313">
            <v>66.08</v>
          </cell>
          <cell r="E313" t="str">
            <v>m2</v>
          </cell>
        </row>
        <row r="314">
          <cell r="B314" t="str">
            <v>FORM-TIE</v>
          </cell>
          <cell r="C314" t="str">
            <v>3회 T=300</v>
          </cell>
          <cell r="D314">
            <v>112.79</v>
          </cell>
          <cell r="E314" t="str">
            <v>m2</v>
          </cell>
        </row>
        <row r="315">
          <cell r="B315" t="str">
            <v>강관동바리(3개월)</v>
          </cell>
          <cell r="C315" t="str">
            <v>4.2M이하</v>
          </cell>
          <cell r="D315">
            <v>45.62</v>
          </cell>
          <cell r="E315" t="str">
            <v>공/m3</v>
          </cell>
        </row>
        <row r="316">
          <cell r="B316" t="str">
            <v>강관비계매기</v>
          </cell>
          <cell r="C316" t="str">
            <v>3개월</v>
          </cell>
          <cell r="D316">
            <v>152.80000000000001</v>
          </cell>
          <cell r="E316" t="str">
            <v>m2</v>
          </cell>
        </row>
        <row r="317">
          <cell r="B317" t="str">
            <v>아스팔트방수</v>
          </cell>
          <cell r="C317" t="str">
            <v>2회</v>
          </cell>
          <cell r="D317">
            <v>70.48</v>
          </cell>
          <cell r="E317" t="str">
            <v>m2</v>
          </cell>
        </row>
        <row r="318">
          <cell r="B318" t="str">
            <v>에폭시방수</v>
          </cell>
          <cell r="D318">
            <v>40.92</v>
          </cell>
          <cell r="E318" t="str">
            <v>m2</v>
          </cell>
        </row>
        <row r="319">
          <cell r="B319" t="str">
            <v>모체침투성방수</v>
          </cell>
          <cell r="D319">
            <v>10.8</v>
          </cell>
          <cell r="E319" t="str">
            <v>m2</v>
          </cell>
        </row>
        <row r="320">
          <cell r="B320" t="str">
            <v>지수판설치</v>
          </cell>
          <cell r="C320" t="str">
            <v>B=230,T=5MM</v>
          </cell>
          <cell r="D320">
            <v>22.6</v>
          </cell>
          <cell r="E320" t="str">
            <v>m</v>
          </cell>
        </row>
        <row r="321">
          <cell r="B321" t="str">
            <v>양 생</v>
          </cell>
          <cell r="C321" t="str">
            <v>비닐</v>
          </cell>
          <cell r="D321">
            <v>41.8</v>
          </cell>
          <cell r="E321" t="str">
            <v>m2</v>
          </cell>
        </row>
        <row r="322">
          <cell r="B322" t="str">
            <v>시공이음면정리</v>
          </cell>
          <cell r="D322">
            <v>9.7200000000000006</v>
          </cell>
          <cell r="E322" t="str">
            <v>m2</v>
          </cell>
        </row>
        <row r="323">
          <cell r="B323" t="str">
            <v>FORM-TIE 구멍채우기</v>
          </cell>
          <cell r="D323">
            <v>121</v>
          </cell>
          <cell r="E323" t="str">
            <v>EA</v>
          </cell>
        </row>
        <row r="324">
          <cell r="B324" t="str">
            <v>사다리설치</v>
          </cell>
          <cell r="C324" t="str">
            <v>A-TYPE</v>
          </cell>
          <cell r="D324">
            <v>23</v>
          </cell>
          <cell r="E324" t="str">
            <v>EA</v>
          </cell>
        </row>
        <row r="325">
          <cell r="A325">
            <v>24</v>
          </cell>
          <cell r="B325" t="str">
            <v>철근가공및조립</v>
          </cell>
          <cell r="C325" t="str">
            <v>복잡</v>
          </cell>
          <cell r="D325">
            <v>4.3360000000000003</v>
          </cell>
          <cell r="E325" t="str">
            <v>TON</v>
          </cell>
        </row>
        <row r="326">
          <cell r="B326" t="str">
            <v>슬리브</v>
          </cell>
          <cell r="C326" t="str">
            <v>D=200,T=400</v>
          </cell>
          <cell r="D326">
            <v>2</v>
          </cell>
          <cell r="E326" t="str">
            <v>EA</v>
          </cell>
        </row>
        <row r="327">
          <cell r="B327" t="str">
            <v>슬리브</v>
          </cell>
          <cell r="C327" t="str">
            <v>D=100,T=400</v>
          </cell>
          <cell r="D327">
            <v>2</v>
          </cell>
          <cell r="E327" t="str">
            <v>EA</v>
          </cell>
        </row>
        <row r="328">
          <cell r="B328" t="str">
            <v>PC PILE항타</v>
          </cell>
          <cell r="C328" t="str">
            <v>천공후항타</v>
          </cell>
          <cell r="D328">
            <v>6</v>
          </cell>
          <cell r="E328" t="str">
            <v>본</v>
          </cell>
        </row>
        <row r="329">
          <cell r="B329" t="str">
            <v>말뚝박기용천공</v>
          </cell>
          <cell r="C329" t="str">
            <v>토사</v>
          </cell>
          <cell r="D329">
            <v>24</v>
          </cell>
          <cell r="E329" t="str">
            <v>m</v>
          </cell>
        </row>
        <row r="330">
          <cell r="B330" t="str">
            <v>PC 파일두부보강</v>
          </cell>
          <cell r="C330" t="str">
            <v>T=400,L=7.0M</v>
          </cell>
          <cell r="D330">
            <v>6</v>
          </cell>
          <cell r="E330" t="str">
            <v>본</v>
          </cell>
        </row>
        <row r="331">
          <cell r="B331" t="str">
            <v>무늬철판뚜껑</v>
          </cell>
          <cell r="C331" t="str">
            <v>850*850</v>
          </cell>
          <cell r="D331">
            <v>1</v>
          </cell>
          <cell r="E331" t="str">
            <v>EA</v>
          </cell>
        </row>
        <row r="332">
          <cell r="B332" t="str">
            <v>무늬철판뚜껑</v>
          </cell>
          <cell r="C332" t="str">
            <v>650*1050</v>
          </cell>
          <cell r="D332">
            <v>2</v>
          </cell>
          <cell r="E332" t="str">
            <v>EA</v>
          </cell>
        </row>
        <row r="333">
          <cell r="B333" t="str">
            <v>14)농축조</v>
          </cell>
        </row>
        <row r="334">
          <cell r="B334" t="str">
            <v>콘크리트펌프카타설</v>
          </cell>
          <cell r="C334" t="str">
            <v>무근</v>
          </cell>
          <cell r="D334">
            <v>7.2</v>
          </cell>
          <cell r="E334" t="str">
            <v>m3</v>
          </cell>
        </row>
        <row r="335">
          <cell r="B335" t="str">
            <v>콘크리트펌프카타설</v>
          </cell>
          <cell r="C335" t="str">
            <v>철근</v>
          </cell>
          <cell r="D335">
            <v>46.8</v>
          </cell>
          <cell r="E335" t="str">
            <v>m3</v>
          </cell>
        </row>
        <row r="336">
          <cell r="B336" t="str">
            <v>합판거푸집</v>
          </cell>
          <cell r="C336" t="str">
            <v>6회</v>
          </cell>
          <cell r="D336">
            <v>1.22</v>
          </cell>
          <cell r="E336" t="str">
            <v>m2</v>
          </cell>
        </row>
        <row r="337">
          <cell r="B337" t="str">
            <v>합판거푸집</v>
          </cell>
          <cell r="C337" t="str">
            <v>3회</v>
          </cell>
          <cell r="D337">
            <v>27.32</v>
          </cell>
          <cell r="E337" t="str">
            <v>m2</v>
          </cell>
        </row>
        <row r="338">
          <cell r="B338" t="str">
            <v>원형거푸집</v>
          </cell>
          <cell r="C338" t="str">
            <v>3회</v>
          </cell>
          <cell r="D338">
            <v>857.96</v>
          </cell>
          <cell r="E338" t="str">
            <v>m2</v>
          </cell>
        </row>
        <row r="339">
          <cell r="B339" t="str">
            <v>강관동바리(3개월)</v>
          </cell>
          <cell r="C339" t="str">
            <v>4.2M이상</v>
          </cell>
          <cell r="D339">
            <v>15.68</v>
          </cell>
          <cell r="E339" t="str">
            <v>공/m3</v>
          </cell>
        </row>
        <row r="340">
          <cell r="B340" t="str">
            <v>강관비계매기</v>
          </cell>
          <cell r="C340" t="str">
            <v>3개월</v>
          </cell>
          <cell r="D340">
            <v>205.18</v>
          </cell>
          <cell r="E340" t="str">
            <v>m2</v>
          </cell>
        </row>
        <row r="341">
          <cell r="B341" t="str">
            <v>에폭시방수</v>
          </cell>
          <cell r="D341">
            <v>100.46</v>
          </cell>
          <cell r="E341" t="str">
            <v>m2</v>
          </cell>
        </row>
        <row r="342">
          <cell r="B342" t="str">
            <v>지수판설치</v>
          </cell>
          <cell r="C342" t="str">
            <v>B=230,T=5MM</v>
          </cell>
          <cell r="D342">
            <v>19.8</v>
          </cell>
          <cell r="E342" t="str">
            <v>m</v>
          </cell>
        </row>
        <row r="343">
          <cell r="B343" t="str">
            <v>양 생</v>
          </cell>
          <cell r="C343" t="str">
            <v>비닐</v>
          </cell>
          <cell r="D343">
            <v>19.239999999999998</v>
          </cell>
          <cell r="E343" t="str">
            <v>m2</v>
          </cell>
        </row>
        <row r="344">
          <cell r="B344" t="str">
            <v>시공이음면정리</v>
          </cell>
          <cell r="D344">
            <v>6.92</v>
          </cell>
          <cell r="E344" t="str">
            <v>m2</v>
          </cell>
        </row>
        <row r="345">
          <cell r="B345" t="str">
            <v>BAFFLE 웨어</v>
          </cell>
          <cell r="D345">
            <v>9.42</v>
          </cell>
          <cell r="E345" t="str">
            <v>m</v>
          </cell>
        </row>
        <row r="346">
          <cell r="B346" t="str">
            <v>PLATE 웨어</v>
          </cell>
          <cell r="D346">
            <v>12.56</v>
          </cell>
          <cell r="E346" t="str">
            <v>m</v>
          </cell>
        </row>
        <row r="347">
          <cell r="B347" t="str">
            <v>사다리설치</v>
          </cell>
          <cell r="C347" t="str">
            <v>A-TYPE</v>
          </cell>
          <cell r="D347">
            <v>12</v>
          </cell>
          <cell r="E347" t="str">
            <v>EA</v>
          </cell>
        </row>
        <row r="348">
          <cell r="B348" t="str">
            <v>슬리브</v>
          </cell>
          <cell r="C348" t="str">
            <v>D=100,T=350</v>
          </cell>
          <cell r="D348">
            <v>2</v>
          </cell>
          <cell r="E348" t="str">
            <v>EA</v>
          </cell>
        </row>
        <row r="349">
          <cell r="B349" t="str">
            <v>슬리브</v>
          </cell>
          <cell r="C349" t="str">
            <v>D=100,T=200</v>
          </cell>
          <cell r="D349">
            <v>2</v>
          </cell>
          <cell r="E349" t="str">
            <v>EA</v>
          </cell>
        </row>
        <row r="350">
          <cell r="B350" t="str">
            <v>슬리브</v>
          </cell>
          <cell r="C350" t="str">
            <v>D=200,T=350</v>
          </cell>
          <cell r="D350">
            <v>2</v>
          </cell>
          <cell r="E350" t="str">
            <v>EA</v>
          </cell>
        </row>
        <row r="351">
          <cell r="B351" t="str">
            <v>철근가공및조립</v>
          </cell>
          <cell r="C351" t="str">
            <v>복잡</v>
          </cell>
          <cell r="D351">
            <v>4.91</v>
          </cell>
          <cell r="E351" t="str">
            <v>TON</v>
          </cell>
        </row>
        <row r="352">
          <cell r="B352" t="str">
            <v>PC PILE항타</v>
          </cell>
          <cell r="C352" t="str">
            <v>천공후항타</v>
          </cell>
          <cell r="D352">
            <v>8</v>
          </cell>
          <cell r="E352" t="str">
            <v>본</v>
          </cell>
        </row>
        <row r="353">
          <cell r="B353" t="str">
            <v>말뚝박기용천공</v>
          </cell>
          <cell r="C353" t="str">
            <v>토사</v>
          </cell>
          <cell r="D353">
            <v>48</v>
          </cell>
          <cell r="E353" t="str">
            <v>m</v>
          </cell>
        </row>
        <row r="354">
          <cell r="B354" t="str">
            <v>PC 파일두부보강</v>
          </cell>
          <cell r="C354" t="str">
            <v>T=400,L=6.0M</v>
          </cell>
          <cell r="D354">
            <v>8</v>
          </cell>
          <cell r="E354" t="str">
            <v>본</v>
          </cell>
        </row>
        <row r="355">
          <cell r="B355" t="str">
            <v>15)공동구</v>
          </cell>
        </row>
        <row r="356">
          <cell r="B356" t="str">
            <v>레미콘타설</v>
          </cell>
          <cell r="C356" t="str">
            <v>무근구조물</v>
          </cell>
          <cell r="D356">
            <v>57.17</v>
          </cell>
          <cell r="E356" t="str">
            <v>m3</v>
          </cell>
        </row>
        <row r="357">
          <cell r="B357" t="str">
            <v>레미콘타설</v>
          </cell>
          <cell r="C357" t="str">
            <v>철근구조물</v>
          </cell>
          <cell r="D357">
            <v>545.04</v>
          </cell>
          <cell r="E357" t="str">
            <v>m3</v>
          </cell>
        </row>
        <row r="358">
          <cell r="B358" t="str">
            <v>합판거푸집</v>
          </cell>
          <cell r="C358" t="str">
            <v>6회</v>
          </cell>
          <cell r="D358">
            <v>18.89</v>
          </cell>
          <cell r="E358" t="str">
            <v>m2</v>
          </cell>
        </row>
        <row r="359">
          <cell r="A359">
            <v>26</v>
          </cell>
          <cell r="B359" t="str">
            <v>합판거푸집</v>
          </cell>
          <cell r="C359" t="str">
            <v>3회</v>
          </cell>
          <cell r="D359">
            <v>605.27</v>
          </cell>
          <cell r="E359" t="str">
            <v>m2</v>
          </cell>
        </row>
        <row r="360">
          <cell r="B360" t="str">
            <v>FORM-TIE</v>
          </cell>
          <cell r="C360" t="str">
            <v>3회 T=400</v>
          </cell>
          <cell r="D360">
            <v>1114.92</v>
          </cell>
          <cell r="E360" t="str">
            <v>m2</v>
          </cell>
        </row>
        <row r="361">
          <cell r="B361" t="str">
            <v>강관동바리(3개월)</v>
          </cell>
          <cell r="C361" t="str">
            <v>4.2M이하</v>
          </cell>
          <cell r="D361">
            <v>814.86</v>
          </cell>
          <cell r="E361" t="str">
            <v>공/m3</v>
          </cell>
        </row>
        <row r="362">
          <cell r="B362" t="str">
            <v>강관비계매기</v>
          </cell>
          <cell r="C362" t="str">
            <v>3개월</v>
          </cell>
          <cell r="D362">
            <v>766.56</v>
          </cell>
          <cell r="E362" t="str">
            <v>m2</v>
          </cell>
        </row>
        <row r="363">
          <cell r="B363" t="str">
            <v>모체침투성방수</v>
          </cell>
          <cell r="D363">
            <v>270.26</v>
          </cell>
          <cell r="E363" t="str">
            <v>m2</v>
          </cell>
        </row>
        <row r="364">
          <cell r="B364" t="str">
            <v>아스팔트방수</v>
          </cell>
          <cell r="C364" t="str">
            <v>2회</v>
          </cell>
          <cell r="D364">
            <v>1077.6500000000001</v>
          </cell>
          <cell r="E364" t="str">
            <v>m2</v>
          </cell>
        </row>
        <row r="365">
          <cell r="B365" t="str">
            <v>지수판설치</v>
          </cell>
          <cell r="C365" t="str">
            <v>B=230,T=5MM</v>
          </cell>
          <cell r="D365">
            <v>309.88</v>
          </cell>
          <cell r="E365" t="str">
            <v>m</v>
          </cell>
        </row>
        <row r="366">
          <cell r="B366" t="str">
            <v>양 생</v>
          </cell>
          <cell r="C366" t="str">
            <v>비닐</v>
          </cell>
          <cell r="D366">
            <v>676.58</v>
          </cell>
          <cell r="E366" t="str">
            <v>m2</v>
          </cell>
        </row>
        <row r="367">
          <cell r="B367" t="str">
            <v>시공이음면정리</v>
          </cell>
          <cell r="D367">
            <v>74.95</v>
          </cell>
          <cell r="E367" t="str">
            <v>m2</v>
          </cell>
        </row>
        <row r="368">
          <cell r="B368" t="str">
            <v>FORM-TIE 구멍채우기</v>
          </cell>
          <cell r="D368">
            <v>1042</v>
          </cell>
          <cell r="E368" t="str">
            <v>EA</v>
          </cell>
        </row>
        <row r="369">
          <cell r="B369" t="str">
            <v>철근가공및조립</v>
          </cell>
          <cell r="C369" t="str">
            <v>복잡</v>
          </cell>
          <cell r="D369">
            <v>50.087000000000003</v>
          </cell>
          <cell r="E369" t="str">
            <v>TON</v>
          </cell>
        </row>
        <row r="370">
          <cell r="B370" t="str">
            <v>슬리브</v>
          </cell>
          <cell r="C370" t="str">
            <v>D=100,T=400</v>
          </cell>
          <cell r="D370">
            <v>2</v>
          </cell>
          <cell r="E370" t="str">
            <v>EA</v>
          </cell>
        </row>
        <row r="371">
          <cell r="B371" t="str">
            <v>JOINT-FILLER</v>
          </cell>
          <cell r="C371" t="str">
            <v>T=20M/M</v>
          </cell>
          <cell r="D371">
            <v>51.5</v>
          </cell>
          <cell r="E371" t="str">
            <v>m2</v>
          </cell>
        </row>
        <row r="372">
          <cell r="B372" t="str">
            <v>실런트</v>
          </cell>
          <cell r="C372" t="str">
            <v>T=20M/M</v>
          </cell>
          <cell r="D372">
            <v>264.60000000000002</v>
          </cell>
          <cell r="E372" t="str">
            <v>m</v>
          </cell>
        </row>
        <row r="373">
          <cell r="B373" t="str">
            <v>PC PILE항타</v>
          </cell>
          <cell r="C373" t="str">
            <v>천공후항타</v>
          </cell>
          <cell r="D373">
            <v>81</v>
          </cell>
          <cell r="E373" t="str">
            <v>본</v>
          </cell>
        </row>
        <row r="374">
          <cell r="B374" t="str">
            <v>말뚝박기용천공</v>
          </cell>
          <cell r="C374" t="str">
            <v>토사</v>
          </cell>
          <cell r="D374">
            <v>397</v>
          </cell>
          <cell r="E374" t="str">
            <v>m</v>
          </cell>
        </row>
        <row r="375">
          <cell r="B375" t="str">
            <v>PC 파일두부보강</v>
          </cell>
          <cell r="C375" t="str">
            <v>T=500,L=4.0M</v>
          </cell>
          <cell r="D375">
            <v>8</v>
          </cell>
          <cell r="E375" t="str">
            <v>본</v>
          </cell>
        </row>
        <row r="376">
          <cell r="A376">
            <v>27</v>
          </cell>
          <cell r="B376" t="str">
            <v>PC 파일두부보강</v>
          </cell>
          <cell r="C376" t="str">
            <v>T=500,L=5.0M</v>
          </cell>
          <cell r="D376">
            <v>73</v>
          </cell>
          <cell r="E376" t="str">
            <v>본</v>
          </cell>
        </row>
        <row r="377">
          <cell r="B377" t="str">
            <v>16)구내배관</v>
          </cell>
        </row>
        <row r="378">
          <cell r="B378" t="str">
            <v>레미콘타설</v>
          </cell>
          <cell r="C378" t="str">
            <v>무근구조물</v>
          </cell>
          <cell r="D378">
            <v>47.22</v>
          </cell>
          <cell r="E378" t="str">
            <v>m3</v>
          </cell>
        </row>
        <row r="379">
          <cell r="B379" t="str">
            <v>합판거푸집</v>
          </cell>
          <cell r="C379" t="str">
            <v>6회</v>
          </cell>
          <cell r="D379">
            <v>210.37</v>
          </cell>
          <cell r="E379" t="str">
            <v>m2</v>
          </cell>
        </row>
        <row r="380">
          <cell r="B380" t="str">
            <v>잡석부설</v>
          </cell>
          <cell r="D380">
            <v>9.2200000000000006</v>
          </cell>
          <cell r="E380" t="str">
            <v>m3</v>
          </cell>
        </row>
        <row r="381">
          <cell r="B381" t="str">
            <v>K-P 메카니칼 접합</v>
          </cell>
          <cell r="C381" t="str">
            <v>D=100mm(인력)</v>
          </cell>
          <cell r="D381">
            <v>9.6</v>
          </cell>
          <cell r="E381" t="str">
            <v>개소</v>
          </cell>
        </row>
        <row r="382">
          <cell r="B382" t="str">
            <v>K-P 메카니칼 접합</v>
          </cell>
          <cell r="C382" t="str">
            <v>D=150mm(인력)</v>
          </cell>
          <cell r="D382">
            <v>8.1999999999999993</v>
          </cell>
          <cell r="E382" t="str">
            <v>개소</v>
          </cell>
        </row>
        <row r="383">
          <cell r="B383" t="str">
            <v>K-P 메카니칼 접합</v>
          </cell>
          <cell r="C383" t="str">
            <v>D=200mm(기계)</v>
          </cell>
          <cell r="D383">
            <v>2.2999999999999998</v>
          </cell>
          <cell r="E383" t="str">
            <v>개소</v>
          </cell>
        </row>
        <row r="384">
          <cell r="B384" t="str">
            <v>K-P 메카니칼 접합</v>
          </cell>
          <cell r="C384" t="str">
            <v>D=250mm(기계)</v>
          </cell>
          <cell r="D384">
            <v>12.8</v>
          </cell>
          <cell r="E384" t="str">
            <v>개소</v>
          </cell>
        </row>
        <row r="385">
          <cell r="B385" t="str">
            <v>K-P 메카니칼 접합</v>
          </cell>
          <cell r="C385" t="str">
            <v>D=300mm(기계)</v>
          </cell>
          <cell r="D385">
            <v>5.7</v>
          </cell>
          <cell r="E385" t="str">
            <v>개소</v>
          </cell>
        </row>
        <row r="386">
          <cell r="B386" t="str">
            <v>K-P 메카니칼 접합</v>
          </cell>
          <cell r="C386" t="str">
            <v>D=350mm(기계)</v>
          </cell>
          <cell r="D386">
            <v>6.3</v>
          </cell>
          <cell r="E386" t="str">
            <v>개소</v>
          </cell>
        </row>
        <row r="387">
          <cell r="B387" t="str">
            <v>K-P 메카니칼 접합</v>
          </cell>
          <cell r="C387" t="str">
            <v>D=400mm(기계)</v>
          </cell>
          <cell r="D387">
            <v>24</v>
          </cell>
          <cell r="E387" t="str">
            <v>개소</v>
          </cell>
        </row>
        <row r="388">
          <cell r="B388" t="str">
            <v>K-P 메카니칼 접합</v>
          </cell>
          <cell r="C388" t="str">
            <v>D=500mm(기계)</v>
          </cell>
          <cell r="D388">
            <v>5.8</v>
          </cell>
          <cell r="E388" t="str">
            <v>개소</v>
          </cell>
        </row>
        <row r="389">
          <cell r="B389" t="str">
            <v>K-P 메카니칼 접합</v>
          </cell>
          <cell r="C389" t="str">
            <v>D=600mm(기계)</v>
          </cell>
          <cell r="D389">
            <v>7.7</v>
          </cell>
          <cell r="E389" t="str">
            <v>개소</v>
          </cell>
        </row>
        <row r="390">
          <cell r="B390" t="str">
            <v>3.부대공</v>
          </cell>
        </row>
        <row r="391">
          <cell r="B391" t="str">
            <v>1)우수공</v>
          </cell>
        </row>
        <row r="392">
          <cell r="B392" t="str">
            <v>레미콘타설</v>
          </cell>
          <cell r="C392" t="str">
            <v>무근구조물</v>
          </cell>
          <cell r="D392">
            <v>71.13</v>
          </cell>
          <cell r="E392" t="str">
            <v>m3</v>
          </cell>
        </row>
        <row r="393">
          <cell r="A393">
            <v>28</v>
          </cell>
          <cell r="B393" t="str">
            <v>레미콘타설</v>
          </cell>
          <cell r="C393" t="str">
            <v>철근구조물</v>
          </cell>
          <cell r="D393">
            <v>20.853000000000002</v>
          </cell>
          <cell r="E393" t="str">
            <v>m3</v>
          </cell>
        </row>
        <row r="394">
          <cell r="B394" t="str">
            <v>합판거푸집</v>
          </cell>
          <cell r="C394" t="str">
            <v>6회</v>
          </cell>
          <cell r="D394">
            <v>9.5990000000000002</v>
          </cell>
          <cell r="E394" t="str">
            <v>m2</v>
          </cell>
        </row>
        <row r="395">
          <cell r="B395" t="str">
            <v>합판거푸집</v>
          </cell>
          <cell r="C395" t="str">
            <v>4회</v>
          </cell>
          <cell r="D395">
            <v>323.93900000000002</v>
          </cell>
          <cell r="E395" t="str">
            <v>m2</v>
          </cell>
        </row>
        <row r="396">
          <cell r="B396" t="str">
            <v>합판거푸집</v>
          </cell>
          <cell r="C396" t="str">
            <v>3회</v>
          </cell>
          <cell r="D396">
            <v>45.82</v>
          </cell>
          <cell r="E396" t="str">
            <v>m2</v>
          </cell>
        </row>
        <row r="397">
          <cell r="B397" t="str">
            <v>P.E원형맨홀거푸집</v>
          </cell>
          <cell r="C397" t="str">
            <v>D=900,H=1.74M</v>
          </cell>
          <cell r="D397">
            <v>21</v>
          </cell>
          <cell r="E397" t="str">
            <v>개소</v>
          </cell>
        </row>
        <row r="398">
          <cell r="B398" t="str">
            <v>P.E원형맨홀거푸집</v>
          </cell>
          <cell r="C398" t="str">
            <v>D=1200,H=3.69M</v>
          </cell>
          <cell r="D398">
            <v>1</v>
          </cell>
          <cell r="E398" t="str">
            <v>개소</v>
          </cell>
        </row>
        <row r="399">
          <cell r="B399" t="str">
            <v>흄관접합부설(인력)</v>
          </cell>
          <cell r="C399" t="str">
            <v>D=250M/M</v>
          </cell>
          <cell r="D399">
            <v>150</v>
          </cell>
          <cell r="E399" t="str">
            <v>m</v>
          </cell>
        </row>
        <row r="400">
          <cell r="B400" t="str">
            <v>흄관접합부설(인력)</v>
          </cell>
          <cell r="C400" t="str">
            <v>D=300M/M</v>
          </cell>
          <cell r="D400">
            <v>150</v>
          </cell>
          <cell r="E400" t="str">
            <v>m</v>
          </cell>
        </row>
        <row r="401">
          <cell r="B401" t="str">
            <v>흄관접합부설(인력)</v>
          </cell>
          <cell r="C401" t="str">
            <v>D=450M/M</v>
          </cell>
          <cell r="D401">
            <v>556.5</v>
          </cell>
          <cell r="E401" t="str">
            <v>m</v>
          </cell>
        </row>
        <row r="402">
          <cell r="B402" t="str">
            <v>흄관접합부설(인력)</v>
          </cell>
          <cell r="C402" t="str">
            <v>D=600M/M</v>
          </cell>
          <cell r="D402">
            <v>92.5</v>
          </cell>
          <cell r="E402" t="str">
            <v>m</v>
          </cell>
        </row>
        <row r="403">
          <cell r="B403" t="str">
            <v>PVC PIPE T S 접합</v>
          </cell>
          <cell r="C403" t="str">
            <v>D=150mm</v>
          </cell>
          <cell r="D403">
            <v>71</v>
          </cell>
          <cell r="E403" t="str">
            <v>m</v>
          </cell>
        </row>
        <row r="404">
          <cell r="B404" t="str">
            <v>철근가공및조립</v>
          </cell>
          <cell r="C404" t="str">
            <v>보통</v>
          </cell>
          <cell r="D404">
            <v>2.613</v>
          </cell>
          <cell r="E404" t="str">
            <v>TON</v>
          </cell>
        </row>
        <row r="405">
          <cell r="B405" t="str">
            <v>철근가공및조립</v>
          </cell>
          <cell r="C405" t="str">
            <v>복잡</v>
          </cell>
          <cell r="D405">
            <v>1.31</v>
          </cell>
          <cell r="E405" t="str">
            <v>TON</v>
          </cell>
        </row>
        <row r="406">
          <cell r="B406" t="str">
            <v>맨홀사다리설치</v>
          </cell>
          <cell r="C406" t="str">
            <v>D=19M/M</v>
          </cell>
          <cell r="D406">
            <v>138</v>
          </cell>
          <cell r="E406" t="str">
            <v>EA</v>
          </cell>
        </row>
        <row r="407">
          <cell r="B407" t="str">
            <v>맨홀뚜껑설치</v>
          </cell>
          <cell r="C407" t="str">
            <v>D=648M/M</v>
          </cell>
          <cell r="D407">
            <v>22</v>
          </cell>
          <cell r="E407" t="str">
            <v>EA</v>
          </cell>
        </row>
        <row r="408">
          <cell r="B408" t="str">
            <v>잡석부설</v>
          </cell>
          <cell r="D408">
            <v>14.478</v>
          </cell>
          <cell r="E408" t="str">
            <v>m3</v>
          </cell>
        </row>
        <row r="409">
          <cell r="B409" t="str">
            <v>PE차단식홈통받이</v>
          </cell>
          <cell r="D409">
            <v>7</v>
          </cell>
          <cell r="E409" t="str">
            <v>EA</v>
          </cell>
        </row>
        <row r="410">
          <cell r="A410">
            <v>29</v>
          </cell>
          <cell r="B410" t="str">
            <v>시공이음면정리</v>
          </cell>
          <cell r="D410">
            <v>74.95</v>
          </cell>
          <cell r="E410" t="str">
            <v>m2</v>
          </cell>
        </row>
        <row r="411">
          <cell r="B411" t="str">
            <v>양생</v>
          </cell>
          <cell r="C411" t="str">
            <v>비닐</v>
          </cell>
          <cell r="D411">
            <v>25.9</v>
          </cell>
          <cell r="E411" t="str">
            <v>m2</v>
          </cell>
        </row>
        <row r="412">
          <cell r="B412" t="str">
            <v>2)오수공</v>
          </cell>
        </row>
        <row r="413">
          <cell r="B413" t="str">
            <v>레미콘타설</v>
          </cell>
          <cell r="C413" t="str">
            <v>무근구조물</v>
          </cell>
          <cell r="D413">
            <v>39.789000000000001</v>
          </cell>
          <cell r="E413" t="str">
            <v>m3</v>
          </cell>
        </row>
        <row r="414">
          <cell r="B414" t="str">
            <v>레미콘타설</v>
          </cell>
          <cell r="C414" t="str">
            <v>철근구조물</v>
          </cell>
          <cell r="D414">
            <v>2.512</v>
          </cell>
          <cell r="E414" t="str">
            <v>m3</v>
          </cell>
        </row>
        <row r="415">
          <cell r="B415" t="str">
            <v>합판거푸집</v>
          </cell>
          <cell r="C415" t="str">
            <v>6회</v>
          </cell>
          <cell r="D415">
            <v>1.7729999999999999</v>
          </cell>
          <cell r="E415" t="str">
            <v>m2</v>
          </cell>
        </row>
        <row r="416">
          <cell r="B416" t="str">
            <v>합판거푸집</v>
          </cell>
          <cell r="C416" t="str">
            <v>4회</v>
          </cell>
          <cell r="D416">
            <v>95.813999999999993</v>
          </cell>
          <cell r="E416" t="str">
            <v>m2</v>
          </cell>
        </row>
        <row r="417">
          <cell r="B417" t="str">
            <v>PE원형맨홀거푸집</v>
          </cell>
          <cell r="C417" t="str">
            <v>D=900,H=2.6M</v>
          </cell>
          <cell r="D417">
            <v>16</v>
          </cell>
          <cell r="E417" t="str">
            <v>m2</v>
          </cell>
        </row>
        <row r="418">
          <cell r="B418" t="str">
            <v>PE관접합부설(융착)</v>
          </cell>
          <cell r="C418" t="str">
            <v>D=100M/M</v>
          </cell>
          <cell r="D418">
            <v>25</v>
          </cell>
          <cell r="E418" t="str">
            <v>m</v>
          </cell>
        </row>
        <row r="419">
          <cell r="B419" t="str">
            <v>PE관접합부설(융착)</v>
          </cell>
          <cell r="C419" t="str">
            <v>D=200M/M</v>
          </cell>
          <cell r="D419">
            <v>174</v>
          </cell>
          <cell r="E419" t="str">
            <v>m</v>
          </cell>
        </row>
        <row r="420">
          <cell r="B420" t="str">
            <v>PE관접합부설(융착)</v>
          </cell>
          <cell r="C420" t="str">
            <v>D=250M/M</v>
          </cell>
          <cell r="D420">
            <v>265</v>
          </cell>
          <cell r="E420" t="str">
            <v>m</v>
          </cell>
        </row>
        <row r="421">
          <cell r="B421" t="str">
            <v>철근가공및조립</v>
          </cell>
          <cell r="C421" t="str">
            <v>보통</v>
          </cell>
          <cell r="D421">
            <v>0.57899999999999996</v>
          </cell>
          <cell r="E421" t="str">
            <v>TON</v>
          </cell>
        </row>
        <row r="422">
          <cell r="B422" t="str">
            <v>맨홀사다리설치</v>
          </cell>
          <cell r="C422" t="str">
            <v>D=19M/M</v>
          </cell>
          <cell r="D422">
            <v>112</v>
          </cell>
          <cell r="E422" t="str">
            <v>EA</v>
          </cell>
        </row>
        <row r="423">
          <cell r="B423" t="str">
            <v>맨홀뚜껑설치</v>
          </cell>
          <cell r="C423" t="str">
            <v>D=648M/M</v>
          </cell>
          <cell r="D423">
            <v>16</v>
          </cell>
          <cell r="E423" t="str">
            <v>EA</v>
          </cell>
        </row>
        <row r="424">
          <cell r="B424" t="str">
            <v>잡석부설</v>
          </cell>
          <cell r="D424">
            <v>8.1440000000000001</v>
          </cell>
          <cell r="E424" t="str">
            <v>m3</v>
          </cell>
        </row>
        <row r="425">
          <cell r="B425" t="str">
            <v>3)상수도공</v>
          </cell>
        </row>
        <row r="426">
          <cell r="B426" t="str">
            <v>레미콘타설</v>
          </cell>
          <cell r="C426" t="str">
            <v>철근구조물</v>
          </cell>
          <cell r="D426">
            <v>2.5</v>
          </cell>
          <cell r="E426" t="str">
            <v>m3</v>
          </cell>
        </row>
        <row r="427">
          <cell r="B427" t="str">
            <v>레미콘타설</v>
          </cell>
          <cell r="C427" t="str">
            <v>무근구조물</v>
          </cell>
          <cell r="D427">
            <v>0.35</v>
          </cell>
          <cell r="E427" t="str">
            <v>m3</v>
          </cell>
        </row>
        <row r="428">
          <cell r="B428" t="str">
            <v>합판거푸집</v>
          </cell>
          <cell r="C428" t="str">
            <v>6회</v>
          </cell>
          <cell r="D428">
            <v>0.76</v>
          </cell>
          <cell r="E428" t="str">
            <v>m2</v>
          </cell>
        </row>
        <row r="429">
          <cell r="B429" t="str">
            <v>합판거푸집</v>
          </cell>
          <cell r="C429" t="str">
            <v>3회</v>
          </cell>
          <cell r="D429">
            <v>27.6</v>
          </cell>
          <cell r="E429" t="str">
            <v>m2</v>
          </cell>
        </row>
        <row r="430">
          <cell r="B430" t="str">
            <v>시공이음면정리</v>
          </cell>
          <cell r="D430">
            <v>0.83</v>
          </cell>
          <cell r="E430" t="str">
            <v>m2</v>
          </cell>
        </row>
        <row r="431">
          <cell r="B431" t="str">
            <v>철근가공및조립</v>
          </cell>
          <cell r="C431" t="str">
            <v>보통</v>
          </cell>
          <cell r="D431">
            <v>0.20899999999999999</v>
          </cell>
          <cell r="E431" t="str">
            <v>TON</v>
          </cell>
        </row>
        <row r="432">
          <cell r="B432" t="str">
            <v>양생</v>
          </cell>
          <cell r="C432" t="str">
            <v>비닐</v>
          </cell>
          <cell r="D432">
            <v>2.73</v>
          </cell>
          <cell r="E432" t="str">
            <v>m2</v>
          </cell>
        </row>
        <row r="433">
          <cell r="B433" t="str">
            <v>강관동바리(3개월)</v>
          </cell>
          <cell r="C433" t="str">
            <v>4.2M이하</v>
          </cell>
          <cell r="D433">
            <v>1.44</v>
          </cell>
          <cell r="E433" t="str">
            <v>공/m3</v>
          </cell>
        </row>
        <row r="434">
          <cell r="B434" t="str">
            <v>무늬철판뚜껑</v>
          </cell>
          <cell r="C434" t="str">
            <v>850*850</v>
          </cell>
          <cell r="D434">
            <v>1</v>
          </cell>
          <cell r="E434" t="str">
            <v>EA</v>
          </cell>
        </row>
        <row r="435">
          <cell r="B435" t="str">
            <v>지수판설치</v>
          </cell>
          <cell r="C435" t="str">
            <v>B=230,T=5MM</v>
          </cell>
          <cell r="D435">
            <v>6.2</v>
          </cell>
          <cell r="E435" t="str">
            <v>m</v>
          </cell>
        </row>
        <row r="436">
          <cell r="B436" t="str">
            <v>PE관접합부설(융착)</v>
          </cell>
          <cell r="C436" t="str">
            <v>D=16M/M</v>
          </cell>
          <cell r="D436">
            <v>18</v>
          </cell>
          <cell r="E436" t="str">
            <v>m</v>
          </cell>
        </row>
        <row r="437">
          <cell r="B437" t="str">
            <v>PE관접합부설(융착)</v>
          </cell>
          <cell r="C437" t="str">
            <v>D=25M/M</v>
          </cell>
          <cell r="D437">
            <v>123</v>
          </cell>
          <cell r="E437" t="str">
            <v>m</v>
          </cell>
        </row>
        <row r="438">
          <cell r="B438" t="str">
            <v>PE관접합부설(융착)</v>
          </cell>
          <cell r="C438" t="str">
            <v>D=40M/M</v>
          </cell>
          <cell r="D438">
            <v>76</v>
          </cell>
          <cell r="E438" t="str">
            <v>m</v>
          </cell>
        </row>
        <row r="439">
          <cell r="B439" t="str">
            <v>PE관접합부설(융착)</v>
          </cell>
          <cell r="C439" t="str">
            <v>D=50M/M</v>
          </cell>
          <cell r="D439">
            <v>77</v>
          </cell>
          <cell r="E439" t="str">
            <v>m</v>
          </cell>
        </row>
        <row r="440">
          <cell r="B440" t="str">
            <v>심정개발비</v>
          </cell>
          <cell r="D440">
            <v>1</v>
          </cell>
          <cell r="E440" t="str">
            <v>식</v>
          </cell>
        </row>
        <row r="441">
          <cell r="B441" t="str">
            <v>4)포 장 공</v>
          </cell>
        </row>
        <row r="442">
          <cell r="B442" t="str">
            <v>레미콘타설</v>
          </cell>
          <cell r="C442" t="str">
            <v>무근구조물</v>
          </cell>
          <cell r="D442">
            <v>104.76</v>
          </cell>
          <cell r="E442" t="str">
            <v>m3</v>
          </cell>
        </row>
        <row r="443">
          <cell r="B443" t="str">
            <v>합판거푸집</v>
          </cell>
          <cell r="C443" t="str">
            <v>6회</v>
          </cell>
          <cell r="D443">
            <v>251.94</v>
          </cell>
          <cell r="E443" t="str">
            <v>m2</v>
          </cell>
        </row>
        <row r="444">
          <cell r="B444" t="str">
            <v>표층(포설및다짐)</v>
          </cell>
          <cell r="C444" t="str">
            <v>T=5cm</v>
          </cell>
          <cell r="D444">
            <v>6028.74</v>
          </cell>
          <cell r="E444" t="str">
            <v>m2</v>
          </cell>
        </row>
        <row r="445">
          <cell r="B445" t="str">
            <v>기층(포설및다짐)</v>
          </cell>
          <cell r="C445" t="str">
            <v>T=10cm</v>
          </cell>
          <cell r="D445">
            <v>6028.74</v>
          </cell>
          <cell r="E445" t="str">
            <v>m2</v>
          </cell>
        </row>
        <row r="446">
          <cell r="B446" t="str">
            <v>택코팅</v>
          </cell>
          <cell r="C446" t="str">
            <v>RSC-4: 30 L/a</v>
          </cell>
          <cell r="D446">
            <v>60.28</v>
          </cell>
          <cell r="E446" t="str">
            <v>a</v>
          </cell>
        </row>
        <row r="447">
          <cell r="B447" t="str">
            <v>프라임코팅</v>
          </cell>
          <cell r="C447" t="str">
            <v>80 L/a당</v>
          </cell>
          <cell r="D447">
            <v>0.161</v>
          </cell>
          <cell r="E447" t="str">
            <v>a</v>
          </cell>
        </row>
        <row r="448">
          <cell r="B448" t="str">
            <v>보조기층포설및다짐</v>
          </cell>
          <cell r="D448">
            <v>777</v>
          </cell>
          <cell r="E448" t="str">
            <v>m3</v>
          </cell>
        </row>
        <row r="449">
          <cell r="B449" t="str">
            <v>몰탈</v>
          </cell>
          <cell r="C449" t="str">
            <v>1:3</v>
          </cell>
          <cell r="D449">
            <v>0.161</v>
          </cell>
          <cell r="E449" t="str">
            <v>m3</v>
          </cell>
        </row>
        <row r="450">
          <cell r="B450" t="str">
            <v>보도경계블럭설치</v>
          </cell>
          <cell r="C450" t="str">
            <v>180*205*250</v>
          </cell>
          <cell r="D450">
            <v>777</v>
          </cell>
          <cell r="E450" t="str">
            <v>m</v>
          </cell>
        </row>
        <row r="451">
          <cell r="B451" t="str">
            <v>도로경계블럭설치</v>
          </cell>
          <cell r="C451" t="str">
            <v>120*120</v>
          </cell>
          <cell r="D451">
            <v>16.5</v>
          </cell>
          <cell r="E451" t="str">
            <v>m</v>
          </cell>
        </row>
        <row r="452">
          <cell r="B452" t="str">
            <v>ILP고압블럭설치</v>
          </cell>
          <cell r="C452" t="str">
            <v>T=6cm</v>
          </cell>
          <cell r="D452">
            <v>19.84</v>
          </cell>
          <cell r="E452" t="str">
            <v>m2</v>
          </cell>
        </row>
        <row r="453">
          <cell r="B453" t="str">
            <v>차선도색</v>
          </cell>
          <cell r="C453" t="str">
            <v>로타리식기계</v>
          </cell>
          <cell r="D453">
            <v>7.6580000000000004</v>
          </cell>
          <cell r="E453" t="str">
            <v>m2</v>
          </cell>
        </row>
        <row r="454">
          <cell r="B454" t="str">
            <v>5)외부계단</v>
          </cell>
        </row>
        <row r="455">
          <cell r="B455" t="str">
            <v>레미콘타설</v>
          </cell>
          <cell r="C455" t="str">
            <v>철근구조물</v>
          </cell>
          <cell r="D455">
            <v>3.97</v>
          </cell>
          <cell r="E455" t="str">
            <v>m3</v>
          </cell>
        </row>
        <row r="456">
          <cell r="B456" t="str">
            <v>레미콘타설</v>
          </cell>
          <cell r="C456" t="str">
            <v>무근구조물</v>
          </cell>
          <cell r="D456">
            <v>0.1</v>
          </cell>
          <cell r="E456" t="str">
            <v>m3</v>
          </cell>
        </row>
        <row r="457">
          <cell r="B457" t="str">
            <v>합판거푸집</v>
          </cell>
          <cell r="C457" t="str">
            <v>6회</v>
          </cell>
          <cell r="D457">
            <v>0.74</v>
          </cell>
          <cell r="E457" t="str">
            <v>m2</v>
          </cell>
        </row>
        <row r="458">
          <cell r="B458" t="str">
            <v>합판거푸집</v>
          </cell>
          <cell r="C458" t="str">
            <v>4회</v>
          </cell>
          <cell r="D458">
            <v>22.35</v>
          </cell>
          <cell r="E458" t="str">
            <v>m2</v>
          </cell>
        </row>
        <row r="459">
          <cell r="B459" t="str">
            <v>철근가공및조립</v>
          </cell>
          <cell r="C459" t="str">
            <v>보통</v>
          </cell>
          <cell r="D459">
            <v>8.2000000000000003E-2</v>
          </cell>
          <cell r="E459" t="str">
            <v>TON</v>
          </cell>
        </row>
        <row r="460">
          <cell r="B460" t="str">
            <v>6)부대시설</v>
          </cell>
        </row>
        <row r="461">
          <cell r="A461">
            <v>32</v>
          </cell>
          <cell r="B461" t="str">
            <v>울타리설치</v>
          </cell>
          <cell r="C461" t="str">
            <v>B=2.0M,H=1.8M</v>
          </cell>
          <cell r="D461">
            <v>311.5</v>
          </cell>
          <cell r="E461" t="str">
            <v>스판</v>
          </cell>
        </row>
        <row r="462">
          <cell r="B462" t="str">
            <v>테니스장</v>
          </cell>
          <cell r="C462" t="str">
            <v>21.5*35.5</v>
          </cell>
          <cell r="D462">
            <v>1</v>
          </cell>
          <cell r="E462" t="str">
            <v>식</v>
          </cell>
        </row>
        <row r="463">
          <cell r="B463" t="str">
            <v>출입문</v>
          </cell>
          <cell r="C463" t="str">
            <v>1.8M*6M</v>
          </cell>
          <cell r="D463">
            <v>2</v>
          </cell>
          <cell r="E463" t="str">
            <v>개소</v>
          </cell>
        </row>
        <row r="464">
          <cell r="B464" t="str">
            <v>7)가설비</v>
          </cell>
        </row>
        <row r="465">
          <cell r="B465" t="str">
            <v>조립식가설사무소</v>
          </cell>
          <cell r="C465" t="str">
            <v>2년</v>
          </cell>
          <cell r="D465">
            <v>160</v>
          </cell>
          <cell r="E465" t="str">
            <v>m2</v>
          </cell>
        </row>
        <row r="466">
          <cell r="B466" t="str">
            <v>조립식가설창고</v>
          </cell>
          <cell r="C466" t="str">
            <v>2년</v>
          </cell>
          <cell r="D466">
            <v>120</v>
          </cell>
          <cell r="E466" t="str">
            <v>m2</v>
          </cell>
        </row>
        <row r="467">
          <cell r="B467" t="str">
            <v>조립식시험실</v>
          </cell>
          <cell r="C467" t="str">
            <v>2년</v>
          </cell>
          <cell r="D467">
            <v>40</v>
          </cell>
          <cell r="E467" t="str">
            <v>m2</v>
          </cell>
        </row>
        <row r="468">
          <cell r="B468" t="str">
            <v>4.운반비</v>
          </cell>
        </row>
        <row r="469">
          <cell r="B469" t="str">
            <v>시멘트운반</v>
          </cell>
          <cell r="D469">
            <v>323</v>
          </cell>
          <cell r="E469" t="str">
            <v>포</v>
          </cell>
        </row>
        <row r="470">
          <cell r="B470" t="str">
            <v>모래운반</v>
          </cell>
          <cell r="D470">
            <v>122</v>
          </cell>
          <cell r="E470" t="str">
            <v>m3</v>
          </cell>
        </row>
        <row r="471">
          <cell r="B471" t="str">
            <v>잡석운반</v>
          </cell>
          <cell r="D471">
            <v>34</v>
          </cell>
          <cell r="E471" t="str">
            <v>m3</v>
          </cell>
        </row>
        <row r="472">
          <cell r="B472" t="str">
            <v>자갈운반</v>
          </cell>
          <cell r="D472">
            <v>9</v>
          </cell>
          <cell r="E472" t="str">
            <v>m3</v>
          </cell>
        </row>
        <row r="473">
          <cell r="B473" t="str">
            <v>철근운반</v>
          </cell>
          <cell r="D473">
            <v>440.697</v>
          </cell>
          <cell r="E473" t="str">
            <v>TON</v>
          </cell>
        </row>
        <row r="474">
          <cell r="B474" t="str">
            <v>흄관운반</v>
          </cell>
          <cell r="C474" t="str">
            <v>D=250M/M</v>
          </cell>
          <cell r="D474">
            <v>62</v>
          </cell>
          <cell r="E474" t="str">
            <v>본</v>
          </cell>
        </row>
        <row r="475">
          <cell r="B475" t="str">
            <v>흄관운반</v>
          </cell>
          <cell r="C475" t="str">
            <v>D=300M/M</v>
          </cell>
          <cell r="D475">
            <v>15</v>
          </cell>
          <cell r="E475" t="str">
            <v>본</v>
          </cell>
        </row>
        <row r="476">
          <cell r="B476" t="str">
            <v>흄관운반</v>
          </cell>
          <cell r="C476" t="str">
            <v>D=450M/M</v>
          </cell>
          <cell r="D476">
            <v>229</v>
          </cell>
          <cell r="E476" t="str">
            <v>본</v>
          </cell>
        </row>
        <row r="477">
          <cell r="B477" t="str">
            <v>흄관운반</v>
          </cell>
          <cell r="C477" t="str">
            <v>D=600M/M</v>
          </cell>
          <cell r="D477">
            <v>38</v>
          </cell>
          <cell r="E477" t="str">
            <v>본</v>
          </cell>
        </row>
        <row r="478">
          <cell r="A478">
            <v>33</v>
          </cell>
          <cell r="B478" t="str">
            <v>구내배관운반</v>
          </cell>
          <cell r="D478">
            <v>48.442</v>
          </cell>
          <cell r="E478" t="str">
            <v>TON</v>
          </cell>
        </row>
        <row r="479">
          <cell r="B479" t="str">
            <v>아스콘(#467)</v>
          </cell>
          <cell r="C479" t="str">
            <v>운반</v>
          </cell>
          <cell r="D479">
            <v>1414</v>
          </cell>
          <cell r="E479" t="str">
            <v>TON</v>
          </cell>
        </row>
        <row r="480">
          <cell r="B480" t="str">
            <v>아스콘(#78)</v>
          </cell>
          <cell r="C480" t="str">
            <v>운반</v>
          </cell>
          <cell r="D480">
            <v>738</v>
          </cell>
          <cell r="E480" t="str">
            <v>TON</v>
          </cell>
        </row>
        <row r="481">
          <cell r="B481" t="str">
            <v>아스팔트(MC-3)</v>
          </cell>
          <cell r="C481" t="str">
            <v>운반</v>
          </cell>
          <cell r="D481">
            <v>25</v>
          </cell>
          <cell r="E481" t="str">
            <v>드럼</v>
          </cell>
        </row>
        <row r="482">
          <cell r="B482" t="str">
            <v>아스팔트(RSC-4)</v>
          </cell>
          <cell r="C482" t="str">
            <v>운반</v>
          </cell>
          <cell r="D482">
            <v>9</v>
          </cell>
          <cell r="E482" t="str">
            <v>드럼</v>
          </cell>
        </row>
        <row r="483">
          <cell r="B483" t="str">
            <v>보조기층재운반</v>
          </cell>
          <cell r="D483">
            <v>3621</v>
          </cell>
          <cell r="E483" t="str">
            <v>m3</v>
          </cell>
        </row>
        <row r="484">
          <cell r="B484" t="str">
            <v>중기 운반비</v>
          </cell>
          <cell r="D484">
            <v>1</v>
          </cell>
          <cell r="E484" t="str">
            <v>식</v>
          </cell>
        </row>
        <row r="485">
          <cell r="B485" t="str">
            <v>SHEET-PILE운반</v>
          </cell>
          <cell r="C485" t="str">
            <v>H=9.0M</v>
          </cell>
          <cell r="D485">
            <v>51.375</v>
          </cell>
          <cell r="E485" t="str">
            <v>TON</v>
          </cell>
        </row>
        <row r="486">
          <cell r="B486" t="str">
            <v>*사급자재비</v>
          </cell>
        </row>
        <row r="487">
          <cell r="B487" t="str">
            <v>스페이서</v>
          </cell>
          <cell r="C487" t="str">
            <v>T=150</v>
          </cell>
          <cell r="D487">
            <v>2228</v>
          </cell>
          <cell r="E487" t="str">
            <v>EA</v>
          </cell>
        </row>
        <row r="488">
          <cell r="B488" t="str">
            <v>스페이서</v>
          </cell>
          <cell r="C488" t="str">
            <v>T=100</v>
          </cell>
          <cell r="D488">
            <v>1228</v>
          </cell>
          <cell r="E488" t="str">
            <v>EA</v>
          </cell>
        </row>
        <row r="489">
          <cell r="B489" t="str">
            <v>스페이서</v>
          </cell>
          <cell r="C489" t="str">
            <v>T=80</v>
          </cell>
          <cell r="D489">
            <v>13138</v>
          </cell>
          <cell r="E489" t="str">
            <v>EA</v>
          </cell>
        </row>
        <row r="490">
          <cell r="B490" t="str">
            <v>스페이서</v>
          </cell>
          <cell r="C490" t="str">
            <v>T=60</v>
          </cell>
          <cell r="D490">
            <v>1690</v>
          </cell>
          <cell r="E490" t="str">
            <v>EA</v>
          </cell>
        </row>
        <row r="491">
          <cell r="B491" t="str">
            <v>스페이서</v>
          </cell>
          <cell r="C491" t="str">
            <v>T=50</v>
          </cell>
          <cell r="D491">
            <v>938</v>
          </cell>
          <cell r="E491" t="str">
            <v>EA</v>
          </cell>
        </row>
        <row r="492">
          <cell r="B492" t="str">
            <v>그레이팅뚜껑</v>
          </cell>
          <cell r="C492" t="str">
            <v>690*2890*44</v>
          </cell>
          <cell r="D492">
            <v>1</v>
          </cell>
          <cell r="E492" t="str">
            <v>EA</v>
          </cell>
        </row>
        <row r="493">
          <cell r="B493" t="str">
            <v>그레이팅뚜껑</v>
          </cell>
          <cell r="C493" t="str">
            <v>690*2090*44</v>
          </cell>
          <cell r="D493">
            <v>1</v>
          </cell>
          <cell r="E493" t="str">
            <v>EA</v>
          </cell>
        </row>
        <row r="494">
          <cell r="B494" t="str">
            <v>그레이팅뚜껑</v>
          </cell>
          <cell r="C494" t="str">
            <v>690*1090*44</v>
          </cell>
          <cell r="D494">
            <v>3</v>
          </cell>
          <cell r="E494" t="str">
            <v>EA</v>
          </cell>
        </row>
        <row r="495">
          <cell r="B495" t="str">
            <v>그레이팅뚜껑</v>
          </cell>
          <cell r="C495" t="str">
            <v>690*690*44</v>
          </cell>
          <cell r="D495">
            <v>9</v>
          </cell>
          <cell r="E495" t="str">
            <v>EA</v>
          </cell>
        </row>
        <row r="496">
          <cell r="B496" t="str">
            <v>그레이팅뚜껑</v>
          </cell>
          <cell r="C496" t="str">
            <v>690*1590*44</v>
          </cell>
          <cell r="D496">
            <v>1</v>
          </cell>
          <cell r="E496" t="str">
            <v>EA</v>
          </cell>
        </row>
        <row r="497">
          <cell r="B497" t="str">
            <v>그레이팅뚜껑</v>
          </cell>
          <cell r="C497" t="str">
            <v>890*890*44</v>
          </cell>
          <cell r="D497">
            <v>6</v>
          </cell>
          <cell r="E497" t="str">
            <v>EA</v>
          </cell>
        </row>
        <row r="498">
          <cell r="B498" t="str">
            <v>그레이팅뚜껑</v>
          </cell>
          <cell r="C498" t="str">
            <v>1090*1090*44</v>
          </cell>
          <cell r="D498">
            <v>5</v>
          </cell>
          <cell r="E498" t="str">
            <v>EA</v>
          </cell>
        </row>
        <row r="499">
          <cell r="B499" t="str">
            <v>그레이팅뚜껑</v>
          </cell>
          <cell r="C499" t="str">
            <v>345*590*44</v>
          </cell>
          <cell r="D499">
            <v>2</v>
          </cell>
          <cell r="E499" t="str">
            <v>EA</v>
          </cell>
        </row>
        <row r="500">
          <cell r="B500" t="str">
            <v>그레이팅뚜껑</v>
          </cell>
          <cell r="C500" t="str">
            <v>3090*490*44</v>
          </cell>
          <cell r="D500">
            <v>6</v>
          </cell>
          <cell r="E500" t="str">
            <v>EA</v>
          </cell>
        </row>
        <row r="501">
          <cell r="B501" t="str">
            <v>그레이팅뚜껑</v>
          </cell>
          <cell r="C501" t="str">
            <v>6522*590*44</v>
          </cell>
          <cell r="D501">
            <v>4</v>
          </cell>
          <cell r="E501" t="str">
            <v>EA</v>
          </cell>
        </row>
        <row r="502">
          <cell r="B502" t="str">
            <v>그레이팅뚜껑</v>
          </cell>
          <cell r="C502" t="str">
            <v>1090*590*44</v>
          </cell>
          <cell r="D502">
            <v>4</v>
          </cell>
          <cell r="E502" t="str">
            <v>EA</v>
          </cell>
        </row>
        <row r="503">
          <cell r="B503" t="str">
            <v>그레이팅뚜껑</v>
          </cell>
          <cell r="C503" t="str">
            <v>845*845*44</v>
          </cell>
          <cell r="D503">
            <v>6</v>
          </cell>
          <cell r="E503" t="str">
            <v>EA</v>
          </cell>
        </row>
        <row r="504">
          <cell r="B504" t="str">
            <v>그레이팅뚜껑</v>
          </cell>
          <cell r="C504" t="str">
            <v>900*290*44</v>
          </cell>
          <cell r="D504">
            <v>4</v>
          </cell>
          <cell r="E504" t="str">
            <v>EA</v>
          </cell>
        </row>
        <row r="505">
          <cell r="B505" t="str">
            <v>그레이팅뚜껑</v>
          </cell>
          <cell r="C505" t="str">
            <v>890*690*44</v>
          </cell>
          <cell r="D505">
            <v>6</v>
          </cell>
          <cell r="E505" t="str">
            <v>EA</v>
          </cell>
        </row>
        <row r="506">
          <cell r="B506" t="str">
            <v>그레이팅뚜껑</v>
          </cell>
          <cell r="C506" t="str">
            <v>890*2290*44</v>
          </cell>
          <cell r="D506">
            <v>1</v>
          </cell>
          <cell r="E506" t="str">
            <v>EA</v>
          </cell>
        </row>
        <row r="507">
          <cell r="B507" t="str">
            <v>그레이팅뚜껑</v>
          </cell>
          <cell r="C507" t="str">
            <v>890*2200*44</v>
          </cell>
          <cell r="D507">
            <v>1</v>
          </cell>
          <cell r="E507" t="str">
            <v>EA</v>
          </cell>
        </row>
        <row r="508">
          <cell r="B508" t="str">
            <v>그레이팅뚜껑</v>
          </cell>
          <cell r="C508" t="str">
            <v>5600*590*44</v>
          </cell>
          <cell r="D508">
            <v>4</v>
          </cell>
          <cell r="E508" t="str">
            <v>EA</v>
          </cell>
        </row>
        <row r="509">
          <cell r="B509" t="str">
            <v>그레이팅뚜껑</v>
          </cell>
          <cell r="C509" t="str">
            <v>1590*1590*44</v>
          </cell>
          <cell r="D509">
            <v>1</v>
          </cell>
          <cell r="E509" t="str">
            <v>EA</v>
          </cell>
        </row>
        <row r="510">
          <cell r="B510" t="str">
            <v>농축조 카바</v>
          </cell>
          <cell r="C510" t="str">
            <v>D=2800M/M</v>
          </cell>
          <cell r="D510">
            <v>2</v>
          </cell>
          <cell r="E510" t="str">
            <v>EA</v>
          </cell>
        </row>
        <row r="511">
          <cell r="B511" t="str">
            <v>공동구카바</v>
          </cell>
          <cell r="C511" t="str">
            <v>2900*1400</v>
          </cell>
          <cell r="D511">
            <v>4</v>
          </cell>
          <cell r="E511" t="str">
            <v>EA</v>
          </cell>
        </row>
        <row r="512">
          <cell r="B512" t="str">
            <v xml:space="preserve">PVC PIPE </v>
          </cell>
          <cell r="C512" t="str">
            <v>D=25M/M</v>
          </cell>
          <cell r="D512">
            <v>33.6</v>
          </cell>
          <cell r="E512" t="str">
            <v>m</v>
          </cell>
        </row>
        <row r="513">
          <cell r="B513" t="str">
            <v xml:space="preserve">PVC PIPE </v>
          </cell>
          <cell r="C513" t="str">
            <v>D=100M/M</v>
          </cell>
          <cell r="D513">
            <v>2.2999999999999998</v>
          </cell>
          <cell r="E513" t="str">
            <v>m</v>
          </cell>
        </row>
        <row r="514">
          <cell r="B514" t="str">
            <v xml:space="preserve">PVC PIPE </v>
          </cell>
          <cell r="C514" t="str">
            <v>D=150M/M</v>
          </cell>
          <cell r="D514">
            <v>85.1</v>
          </cell>
          <cell r="E514" t="str">
            <v>m</v>
          </cell>
        </row>
        <row r="515">
          <cell r="B515" t="str">
            <v>잡석</v>
          </cell>
          <cell r="D515">
            <v>34</v>
          </cell>
          <cell r="E515" t="str">
            <v>m</v>
          </cell>
        </row>
        <row r="516">
          <cell r="B516" t="str">
            <v>모래</v>
          </cell>
          <cell r="D516">
            <v>122</v>
          </cell>
          <cell r="E516" t="str">
            <v>m3</v>
          </cell>
        </row>
        <row r="517">
          <cell r="B517" t="str">
            <v>자갈</v>
          </cell>
          <cell r="C517" t="str">
            <v>D=25M/M</v>
          </cell>
          <cell r="D517">
            <v>9</v>
          </cell>
          <cell r="E517" t="str">
            <v>m3</v>
          </cell>
        </row>
        <row r="518">
          <cell r="B518" t="str">
            <v>보조기층</v>
          </cell>
          <cell r="D518">
            <v>3621</v>
          </cell>
          <cell r="E518" t="str">
            <v>m3</v>
          </cell>
        </row>
        <row r="519">
          <cell r="B519" t="str">
            <v>동판지수판</v>
          </cell>
          <cell r="C519" t="str">
            <v>B=450*21</v>
          </cell>
          <cell r="D519">
            <v>103.69</v>
          </cell>
          <cell r="E519" t="str">
            <v>kg</v>
          </cell>
        </row>
        <row r="520">
          <cell r="B520" t="str">
            <v>SLOP-BAR</v>
          </cell>
          <cell r="C520" t="str">
            <v>D=19M/M</v>
          </cell>
          <cell r="D520">
            <v>56</v>
          </cell>
          <cell r="E520" t="str">
            <v>EA</v>
          </cell>
        </row>
        <row r="521">
          <cell r="B521" t="str">
            <v>PC파일</v>
          </cell>
          <cell r="C521" t="str">
            <v>D=350,L=4M</v>
          </cell>
          <cell r="D521">
            <v>35</v>
          </cell>
          <cell r="E521" t="str">
            <v>본</v>
          </cell>
        </row>
        <row r="522">
          <cell r="B522" t="str">
            <v>PC파일</v>
          </cell>
          <cell r="C522" t="str">
            <v>D=350,L=5M</v>
          </cell>
          <cell r="D522">
            <v>102</v>
          </cell>
          <cell r="E522" t="str">
            <v>본</v>
          </cell>
        </row>
        <row r="523">
          <cell r="B523" t="str">
            <v>PC파일</v>
          </cell>
          <cell r="C523" t="str">
            <v>D=350,L=6M</v>
          </cell>
          <cell r="D523">
            <v>56</v>
          </cell>
          <cell r="E523" t="str">
            <v>본</v>
          </cell>
        </row>
        <row r="524">
          <cell r="B524" t="str">
            <v>PC파일</v>
          </cell>
          <cell r="C524" t="str">
            <v>D=350,L=7M</v>
          </cell>
          <cell r="D524">
            <v>15</v>
          </cell>
          <cell r="E524" t="str">
            <v>본</v>
          </cell>
        </row>
        <row r="525">
          <cell r="B525" t="str">
            <v>PC파일</v>
          </cell>
          <cell r="C525" t="str">
            <v>D=350,L=8M</v>
          </cell>
          <cell r="D525">
            <v>8</v>
          </cell>
          <cell r="E525" t="str">
            <v>본</v>
          </cell>
        </row>
        <row r="526">
          <cell r="B526" t="str">
            <v>PC파일</v>
          </cell>
          <cell r="C526" t="str">
            <v>D=350,L=9M</v>
          </cell>
          <cell r="D526">
            <v>154</v>
          </cell>
          <cell r="E526" t="str">
            <v>본</v>
          </cell>
        </row>
        <row r="527">
          <cell r="B527" t="str">
            <v xml:space="preserve">PE관 </v>
          </cell>
          <cell r="C527" t="str">
            <v>D=100M/M</v>
          </cell>
          <cell r="D527">
            <v>25</v>
          </cell>
          <cell r="E527" t="str">
            <v>본</v>
          </cell>
        </row>
        <row r="528">
          <cell r="B528" t="str">
            <v xml:space="preserve">PE관 </v>
          </cell>
          <cell r="C528" t="str">
            <v>D=200M/M</v>
          </cell>
          <cell r="D528">
            <v>174</v>
          </cell>
          <cell r="E528" t="str">
            <v>본</v>
          </cell>
        </row>
        <row r="529">
          <cell r="A529">
            <v>36</v>
          </cell>
          <cell r="B529" t="str">
            <v xml:space="preserve">PE관 </v>
          </cell>
          <cell r="C529" t="str">
            <v>D=250M/M</v>
          </cell>
          <cell r="D529">
            <v>260</v>
          </cell>
          <cell r="E529" t="str">
            <v>본</v>
          </cell>
        </row>
        <row r="530">
          <cell r="B530" t="str">
            <v xml:space="preserve">PE곡관 </v>
          </cell>
          <cell r="C530" t="str">
            <v>D=200*45</v>
          </cell>
          <cell r="D530">
            <v>2</v>
          </cell>
          <cell r="E530" t="str">
            <v>본</v>
          </cell>
        </row>
        <row r="531">
          <cell r="B531" t="str">
            <v xml:space="preserve">PE곡관 </v>
          </cell>
          <cell r="C531" t="str">
            <v>16*90</v>
          </cell>
          <cell r="D531">
            <v>3</v>
          </cell>
          <cell r="E531" t="str">
            <v>본</v>
          </cell>
        </row>
        <row r="532">
          <cell r="B532" t="str">
            <v xml:space="preserve">PE곡관 </v>
          </cell>
          <cell r="C532" t="str">
            <v>25*90</v>
          </cell>
          <cell r="D532">
            <v>5</v>
          </cell>
          <cell r="E532" t="str">
            <v>본</v>
          </cell>
        </row>
        <row r="533">
          <cell r="B533" t="str">
            <v xml:space="preserve">PE곡관 </v>
          </cell>
          <cell r="C533" t="str">
            <v>40*90</v>
          </cell>
          <cell r="D533">
            <v>7</v>
          </cell>
          <cell r="E533" t="str">
            <v>본</v>
          </cell>
        </row>
        <row r="534">
          <cell r="B534" t="str">
            <v xml:space="preserve">PE곡관 </v>
          </cell>
          <cell r="C534" t="str">
            <v>50*90</v>
          </cell>
          <cell r="D534">
            <v>2</v>
          </cell>
          <cell r="E534" t="str">
            <v>본</v>
          </cell>
        </row>
        <row r="535">
          <cell r="B535" t="str">
            <v>수도용 PE 관</v>
          </cell>
          <cell r="C535" t="str">
            <v>D=16M/M</v>
          </cell>
          <cell r="D535">
            <v>18</v>
          </cell>
          <cell r="E535" t="str">
            <v>m</v>
          </cell>
        </row>
        <row r="536">
          <cell r="B536" t="str">
            <v>수도용 PE 관</v>
          </cell>
          <cell r="C536" t="str">
            <v>D=25M/M</v>
          </cell>
          <cell r="D536">
            <v>123</v>
          </cell>
          <cell r="E536" t="str">
            <v>m</v>
          </cell>
        </row>
        <row r="537">
          <cell r="B537" t="str">
            <v>수도용 PE 관</v>
          </cell>
          <cell r="C537" t="str">
            <v>D=40M/M</v>
          </cell>
          <cell r="D537">
            <v>76</v>
          </cell>
          <cell r="E537" t="str">
            <v>m</v>
          </cell>
        </row>
        <row r="538">
          <cell r="B538" t="str">
            <v>수도용 PE 관</v>
          </cell>
          <cell r="C538" t="str">
            <v>D=50M/M</v>
          </cell>
          <cell r="D538">
            <v>77</v>
          </cell>
          <cell r="E538" t="str">
            <v>m</v>
          </cell>
        </row>
        <row r="539">
          <cell r="B539" t="str">
            <v>PE 이경티</v>
          </cell>
          <cell r="C539" t="str">
            <v>D=40*25M/M</v>
          </cell>
          <cell r="D539">
            <v>1</v>
          </cell>
          <cell r="E539" t="str">
            <v>EA</v>
          </cell>
        </row>
        <row r="540">
          <cell r="B540" t="str">
            <v>콘크리트뚜껑</v>
          </cell>
          <cell r="C540" t="str">
            <v>550*620*80</v>
          </cell>
          <cell r="D540">
            <v>16</v>
          </cell>
          <cell r="E540" t="str">
            <v>EA</v>
          </cell>
        </row>
        <row r="541">
          <cell r="B541" t="str">
            <v>콘크리트뚜껑</v>
          </cell>
          <cell r="C541" t="str">
            <v>500*440*80</v>
          </cell>
          <cell r="D541">
            <v>90</v>
          </cell>
          <cell r="E541" t="str">
            <v>EA</v>
          </cell>
        </row>
        <row r="542">
          <cell r="B542" t="str">
            <v>스틸그레이팅</v>
          </cell>
          <cell r="C542" t="str">
            <v>400*500*50</v>
          </cell>
          <cell r="D542">
            <v>43</v>
          </cell>
          <cell r="E542" t="str">
            <v>조</v>
          </cell>
        </row>
        <row r="543">
          <cell r="B543" t="str">
            <v>PE차단식홈통받이</v>
          </cell>
          <cell r="C543" t="str">
            <v>D=500,H=600</v>
          </cell>
          <cell r="D543">
            <v>7</v>
          </cell>
          <cell r="E543" t="str">
            <v>EA</v>
          </cell>
        </row>
        <row r="544">
          <cell r="B544" t="str">
            <v>맨홀뚜껑</v>
          </cell>
          <cell r="C544" t="str">
            <v>D=648M/M</v>
          </cell>
          <cell r="D544">
            <v>38</v>
          </cell>
          <cell r="E544" t="str">
            <v>조</v>
          </cell>
        </row>
        <row r="545">
          <cell r="B545" t="str">
            <v>STS PIPE</v>
          </cell>
          <cell r="C545" t="str">
            <v>D=50M/M</v>
          </cell>
          <cell r="D545">
            <v>0.5</v>
          </cell>
          <cell r="E545" t="str">
            <v>m</v>
          </cell>
        </row>
        <row r="546">
          <cell r="B546" t="str">
            <v>STS 곡관</v>
          </cell>
          <cell r="C546" t="str">
            <v>50*90</v>
          </cell>
          <cell r="D546">
            <v>2</v>
          </cell>
          <cell r="E546" t="str">
            <v>EA</v>
          </cell>
        </row>
        <row r="547">
          <cell r="B547" t="str">
            <v>도로경계블럭</v>
          </cell>
          <cell r="C547" t="str">
            <v>120*120</v>
          </cell>
          <cell r="D547">
            <v>17</v>
          </cell>
          <cell r="E547" t="str">
            <v>m</v>
          </cell>
        </row>
        <row r="548">
          <cell r="B548" t="str">
            <v>ILP고압블럭설치</v>
          </cell>
          <cell r="C548" t="str">
            <v>T=6cm</v>
          </cell>
          <cell r="D548">
            <v>20.440000000000001</v>
          </cell>
          <cell r="E548" t="str">
            <v>m2</v>
          </cell>
        </row>
        <row r="549">
          <cell r="B549" t="str">
            <v>플랜지단관</v>
          </cell>
          <cell r="C549" t="str">
            <v>D=100,L=1.00</v>
          </cell>
          <cell r="D549">
            <v>10</v>
          </cell>
          <cell r="E549" t="str">
            <v>EA</v>
          </cell>
        </row>
        <row r="550">
          <cell r="B550" t="str">
            <v>플랜지단관</v>
          </cell>
          <cell r="C550" t="str">
            <v>D=100,L=0.31</v>
          </cell>
          <cell r="D550">
            <v>2</v>
          </cell>
          <cell r="E550" t="str">
            <v>EA</v>
          </cell>
        </row>
        <row r="551">
          <cell r="B551" t="str">
            <v>플랜지단관</v>
          </cell>
          <cell r="C551" t="str">
            <v>D=100,L=0.399</v>
          </cell>
          <cell r="D551">
            <v>2</v>
          </cell>
          <cell r="E551" t="str">
            <v>EA</v>
          </cell>
        </row>
        <row r="552">
          <cell r="B552" t="str">
            <v>플랜지단관</v>
          </cell>
          <cell r="C552" t="str">
            <v>D=100,L=0.75</v>
          </cell>
          <cell r="D552">
            <v>2</v>
          </cell>
          <cell r="E552" t="str">
            <v>EA</v>
          </cell>
        </row>
        <row r="553">
          <cell r="B553" t="str">
            <v>플랜지단관</v>
          </cell>
          <cell r="C553" t="str">
            <v>D=150,L=0.755</v>
          </cell>
          <cell r="D553">
            <v>2</v>
          </cell>
          <cell r="E553" t="str">
            <v>EA</v>
          </cell>
        </row>
        <row r="554">
          <cell r="B554" t="str">
            <v>플랜지단관</v>
          </cell>
          <cell r="C554" t="str">
            <v>D=200,L=1.00</v>
          </cell>
          <cell r="D554">
            <v>6</v>
          </cell>
          <cell r="E554" t="str">
            <v>EA</v>
          </cell>
        </row>
        <row r="555">
          <cell r="B555" t="str">
            <v>플랜지단관</v>
          </cell>
          <cell r="C555" t="str">
            <v>D=250,L=1.00</v>
          </cell>
          <cell r="D555">
            <v>10</v>
          </cell>
          <cell r="E555" t="str">
            <v>EA</v>
          </cell>
        </row>
        <row r="556">
          <cell r="B556" t="str">
            <v>플랜지단관</v>
          </cell>
          <cell r="C556" t="str">
            <v>D=250,L=1.245</v>
          </cell>
          <cell r="D556">
            <v>2</v>
          </cell>
          <cell r="E556" t="str">
            <v>EA</v>
          </cell>
        </row>
        <row r="557">
          <cell r="B557" t="str">
            <v>플랜지단관</v>
          </cell>
          <cell r="C557" t="str">
            <v>D=250,L=3.145</v>
          </cell>
          <cell r="D557">
            <v>2</v>
          </cell>
          <cell r="E557" t="str">
            <v>EA</v>
          </cell>
        </row>
        <row r="558">
          <cell r="B558" t="str">
            <v>플랜지단관</v>
          </cell>
          <cell r="C558" t="str">
            <v>D=300,L=0.875</v>
          </cell>
          <cell r="D558">
            <v>2</v>
          </cell>
          <cell r="E558" t="str">
            <v>EA</v>
          </cell>
        </row>
        <row r="559">
          <cell r="B559" t="str">
            <v>플랜지단관</v>
          </cell>
          <cell r="C559" t="str">
            <v>D=300,L=0.605</v>
          </cell>
          <cell r="D559">
            <v>1</v>
          </cell>
          <cell r="E559" t="str">
            <v>EA</v>
          </cell>
        </row>
        <row r="560">
          <cell r="B560" t="str">
            <v>플랜지단관</v>
          </cell>
          <cell r="C560" t="str">
            <v>D=350,L=1.00</v>
          </cell>
          <cell r="D560">
            <v>1</v>
          </cell>
          <cell r="E560" t="str">
            <v>EA</v>
          </cell>
        </row>
        <row r="561">
          <cell r="B561" t="str">
            <v>플랜지단관</v>
          </cell>
          <cell r="C561" t="str">
            <v>D=350,L=0.74</v>
          </cell>
          <cell r="D561">
            <v>1</v>
          </cell>
          <cell r="E561" t="str">
            <v>EA</v>
          </cell>
        </row>
        <row r="562">
          <cell r="B562" t="str">
            <v>플랜지단관</v>
          </cell>
          <cell r="C562" t="str">
            <v>D=400,L=1.00</v>
          </cell>
          <cell r="D562">
            <v>6</v>
          </cell>
          <cell r="E562" t="str">
            <v>EA</v>
          </cell>
        </row>
        <row r="563">
          <cell r="A563">
            <v>39</v>
          </cell>
          <cell r="B563" t="str">
            <v>플랜지단관</v>
          </cell>
          <cell r="C563" t="str">
            <v>D=400,L=2.58</v>
          </cell>
          <cell r="D563">
            <v>2</v>
          </cell>
          <cell r="E563" t="str">
            <v>EA</v>
          </cell>
        </row>
        <row r="564">
          <cell r="B564" t="str">
            <v>플랜지관</v>
          </cell>
          <cell r="C564" t="str">
            <v>D=350</v>
          </cell>
          <cell r="D564">
            <v>1</v>
          </cell>
          <cell r="E564" t="str">
            <v>EA</v>
          </cell>
        </row>
        <row r="565">
          <cell r="B565" t="str">
            <v>플랜지관</v>
          </cell>
          <cell r="C565" t="str">
            <v>D=400</v>
          </cell>
          <cell r="D565">
            <v>4</v>
          </cell>
          <cell r="E565" t="str">
            <v>EA</v>
          </cell>
        </row>
        <row r="566">
          <cell r="B566" t="str">
            <v>플랜지관</v>
          </cell>
          <cell r="C566" t="str">
            <v>D=500</v>
          </cell>
          <cell r="D566">
            <v>2</v>
          </cell>
          <cell r="E566" t="str">
            <v>EA</v>
          </cell>
        </row>
        <row r="567">
          <cell r="B567" t="str">
            <v>플랜지관</v>
          </cell>
          <cell r="C567" t="str">
            <v>D=600</v>
          </cell>
          <cell r="D567">
            <v>2</v>
          </cell>
          <cell r="E567" t="str">
            <v>EA</v>
          </cell>
        </row>
        <row r="568">
          <cell r="B568" t="str">
            <v>소켓단관</v>
          </cell>
          <cell r="C568" t="str">
            <v>D=100,L=2.61</v>
          </cell>
          <cell r="D568">
            <v>1</v>
          </cell>
          <cell r="E568" t="str">
            <v>EA</v>
          </cell>
        </row>
        <row r="569">
          <cell r="B569" t="str">
            <v>소켓단관</v>
          </cell>
          <cell r="C569" t="str">
            <v>D=100,L=1.61</v>
          </cell>
          <cell r="D569">
            <v>1</v>
          </cell>
          <cell r="E569" t="str">
            <v>EA</v>
          </cell>
        </row>
        <row r="570">
          <cell r="B570" t="str">
            <v>소켓단관</v>
          </cell>
          <cell r="C570" t="str">
            <v>D=100,L=1.839</v>
          </cell>
          <cell r="D570">
            <v>2</v>
          </cell>
          <cell r="E570" t="str">
            <v>EA</v>
          </cell>
        </row>
        <row r="571">
          <cell r="B571" t="str">
            <v>소켓단관</v>
          </cell>
          <cell r="C571" t="str">
            <v>D=100,L=2.77</v>
          </cell>
          <cell r="D571">
            <v>2</v>
          </cell>
          <cell r="E571" t="str">
            <v>EA</v>
          </cell>
        </row>
        <row r="572">
          <cell r="B572" t="str">
            <v>소켓단관</v>
          </cell>
          <cell r="C572" t="str">
            <v>D=150,L=1.00</v>
          </cell>
          <cell r="D572">
            <v>1</v>
          </cell>
          <cell r="E572" t="str">
            <v>EA</v>
          </cell>
        </row>
        <row r="573">
          <cell r="B573" t="str">
            <v>소켓단관</v>
          </cell>
          <cell r="C573" t="str">
            <v>D=150,L=4.21</v>
          </cell>
          <cell r="D573">
            <v>1</v>
          </cell>
          <cell r="E573" t="str">
            <v>EA</v>
          </cell>
        </row>
        <row r="574">
          <cell r="B574" t="str">
            <v>소켓단관</v>
          </cell>
          <cell r="C574" t="str">
            <v>D=150,L=1.851</v>
          </cell>
          <cell r="D574">
            <v>1</v>
          </cell>
          <cell r="E574" t="str">
            <v>EA</v>
          </cell>
        </row>
        <row r="575">
          <cell r="B575" t="str">
            <v>소켓단관</v>
          </cell>
          <cell r="C575" t="str">
            <v>D=150,L=4.4</v>
          </cell>
          <cell r="D575">
            <v>1</v>
          </cell>
          <cell r="E575" t="str">
            <v>EA</v>
          </cell>
        </row>
        <row r="576">
          <cell r="B576" t="str">
            <v>소켓단관</v>
          </cell>
          <cell r="C576" t="str">
            <v>D=200,L=3.797</v>
          </cell>
          <cell r="D576">
            <v>2</v>
          </cell>
          <cell r="E576" t="str">
            <v>EA</v>
          </cell>
        </row>
        <row r="577">
          <cell r="B577" t="str">
            <v>소켓단관</v>
          </cell>
          <cell r="C577" t="str">
            <v>D=250,L=1.00</v>
          </cell>
          <cell r="D577">
            <v>2</v>
          </cell>
          <cell r="E577" t="str">
            <v>EA</v>
          </cell>
        </row>
        <row r="578">
          <cell r="B578" t="str">
            <v>소켓단관</v>
          </cell>
          <cell r="C578" t="str">
            <v>D=250,L=0.365</v>
          </cell>
          <cell r="D578">
            <v>2</v>
          </cell>
          <cell r="E578" t="str">
            <v>EA</v>
          </cell>
        </row>
        <row r="579">
          <cell r="B579" t="str">
            <v>소켓단관</v>
          </cell>
          <cell r="C579" t="str">
            <v>D=250,L=0.832</v>
          </cell>
          <cell r="D579">
            <v>2</v>
          </cell>
          <cell r="E579" t="str">
            <v>EA</v>
          </cell>
        </row>
        <row r="580">
          <cell r="A580">
            <v>40</v>
          </cell>
          <cell r="B580" t="str">
            <v>소켓단관</v>
          </cell>
          <cell r="C580" t="str">
            <v>D=250,L=1.775</v>
          </cell>
          <cell r="D580">
            <v>2</v>
          </cell>
          <cell r="E580" t="str">
            <v>EA</v>
          </cell>
        </row>
        <row r="581">
          <cell r="B581" t="str">
            <v>소켓단관</v>
          </cell>
          <cell r="C581" t="str">
            <v>D=250,L=4.88</v>
          </cell>
          <cell r="D581">
            <v>2</v>
          </cell>
          <cell r="E581" t="str">
            <v>EA</v>
          </cell>
        </row>
        <row r="582">
          <cell r="B582" t="str">
            <v>소켓단관</v>
          </cell>
          <cell r="C582" t="str">
            <v>D=250,L=2.722</v>
          </cell>
          <cell r="D582">
            <v>2</v>
          </cell>
          <cell r="E582" t="str">
            <v>EA</v>
          </cell>
        </row>
        <row r="583">
          <cell r="B583" t="str">
            <v>소켓단관</v>
          </cell>
          <cell r="C583" t="str">
            <v>D=300,L=3.603</v>
          </cell>
          <cell r="D583">
            <v>1</v>
          </cell>
          <cell r="E583" t="str">
            <v>EA</v>
          </cell>
        </row>
        <row r="584">
          <cell r="B584" t="str">
            <v>소켓단관</v>
          </cell>
          <cell r="C584" t="str">
            <v>D=350,L=3.14</v>
          </cell>
          <cell r="D584">
            <v>1</v>
          </cell>
          <cell r="E584" t="str">
            <v>EA</v>
          </cell>
        </row>
        <row r="585">
          <cell r="B585" t="str">
            <v>소켓단관</v>
          </cell>
          <cell r="C585" t="str">
            <v>D=400,L=1.932</v>
          </cell>
          <cell r="D585">
            <v>2</v>
          </cell>
          <cell r="E585" t="str">
            <v>EA</v>
          </cell>
        </row>
        <row r="586">
          <cell r="B586" t="str">
            <v>소켓단관</v>
          </cell>
          <cell r="C586" t="str">
            <v>D=400,L=3.916</v>
          </cell>
          <cell r="D586">
            <v>1</v>
          </cell>
          <cell r="E586" t="str">
            <v>EA</v>
          </cell>
        </row>
        <row r="587">
          <cell r="B587" t="str">
            <v>소켓단관</v>
          </cell>
          <cell r="C587" t="str">
            <v>D=400,L=5.879</v>
          </cell>
          <cell r="D587">
            <v>1</v>
          </cell>
          <cell r="E587" t="str">
            <v>EA</v>
          </cell>
        </row>
        <row r="588">
          <cell r="B588" t="str">
            <v>소켓단관</v>
          </cell>
          <cell r="C588" t="str">
            <v>D=400,L=4.700</v>
          </cell>
          <cell r="D588">
            <v>2</v>
          </cell>
          <cell r="E588" t="str">
            <v>EA</v>
          </cell>
        </row>
        <row r="589">
          <cell r="B589" t="str">
            <v>소켓단관</v>
          </cell>
          <cell r="C589" t="str">
            <v>D=400,L=5.12</v>
          </cell>
          <cell r="D589">
            <v>2</v>
          </cell>
          <cell r="E589" t="str">
            <v>EA</v>
          </cell>
        </row>
        <row r="590">
          <cell r="B590" t="str">
            <v>소켓단관</v>
          </cell>
          <cell r="C590" t="str">
            <v>D=500,L=5.565</v>
          </cell>
          <cell r="D590">
            <v>1</v>
          </cell>
          <cell r="E590" t="str">
            <v>EA</v>
          </cell>
        </row>
        <row r="591">
          <cell r="B591" t="str">
            <v>소켓단관</v>
          </cell>
          <cell r="C591" t="str">
            <v>D=500,L=1.995</v>
          </cell>
          <cell r="D591">
            <v>1</v>
          </cell>
          <cell r="E591" t="str">
            <v>EA</v>
          </cell>
        </row>
        <row r="592">
          <cell r="B592" t="str">
            <v>소켓단관</v>
          </cell>
          <cell r="C592" t="str">
            <v>D=500,L=5.115</v>
          </cell>
          <cell r="D592">
            <v>1</v>
          </cell>
          <cell r="E592" t="str">
            <v>EA</v>
          </cell>
        </row>
        <row r="593">
          <cell r="B593" t="str">
            <v>소켓단관</v>
          </cell>
          <cell r="C593" t="str">
            <v>D=600,L=0.82</v>
          </cell>
          <cell r="D593">
            <v>1</v>
          </cell>
          <cell r="E593" t="str">
            <v>EA</v>
          </cell>
        </row>
        <row r="594">
          <cell r="B594" t="str">
            <v>소켓단관</v>
          </cell>
          <cell r="C594" t="str">
            <v>D=600,L=0.56</v>
          </cell>
          <cell r="D594">
            <v>1</v>
          </cell>
          <cell r="E594" t="str">
            <v>EA</v>
          </cell>
        </row>
        <row r="595">
          <cell r="B595" t="str">
            <v>소켓단관</v>
          </cell>
          <cell r="C595" t="str">
            <v>D=600,L=1.78</v>
          </cell>
          <cell r="D595">
            <v>1</v>
          </cell>
          <cell r="E595" t="str">
            <v>EA</v>
          </cell>
        </row>
        <row r="596">
          <cell r="B596" t="str">
            <v>소켓단관</v>
          </cell>
          <cell r="C596" t="str">
            <v>D=600,L=5.31</v>
          </cell>
          <cell r="D596">
            <v>1</v>
          </cell>
          <cell r="E596" t="str">
            <v>EA</v>
          </cell>
        </row>
        <row r="597">
          <cell r="A597">
            <v>41</v>
          </cell>
          <cell r="B597" t="str">
            <v>소켓단관</v>
          </cell>
          <cell r="C597" t="str">
            <v>D=600,L=1.16</v>
          </cell>
          <cell r="D597">
            <v>1</v>
          </cell>
          <cell r="E597" t="str">
            <v>EA</v>
          </cell>
        </row>
        <row r="598">
          <cell r="B598" t="str">
            <v>45도소켓곡관</v>
          </cell>
          <cell r="C598" t="str">
            <v>D=100m/m,M+A형</v>
          </cell>
          <cell r="D598">
            <v>6</v>
          </cell>
          <cell r="E598" t="str">
            <v>EA</v>
          </cell>
        </row>
        <row r="599">
          <cell r="B599" t="str">
            <v>45도소켓곡관</v>
          </cell>
          <cell r="C599" t="str">
            <v>D=150m/m,M+A형</v>
          </cell>
          <cell r="D599">
            <v>4</v>
          </cell>
          <cell r="E599" t="str">
            <v>EA</v>
          </cell>
        </row>
        <row r="600">
          <cell r="B600" t="str">
            <v>45도소켓곡관</v>
          </cell>
          <cell r="C600" t="str">
            <v>D=250m/m,M+A형</v>
          </cell>
          <cell r="D600">
            <v>4</v>
          </cell>
          <cell r="E600" t="str">
            <v>EA</v>
          </cell>
        </row>
        <row r="601">
          <cell r="B601" t="str">
            <v>45도소켓곡관</v>
          </cell>
          <cell r="C601" t="str">
            <v>D=300m/m,M+A형</v>
          </cell>
          <cell r="D601">
            <v>3</v>
          </cell>
          <cell r="E601" t="str">
            <v>EA</v>
          </cell>
        </row>
        <row r="602">
          <cell r="B602" t="str">
            <v>45도소켓곡관</v>
          </cell>
          <cell r="C602" t="str">
            <v>D=350m/m,M+A형</v>
          </cell>
          <cell r="D602">
            <v>1</v>
          </cell>
          <cell r="E602" t="str">
            <v>EA</v>
          </cell>
        </row>
        <row r="603">
          <cell r="B603" t="str">
            <v>45도소켓곡관</v>
          </cell>
          <cell r="C603" t="str">
            <v>D=400m/m,M+A형</v>
          </cell>
          <cell r="D603">
            <v>4</v>
          </cell>
          <cell r="E603" t="str">
            <v>EA</v>
          </cell>
        </row>
        <row r="604">
          <cell r="B604" t="str">
            <v>45도소켓곡관</v>
          </cell>
          <cell r="C604" t="str">
            <v>D=500m/m,M+A형</v>
          </cell>
          <cell r="D604">
            <v>2</v>
          </cell>
          <cell r="E604" t="str">
            <v>EA</v>
          </cell>
        </row>
        <row r="605">
          <cell r="B605" t="str">
            <v>45도소켓곡관</v>
          </cell>
          <cell r="C605" t="str">
            <v>D=600m/m,M+A형</v>
          </cell>
          <cell r="D605">
            <v>1</v>
          </cell>
          <cell r="E605" t="str">
            <v>EA</v>
          </cell>
        </row>
        <row r="606">
          <cell r="B606" t="str">
            <v>45도소켓곡관</v>
          </cell>
          <cell r="C606" t="str">
            <v>D=100m/m,M+B형</v>
          </cell>
          <cell r="D606">
            <v>4</v>
          </cell>
          <cell r="E606" t="str">
            <v>EA</v>
          </cell>
        </row>
        <row r="607">
          <cell r="B607" t="str">
            <v>45도소켓곡관</v>
          </cell>
          <cell r="C607" t="str">
            <v>D=150m/m,M+B형</v>
          </cell>
          <cell r="D607">
            <v>6</v>
          </cell>
          <cell r="E607" t="str">
            <v>EA</v>
          </cell>
        </row>
        <row r="608">
          <cell r="B608" t="str">
            <v>45도소켓곡관</v>
          </cell>
          <cell r="C608" t="str">
            <v>D=250m/m,M+B형</v>
          </cell>
          <cell r="D608">
            <v>14</v>
          </cell>
          <cell r="E608" t="str">
            <v>EA</v>
          </cell>
        </row>
        <row r="609">
          <cell r="B609" t="str">
            <v>45도소켓곡관</v>
          </cell>
          <cell r="C609" t="str">
            <v>D=300m/m,M+B형</v>
          </cell>
          <cell r="D609">
            <v>2</v>
          </cell>
          <cell r="E609" t="str">
            <v>EA</v>
          </cell>
        </row>
        <row r="610">
          <cell r="B610" t="str">
            <v>45도소켓곡관</v>
          </cell>
          <cell r="C610" t="str">
            <v>D=350m/m,M+B형</v>
          </cell>
          <cell r="D610">
            <v>1</v>
          </cell>
          <cell r="E610" t="str">
            <v>EA</v>
          </cell>
        </row>
        <row r="611">
          <cell r="B611" t="str">
            <v>45도소켓곡관</v>
          </cell>
          <cell r="C611" t="str">
            <v>D=400m/m,M+B형</v>
          </cell>
          <cell r="D611">
            <v>8</v>
          </cell>
          <cell r="E611" t="str">
            <v>EA</v>
          </cell>
        </row>
        <row r="612">
          <cell r="B612" t="str">
            <v>45도소켓곡관</v>
          </cell>
          <cell r="C612" t="str">
            <v>D=500m/m,M+B형</v>
          </cell>
          <cell r="D612">
            <v>2</v>
          </cell>
          <cell r="E612" t="str">
            <v>EA</v>
          </cell>
        </row>
        <row r="613">
          <cell r="B613" t="str">
            <v>45도소켓곡관</v>
          </cell>
          <cell r="C613" t="str">
            <v>D=600m/m,M+B형</v>
          </cell>
          <cell r="D613">
            <v>1</v>
          </cell>
          <cell r="E613" t="str">
            <v>EA</v>
          </cell>
        </row>
        <row r="614">
          <cell r="A614">
            <v>42</v>
          </cell>
          <cell r="B614" t="str">
            <v>90도소켓곡관</v>
          </cell>
          <cell r="C614" t="str">
            <v>D=400m/m,M+A형</v>
          </cell>
          <cell r="D614">
            <v>1</v>
          </cell>
          <cell r="E614" t="str">
            <v>EA</v>
          </cell>
        </row>
        <row r="615">
          <cell r="B615" t="str">
            <v>90도소켓곡관</v>
          </cell>
          <cell r="C615" t="str">
            <v>D=400m/m,M+B형</v>
          </cell>
          <cell r="D615">
            <v>2</v>
          </cell>
          <cell r="E615" t="str">
            <v>EA</v>
          </cell>
        </row>
        <row r="616">
          <cell r="B616" t="str">
            <v>90도소켓곡관</v>
          </cell>
          <cell r="C616" t="str">
            <v>D=250m/m,M+B형</v>
          </cell>
          <cell r="D616">
            <v>2</v>
          </cell>
          <cell r="E616" t="str">
            <v>EA</v>
          </cell>
        </row>
        <row r="617">
          <cell r="B617" t="str">
            <v>1125도소켓곡관</v>
          </cell>
          <cell r="C617" t="str">
            <v>D=100m/m,M+B형</v>
          </cell>
          <cell r="D617">
            <v>2</v>
          </cell>
          <cell r="E617" t="str">
            <v>EA</v>
          </cell>
        </row>
        <row r="618">
          <cell r="B618" t="str">
            <v>Y형관</v>
          </cell>
          <cell r="C618" t="str">
            <v>D=300m/m,M+A형</v>
          </cell>
          <cell r="D618">
            <v>1</v>
          </cell>
          <cell r="E618" t="str">
            <v>EA</v>
          </cell>
        </row>
        <row r="619">
          <cell r="B619" t="str">
            <v>무수단관</v>
          </cell>
          <cell r="C619" t="str">
            <v>D=100,L=3.78</v>
          </cell>
          <cell r="D619">
            <v>2</v>
          </cell>
          <cell r="E619" t="str">
            <v>EA</v>
          </cell>
        </row>
        <row r="620">
          <cell r="B620" t="str">
            <v>무수단관</v>
          </cell>
          <cell r="C620" t="str">
            <v>D=100,L=0.669</v>
          </cell>
          <cell r="D620">
            <v>2</v>
          </cell>
          <cell r="E620" t="str">
            <v>EA</v>
          </cell>
        </row>
        <row r="621">
          <cell r="B621" t="str">
            <v>무수단관</v>
          </cell>
          <cell r="C621" t="str">
            <v>D=150,L=1.194</v>
          </cell>
          <cell r="D621">
            <v>1</v>
          </cell>
          <cell r="E621" t="str">
            <v>EA</v>
          </cell>
        </row>
        <row r="622">
          <cell r="B622" t="str">
            <v>무수단관</v>
          </cell>
          <cell r="C622" t="str">
            <v>D=150,L=3.025</v>
          </cell>
          <cell r="D622">
            <v>1</v>
          </cell>
          <cell r="E622" t="str">
            <v>EA</v>
          </cell>
        </row>
        <row r="623">
          <cell r="B623" t="str">
            <v>무수단관</v>
          </cell>
          <cell r="C623" t="str">
            <v>D=150,L=2.608</v>
          </cell>
          <cell r="D623">
            <v>1</v>
          </cell>
          <cell r="E623" t="str">
            <v>EA</v>
          </cell>
        </row>
        <row r="624">
          <cell r="B624" t="str">
            <v>무수단관</v>
          </cell>
          <cell r="C624" t="str">
            <v>D=150,L=2.58</v>
          </cell>
          <cell r="D624">
            <v>1</v>
          </cell>
          <cell r="E624" t="str">
            <v>EA</v>
          </cell>
        </row>
        <row r="625">
          <cell r="B625" t="str">
            <v>무수단관</v>
          </cell>
          <cell r="C625" t="str">
            <v>D=150,L=1.194</v>
          </cell>
          <cell r="D625">
            <v>1</v>
          </cell>
          <cell r="E625" t="str">
            <v>EA</v>
          </cell>
        </row>
        <row r="626">
          <cell r="B626" t="str">
            <v>무수단관</v>
          </cell>
          <cell r="C626" t="str">
            <v>D=250,L=0.291</v>
          </cell>
          <cell r="D626">
            <v>2</v>
          </cell>
          <cell r="E626" t="str">
            <v>EA</v>
          </cell>
        </row>
        <row r="627">
          <cell r="B627" t="str">
            <v>무수단관</v>
          </cell>
          <cell r="C627" t="str">
            <v>D=250,L=3.225</v>
          </cell>
          <cell r="D627">
            <v>2</v>
          </cell>
          <cell r="E627" t="str">
            <v>EA</v>
          </cell>
        </row>
        <row r="628">
          <cell r="B628" t="str">
            <v>무수단관</v>
          </cell>
          <cell r="C628" t="str">
            <v>D=250,L=1.00</v>
          </cell>
          <cell r="D628">
            <v>2</v>
          </cell>
          <cell r="E628" t="str">
            <v>EA</v>
          </cell>
        </row>
        <row r="629">
          <cell r="B629" t="str">
            <v>무수단관</v>
          </cell>
          <cell r="C629" t="str">
            <v>D=300,L=1.064</v>
          </cell>
          <cell r="D629">
            <v>2</v>
          </cell>
          <cell r="E629" t="str">
            <v>EA</v>
          </cell>
        </row>
        <row r="630">
          <cell r="B630" t="str">
            <v>무수단관</v>
          </cell>
          <cell r="C630" t="str">
            <v>D=300,L=1.00</v>
          </cell>
          <cell r="D630">
            <v>1</v>
          </cell>
          <cell r="E630" t="str">
            <v>EA</v>
          </cell>
        </row>
        <row r="631">
          <cell r="A631">
            <v>43</v>
          </cell>
          <cell r="B631" t="str">
            <v>무수단관</v>
          </cell>
          <cell r="C631" t="str">
            <v>D=300,L=0.617</v>
          </cell>
          <cell r="D631">
            <v>1</v>
          </cell>
          <cell r="E631" t="str">
            <v>EA</v>
          </cell>
        </row>
        <row r="632">
          <cell r="B632" t="str">
            <v>무수단관</v>
          </cell>
          <cell r="C632" t="str">
            <v>D=300,L=3.055</v>
          </cell>
          <cell r="D632">
            <v>1</v>
          </cell>
          <cell r="E632" t="str">
            <v>EA</v>
          </cell>
        </row>
        <row r="633">
          <cell r="B633" t="str">
            <v>무수단관</v>
          </cell>
          <cell r="C633" t="str">
            <v>D=350,L=1.975</v>
          </cell>
          <cell r="D633">
            <v>1</v>
          </cell>
          <cell r="E633" t="str">
            <v>EA</v>
          </cell>
        </row>
        <row r="634">
          <cell r="B634" t="str">
            <v>무수단관</v>
          </cell>
          <cell r="C634" t="str">
            <v>D=100,L=3.47</v>
          </cell>
          <cell r="D634">
            <v>2</v>
          </cell>
          <cell r="E634" t="str">
            <v>EA</v>
          </cell>
        </row>
        <row r="635">
          <cell r="B635" t="str">
            <v>무수단관</v>
          </cell>
          <cell r="C635" t="str">
            <v>D=400,L=3.352</v>
          </cell>
          <cell r="D635">
            <v>2</v>
          </cell>
          <cell r="E635" t="str">
            <v>EA</v>
          </cell>
        </row>
        <row r="636">
          <cell r="B636" t="str">
            <v>무수단관</v>
          </cell>
          <cell r="C636" t="str">
            <v>D=400,L=1.045</v>
          </cell>
          <cell r="D636">
            <v>2</v>
          </cell>
          <cell r="E636" t="str">
            <v>EA</v>
          </cell>
        </row>
        <row r="637">
          <cell r="B637" t="str">
            <v>무수단관</v>
          </cell>
          <cell r="C637" t="str">
            <v>D=400,L=0.50</v>
          </cell>
          <cell r="D637">
            <v>2</v>
          </cell>
          <cell r="E637" t="str">
            <v>EA</v>
          </cell>
        </row>
        <row r="638">
          <cell r="B638" t="str">
            <v>무수단관</v>
          </cell>
          <cell r="C638" t="str">
            <v>D=500,L=3.642</v>
          </cell>
          <cell r="D638">
            <v>1</v>
          </cell>
          <cell r="E638" t="str">
            <v>EA</v>
          </cell>
        </row>
        <row r="639">
          <cell r="B639" t="str">
            <v>무수단관</v>
          </cell>
          <cell r="C639" t="str">
            <v>D=500,L=1.167</v>
          </cell>
          <cell r="D639">
            <v>1</v>
          </cell>
          <cell r="E639" t="str">
            <v>EA</v>
          </cell>
        </row>
        <row r="640">
          <cell r="B640" t="str">
            <v>무수단관</v>
          </cell>
          <cell r="C640" t="str">
            <v>D=600,L=0.794</v>
          </cell>
          <cell r="D640">
            <v>1</v>
          </cell>
          <cell r="E640" t="str">
            <v>EA</v>
          </cell>
        </row>
        <row r="641">
          <cell r="B641" t="str">
            <v>직관</v>
          </cell>
          <cell r="C641" t="str">
            <v>D=100,L=5.00</v>
          </cell>
          <cell r="D641">
            <v>5</v>
          </cell>
          <cell r="E641" t="str">
            <v>EA</v>
          </cell>
        </row>
        <row r="642">
          <cell r="B642" t="str">
            <v>직관</v>
          </cell>
          <cell r="C642" t="str">
            <v>D=150,L=5.00</v>
          </cell>
          <cell r="D642">
            <v>3</v>
          </cell>
          <cell r="E642" t="str">
            <v>EA</v>
          </cell>
        </row>
        <row r="643">
          <cell r="B643" t="str">
            <v>직관</v>
          </cell>
          <cell r="C643" t="str">
            <v>D=250,L=6.00</v>
          </cell>
          <cell r="D643">
            <v>6</v>
          </cell>
          <cell r="E643" t="str">
            <v>EA</v>
          </cell>
        </row>
        <row r="644">
          <cell r="B644" t="str">
            <v>직관</v>
          </cell>
          <cell r="C644" t="str">
            <v>D=300,L=6.00</v>
          </cell>
          <cell r="D644">
            <v>3</v>
          </cell>
          <cell r="E644" t="str">
            <v>EA</v>
          </cell>
        </row>
        <row r="645">
          <cell r="B645" t="str">
            <v>직관</v>
          </cell>
          <cell r="C645" t="str">
            <v>D=350,L=6.00</v>
          </cell>
          <cell r="D645">
            <v>5</v>
          </cell>
          <cell r="E645" t="str">
            <v>EA</v>
          </cell>
        </row>
        <row r="646">
          <cell r="B646" t="str">
            <v>직관</v>
          </cell>
          <cell r="C646" t="str">
            <v>D=400,L=6.00</v>
          </cell>
          <cell r="D646">
            <v>15</v>
          </cell>
          <cell r="E646" t="str">
            <v>EA</v>
          </cell>
        </row>
        <row r="647">
          <cell r="B647" t="str">
            <v>직관</v>
          </cell>
          <cell r="C647" t="str">
            <v>D=500,L=6.00</v>
          </cell>
          <cell r="D647">
            <v>2</v>
          </cell>
          <cell r="E647" t="str">
            <v>EA</v>
          </cell>
        </row>
        <row r="648">
          <cell r="A648">
            <v>44</v>
          </cell>
          <cell r="B648" t="str">
            <v>직관</v>
          </cell>
          <cell r="C648" t="str">
            <v>D=600,L=6.00</v>
          </cell>
          <cell r="D648">
            <v>4</v>
          </cell>
          <cell r="E648" t="str">
            <v>EA</v>
          </cell>
        </row>
        <row r="649">
          <cell r="B649" t="str">
            <v>STS플랜지단관</v>
          </cell>
          <cell r="C649" t="str">
            <v>D=200,L=0.80</v>
          </cell>
          <cell r="D649">
            <v>2</v>
          </cell>
          <cell r="E649" t="str">
            <v>EA</v>
          </cell>
        </row>
        <row r="650">
          <cell r="B650" t="str">
            <v>STS곡관</v>
          </cell>
          <cell r="C650" t="str">
            <v>200*90</v>
          </cell>
          <cell r="D650">
            <v>4</v>
          </cell>
          <cell r="E650" t="str">
            <v>EA</v>
          </cell>
        </row>
        <row r="651">
          <cell r="B651" t="str">
            <v>소켓단관</v>
          </cell>
          <cell r="C651" t="str">
            <v>D=250,L=0.250</v>
          </cell>
          <cell r="D651">
            <v>2</v>
          </cell>
          <cell r="E651" t="str">
            <v>EA</v>
          </cell>
        </row>
        <row r="652">
          <cell r="B652" t="str">
            <v>소켓단관</v>
          </cell>
          <cell r="C652" t="str">
            <v>D=250,L=3.065</v>
          </cell>
          <cell r="D652">
            <v>2</v>
          </cell>
          <cell r="E652" t="str">
            <v>EA</v>
          </cell>
        </row>
        <row r="653">
          <cell r="B653" t="str">
            <v>소켓단관</v>
          </cell>
          <cell r="C653" t="str">
            <v>D=250,L=5.847</v>
          </cell>
          <cell r="D653">
            <v>1</v>
          </cell>
          <cell r="E653" t="str">
            <v>EA</v>
          </cell>
        </row>
        <row r="654">
          <cell r="B654" t="str">
            <v>무수단관</v>
          </cell>
          <cell r="C654" t="str">
            <v>D=250,L=5.847</v>
          </cell>
          <cell r="E654" t="str">
            <v>EA</v>
          </cell>
        </row>
        <row r="655">
          <cell r="B655" t="str">
            <v>양플렌지단관</v>
          </cell>
          <cell r="C655" t="str">
            <v>D=250,L=5.847</v>
          </cell>
          <cell r="E655" t="str">
            <v>EA</v>
          </cell>
        </row>
        <row r="656">
          <cell r="B656" t="str">
            <v>무수단관</v>
          </cell>
          <cell r="C656" t="str">
            <v>D=250,L=5.847</v>
          </cell>
          <cell r="E656" t="str">
            <v>EA</v>
          </cell>
        </row>
        <row r="657">
          <cell r="B657" t="str">
            <v>소켓단관</v>
          </cell>
          <cell r="C657" t="str">
            <v>D=250,L=5.847</v>
          </cell>
          <cell r="E657" t="str">
            <v>EA</v>
          </cell>
        </row>
        <row r="658">
          <cell r="B658" t="str">
            <v>소켓단관</v>
          </cell>
          <cell r="C658" t="str">
            <v>D=250,L=5.847</v>
          </cell>
          <cell r="E658" t="str">
            <v>EA</v>
          </cell>
        </row>
        <row r="659">
          <cell r="B659" t="str">
            <v>양플렌지단관</v>
          </cell>
          <cell r="C659" t="str">
            <v>D=250,L=5.847</v>
          </cell>
          <cell r="E659" t="str">
            <v>EA</v>
          </cell>
        </row>
        <row r="660">
          <cell r="B660" t="str">
            <v>소켓단관</v>
          </cell>
          <cell r="C660" t="str">
            <v>D=250,L=5.847</v>
          </cell>
          <cell r="E660" t="str">
            <v>EA</v>
          </cell>
        </row>
        <row r="661">
          <cell r="B661" t="str">
            <v>1125도소켓곡관</v>
          </cell>
          <cell r="C661" t="str">
            <v>D=250,L=5.847</v>
          </cell>
          <cell r="E661" t="str">
            <v>EA</v>
          </cell>
        </row>
        <row r="662">
          <cell r="B662" t="str">
            <v>*관급자재비</v>
          </cell>
        </row>
        <row r="663">
          <cell r="B663" t="str">
            <v>시멘트</v>
          </cell>
          <cell r="D663">
            <v>323</v>
          </cell>
          <cell r="E663" t="str">
            <v>대</v>
          </cell>
        </row>
        <row r="664">
          <cell r="B664" t="str">
            <v>철근</v>
          </cell>
          <cell r="C664" t="str">
            <v>D13</v>
          </cell>
          <cell r="D664">
            <v>62.883000000000003</v>
          </cell>
          <cell r="E664" t="str">
            <v>TON</v>
          </cell>
        </row>
        <row r="665">
          <cell r="B665" t="str">
            <v>철근</v>
          </cell>
          <cell r="C665" t="str">
            <v>D16</v>
          </cell>
          <cell r="D665">
            <v>147.05099999999999</v>
          </cell>
          <cell r="E665" t="str">
            <v>TON</v>
          </cell>
        </row>
        <row r="666">
          <cell r="B666" t="str">
            <v>철근</v>
          </cell>
          <cell r="C666" t="str">
            <v>D19</v>
          </cell>
          <cell r="D666">
            <v>153.059</v>
          </cell>
          <cell r="E666" t="str">
            <v>TON</v>
          </cell>
        </row>
        <row r="667">
          <cell r="B667" t="str">
            <v>철근</v>
          </cell>
          <cell r="C667" t="str">
            <v>D22</v>
          </cell>
          <cell r="D667">
            <v>70.275000000000006</v>
          </cell>
          <cell r="E667" t="str">
            <v>TON</v>
          </cell>
        </row>
        <row r="668">
          <cell r="B668" t="str">
            <v>철근</v>
          </cell>
          <cell r="C668" t="str">
            <v>D25</v>
          </cell>
          <cell r="D668">
            <v>6.6689999999999996</v>
          </cell>
          <cell r="E668" t="str">
            <v>TON</v>
          </cell>
        </row>
        <row r="669">
          <cell r="B669" t="str">
            <v>레미콘</v>
          </cell>
          <cell r="C669" t="str">
            <v>40-135-8</v>
          </cell>
          <cell r="D669">
            <v>381</v>
          </cell>
          <cell r="E669" t="str">
            <v>m3</v>
          </cell>
        </row>
        <row r="670">
          <cell r="B670" t="str">
            <v>레미콘</v>
          </cell>
          <cell r="C670" t="str">
            <v>25-180-8</v>
          </cell>
          <cell r="D670">
            <v>280</v>
          </cell>
          <cell r="E670" t="str">
            <v>m3</v>
          </cell>
        </row>
        <row r="671">
          <cell r="B671" t="str">
            <v>레미콘</v>
          </cell>
          <cell r="C671" t="str">
            <v>25-210-8</v>
          </cell>
          <cell r="D671">
            <v>16</v>
          </cell>
          <cell r="E671" t="str">
            <v>m3</v>
          </cell>
        </row>
        <row r="672">
          <cell r="B672" t="str">
            <v>레미콘</v>
          </cell>
          <cell r="C672" t="str">
            <v>40-210-8</v>
          </cell>
          <cell r="D672">
            <v>71</v>
          </cell>
          <cell r="E672" t="str">
            <v>m3</v>
          </cell>
        </row>
        <row r="673">
          <cell r="B673" t="str">
            <v>레미콘</v>
          </cell>
          <cell r="C673" t="str">
            <v>25-240-8</v>
          </cell>
          <cell r="D673">
            <v>4044</v>
          </cell>
          <cell r="E673" t="str">
            <v>m3</v>
          </cell>
        </row>
        <row r="674">
          <cell r="B674" t="str">
            <v>흄관(칼라제외)</v>
          </cell>
          <cell r="C674" t="str">
            <v>D=250M/M</v>
          </cell>
          <cell r="D674">
            <v>62</v>
          </cell>
          <cell r="E674" t="str">
            <v>본</v>
          </cell>
        </row>
        <row r="675">
          <cell r="B675" t="str">
            <v>흄관(칼라제외)</v>
          </cell>
          <cell r="C675" t="str">
            <v>D=300M/M</v>
          </cell>
          <cell r="D675">
            <v>15</v>
          </cell>
          <cell r="E675" t="str">
            <v>본</v>
          </cell>
        </row>
        <row r="676">
          <cell r="B676" t="str">
            <v>흄관(칼라제외)</v>
          </cell>
          <cell r="C676" t="str">
            <v>D=450M/M</v>
          </cell>
          <cell r="D676">
            <v>229</v>
          </cell>
          <cell r="E676" t="str">
            <v>본</v>
          </cell>
        </row>
        <row r="677">
          <cell r="B677" t="str">
            <v>흄관(칼라제외)</v>
          </cell>
          <cell r="C677" t="str">
            <v>D=600M/M</v>
          </cell>
          <cell r="D677">
            <v>38</v>
          </cell>
          <cell r="E677" t="str">
            <v>본</v>
          </cell>
        </row>
        <row r="678">
          <cell r="B678" t="str">
            <v>아스콘</v>
          </cell>
          <cell r="C678" t="str">
            <v>#467</v>
          </cell>
          <cell r="D678">
            <v>1414</v>
          </cell>
          <cell r="E678" t="str">
            <v>TON</v>
          </cell>
        </row>
        <row r="679">
          <cell r="B679" t="str">
            <v>아스콘</v>
          </cell>
          <cell r="C679" t="str">
            <v>#78</v>
          </cell>
          <cell r="D679">
            <v>738</v>
          </cell>
          <cell r="E679" t="str">
            <v>TON</v>
          </cell>
        </row>
        <row r="680">
          <cell r="B680" t="str">
            <v>아스팔트</v>
          </cell>
          <cell r="C680" t="str">
            <v>MC-3</v>
          </cell>
          <cell r="D680">
            <v>25</v>
          </cell>
          <cell r="E680" t="str">
            <v>TON</v>
          </cell>
        </row>
        <row r="681">
          <cell r="B681" t="str">
            <v>아스팔트</v>
          </cell>
          <cell r="C681" t="str">
            <v>RSC-4</v>
          </cell>
          <cell r="D681">
            <v>9</v>
          </cell>
          <cell r="E681" t="str">
            <v>TON</v>
          </cell>
        </row>
        <row r="682">
          <cell r="A682">
            <v>46</v>
          </cell>
          <cell r="B682" t="str">
            <v>보차도경계블럭</v>
          </cell>
          <cell r="C682" t="str">
            <v>180*205*250</v>
          </cell>
          <cell r="D682">
            <v>800</v>
          </cell>
          <cell r="E682" t="str">
            <v>m</v>
          </cell>
        </row>
        <row r="683">
          <cell r="B683" t="str">
            <v>조달수수료</v>
          </cell>
          <cell r="D683">
            <v>1.4</v>
          </cell>
          <cell r="E683" t="str">
            <v>%</v>
          </cell>
        </row>
        <row r="684">
          <cell r="B684" t="str">
            <v>*토취장사용료</v>
          </cell>
          <cell r="C684" t="str">
            <v>토사</v>
          </cell>
          <cell r="D684">
            <v>15625</v>
          </cell>
          <cell r="E684" t="str">
            <v>m3</v>
          </cell>
        </row>
        <row r="699">
          <cell r="A699">
            <v>47</v>
          </cell>
        </row>
        <row r="700">
          <cell r="A700" t="str">
            <v>조경</v>
          </cell>
          <cell r="B700" t="str">
            <v>무안하수종말처리장</v>
          </cell>
        </row>
        <row r="701">
          <cell r="B701" t="str">
            <v>1)식재공사</v>
          </cell>
        </row>
        <row r="702">
          <cell r="B702" t="str">
            <v>2)시설물공사</v>
          </cell>
        </row>
        <row r="703">
          <cell r="B703" t="str">
            <v>3)부대공사</v>
          </cell>
        </row>
        <row r="705">
          <cell r="B705" t="str">
            <v>계</v>
          </cell>
        </row>
        <row r="716">
          <cell r="A716">
            <v>49</v>
          </cell>
        </row>
        <row r="717">
          <cell r="B717" t="str">
            <v>무안하수종말처리장</v>
          </cell>
        </row>
        <row r="720">
          <cell r="B720" t="str">
            <v>1)식재공사</v>
          </cell>
        </row>
        <row r="721">
          <cell r="B721" t="str">
            <v>소나무</v>
          </cell>
          <cell r="C721" t="str">
            <v>H 4.0 X R 15</v>
          </cell>
          <cell r="D721">
            <v>10</v>
          </cell>
          <cell r="E721" t="str">
            <v>주</v>
          </cell>
        </row>
        <row r="722">
          <cell r="B722" t="str">
            <v>소나무</v>
          </cell>
          <cell r="C722" t="str">
            <v>H 3.0 X R 10</v>
          </cell>
          <cell r="D722">
            <v>16</v>
          </cell>
          <cell r="E722" t="str">
            <v>주</v>
          </cell>
        </row>
        <row r="723">
          <cell r="B723" t="str">
            <v>스트로브잣</v>
          </cell>
          <cell r="C723" t="str">
            <v>H 3.0 X W 1.0</v>
          </cell>
          <cell r="D723">
            <v>115</v>
          </cell>
          <cell r="E723" t="str">
            <v>주</v>
          </cell>
        </row>
        <row r="724">
          <cell r="B724" t="str">
            <v>측백나무</v>
          </cell>
          <cell r="C724" t="str">
            <v>H 3.0 X W 1.0</v>
          </cell>
          <cell r="D724">
            <v>127</v>
          </cell>
          <cell r="E724" t="str">
            <v>주</v>
          </cell>
        </row>
        <row r="725">
          <cell r="B725" t="str">
            <v>해 송</v>
          </cell>
          <cell r="C725" t="str">
            <v>H 3.0 X W 1.0</v>
          </cell>
          <cell r="D725">
            <v>129</v>
          </cell>
          <cell r="E725" t="str">
            <v>주</v>
          </cell>
        </row>
        <row r="726">
          <cell r="B726" t="str">
            <v>후박나무</v>
          </cell>
          <cell r="C726" t="str">
            <v>H 2.5 X R 4</v>
          </cell>
          <cell r="D726">
            <v>27</v>
          </cell>
          <cell r="E726" t="str">
            <v>주</v>
          </cell>
        </row>
        <row r="727">
          <cell r="B727" t="str">
            <v>가시나무</v>
          </cell>
          <cell r="C727" t="str">
            <v>H 2.0 X R 4</v>
          </cell>
          <cell r="D727">
            <v>40</v>
          </cell>
          <cell r="E727" t="str">
            <v>주</v>
          </cell>
        </row>
        <row r="728">
          <cell r="B728" t="str">
            <v>동백나무</v>
          </cell>
          <cell r="C728" t="str">
            <v>H 1.5 X W 0.6</v>
          </cell>
          <cell r="D728">
            <v>64</v>
          </cell>
          <cell r="E728" t="str">
            <v>주</v>
          </cell>
        </row>
        <row r="729">
          <cell r="B729" t="str">
            <v>느티나무</v>
          </cell>
          <cell r="C729" t="str">
            <v>H 4.0 X R 12</v>
          </cell>
          <cell r="D729">
            <v>32</v>
          </cell>
          <cell r="E729" t="str">
            <v>주</v>
          </cell>
        </row>
        <row r="730">
          <cell r="B730" t="str">
            <v>청단풍</v>
          </cell>
          <cell r="C730" t="str">
            <v>H 2.0 X R 6</v>
          </cell>
          <cell r="D730">
            <v>24</v>
          </cell>
          <cell r="E730" t="str">
            <v>주</v>
          </cell>
        </row>
        <row r="731">
          <cell r="B731" t="str">
            <v>매타세콰이어</v>
          </cell>
          <cell r="C731" t="str">
            <v>H 3.0 X R 6</v>
          </cell>
          <cell r="D731">
            <v>55</v>
          </cell>
          <cell r="E731" t="str">
            <v>주</v>
          </cell>
        </row>
        <row r="732">
          <cell r="B732" t="str">
            <v>목련</v>
          </cell>
          <cell r="C732" t="str">
            <v>H 3.0 X R 10</v>
          </cell>
          <cell r="D732">
            <v>10</v>
          </cell>
          <cell r="E732" t="str">
            <v>주</v>
          </cell>
        </row>
        <row r="733">
          <cell r="B733" t="str">
            <v>모과나무</v>
          </cell>
          <cell r="C733" t="str">
            <v>H 3.0 X R 8</v>
          </cell>
          <cell r="D733">
            <v>9</v>
          </cell>
          <cell r="E733" t="str">
            <v>주</v>
          </cell>
        </row>
        <row r="734">
          <cell r="B734" t="str">
            <v>배롱나무</v>
          </cell>
          <cell r="C734" t="str">
            <v>H 2.5 X R 7</v>
          </cell>
          <cell r="D734">
            <v>21</v>
          </cell>
          <cell r="E734" t="str">
            <v>주</v>
          </cell>
        </row>
        <row r="735">
          <cell r="B735" t="str">
            <v>광나무</v>
          </cell>
          <cell r="C735" t="str">
            <v>H 1.0 X W 0.3</v>
          </cell>
          <cell r="D735">
            <v>1120</v>
          </cell>
          <cell r="E735" t="str">
            <v>주</v>
          </cell>
        </row>
        <row r="736">
          <cell r="B736" t="str">
            <v>회양목</v>
          </cell>
          <cell r="C736" t="str">
            <v>H 0.3 X W 0.3</v>
          </cell>
          <cell r="D736">
            <v>952</v>
          </cell>
          <cell r="E736" t="str">
            <v>주</v>
          </cell>
        </row>
        <row r="737">
          <cell r="B737" t="str">
            <v>수수꽂다리</v>
          </cell>
          <cell r="C737" t="str">
            <v>H 2.0 X W 1.0</v>
          </cell>
          <cell r="D737">
            <v>51</v>
          </cell>
          <cell r="E737" t="str">
            <v>주</v>
          </cell>
        </row>
        <row r="738">
          <cell r="B738" t="str">
            <v>산철쭉</v>
          </cell>
          <cell r="C738" t="str">
            <v>H 0.4 X W 0.3</v>
          </cell>
          <cell r="D738">
            <v>1180</v>
          </cell>
          <cell r="E738" t="str">
            <v>주</v>
          </cell>
        </row>
        <row r="739">
          <cell r="B739" t="str">
            <v>잔 듸</v>
          </cell>
          <cell r="C739" t="str">
            <v>0.3x0.3x0.03</v>
          </cell>
          <cell r="D739">
            <v>10331</v>
          </cell>
          <cell r="E739" t="str">
            <v>m2</v>
          </cell>
        </row>
        <row r="740">
          <cell r="B740" t="str">
            <v>지주목(이각)</v>
          </cell>
          <cell r="D740">
            <v>40</v>
          </cell>
          <cell r="E740" t="str">
            <v>조</v>
          </cell>
        </row>
        <row r="741">
          <cell r="B741" t="str">
            <v>지주목(삼발이)</v>
          </cell>
          <cell r="C741" t="str">
            <v>소형</v>
          </cell>
          <cell r="D741">
            <v>533</v>
          </cell>
          <cell r="E741" t="str">
            <v>조</v>
          </cell>
        </row>
        <row r="742">
          <cell r="B742" t="str">
            <v>지주목(삼발이)</v>
          </cell>
          <cell r="C742" t="str">
            <v>대형</v>
          </cell>
          <cell r="D742">
            <v>46</v>
          </cell>
          <cell r="E742" t="str">
            <v>조</v>
          </cell>
        </row>
        <row r="743">
          <cell r="B743" t="str">
            <v>소  계</v>
          </cell>
        </row>
        <row r="750">
          <cell r="A750">
            <v>51</v>
          </cell>
        </row>
        <row r="751">
          <cell r="B751" t="str">
            <v>2)시설물공사</v>
          </cell>
        </row>
        <row r="752">
          <cell r="B752" t="str">
            <v>파고라</v>
          </cell>
          <cell r="C752" t="str">
            <v>5,200 x 5,200</v>
          </cell>
          <cell r="D752">
            <v>3</v>
          </cell>
          <cell r="E752" t="str">
            <v>개소</v>
          </cell>
        </row>
        <row r="753">
          <cell r="B753" t="str">
            <v>팽의자</v>
          </cell>
          <cell r="C753" t="str">
            <v>HW 2-2-1</v>
          </cell>
          <cell r="D753">
            <v>12</v>
          </cell>
          <cell r="E753" t="str">
            <v>개소</v>
          </cell>
        </row>
        <row r="754">
          <cell r="B754" t="str">
            <v>등의자</v>
          </cell>
          <cell r="C754" t="str">
            <v>HW 3-1-1</v>
          </cell>
          <cell r="D754">
            <v>4</v>
          </cell>
          <cell r="E754" t="str">
            <v>개소</v>
          </cell>
        </row>
        <row r="755">
          <cell r="B755" t="str">
            <v>휴지통</v>
          </cell>
          <cell r="D755">
            <v>2</v>
          </cell>
          <cell r="E755" t="str">
            <v>개소</v>
          </cell>
        </row>
        <row r="756">
          <cell r="B756" t="str">
            <v>소  계</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0430"/>
      <sheetName val="980731"/>
      <sheetName val="990731"/>
      <sheetName val="000930"/>
      <sheetName val="010101"/>
      <sheetName val="인원비교요약표1월"/>
      <sheetName val="010801"/>
      <sheetName val="인원비교요약표8월"/>
      <sheetName val="설계내역서"/>
      <sheetName val="RECIMAKE"/>
      <sheetName val="전체실적"/>
      <sheetName val="HG"/>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0430"/>
      <sheetName val="980731"/>
      <sheetName val="990731"/>
      <sheetName val="000930"/>
      <sheetName val="010101"/>
      <sheetName val="인원비교요약표1월"/>
      <sheetName val="010801"/>
      <sheetName val="인원비교요약표8월"/>
    </sheetNames>
    <sheetDataSet>
      <sheetData sheetId="0"/>
      <sheetData sheetId="1"/>
      <sheetData sheetId="2"/>
      <sheetData sheetId="3"/>
      <sheetData sheetId="4"/>
      <sheetData sheetId="5"/>
      <sheetData sheetId="6" refreshError="1"/>
      <sheetData sheetId="7"/>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UNGDEVI"/>
      <sheetName val="02년 11,12변경"/>
      <sheetName val="대차대조표"/>
      <sheetName val="현금예금"/>
      <sheetName val="단기금융,ABS.ABL선수금"/>
      <sheetName val="ABS.ABL"/>
      <sheetName val="선수예수금"/>
      <sheetName val="유가증권(후순위채)"/>
      <sheetName val="매출채권"/>
      <sheetName val="매출채권 (2)"/>
      <sheetName val="미수금"/>
      <sheetName val="미지급(대체)금"/>
      <sheetName val="재고자산"/>
      <sheetName val="보증금"/>
      <sheetName val="장기미수금"/>
      <sheetName val="유형자산"/>
      <sheetName val="퇴직금(충당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통"/>
      <sheetName val="업무분장 "/>
      <sheetName val="B-90"/>
      <sheetName val="기말요약"/>
      <sheetName val="중요성기준"/>
      <sheetName val="A9-1~5 "/>
      <sheetName val="A9-3"/>
      <sheetName val="경영분석"/>
      <sheetName val="98경영"/>
      <sheetName val="A9-부2 "/>
      <sheetName val="A9"/>
      <sheetName val="A9-2(구)"/>
      <sheetName val="주석자료A7"/>
      <sheetName val="주총요약"/>
      <sheetName val="지급보증"/>
      <sheetName val="(법인,토지)등기부등본요약"/>
      <sheetName val="보험가입"/>
      <sheetName val="계속기업검토표"/>
      <sheetName val="A7"/>
      <sheetName val="등본요약"/>
      <sheetName val="계속기업"/>
      <sheetName val="A1"/>
      <sheetName val="A2"/>
      <sheetName val="to do"/>
      <sheetName val="재고"/>
      <sheetName val="AR"/>
      <sheetName val="단가검증"/>
      <sheetName val="재고분석"/>
      <sheetName val="가공비배부"/>
      <sheetName val="제,원"/>
      <sheetName val="투자"/>
      <sheetName val="평가"/>
      <sheetName val="무형"/>
      <sheetName val="M"/>
      <sheetName val="M1-anl"/>
      <sheetName val="퇴충"/>
      <sheetName val="분석적검토"/>
      <sheetName val="자본"/>
      <sheetName val="스탁옵션"/>
      <sheetName val="원가"/>
      <sheetName val="제조원가"/>
      <sheetName val="월별제조"/>
      <sheetName val="영업외"/>
      <sheetName val="우발"/>
      <sheetName val="법인"/>
      <sheetName val="미지급법인세"/>
      <sheetName val="이연법인세"/>
      <sheetName val="BS일이후"/>
      <sheetName val="매입"/>
      <sheetName val="원재료평가"/>
      <sheetName val="제품평가"/>
      <sheetName val="cc"/>
      <sheetName val="조회"/>
      <sheetName val="총괄"/>
      <sheetName val="미수"/>
    </sheetNames>
    <sheetDataSet>
      <sheetData sheetId="0" refreshError="1"/>
      <sheetData sheetId="1" refreshError="1">
        <row r="1">
          <cell r="A1" t="str">
            <v>감 사 업 무 분 담 표</v>
          </cell>
        </row>
        <row r="45">
          <cell r="F45" t="str">
            <v>V</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재지"/>
      <sheetName val="갑지"/>
      <sheetName val="토공"/>
      <sheetName val="배수공"/>
      <sheetName val="구조물공"/>
      <sheetName val="포장공"/>
      <sheetName val="부대공"/>
      <sheetName val="터널공"/>
      <sheetName val="군부대공사"/>
      <sheetName val="상수도이설공"/>
      <sheetName val="광통신관로공"/>
      <sheetName val="석수IC"/>
      <sheetName val="개착구간"/>
      <sheetName val="부대공Ⅱ"/>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독1130"/>
      <sheetName val="선발종합"/>
      <sheetName val="인원보고"/>
    </sheetNames>
    <sheetDataSet>
      <sheetData sheetId="0"/>
      <sheetData sheetId="1"/>
      <sheetData sheetId="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간점유"/>
      <sheetName val="월별점유"/>
      <sheetName val="상대점유"/>
      <sheetName val="PPM"/>
    </sheetNames>
    <sheetDataSet>
      <sheetData sheetId="0"/>
      <sheetData sheetId="1"/>
      <sheetData sheetId="2"/>
      <sheetData sheetId="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업기본"/>
      <sheetName val="저압기본"/>
      <sheetName val="고압기본"/>
      <sheetName val="변압기본"/>
      <sheetName val="계량기본"/>
      <sheetName val="송전기본"/>
      <sheetName val="RRR9401"/>
      <sheetName val="RRR9312"/>
      <sheetName val="RRR9311"/>
      <sheetName val="마감현황"/>
      <sheetName val="이자율"/>
      <sheetName val="Assumptions"/>
    </sheetNames>
    <sheetDataSet>
      <sheetData sheetId="0"/>
      <sheetData sheetId="1"/>
      <sheetData sheetId="2"/>
      <sheetData sheetId="3"/>
      <sheetData sheetId="4"/>
      <sheetData sheetId="5">
        <row r="1">
          <cell r="C1" t="str">
            <v>95년 제조원가 계획(누계)</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정별"/>
      <sheetName val="월별손익계산서"/>
      <sheetName val="손익요약"/>
      <sheetName val="일반관리비종합"/>
      <sheetName val="영업외손익종합"/>
      <sheetName val="영업외손익"/>
      <sheetName val="판매직접비"/>
      <sheetName val="일반관리비"/>
      <sheetName val="매출액"/>
      <sheetName val="제조원가"/>
      <sheetName val="매출원가"/>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1목표합의서"/>
      <sheetName val="2000년실적평가"/>
      <sheetName val="2.편성기준"/>
      <sheetName val="3.RISK"/>
      <sheetName val="4.PL"/>
      <sheetName val="4.PL(지분포함)"/>
      <sheetName val="5.BS"/>
      <sheetName val="6.판매계획"/>
      <sheetName val="6-1계획대비"/>
      <sheetName val="6-2실적대비"/>
      <sheetName val="7.신제품매출"/>
      <sheetName val="8.생산계획"/>
      <sheetName val="가동율분석"/>
      <sheetName val="9.제조원가"/>
      <sheetName val="9-1(울산)"/>
      <sheetName val="9-2(여수)"/>
      <sheetName val="10.판관비"/>
      <sheetName val="11.영업외손익"/>
      <sheetName val="13.투자계획"/>
      <sheetName val="14.CF"/>
      <sheetName val="15.차입"/>
      <sheetName val="16.vp실적및계획"/>
      <sheetName val="17.교육계획"/>
      <sheetName val="영업외수익"/>
      <sheetName val="재무제표"/>
      <sheetName val="최종영업외수익"/>
      <sheetName val="차입금"/>
      <sheetName val="편성기준CA"/>
      <sheetName val="16.Downsizing"/>
      <sheetName val="감가상각"/>
      <sheetName val="감가상각비"/>
      <sheetName val="평가익 (2)"/>
      <sheetName val="Sheet1"/>
      <sheetName val="mac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row r="67">
          <cell r="B67" t="str">
            <v>c:\99\bscf</v>
          </cell>
        </row>
        <row r="68">
          <cell r="B68" t="str">
            <v>'98.12.9.</v>
          </cell>
        </row>
      </sheetData>
      <sheetData sheetId="30"/>
      <sheetData sheetId="31"/>
      <sheetData sheetId="32"/>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다목적갑"/>
      <sheetName val="추산서갑"/>
      <sheetName val="요크추산"/>
      <sheetName val="탄속기구"/>
      <sheetName val="판스프링"/>
      <sheetName val="부대비산"/>
      <sheetName val="표지"/>
      <sheetName val="A"/>
      <sheetName val="B"/>
      <sheetName val="C"/>
      <sheetName val="1"/>
      <sheetName val="2"/>
      <sheetName val="2.1"/>
      <sheetName val="3"/>
      <sheetName val="4"/>
      <sheetName val="5"/>
      <sheetName val="6"/>
      <sheetName val="6.1"/>
      <sheetName val="7"/>
      <sheetName val="8"/>
      <sheetName val="9"/>
      <sheetName val="10"/>
      <sheetName val="11"/>
      <sheetName val="12"/>
      <sheetName val="유첨"/>
      <sheetName val="2&amp;3차 item"/>
      <sheetName val="중요 item"/>
      <sheetName val="고가順"/>
      <sheetName val="2차 &amp; 1차 고가 구매 비교"/>
      <sheetName val="2차 &amp; 1차 고가 구매 비교 2"/>
      <sheetName val="2차 &amp; 1차 고가 구매 비교 誤 데이타 입력分"/>
      <sheetName val="수입부품"/>
      <sheetName val="DBL LPG시험"/>
      <sheetName val="bi"/>
      <sheetName val="RDLEVLST"/>
      <sheetName val="임율"/>
      <sheetName val="시험연구비상각"/>
      <sheetName val="자바라1"/>
      <sheetName val="조립지적"/>
      <sheetName val="경영현황"/>
      <sheetName val="MSTS"/>
      <sheetName val="재료비"/>
      <sheetName val="부대비(0402)"/>
      <sheetName val="공수"/>
      <sheetName val="인천CI"/>
      <sheetName val="ML"/>
      <sheetName val="DX220LC M-BOM"/>
      <sheetName val="List"/>
      <sheetName val="S225NLC-V"/>
      <sheetName val="사급외주"/>
      <sheetName val="한계원가"/>
      <sheetName val="판관"/>
      <sheetName val="제조"/>
      <sheetName val="부대비율"/>
      <sheetName val="일반물자(한국통신)"/>
      <sheetName val="환율"/>
      <sheetName val="전체LIST"/>
      <sheetName val="인원(2001년도)"/>
      <sheetName val="갑지"/>
      <sheetName val="CSP원자재"/>
      <sheetName val="96갑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평가"/>
      <sheetName val="3.RISK"/>
      <sheetName val="재무제표"/>
      <sheetName val="상반기누계"/>
      <sheetName val="차입금"/>
      <sheetName val="2.PL"/>
      <sheetName val="13.CF"/>
      <sheetName val="4.BS"/>
      <sheetName val="기안지 (3)"/>
      <sheetName val="10.영업외손익"/>
      <sheetName val="16.Downsizing"/>
      <sheetName val="14.차입"/>
      <sheetName val="감가상각"/>
      <sheetName val="감가상각비"/>
      <sheetName val="평가익"/>
      <sheetName val="평가익 (2)"/>
      <sheetName val="cfchark"/>
      <sheetName val="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8">
          <cell r="B58" t="str">
            <v>c:\99\bscf</v>
          </cell>
        </row>
      </sheetData>
      <sheetData sheetId="13" refreshError="1"/>
      <sheetData sheetId="14" refreshError="1"/>
      <sheetData sheetId="15" refreshError="1"/>
      <sheetData sheetId="16" refreshError="1"/>
      <sheetData sheetId="1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easury Cashflow"/>
      <sheetName val="Reference"/>
      <sheetName val="GEN Inputs"/>
      <sheetName val="YOEMAGUM"/>
      <sheetName val="Cntmrs-Recruit"/>
      <sheetName val="GraphMain"/>
      <sheetName val="5 Indirect"/>
      <sheetName val="E_CLECs"/>
      <sheetName val="Paging"/>
      <sheetName val="DWMC"/>
      <sheetName val="Inputs"/>
      <sheetName val="ROIC"/>
      <sheetName val="1. ROIC"/>
      <sheetName val="Asset Detail"/>
      <sheetName val="Mult-3yr"/>
      <sheetName val="RUL2"/>
      <sheetName val="Pricing"/>
      <sheetName val="KeyMultInputs"/>
      <sheetName val="WMCAP"/>
      <sheetName val="FAR"/>
      <sheetName val="I&amp;E-2003-MFC PEG"/>
      <sheetName val="Accounts"/>
      <sheetName val="2-"/>
      <sheetName val="Intangibles"/>
      <sheetName val="Assum (Ruud)"/>
      <sheetName val="WACC (Ruud)"/>
      <sheetName val="Tech-BetaLED"/>
      <sheetName val="Assum"/>
      <sheetName val="Ex_Rates"/>
      <sheetName val="Assumptions and Inputs"/>
      <sheetName val="Revenue Detail"/>
      <sheetName val="WP_Hist ABC"/>
      <sheetName val="P&amp;L98YTD -Farinaceo"/>
      <sheetName val="P&amp;L99YTD - Farinaceo"/>
      <sheetName val="Orbismodel"/>
      <sheetName val="Control Panel"/>
      <sheetName val="Fleet%"/>
      <sheetName val="Summary"/>
      <sheetName val="Extraction_in_Percent_by_Enterp"/>
      <sheetName val="CCP"/>
      <sheetName val="Treasury_Cashflow"/>
      <sheetName val="GEN_Inputs"/>
      <sheetName val="5_Indirect"/>
      <sheetName val="1__ROIC"/>
      <sheetName val="I&amp;E-2003-MFC_PEG"/>
      <sheetName val="Asset_Detail"/>
      <sheetName val="Assum_(Ruud)"/>
      <sheetName val="WACC_(Ruud)"/>
      <sheetName val="WP_Hist_ABC"/>
      <sheetName val="P&amp;L98YTD_-Farinaceo"/>
      <sheetName val="P&amp;L99YTD_-_Farinaceo"/>
      <sheetName val="Control_Panel"/>
      <sheetName val="Assumptions_and_Inputs"/>
      <sheetName val="Revenue_Detail"/>
      <sheetName val="Validations"/>
      <sheetName val="Quarterly Treasury Cashflow Dec"/>
      <sheetName val="Agreement Summaries"/>
      <sheetName val="Share Prices"/>
      <sheetName val="Share_Prices"/>
      <sheetName val="Assumptions"/>
    </sheetNames>
    <sheetDataSet>
      <sheetData sheetId="0" refreshError="1"/>
      <sheetData sheetId="1" refreshError="1">
        <row r="4">
          <cell r="C4" t="str">
            <v>M4.07</v>
          </cell>
        </row>
        <row r="26">
          <cell r="C26" t="str">
            <v>September</v>
          </cell>
          <cell r="D26">
            <v>9</v>
          </cell>
          <cell r="E26">
            <v>2004</v>
          </cell>
          <cell r="F26" t="str">
            <v>Sep '04</v>
          </cell>
        </row>
        <row r="27">
          <cell r="C27" t="str">
            <v>October</v>
          </cell>
          <cell r="D27">
            <v>10</v>
          </cell>
          <cell r="E27">
            <v>2004</v>
          </cell>
          <cell r="F27" t="str">
            <v>Oct '04</v>
          </cell>
        </row>
        <row r="28">
          <cell r="C28" t="str">
            <v>November</v>
          </cell>
          <cell r="D28">
            <v>11</v>
          </cell>
          <cell r="E28">
            <v>2004</v>
          </cell>
          <cell r="F28" t="str">
            <v>Nov '04</v>
          </cell>
        </row>
        <row r="29">
          <cell r="C29" t="str">
            <v>December</v>
          </cell>
          <cell r="D29">
            <v>12</v>
          </cell>
          <cell r="E29">
            <v>2004</v>
          </cell>
          <cell r="F29" t="str">
            <v>Dec '04</v>
          </cell>
        </row>
        <row r="30">
          <cell r="C30" t="str">
            <v>January</v>
          </cell>
          <cell r="D30">
            <v>1</v>
          </cell>
          <cell r="E30">
            <v>2005</v>
          </cell>
          <cell r="F30" t="str">
            <v>Jan '05</v>
          </cell>
        </row>
        <row r="31">
          <cell r="C31" t="str">
            <v>February</v>
          </cell>
          <cell r="D31">
            <v>2</v>
          </cell>
          <cell r="E31">
            <v>2005</v>
          </cell>
          <cell r="F31" t="str">
            <v>Feb '05</v>
          </cell>
        </row>
        <row r="32">
          <cell r="C32" t="str">
            <v>March</v>
          </cell>
          <cell r="D32">
            <v>3</v>
          </cell>
          <cell r="E32">
            <v>2005</v>
          </cell>
          <cell r="F32" t="str">
            <v>Mar '05</v>
          </cell>
        </row>
        <row r="33">
          <cell r="C33" t="str">
            <v>April</v>
          </cell>
          <cell r="D33">
            <v>4</v>
          </cell>
          <cell r="E33">
            <v>2005</v>
          </cell>
          <cell r="F33" t="str">
            <v>Apr '05</v>
          </cell>
        </row>
        <row r="34">
          <cell r="C34" t="str">
            <v>May</v>
          </cell>
          <cell r="D34">
            <v>5</v>
          </cell>
          <cell r="E34">
            <v>2005</v>
          </cell>
          <cell r="F34" t="str">
            <v>May '05</v>
          </cell>
        </row>
        <row r="35">
          <cell r="C35" t="str">
            <v>June</v>
          </cell>
          <cell r="D35">
            <v>6</v>
          </cell>
          <cell r="E35">
            <v>2005</v>
          </cell>
          <cell r="F35" t="str">
            <v>Jun '05</v>
          </cell>
        </row>
        <row r="36">
          <cell r="C36" t="str">
            <v>July</v>
          </cell>
          <cell r="D36">
            <v>7</v>
          </cell>
          <cell r="E36">
            <v>2005</v>
          </cell>
          <cell r="F36" t="str">
            <v>Jul '05</v>
          </cell>
        </row>
        <row r="37">
          <cell r="C37" t="str">
            <v>August</v>
          </cell>
          <cell r="D37">
            <v>8</v>
          </cell>
          <cell r="E37">
            <v>2005</v>
          </cell>
          <cell r="F37" t="str">
            <v>Aug '05</v>
          </cell>
        </row>
        <row r="38">
          <cell r="C38" t="str">
            <v>September</v>
          </cell>
          <cell r="D38">
            <v>9</v>
          </cell>
          <cell r="E38">
            <v>2005</v>
          </cell>
          <cell r="F38" t="str">
            <v>Sep '05</v>
          </cell>
        </row>
        <row r="39">
          <cell r="C39" t="str">
            <v>October</v>
          </cell>
          <cell r="D39">
            <v>10</v>
          </cell>
          <cell r="E39">
            <v>2005</v>
          </cell>
          <cell r="F39" t="str">
            <v>Oct '05</v>
          </cell>
        </row>
        <row r="40">
          <cell r="C40" t="str">
            <v>November</v>
          </cell>
          <cell r="D40">
            <v>11</v>
          </cell>
          <cell r="E40">
            <v>2005</v>
          </cell>
          <cell r="F40" t="str">
            <v>Nov '05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월GRADE"/>
      <sheetName val="cont'운송료"/>
      <sheetName val="cont'참고"/>
      <sheetName val="지,업체"/>
      <sheetName val="1안"/>
      <sheetName val="2안"/>
      <sheetName val="CASE별"/>
      <sheetName val="지,업체(fre)"/>
      <sheetName val="비용"/>
      <sheetName val="ins"/>
      <sheetName val="환율 및 참고"/>
      <sheetName val="지역참조"/>
      <sheetName val="com안"/>
      <sheetName val="안"/>
      <sheetName val="배분"/>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sheetData sheetId="9" refreshError="1"/>
      <sheetData sheetId="10"/>
      <sheetData sheetId="11"/>
      <sheetData sheetId="12" refreshError="1"/>
      <sheetData sheetId="13" refreshError="1"/>
      <sheetData sheetId="14" refreshError="1"/>
      <sheetData sheetId="1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견적서"/>
      <sheetName val="Cumene"/>
      <sheetName val="P&amp;A"/>
      <sheetName val="BPA"/>
      <sheetName val="CPB"/>
      <sheetName val="변동비"/>
      <sheetName val="감가상각비"/>
      <sheetName val="VXXXXXXX"/>
      <sheetName val="장기투자 계획및 예산"/>
      <sheetName val="장기투자 계획 항목별 내용"/>
      <sheetName val="Module1"/>
      <sheetName val="Beforesyy"/>
      <sheetName val="XXXXXX"/>
      <sheetName val="VXXXXX"/>
      <sheetName val="4급 지로"/>
      <sheetName val="4급사원"/>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refreshError="1"/>
      <sheetData sheetId="13"/>
      <sheetData sheetId="14"/>
      <sheetData sheetId="15"/>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
      <sheetName val="PILOT APP."/>
      <sheetName val="조립지적"/>
      <sheetName val="시험연구비상각"/>
      <sheetName val="인원01"/>
      <sheetName val="T9608"/>
      <sheetName val="PILOT_APP_"/>
      <sheetName val="다목적갑"/>
      <sheetName val="DISTTB"/>
      <sheetName val="ALL"/>
      <sheetName val="LIDE"/>
      <sheetName val="지성학원"/>
      <sheetName val="ILBAN"/>
      <sheetName val="가공MH"/>
      <sheetName val="dtxl"/>
      <sheetName val="Leden"/>
      <sheetName val="주행"/>
      <sheetName val="List"/>
      <sheetName val="생산량"/>
      <sheetName val="COLOR별 인쇄"/>
      <sheetName val="월별수입"/>
      <sheetName val="001"/>
      <sheetName val="자바라1"/>
      <sheetName val="별-재료비상세표(DL06_EPL)"/>
      <sheetName val="Sheet2"/>
      <sheetName val="인천CI"/>
      <sheetName val="MEGA 최종 단가변경"/>
      <sheetName val="MASTER"/>
      <sheetName val="Unload_5"/>
      <sheetName val="MOTOR"/>
      <sheetName val="2월가격"/>
      <sheetName val="은행"/>
      <sheetName val="#REF"/>
      <sheetName val="CAUDIT"/>
      <sheetName val="FTR MACRo"/>
      <sheetName val="Sheet1"/>
      <sheetName val="KMCWD"/>
      <sheetName val="세목별"/>
      <sheetName val="TCA"/>
      <sheetName val="INMD1198"/>
      <sheetName val="INFG1198"/>
      <sheetName val="Sheet5"/>
      <sheetName val="Sheet6 (3)"/>
      <sheetName val="Setup"/>
      <sheetName val="유예기간"/>
      <sheetName val="단가"/>
      <sheetName val="07수주상세"/>
      <sheetName val="원본"/>
      <sheetName val="3-3"/>
      <sheetName val="득점현황"/>
      <sheetName val="전체실적"/>
      <sheetName val="평가자13"/>
      <sheetName val="BF106_완"/>
      <sheetName val="96수출"/>
      <sheetName val="DEALER_기종"/>
      <sheetName val="중기생산계획_수량"/>
      <sheetName val="교육계획"/>
      <sheetName val="full (2)"/>
      <sheetName val="경영현황"/>
      <sheetName val="손익분석"/>
      <sheetName val="PILOT_APP_1"/>
      <sheetName val="기존단가 (2)"/>
      <sheetName val="GRACE"/>
      <sheetName val="Data ent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w to Use"/>
      <sheetName val="양식사용절차"/>
      <sheetName val="DATA-2003"/>
      <sheetName val="Vendor"/>
      <sheetName val="PR-200 미만"/>
      <sheetName val="PR-200 이상"/>
      <sheetName val="PTS"/>
      <sheetName val="PO"/>
      <sheetName val="TCE"/>
      <sheetName val="GRN"/>
      <sheetName val="External PO"/>
      <sheetName val="Discrepancy"/>
      <sheetName val="현금및현금등가물"/>
      <sheetName val="인건비"/>
    </sheetNames>
    <sheetDataSet>
      <sheetData sheetId="0"/>
      <sheetData sheetId="1"/>
      <sheetData sheetId="2">
        <row r="1">
          <cell r="A1" t="str">
            <v>pr_no</v>
          </cell>
        </row>
      </sheetData>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Des"/>
      <sheetName val="WGL"/>
      <sheetName val="가정"/>
      <sheetName val="질의사항"/>
      <sheetName val="_TM_GTM"/>
      <sheetName val="Result"/>
      <sheetName val="GTM"/>
      <sheetName val="_TM_GTM_프리미엄분석"/>
      <sheetName val="GTM_프리미엄분석"/>
      <sheetName val="GPCM"/>
      <sheetName val="주가분석"/>
      <sheetName val="_TM_DCF"/>
      <sheetName val="Pro forma"/>
      <sheetName val="DCF"/>
      <sheetName val="DCF(사업계획)"/>
      <sheetName val="WACC"/>
      <sheetName val="매출액"/>
      <sheetName val="SG&amp;A"/>
      <sheetName val="CapEx&amp;Dep"/>
      <sheetName val="매출원가"/>
      <sheetName val="WC"/>
      <sheetName val="NOA&amp;IBD"/>
      <sheetName val="_TM_GPCM_Tier1 (2)"/>
      <sheetName val="_TM_매출액"/>
      <sheetName val="유니맥스_DCF"/>
      <sheetName val="유니맥스_Pro forma"/>
      <sheetName val="_TM_유니맥스_Pro forma"/>
      <sheetName val="매출추정"/>
      <sheetName val="원가추정"/>
      <sheetName val="감가상각(정액)"/>
      <sheetName val="PBC&gt;&gt;"/>
      <sheetName val="사업계획"/>
      <sheetName val="사업계획_상세"/>
      <sheetName val="사업계획_제품별"/>
      <sheetName val="유니맥스_사업계획"/>
      <sheetName val="BS_별도"/>
      <sheetName val="IS_별도"/>
      <sheetName val="CF_별도"/>
      <sheetName val="BS_연결"/>
      <sheetName val="IS_연결"/>
      <sheetName val="CF_연결"/>
      <sheetName val="해외자회사 FS"/>
      <sheetName val="유니맥스_FS"/>
      <sheetName val="계약서"/>
      <sheetName val="자회사 현황"/>
      <sheetName val="주주현황"/>
      <sheetName val="이사회의사록"/>
      <sheetName val="_TM_자회사"/>
      <sheetName val="_TM_주주현황"/>
      <sheetName val="_TM_이사회의사록"/>
      <sheetName val="Raw&gt;&gt;"/>
      <sheetName val="_TM_WACC_유사회사"/>
      <sheetName val="Macro"/>
      <sheetName val="Macro_KR"/>
      <sheetName val="Back Data&gt;&gt;"/>
      <sheetName val="산업전망"/>
      <sheetName val="CAPEX_주석사항"/>
      <sheetName val="_TM_관련 산업 성장률"/>
      <sheetName val="유사회사 비율분석"/>
      <sheetName val="유사_국내IS"/>
      <sheetName val="유사_국내BS"/>
      <sheetName val="유사_국내CF"/>
      <sheetName val="유사_해외IS"/>
      <sheetName val="유사_해외BS"/>
      <sheetName val="유사_해외CF"/>
    </sheetNames>
    <sheetDataSet>
      <sheetData sheetId="0" refreshError="1"/>
      <sheetData sheetId="1">
        <row r="10">
          <cell r="C10">
            <v>1</v>
          </cell>
        </row>
        <row r="12">
          <cell r="C12" t="str">
            <v>DRAFT - For Discussion Purposes Only</v>
          </cell>
        </row>
        <row r="13">
          <cell r="C13" t="str">
            <v>KRW Millions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4">
          <cell r="C24">
            <v>0.01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Des"/>
      <sheetName val="WGL"/>
      <sheetName val="가정"/>
      <sheetName val="질의사항"/>
      <sheetName val="_TM_GTM"/>
      <sheetName val="Result"/>
      <sheetName val="GTM"/>
      <sheetName val="_TM_GTM_프리미엄분석"/>
      <sheetName val="GTM_프리미엄분석"/>
      <sheetName val="GPCM"/>
      <sheetName val="주가분석"/>
      <sheetName val="_TM_DCF"/>
      <sheetName val="Pro forma"/>
      <sheetName val="DCF"/>
      <sheetName val="DCF(사업계획)"/>
      <sheetName val="WACC"/>
      <sheetName val="매출액"/>
      <sheetName val="SG&amp;A"/>
      <sheetName val="CapEx&amp;Dep"/>
      <sheetName val="매출원가"/>
      <sheetName val="WC"/>
      <sheetName val="NOA&amp;IBD"/>
      <sheetName val="_TM_GPCM_Tier1 (2)"/>
      <sheetName val="_TM_매출액"/>
      <sheetName val="유니맥스_DCF"/>
      <sheetName val="유니맥스_Pro forma"/>
      <sheetName val="_TM_유니맥스_Pro forma"/>
      <sheetName val="매출추정"/>
      <sheetName val="원가추정"/>
      <sheetName val="감가상각(정액)"/>
      <sheetName val="PBC&gt;&gt;"/>
      <sheetName val="사업계획"/>
      <sheetName val="사업계획_상세"/>
      <sheetName val="사업계획_제품별"/>
      <sheetName val="유니맥스_사업계획"/>
      <sheetName val="BS_별도"/>
      <sheetName val="IS_별도"/>
      <sheetName val="CF_별도"/>
      <sheetName val="BS_연결"/>
      <sheetName val="IS_연결"/>
      <sheetName val="CF_연결"/>
      <sheetName val="해외자회사 FS"/>
      <sheetName val="유니맥스_FS"/>
      <sheetName val="계약서"/>
      <sheetName val="자회사 현황"/>
      <sheetName val="주주현황"/>
      <sheetName val="이사회의사록"/>
      <sheetName val="_TM_자회사"/>
      <sheetName val="_TM_주주현황"/>
      <sheetName val="_TM_이사회의사록"/>
      <sheetName val="Raw&gt;&gt;"/>
      <sheetName val="_TM_WACC_유사회사"/>
      <sheetName val="Macro"/>
      <sheetName val="Macro_KR"/>
      <sheetName val="Back Data&gt;&gt;"/>
      <sheetName val="산업전망"/>
      <sheetName val="CAPEX_주석사항"/>
      <sheetName val="_TM_관련 산업 성장률"/>
      <sheetName val="유사회사 비율분석"/>
      <sheetName val="유사_국내IS"/>
      <sheetName val="유사_국내BS"/>
      <sheetName val="유사_국내CF"/>
      <sheetName val="유사_해외IS"/>
      <sheetName val="유사_해외BS"/>
      <sheetName val="유사_해외CF"/>
    </sheetNames>
    <sheetDataSet>
      <sheetData sheetId="0">
        <row r="6">
          <cell r="L6" t="str">
            <v>Feel</v>
          </cell>
        </row>
      </sheetData>
      <sheetData sheetId="1">
        <row r="10">
          <cell r="C10">
            <v>1</v>
          </cell>
        </row>
        <row r="12">
          <cell r="C12" t="str">
            <v>DRAFT - For Discussion Purposes Only</v>
          </cell>
        </row>
        <row r="13">
          <cell r="C13" t="str">
            <v>KRW Millions</v>
          </cell>
        </row>
      </sheetData>
      <sheetData sheetId="2" refreshError="1"/>
      <sheetData sheetId="3" refreshError="1"/>
      <sheetData sheetId="4" refreshError="1"/>
      <sheetData sheetId="5" refreshError="1"/>
      <sheetData sheetId="6">
        <row r="5">
          <cell r="C5">
            <v>68653.070591447511</v>
          </cell>
        </row>
      </sheetData>
      <sheetData sheetId="7"/>
      <sheetData sheetId="8" refreshError="1"/>
      <sheetData sheetId="9" refreshError="1"/>
      <sheetData sheetId="10"/>
      <sheetData sheetId="11"/>
      <sheetData sheetId="12" refreshError="1"/>
      <sheetData sheetId="13">
        <row r="23">
          <cell r="G23">
            <v>9612.4058700000005</v>
          </cell>
        </row>
      </sheetData>
      <sheetData sheetId="14">
        <row r="12">
          <cell r="H12">
            <v>8696.567827745921</v>
          </cell>
        </row>
        <row r="24">
          <cell r="C24">
            <v>0.01</v>
          </cell>
        </row>
      </sheetData>
      <sheetData sheetId="15" refreshError="1"/>
      <sheetData sheetId="16">
        <row r="6">
          <cell r="I6">
            <v>125048.12997999997</v>
          </cell>
        </row>
      </sheetData>
      <sheetData sheetId="17" refreshError="1"/>
      <sheetData sheetId="18" refreshError="1"/>
      <sheetData sheetId="19" refreshError="1"/>
      <sheetData sheetId="20" refreshError="1"/>
      <sheetData sheetId="21" refreshError="1"/>
      <sheetData sheetId="22">
        <row r="8">
          <cell r="D8">
            <v>5186.4028580000004</v>
          </cell>
        </row>
      </sheetData>
      <sheetData sheetId="23" refreshError="1"/>
      <sheetData sheetId="24" refreshError="1"/>
      <sheetData sheetId="25">
        <row r="37">
          <cell r="E37">
            <v>3347.6181777339575</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113">
          <cell r="N113">
            <v>464.24653000000001</v>
          </cell>
        </row>
      </sheetData>
      <sheetData sheetId="37">
        <row r="56">
          <cell r="N56">
            <v>8750.3507890000001</v>
          </cell>
        </row>
      </sheetData>
      <sheetData sheetId="38">
        <row r="18">
          <cell r="N18">
            <v>43.224110000000003</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계"/>
      <sheetName val="국내리스1"/>
      <sheetName val="특외대"/>
      <sheetName val="연불,리스"/>
      <sheetName val="원화00"/>
      <sheetName val="원화01"/>
      <sheetName val="원화02"/>
      <sheetName val="원화03"/>
      <sheetName val="현지00"/>
      <sheetName val="현지01"/>
      <sheetName val="현지02"/>
      <sheetName val="현지03"/>
      <sheetName val="회사채00"/>
      <sheetName val="회사채01"/>
      <sheetName val="회사채02"/>
      <sheetName val="회사채03"/>
      <sheetName val="국내리스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9604"/>
      <sheetName val="콘도손익"/>
      <sheetName val="장림"/>
      <sheetName val="장림전제"/>
      <sheetName val="Sheet2"/>
      <sheetName val="Sheet3"/>
    </sheetNames>
    <sheetDataSet>
      <sheetData sheetId="0" refreshError="1">
        <row r="2">
          <cell r="A2" t="str">
            <v xml:space="preserve">   </v>
          </cell>
          <cell r="G2" t="str">
            <v>수 입 금 액 조 정 표</v>
          </cell>
        </row>
        <row r="3">
          <cell r="N3" t="str">
            <v xml:space="preserve"> </v>
          </cell>
        </row>
        <row r="4">
          <cell r="A4" t="str">
            <v>F/N : 월차결산RE9604.XLS</v>
          </cell>
          <cell r="F4" t="str">
            <v xml:space="preserve"> </v>
          </cell>
          <cell r="T4" t="str">
            <v xml:space="preserve">           1996. 04. 30 현재</v>
          </cell>
        </row>
        <row r="5">
          <cell r="B5" t="str">
            <v xml:space="preserve"> </v>
          </cell>
          <cell r="E5" t="str">
            <v>도   급   액</v>
          </cell>
          <cell r="G5" t="str">
            <v xml:space="preserve"> 원 가 율</v>
          </cell>
          <cell r="I5" t="str">
            <v xml:space="preserve"> </v>
          </cell>
          <cell r="J5" t="str">
            <v>공 사 수 입 금</v>
          </cell>
          <cell r="M5" t="str">
            <v>공    사    비</v>
          </cell>
          <cell r="O5" t="str">
            <v>공 사 미 수 금</v>
          </cell>
          <cell r="P5" t="str">
            <v>공 사 선 수 금</v>
          </cell>
          <cell r="Q5" t="str">
            <v>공 사 수 입 금</v>
          </cell>
          <cell r="R5" t="str">
            <v xml:space="preserve"> </v>
          </cell>
          <cell r="S5" t="str">
            <v>기 성 고  계 상  자 료</v>
          </cell>
        </row>
        <row r="6">
          <cell r="A6" t="str">
            <v>번호</v>
          </cell>
          <cell r="B6" t="str">
            <v>공 사 명</v>
          </cell>
          <cell r="D6" t="str">
            <v xml:space="preserve"> 96 년도 이전    계   약   액</v>
          </cell>
          <cell r="E6" t="str">
            <v xml:space="preserve"> 96 년 도 중     신 규 계 약          </v>
          </cell>
          <cell r="F6" t="str">
            <v>( 합  계 )</v>
          </cell>
          <cell r="G6" t="str">
            <v>통산</v>
          </cell>
          <cell r="H6" t="str">
            <v xml:space="preserve"> 96년중</v>
          </cell>
          <cell r="I6" t="str">
            <v xml:space="preserve"> 96 년 이 전  수입금 계상액</v>
          </cell>
          <cell r="J6" t="str">
            <v xml:space="preserve">  9 6 년 중     계상 한도액</v>
          </cell>
          <cell r="K6" t="str">
            <v>진행율에 의한 96년중 수입금</v>
          </cell>
          <cell r="L6" t="str">
            <v xml:space="preserve"> 96 년 이 전   투  입  액</v>
          </cell>
          <cell r="M6" t="str">
            <v xml:space="preserve"> 9 6 년 중     투  입  액</v>
          </cell>
          <cell r="N6" t="str">
            <v>( 합 계 )</v>
          </cell>
          <cell r="O6" t="str">
            <v>계  상  액    (상 계 액)</v>
          </cell>
          <cell r="P6" t="str">
            <v>상  계  액    (계 상 액)</v>
          </cell>
          <cell r="Q6" t="str">
            <v>계  상  액    (상 계 액)</v>
          </cell>
          <cell r="R6" t="str">
            <v xml:space="preserve">공사비 </v>
          </cell>
          <cell r="S6" t="str">
            <v>공사수입금</v>
          </cell>
          <cell r="T6" t="str">
            <v xml:space="preserve">   공사선수금 </v>
          </cell>
          <cell r="U6" t="str">
            <v>공사미수금</v>
          </cell>
        </row>
        <row r="7">
          <cell r="A7">
            <v>1</v>
          </cell>
          <cell r="B7" t="str">
            <v xml:space="preserve"> 11부두</v>
          </cell>
          <cell r="C7" t="str">
            <v xml:space="preserve"> </v>
          </cell>
        </row>
        <row r="8">
          <cell r="A8">
            <v>2</v>
          </cell>
          <cell r="B8" t="str">
            <v xml:space="preserve"> 59시설</v>
          </cell>
        </row>
        <row r="9">
          <cell r="A9">
            <v>3</v>
          </cell>
          <cell r="B9" t="str">
            <v xml:space="preserve"> 강경우회</v>
          </cell>
        </row>
        <row r="10">
          <cell r="A10">
            <v>4</v>
          </cell>
          <cell r="B10" t="str">
            <v xml:space="preserve"> 고령선로</v>
          </cell>
        </row>
        <row r="11">
          <cell r="A11">
            <v>5</v>
          </cell>
          <cell r="B11" t="str">
            <v xml:space="preserve"> 고속철도</v>
          </cell>
        </row>
        <row r="12">
          <cell r="A12">
            <v>6</v>
          </cell>
          <cell r="B12" t="str">
            <v xml:space="preserve"> 공릉배수</v>
          </cell>
        </row>
        <row r="13">
          <cell r="A13">
            <v>7</v>
          </cell>
          <cell r="B13" t="str">
            <v xml:space="preserve"> 광역상수</v>
          </cell>
        </row>
        <row r="14">
          <cell r="A14">
            <v>8</v>
          </cell>
          <cell r="B14" t="str">
            <v xml:space="preserve"> 구곡택지</v>
          </cell>
        </row>
        <row r="15">
          <cell r="A15">
            <v>9</v>
          </cell>
          <cell r="B15" t="str">
            <v xml:space="preserve"> 군장도로</v>
          </cell>
        </row>
        <row r="16">
          <cell r="A16">
            <v>10</v>
          </cell>
          <cell r="B16" t="str">
            <v xml:space="preserve"> 남동도로</v>
          </cell>
        </row>
        <row r="17">
          <cell r="A17">
            <v>11</v>
          </cell>
          <cell r="B17" t="str">
            <v xml:space="preserve"> 남해고속</v>
          </cell>
        </row>
        <row r="18">
          <cell r="A18">
            <v>12</v>
          </cell>
          <cell r="B18" t="str">
            <v xml:space="preserve"> 당진선로</v>
          </cell>
          <cell r="C18" t="str">
            <v xml:space="preserve"> </v>
          </cell>
        </row>
        <row r="19">
          <cell r="A19">
            <v>13</v>
          </cell>
          <cell r="B19" t="str">
            <v xml:space="preserve"> 대야도로</v>
          </cell>
          <cell r="C19" t="str">
            <v xml:space="preserve"> </v>
          </cell>
        </row>
        <row r="20">
          <cell r="A20">
            <v>14</v>
          </cell>
          <cell r="B20" t="str">
            <v xml:space="preserve"> 대전도로</v>
          </cell>
          <cell r="C20" t="str">
            <v xml:space="preserve"> </v>
          </cell>
        </row>
        <row r="21">
          <cell r="A21">
            <v>15</v>
          </cell>
          <cell r="B21" t="str">
            <v xml:space="preserve"> 분당도로</v>
          </cell>
          <cell r="C21" t="str">
            <v xml:space="preserve"> </v>
          </cell>
        </row>
        <row r="22">
          <cell r="A22">
            <v>16</v>
          </cell>
          <cell r="B22" t="str">
            <v xml:space="preserve"> 분당철도</v>
          </cell>
          <cell r="C22" t="str">
            <v xml:space="preserve"> </v>
          </cell>
        </row>
        <row r="23">
          <cell r="A23">
            <v>17</v>
          </cell>
          <cell r="B23" t="str">
            <v xml:space="preserve"> 삼성소각</v>
          </cell>
        </row>
        <row r="24">
          <cell r="A24">
            <v>18</v>
          </cell>
          <cell r="B24" t="str">
            <v xml:space="preserve"> 상모도로</v>
          </cell>
          <cell r="C24" t="str">
            <v xml:space="preserve"> </v>
          </cell>
        </row>
        <row r="25">
          <cell r="A25">
            <v>19</v>
          </cell>
          <cell r="B25" t="str">
            <v xml:space="preserve"> 서라벌CC</v>
          </cell>
        </row>
        <row r="26">
          <cell r="A26">
            <v>20</v>
          </cell>
          <cell r="B26" t="str">
            <v xml:space="preserve"> 서부도로</v>
          </cell>
          <cell r="C26" t="str">
            <v xml:space="preserve"> </v>
          </cell>
        </row>
        <row r="27">
          <cell r="A27">
            <v>21</v>
          </cell>
          <cell r="B27" t="str">
            <v xml:space="preserve"> 서산개발</v>
          </cell>
        </row>
        <row r="28">
          <cell r="A28">
            <v>22</v>
          </cell>
          <cell r="B28" t="str">
            <v xml:space="preserve"> 서울도로</v>
          </cell>
        </row>
        <row r="29">
          <cell r="A29">
            <v>23</v>
          </cell>
          <cell r="B29" t="str">
            <v xml:space="preserve"> 서해고속</v>
          </cell>
        </row>
        <row r="30">
          <cell r="A30">
            <v>24</v>
          </cell>
          <cell r="B30" t="str">
            <v xml:space="preserve"> 서해도로</v>
          </cell>
        </row>
        <row r="31">
          <cell r="A31">
            <v>25</v>
          </cell>
          <cell r="B31" t="str">
            <v xml:space="preserve"> 순환도로</v>
          </cell>
        </row>
        <row r="32">
          <cell r="A32">
            <v>26</v>
          </cell>
          <cell r="B32" t="str">
            <v xml:space="preserve"> 신공항</v>
          </cell>
        </row>
        <row r="33">
          <cell r="A33">
            <v>27</v>
          </cell>
          <cell r="B33" t="str">
            <v xml:space="preserve"> 영등택지</v>
          </cell>
        </row>
        <row r="34">
          <cell r="A34">
            <v>28</v>
          </cell>
          <cell r="B34" t="str">
            <v xml:space="preserve"> 옥산TL</v>
          </cell>
          <cell r="C34" t="str">
            <v xml:space="preserve"> </v>
          </cell>
        </row>
        <row r="35">
          <cell r="A35">
            <v>29</v>
          </cell>
          <cell r="B35" t="str">
            <v xml:space="preserve"> 옥산도로</v>
          </cell>
        </row>
        <row r="36">
          <cell r="A36">
            <v>30</v>
          </cell>
          <cell r="B36" t="str">
            <v xml:space="preserve"> 외곽도로</v>
          </cell>
        </row>
        <row r="37">
          <cell r="A37">
            <v>31</v>
          </cell>
          <cell r="B37" t="str">
            <v xml:space="preserve"> 용평터널</v>
          </cell>
          <cell r="C37" t="str">
            <v xml:space="preserve"> </v>
          </cell>
        </row>
        <row r="38">
          <cell r="A38">
            <v>32</v>
          </cell>
          <cell r="B38" t="str">
            <v xml:space="preserve"> 유수매립</v>
          </cell>
          <cell r="C38" t="str">
            <v xml:space="preserve"> </v>
          </cell>
        </row>
        <row r="39">
          <cell r="A39">
            <v>33</v>
          </cell>
          <cell r="B39" t="str">
            <v xml:space="preserve"> 육육공단</v>
          </cell>
          <cell r="C39" t="str">
            <v xml:space="preserve"> </v>
          </cell>
        </row>
        <row r="40">
          <cell r="A40">
            <v>34</v>
          </cell>
          <cell r="B40" t="str">
            <v xml:space="preserve"> 이리도로</v>
          </cell>
          <cell r="C40" t="str">
            <v xml:space="preserve"> </v>
          </cell>
        </row>
        <row r="41">
          <cell r="A41">
            <v>35</v>
          </cell>
          <cell r="B41" t="str">
            <v xml:space="preserve"> 이화터널</v>
          </cell>
          <cell r="C41" t="str">
            <v xml:space="preserve"> </v>
          </cell>
        </row>
        <row r="42">
          <cell r="A42">
            <v>36</v>
          </cell>
          <cell r="B42" t="str">
            <v xml:space="preserve"> 정수시설</v>
          </cell>
          <cell r="C42" t="str">
            <v xml:space="preserve"> </v>
          </cell>
        </row>
        <row r="43">
          <cell r="A43">
            <v>37</v>
          </cell>
          <cell r="B43" t="str">
            <v xml:space="preserve"> 정포C.C</v>
          </cell>
          <cell r="C43" t="str">
            <v xml:space="preserve"> </v>
          </cell>
        </row>
        <row r="44">
          <cell r="A44">
            <v>38</v>
          </cell>
          <cell r="B44" t="str">
            <v xml:space="preserve"> 제 2고속</v>
          </cell>
          <cell r="C44" t="str">
            <v xml:space="preserve"> </v>
          </cell>
        </row>
        <row r="45">
          <cell r="A45">
            <v>39</v>
          </cell>
          <cell r="B45" t="str">
            <v xml:space="preserve"> 제7부두</v>
          </cell>
          <cell r="C45" t="str">
            <v xml:space="preserve"> </v>
          </cell>
        </row>
        <row r="46">
          <cell r="A46">
            <v>40</v>
          </cell>
          <cell r="B46" t="str">
            <v xml:space="preserve"> 제천고속</v>
          </cell>
        </row>
        <row r="47">
          <cell r="A47">
            <v>41</v>
          </cell>
          <cell r="B47" t="str">
            <v xml:space="preserve"> 중부도로</v>
          </cell>
          <cell r="C47" t="str">
            <v xml:space="preserve"> </v>
          </cell>
        </row>
        <row r="48">
          <cell r="A48">
            <v>42</v>
          </cell>
          <cell r="B48" t="str">
            <v xml:space="preserve"> 지하5호</v>
          </cell>
        </row>
        <row r="49">
          <cell r="A49">
            <v>43</v>
          </cell>
          <cell r="B49" t="str">
            <v xml:space="preserve"> 창원저수</v>
          </cell>
        </row>
        <row r="50">
          <cell r="A50">
            <v>44</v>
          </cell>
          <cell r="B50" t="str">
            <v xml:space="preserve"> 춘천저류</v>
          </cell>
        </row>
        <row r="51">
          <cell r="A51">
            <v>45</v>
          </cell>
          <cell r="B51" t="str">
            <v xml:space="preserve"> 충주저수</v>
          </cell>
        </row>
        <row r="52">
          <cell r="A52">
            <v>46</v>
          </cell>
          <cell r="B52" t="str">
            <v xml:space="preserve"> 회산교량</v>
          </cell>
        </row>
        <row r="53">
          <cell r="A53">
            <v>47</v>
          </cell>
          <cell r="B53" t="str">
            <v xml:space="preserve"> LNG시설</v>
          </cell>
          <cell r="C53">
            <v>1</v>
          </cell>
        </row>
        <row r="54">
          <cell r="A54">
            <v>48</v>
          </cell>
          <cell r="B54" t="str">
            <v xml:space="preserve"> 남원TL</v>
          </cell>
          <cell r="C54">
            <v>1</v>
          </cell>
        </row>
        <row r="55">
          <cell r="A55">
            <v>49</v>
          </cell>
          <cell r="B55" t="str">
            <v xml:space="preserve"> 식수개발</v>
          </cell>
          <cell r="C55">
            <v>1</v>
          </cell>
        </row>
        <row r="56">
          <cell r="A56">
            <v>50</v>
          </cell>
          <cell r="B56" t="str">
            <v xml:space="preserve"> 중부송유</v>
          </cell>
          <cell r="C56">
            <v>1</v>
          </cell>
        </row>
        <row r="57">
          <cell r="A57" t="str">
            <v xml:space="preserve"> </v>
          </cell>
          <cell r="B57" t="str">
            <v xml:space="preserve"> 토목소계</v>
          </cell>
        </row>
        <row r="58">
          <cell r="A58">
            <v>51</v>
          </cell>
          <cell r="B58" t="str">
            <v xml:space="preserve"> 3M신축</v>
          </cell>
        </row>
        <row r="59">
          <cell r="A59">
            <v>52</v>
          </cell>
          <cell r="B59" t="str">
            <v xml:space="preserve"> B 빌딩</v>
          </cell>
        </row>
        <row r="60">
          <cell r="A60">
            <v>53</v>
          </cell>
          <cell r="B60" t="str">
            <v xml:space="preserve"> KL빌딩</v>
          </cell>
        </row>
        <row r="61">
          <cell r="A61">
            <v>54</v>
          </cell>
          <cell r="B61" t="str">
            <v xml:space="preserve"> OB5공장</v>
          </cell>
          <cell r="C61" t="str">
            <v xml:space="preserve"> </v>
          </cell>
        </row>
        <row r="62">
          <cell r="A62">
            <v>55</v>
          </cell>
          <cell r="B62" t="str">
            <v xml:space="preserve"> OB기숙사</v>
          </cell>
        </row>
        <row r="63">
          <cell r="A63">
            <v>56</v>
          </cell>
          <cell r="B63" t="str">
            <v xml:space="preserve"> PC공장</v>
          </cell>
        </row>
        <row r="64">
          <cell r="A64">
            <v>57</v>
          </cell>
          <cell r="B64" t="str">
            <v xml:space="preserve"> 개발잡96</v>
          </cell>
        </row>
        <row r="65">
          <cell r="A65">
            <v>58</v>
          </cell>
          <cell r="B65" t="str">
            <v xml:space="preserve"> 경월공장</v>
          </cell>
          <cell r="C65" t="str">
            <v xml:space="preserve"> </v>
          </cell>
        </row>
        <row r="66">
          <cell r="A66">
            <v>59</v>
          </cell>
          <cell r="B66" t="str">
            <v xml:space="preserve"> 계산APT</v>
          </cell>
          <cell r="C66" t="str">
            <v xml:space="preserve"> </v>
          </cell>
        </row>
        <row r="67">
          <cell r="A67">
            <v>60</v>
          </cell>
          <cell r="B67" t="str">
            <v xml:space="preserve"> 공구상가</v>
          </cell>
        </row>
        <row r="68">
          <cell r="A68">
            <v>61</v>
          </cell>
          <cell r="B68" t="str">
            <v xml:space="preserve"> 공원시설</v>
          </cell>
        </row>
        <row r="69">
          <cell r="A69">
            <v>62</v>
          </cell>
          <cell r="B69" t="str">
            <v xml:space="preserve"> 광주통신</v>
          </cell>
        </row>
        <row r="70">
          <cell r="A70">
            <v>63</v>
          </cell>
          <cell r="B70" t="str">
            <v xml:space="preserve"> 구로개량</v>
          </cell>
        </row>
        <row r="71">
          <cell r="A71">
            <v>64</v>
          </cell>
          <cell r="B71" t="str">
            <v xml:space="preserve"> 구로복합</v>
          </cell>
        </row>
        <row r="72">
          <cell r="A72">
            <v>65</v>
          </cell>
          <cell r="B72" t="str">
            <v xml:space="preserve"> 남가좌-7</v>
          </cell>
        </row>
        <row r="73">
          <cell r="A73">
            <v>66</v>
          </cell>
          <cell r="B73" t="str">
            <v xml:space="preserve"> 남양APT</v>
          </cell>
          <cell r="C73" t="str">
            <v xml:space="preserve"> </v>
          </cell>
        </row>
        <row r="74">
          <cell r="A74">
            <v>67</v>
          </cell>
          <cell r="B74" t="str">
            <v xml:space="preserve"> 농산신축</v>
          </cell>
          <cell r="C74" t="str">
            <v xml:space="preserve"> </v>
          </cell>
        </row>
        <row r="75">
          <cell r="A75">
            <v>68</v>
          </cell>
          <cell r="B75" t="str">
            <v xml:space="preserve"> 답십리-9</v>
          </cell>
        </row>
        <row r="76">
          <cell r="A76">
            <v>69</v>
          </cell>
          <cell r="B76" t="str">
            <v xml:space="preserve"> 대구복합</v>
          </cell>
        </row>
        <row r="77">
          <cell r="A77">
            <v>70</v>
          </cell>
          <cell r="B77" t="str">
            <v xml:space="preserve"> 덕산호텔</v>
          </cell>
        </row>
        <row r="78">
          <cell r="A78">
            <v>71</v>
          </cell>
          <cell r="B78" t="str">
            <v xml:space="preserve"> 덕소APT</v>
          </cell>
        </row>
        <row r="79">
          <cell r="A79">
            <v>72</v>
          </cell>
          <cell r="B79" t="str">
            <v xml:space="preserve"> 두산타워</v>
          </cell>
          <cell r="C79" t="str">
            <v xml:space="preserve"> </v>
          </cell>
        </row>
        <row r="80">
          <cell r="A80">
            <v>73</v>
          </cell>
          <cell r="B80" t="str">
            <v xml:space="preserve"> 로얄빌딩</v>
          </cell>
        </row>
        <row r="81">
          <cell r="A81">
            <v>74</v>
          </cell>
          <cell r="B81" t="str">
            <v xml:space="preserve"> 미래타워</v>
          </cell>
          <cell r="C81" t="str">
            <v xml:space="preserve"> </v>
          </cell>
        </row>
        <row r="82">
          <cell r="A82">
            <v>75</v>
          </cell>
          <cell r="B82" t="str">
            <v xml:space="preserve"> 민속관</v>
          </cell>
          <cell r="C82" t="str">
            <v xml:space="preserve"> </v>
          </cell>
        </row>
        <row r="83">
          <cell r="A83">
            <v>76</v>
          </cell>
          <cell r="B83" t="str">
            <v xml:space="preserve"> 봉천개량</v>
          </cell>
          <cell r="C83" t="str">
            <v xml:space="preserve"> </v>
          </cell>
        </row>
        <row r="84">
          <cell r="A84">
            <v>77</v>
          </cell>
          <cell r="B84" t="str">
            <v xml:space="preserve"> 산본소각</v>
          </cell>
        </row>
        <row r="85">
          <cell r="A85">
            <v>78</v>
          </cell>
          <cell r="B85" t="str">
            <v xml:space="preserve"> 삼화공장</v>
          </cell>
          <cell r="C85" t="str">
            <v xml:space="preserve"> </v>
          </cell>
        </row>
        <row r="86">
          <cell r="A86">
            <v>79</v>
          </cell>
          <cell r="B86" t="str">
            <v xml:space="preserve"> 서초빌딩</v>
          </cell>
        </row>
        <row r="87">
          <cell r="A87">
            <v>80</v>
          </cell>
          <cell r="B87" t="str">
            <v xml:space="preserve"> 석관APT</v>
          </cell>
          <cell r="C87" t="str">
            <v xml:space="preserve"> </v>
          </cell>
        </row>
        <row r="88">
          <cell r="A88">
            <v>81</v>
          </cell>
          <cell r="B88" t="str">
            <v xml:space="preserve"> 선교센타</v>
          </cell>
        </row>
        <row r="89">
          <cell r="A89">
            <v>82</v>
          </cell>
          <cell r="B89" t="str">
            <v xml:space="preserve"> 성원APT</v>
          </cell>
        </row>
        <row r="90">
          <cell r="A90">
            <v>83</v>
          </cell>
          <cell r="B90" t="str">
            <v xml:space="preserve"> 소암빌딩</v>
          </cell>
        </row>
        <row r="91">
          <cell r="A91">
            <v>84</v>
          </cell>
          <cell r="B91" t="str">
            <v xml:space="preserve"> 신길역사</v>
          </cell>
        </row>
        <row r="92">
          <cell r="A92">
            <v>85</v>
          </cell>
          <cell r="B92" t="str">
            <v xml:space="preserve"> 신도리코</v>
          </cell>
        </row>
        <row r="93">
          <cell r="A93">
            <v>86</v>
          </cell>
          <cell r="B93" t="str">
            <v xml:space="preserve"> 신림복합</v>
          </cell>
        </row>
        <row r="94">
          <cell r="A94">
            <v>87</v>
          </cell>
          <cell r="B94" t="str">
            <v xml:space="preserve"> 신일APT</v>
          </cell>
          <cell r="C94" t="str">
            <v xml:space="preserve"> </v>
          </cell>
        </row>
        <row r="95">
          <cell r="A95">
            <v>88</v>
          </cell>
          <cell r="B95" t="str">
            <v xml:space="preserve"> 신협빌딩</v>
          </cell>
          <cell r="C95" t="str">
            <v xml:space="preserve"> </v>
          </cell>
        </row>
        <row r="96">
          <cell r="A96">
            <v>89</v>
          </cell>
          <cell r="B96" t="str">
            <v xml:space="preserve"> 아주공업</v>
          </cell>
        </row>
        <row r="97">
          <cell r="A97">
            <v>90</v>
          </cell>
          <cell r="B97" t="str">
            <v xml:space="preserve"> 아카데미</v>
          </cell>
        </row>
        <row r="98">
          <cell r="A98">
            <v>91</v>
          </cell>
          <cell r="B98" t="str">
            <v xml:space="preserve"> 아현APT</v>
          </cell>
        </row>
        <row r="99">
          <cell r="A99">
            <v>92</v>
          </cell>
          <cell r="B99" t="str">
            <v xml:space="preserve"> 에덴크럽</v>
          </cell>
        </row>
        <row r="100">
          <cell r="A100">
            <v>93</v>
          </cell>
          <cell r="B100" t="str">
            <v xml:space="preserve"> 역삼빌딩</v>
          </cell>
        </row>
        <row r="101">
          <cell r="A101">
            <v>94</v>
          </cell>
          <cell r="B101" t="str">
            <v xml:space="preserve"> 연강병원</v>
          </cell>
        </row>
        <row r="102">
          <cell r="A102">
            <v>95</v>
          </cell>
          <cell r="B102" t="str">
            <v xml:space="preserve"> 연강빌딩</v>
          </cell>
        </row>
        <row r="103">
          <cell r="A103">
            <v>96</v>
          </cell>
          <cell r="B103" t="str">
            <v xml:space="preserve"> 열병합</v>
          </cell>
          <cell r="C103" t="str">
            <v xml:space="preserve"> </v>
          </cell>
        </row>
        <row r="104">
          <cell r="A104">
            <v>97</v>
          </cell>
          <cell r="B104" t="str">
            <v xml:space="preserve"> 오남APT</v>
          </cell>
        </row>
        <row r="105">
          <cell r="A105">
            <v>98</v>
          </cell>
          <cell r="B105" t="str">
            <v xml:space="preserve"> 오비집진</v>
          </cell>
          <cell r="C105" t="str">
            <v xml:space="preserve"> </v>
          </cell>
        </row>
        <row r="106">
          <cell r="A106">
            <v>99</v>
          </cell>
          <cell r="B106" t="str">
            <v xml:space="preserve"> 옥수복합</v>
          </cell>
          <cell r="C106" t="str">
            <v xml:space="preserve"> </v>
          </cell>
        </row>
        <row r="107">
          <cell r="A107">
            <v>100</v>
          </cell>
          <cell r="B107" t="str">
            <v xml:space="preserve"> 온천타워</v>
          </cell>
        </row>
        <row r="108">
          <cell r="A108">
            <v>101</v>
          </cell>
          <cell r="B108" t="str">
            <v xml:space="preserve"> 웅진인삼</v>
          </cell>
          <cell r="C108" t="str">
            <v xml:space="preserve"> </v>
          </cell>
        </row>
        <row r="109">
          <cell r="A109">
            <v>102</v>
          </cell>
          <cell r="B109" t="str">
            <v xml:space="preserve"> 원동APT</v>
          </cell>
        </row>
        <row r="110">
          <cell r="A110">
            <v>103</v>
          </cell>
          <cell r="B110" t="str">
            <v xml:space="preserve"> 원미APT</v>
          </cell>
          <cell r="C110" t="str">
            <v xml:space="preserve"> </v>
          </cell>
        </row>
        <row r="111">
          <cell r="A111">
            <v>104</v>
          </cell>
          <cell r="B111" t="str">
            <v xml:space="preserve"> 월곡개량</v>
          </cell>
          <cell r="C111" t="str">
            <v xml:space="preserve"> </v>
          </cell>
        </row>
        <row r="112">
          <cell r="A112">
            <v>105</v>
          </cell>
          <cell r="B112" t="str">
            <v xml:space="preserve"> 음성소각</v>
          </cell>
          <cell r="C112" t="str">
            <v xml:space="preserve"> </v>
          </cell>
        </row>
        <row r="113">
          <cell r="A113">
            <v>106</v>
          </cell>
          <cell r="B113" t="str">
            <v xml:space="preserve"> 익산신축</v>
          </cell>
          <cell r="C113" t="str">
            <v xml:space="preserve"> </v>
          </cell>
        </row>
        <row r="114">
          <cell r="A114">
            <v>107</v>
          </cell>
          <cell r="B114" t="str">
            <v xml:space="preserve"> 일산매장</v>
          </cell>
          <cell r="C114" t="str">
            <v xml:space="preserve"> </v>
          </cell>
        </row>
        <row r="115">
          <cell r="A115">
            <v>108</v>
          </cell>
          <cell r="B115" t="str">
            <v xml:space="preserve"> 잠실APT</v>
          </cell>
          <cell r="C115" t="str">
            <v xml:space="preserve"> </v>
          </cell>
        </row>
        <row r="116">
          <cell r="A116">
            <v>109</v>
          </cell>
          <cell r="B116" t="str">
            <v xml:space="preserve"> 잠원APT</v>
          </cell>
          <cell r="C116" t="str">
            <v xml:space="preserve"> </v>
          </cell>
        </row>
        <row r="117">
          <cell r="A117">
            <v>110</v>
          </cell>
          <cell r="B117" t="str">
            <v xml:space="preserve"> 장기신축</v>
          </cell>
          <cell r="C117" t="str">
            <v xml:space="preserve"> </v>
          </cell>
        </row>
        <row r="118">
          <cell r="A118">
            <v>111</v>
          </cell>
          <cell r="B118" t="str">
            <v xml:space="preserve"> 장기은행</v>
          </cell>
        </row>
        <row r="119">
          <cell r="A119">
            <v>112</v>
          </cell>
          <cell r="B119" t="str">
            <v xml:space="preserve"> 장은카드</v>
          </cell>
        </row>
        <row r="120">
          <cell r="A120">
            <v>113</v>
          </cell>
          <cell r="B120" t="str">
            <v xml:space="preserve"> 전자공장</v>
          </cell>
          <cell r="C120" t="str">
            <v xml:space="preserve"> </v>
          </cell>
        </row>
        <row r="121">
          <cell r="A121">
            <v>114</v>
          </cell>
          <cell r="B121" t="str">
            <v xml:space="preserve"> 전자구미</v>
          </cell>
        </row>
        <row r="122">
          <cell r="A122">
            <v>115</v>
          </cell>
          <cell r="B122" t="str">
            <v xml:space="preserve"> 전자신축</v>
          </cell>
          <cell r="C122" t="str">
            <v xml:space="preserve"> </v>
          </cell>
        </row>
        <row r="123">
          <cell r="A123">
            <v>116</v>
          </cell>
          <cell r="B123" t="str">
            <v xml:space="preserve"> 전자연구</v>
          </cell>
        </row>
        <row r="124">
          <cell r="A124">
            <v>117</v>
          </cell>
          <cell r="B124" t="str">
            <v xml:space="preserve"> 정보센타</v>
          </cell>
        </row>
        <row r="125">
          <cell r="A125">
            <v>118</v>
          </cell>
          <cell r="B125" t="str">
            <v xml:space="preserve"> 종합식품</v>
          </cell>
        </row>
        <row r="126">
          <cell r="A126">
            <v>119</v>
          </cell>
          <cell r="B126" t="str">
            <v xml:space="preserve"> 주안APT</v>
          </cell>
          <cell r="C126" t="str">
            <v xml:space="preserve"> </v>
          </cell>
        </row>
        <row r="127">
          <cell r="A127">
            <v>120</v>
          </cell>
          <cell r="B127" t="str">
            <v xml:space="preserve"> 중계상가</v>
          </cell>
        </row>
        <row r="128">
          <cell r="A128">
            <v>121</v>
          </cell>
          <cell r="B128" t="str">
            <v xml:space="preserve"> 진미빌딩</v>
          </cell>
        </row>
        <row r="129">
          <cell r="A129">
            <v>122</v>
          </cell>
          <cell r="B129" t="str">
            <v xml:space="preserve"> 진해증축</v>
          </cell>
        </row>
        <row r="130">
          <cell r="A130">
            <v>123</v>
          </cell>
          <cell r="B130" t="str">
            <v xml:space="preserve"> 천호물류</v>
          </cell>
          <cell r="C130" t="str">
            <v xml:space="preserve"> </v>
          </cell>
        </row>
        <row r="131">
          <cell r="A131">
            <v>124</v>
          </cell>
          <cell r="B131" t="str">
            <v xml:space="preserve"> 천호복합</v>
          </cell>
        </row>
        <row r="132">
          <cell r="A132">
            <v>125</v>
          </cell>
          <cell r="B132" t="str">
            <v xml:space="preserve"> 청담빌라</v>
          </cell>
          <cell r="C132" t="str">
            <v xml:space="preserve"> </v>
          </cell>
        </row>
        <row r="133">
          <cell r="A133">
            <v>126</v>
          </cell>
          <cell r="B133" t="str">
            <v xml:space="preserve"> 청주매장</v>
          </cell>
        </row>
        <row r="134">
          <cell r="A134">
            <v>127</v>
          </cell>
          <cell r="B134" t="str">
            <v xml:space="preserve"> 한국쉐링</v>
          </cell>
          <cell r="C134" t="str">
            <v xml:space="preserve"> </v>
          </cell>
        </row>
        <row r="135">
          <cell r="A135">
            <v>128</v>
          </cell>
          <cell r="B135" t="str">
            <v xml:space="preserve"> 한국콘도</v>
          </cell>
        </row>
        <row r="136">
          <cell r="A136">
            <v>129</v>
          </cell>
          <cell r="B136" t="str">
            <v xml:space="preserve"> 한국통신</v>
          </cell>
        </row>
        <row r="137">
          <cell r="A137">
            <v>130</v>
          </cell>
          <cell r="B137" t="str">
            <v xml:space="preserve"> 해운APT</v>
          </cell>
          <cell r="C137" t="str">
            <v xml:space="preserve"> </v>
          </cell>
        </row>
        <row r="138">
          <cell r="A138">
            <v>131</v>
          </cell>
          <cell r="B138" t="str">
            <v xml:space="preserve"> 행당APT</v>
          </cell>
          <cell r="C138" t="str">
            <v xml:space="preserve"> </v>
          </cell>
        </row>
        <row r="139">
          <cell r="A139">
            <v>132</v>
          </cell>
          <cell r="B139" t="str">
            <v xml:space="preserve"> 홍은APT</v>
          </cell>
        </row>
        <row r="140">
          <cell r="A140">
            <v>133</v>
          </cell>
          <cell r="B140" t="str">
            <v xml:space="preserve"> 로옴증축</v>
          </cell>
          <cell r="C140">
            <v>1</v>
          </cell>
        </row>
        <row r="141">
          <cell r="A141">
            <v>134</v>
          </cell>
          <cell r="B141" t="str">
            <v xml:space="preserve"> 배합사료</v>
          </cell>
          <cell r="C141">
            <v>1</v>
          </cell>
        </row>
        <row r="142">
          <cell r="A142">
            <v>135</v>
          </cell>
          <cell r="B142" t="str">
            <v xml:space="preserve"> 신송복합</v>
          </cell>
          <cell r="C142">
            <v>1</v>
          </cell>
        </row>
        <row r="143">
          <cell r="A143">
            <v>136</v>
          </cell>
          <cell r="B143" t="str">
            <v xml:space="preserve"> 전자사옥</v>
          </cell>
          <cell r="C143">
            <v>1</v>
          </cell>
        </row>
        <row r="144">
          <cell r="A144">
            <v>137</v>
          </cell>
          <cell r="B144" t="str">
            <v xml:space="preserve"> 터미널</v>
          </cell>
          <cell r="C144">
            <v>1</v>
          </cell>
        </row>
        <row r="145">
          <cell r="A145" t="str">
            <v xml:space="preserve"> </v>
          </cell>
          <cell r="B145" t="str">
            <v>건축소계</v>
          </cell>
          <cell r="C145" t="str">
            <v xml:space="preserve"> </v>
          </cell>
        </row>
        <row r="146">
          <cell r="B146" t="str">
            <v>총   계</v>
          </cell>
        </row>
        <row r="147">
          <cell r="A147" t="str">
            <v xml:space="preserve"> </v>
          </cell>
          <cell r="B147" t="str">
            <v xml:space="preserve"> </v>
          </cell>
          <cell r="C147" t="str">
            <v xml:space="preserve"> </v>
          </cell>
        </row>
        <row r="148">
          <cell r="A148" t="str">
            <v xml:space="preserve"> </v>
          </cell>
          <cell r="B148" t="str">
            <v xml:space="preserve"> </v>
          </cell>
          <cell r="C148" t="str">
            <v xml:space="preserve"> </v>
          </cell>
        </row>
        <row r="149">
          <cell r="A149" t="str">
            <v xml:space="preserve"> </v>
          </cell>
          <cell r="B149" t="str">
            <v xml:space="preserve"> </v>
          </cell>
          <cell r="C149" t="str">
            <v xml:space="preserve"> </v>
          </cell>
        </row>
        <row r="150">
          <cell r="A150" t="str">
            <v xml:space="preserve"> </v>
          </cell>
          <cell r="B150" t="str">
            <v xml:space="preserve"> </v>
          </cell>
          <cell r="C150" t="str">
            <v xml:space="preserve"> </v>
          </cell>
        </row>
        <row r="151">
          <cell r="A151" t="str">
            <v xml:space="preserve"> </v>
          </cell>
          <cell r="B151" t="str">
            <v xml:space="preserve"> </v>
          </cell>
          <cell r="C151" t="str">
            <v xml:space="preserve"> </v>
          </cell>
        </row>
        <row r="152">
          <cell r="A152" t="str">
            <v xml:space="preserve"> </v>
          </cell>
          <cell r="B152" t="str">
            <v xml:space="preserve"> </v>
          </cell>
          <cell r="C152" t="str">
            <v xml:space="preserve"> </v>
          </cell>
        </row>
        <row r="153">
          <cell r="A153" t="str">
            <v xml:space="preserve"> </v>
          </cell>
          <cell r="B153" t="str">
            <v xml:space="preserve"> </v>
          </cell>
          <cell r="C153" t="str">
            <v xml:space="preserve"> </v>
          </cell>
        </row>
        <row r="154">
          <cell r="A154" t="str">
            <v xml:space="preserve"> </v>
          </cell>
          <cell r="B154" t="str">
            <v xml:space="preserve"> </v>
          </cell>
          <cell r="C154" t="str">
            <v xml:space="preserve"> </v>
          </cell>
        </row>
        <row r="155">
          <cell r="A155" t="str">
            <v xml:space="preserve"> </v>
          </cell>
          <cell r="B155" t="str">
            <v xml:space="preserve"> </v>
          </cell>
          <cell r="C155" t="str">
            <v xml:space="preserve"> </v>
          </cell>
        </row>
        <row r="156">
          <cell r="A156" t="str">
            <v xml:space="preserve"> </v>
          </cell>
          <cell r="B156" t="str">
            <v xml:space="preserve"> </v>
          </cell>
          <cell r="C156" t="str">
            <v xml:space="preserve"> </v>
          </cell>
        </row>
        <row r="157">
          <cell r="A157" t="str">
            <v xml:space="preserve"> </v>
          </cell>
          <cell r="B157" t="str">
            <v xml:space="preserve"> </v>
          </cell>
          <cell r="C157" t="str">
            <v xml:space="preserve"> </v>
          </cell>
        </row>
      </sheetData>
      <sheetData sheetId="1"/>
      <sheetData sheetId="2"/>
      <sheetData sheetId="3"/>
      <sheetData sheetId="4"/>
      <sheetData sheetId="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검토보고"/>
      <sheetName val="보수계획2"/>
      <sheetName val="보수계획1"/>
      <sheetName val="자바라1"/>
      <sheetName val="원본"/>
      <sheetName val="ITEM-LIST"/>
      <sheetName val="variance"/>
      <sheetName val="시산표"/>
      <sheetName val="참고3"/>
      <sheetName val="추가예산"/>
      <sheetName val="RE9604"/>
      <sheetName val="#REF"/>
      <sheetName val="집중관리대상"/>
      <sheetName val="생산량"/>
      <sheetName val="COLOR별 인쇄"/>
      <sheetName val="CAUDIT"/>
      <sheetName val="5.전사투자계획종함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손익계획"/>
      <sheetName val="총괄"/>
      <sheetName val="세부내역"/>
      <sheetName val="월별"/>
      <sheetName val="기안"/>
      <sheetName val="경영현황"/>
      <sheetName val="S300V-MBOM"/>
      <sheetName val="업무담당"/>
      <sheetName val="시산표"/>
      <sheetName val="관련부서"/>
      <sheetName val="집중관리대상"/>
      <sheetName val="R&amp;D"/>
      <sheetName val="수주추정"/>
      <sheetName val="Ssangyong(Pyungtaek)"/>
      <sheetName val="BRAKE"/>
      <sheetName val="MCT6"/>
      <sheetName val="DI-ESTI"/>
      <sheetName val="Sklad"/>
      <sheetName val="선반OPT"/>
      <sheetName val="64164"/>
      <sheetName val="조립지적"/>
      <sheetName val="대외공문"/>
      <sheetName val="자바라1"/>
      <sheetName val="RE9604"/>
      <sheetName val="TOTAL"/>
      <sheetName val="Sheet1"/>
      <sheetName val="월별수입"/>
      <sheetName val="TIRE読み替え表"/>
      <sheetName val="97????"/>
      <sheetName val="부서코드표"/>
      <sheetName val="22"/>
      <sheetName val="원가절감"/>
      <sheetName val="Sheet2"/>
      <sheetName val="유효성"/>
      <sheetName val="PC%계산"/>
      <sheetName val="bi"/>
      <sheetName val="간이연락"/>
      <sheetName val="작업명"/>
      <sheetName val="가공MH"/>
      <sheetName val="FUEL FILLER"/>
      <sheetName val="CommodityNum"/>
      <sheetName val="钢板差异"/>
      <sheetName val="소상 &quot;1&quot;"/>
      <sheetName val="2003년 1분기 년간계획1"/>
      <sheetName val="1월경전수량"/>
      <sheetName val="97____"/>
      <sheetName val="HELV0-MBOM가격"/>
      <sheetName val="직원신상"/>
      <sheetName val="BCPAB"/>
      <sheetName val="사정표"/>
      <sheetName val="관리급여DB"/>
      <sheetName val="BK급여DB"/>
      <sheetName val="Macro1"/>
      <sheetName val="FB25JN"/>
      <sheetName val="조립"/>
      <sheetName val="WELDING"/>
      <sheetName val="법인세신고자료"/>
      <sheetName val="CAUDIT"/>
      <sheetName val="차체부품 INS REPORT(갑)"/>
      <sheetName val="비교원RD-S"/>
      <sheetName val="KD율"/>
      <sheetName val="TCA"/>
      <sheetName val="Sheet6"/>
      <sheetName val="남양시작동자105노65기1.3화1.2"/>
      <sheetName val="2월 추심 2"/>
      <sheetName val="노원열병합  건축공사기성내역서"/>
      <sheetName val="실적(Q11)"/>
      <sheetName val="예산(Q11)"/>
      <sheetName val="실행"/>
      <sheetName val="????"/>
      <sheetName val="저속"/>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안내"/>
      <sheetName val="Raw"/>
      <sheetName val="&gt;"/>
      <sheetName val="Company"/>
      <sheetName val="CRP"/>
      <sheetName val="Bond"/>
      <sheetName val="&gt;&gt;"/>
      <sheetName val="WACC"/>
      <sheetName val="GPCM"/>
      <sheetName val="&gt;&gt;&gt;"/>
      <sheetName val="Beta"/>
      <sheetName val="2W Beta"/>
      <sheetName val="5W Beta"/>
      <sheetName val="5M Beta"/>
      <sheetName val="Mkt Cap"/>
      <sheetName val="Financials"/>
      <sheetName val="Tax"/>
      <sheetName val="&gt;&gt;&gt;&gt;"/>
    </sheetNames>
    <sheetDataSet>
      <sheetData sheetId="0"/>
      <sheetData sheetId="1">
        <row r="9">
          <cell r="AF9" t="str">
            <v>JAPAN</v>
          </cell>
        </row>
      </sheetData>
      <sheetData sheetId="2"/>
      <sheetData sheetId="3">
        <row r="14">
          <cell r="N14">
            <v>20150331</v>
          </cell>
          <cell r="O14">
            <v>20130401</v>
          </cell>
          <cell r="P14">
            <v>20100401</v>
          </cell>
        </row>
      </sheetData>
      <sheetData sheetId="4"/>
      <sheetData sheetId="5"/>
      <sheetData sheetId="6"/>
      <sheetData sheetId="7">
        <row r="6">
          <cell r="H6">
            <v>277990.79859999998</v>
          </cell>
        </row>
      </sheetData>
      <sheetData sheetId="8"/>
      <sheetData sheetId="9"/>
      <sheetData sheetId="10"/>
      <sheetData sheetId="11"/>
      <sheetData sheetId="12"/>
      <sheetData sheetId="13"/>
      <sheetData sheetId="14"/>
      <sheetData sheetId="15"/>
      <sheetData sheetId="16">
        <row r="4">
          <cell r="C4" t="str">
            <v>Ticker</v>
          </cell>
          <cell r="D4" t="str">
            <v>2012년 Tax Rate</v>
          </cell>
        </row>
        <row r="5">
          <cell r="C5" t="str">
            <v>US</v>
          </cell>
          <cell r="D5">
            <v>0.4</v>
          </cell>
        </row>
        <row r="6">
          <cell r="C6" t="str">
            <v>CN</v>
          </cell>
          <cell r="D6">
            <v>0.25</v>
          </cell>
        </row>
        <row r="7">
          <cell r="C7" t="str">
            <v>JP</v>
          </cell>
          <cell r="D7">
            <v>0.38009999999999999</v>
          </cell>
        </row>
        <row r="8">
          <cell r="C8" t="str">
            <v>DE</v>
          </cell>
          <cell r="D8">
            <v>0.29480000000000001</v>
          </cell>
        </row>
        <row r="9">
          <cell r="C9" t="str">
            <v>FR</v>
          </cell>
          <cell r="D9">
            <v>0.33329999999999999</v>
          </cell>
        </row>
        <row r="10">
          <cell r="C10" t="str">
            <v>GB</v>
          </cell>
          <cell r="D10">
            <v>0.26</v>
          </cell>
        </row>
        <row r="11">
          <cell r="C11" t="str">
            <v>BR</v>
          </cell>
          <cell r="D11">
            <v>0.34</v>
          </cell>
        </row>
        <row r="12">
          <cell r="C12" t="str">
            <v>IT</v>
          </cell>
          <cell r="D12">
            <v>0.314</v>
          </cell>
        </row>
        <row r="13">
          <cell r="C13" t="str">
            <v>RU</v>
          </cell>
          <cell r="D13">
            <v>0.2</v>
          </cell>
        </row>
        <row r="14">
          <cell r="C14" t="str">
            <v>CA</v>
          </cell>
          <cell r="D14">
            <v>0.26</v>
          </cell>
        </row>
        <row r="15">
          <cell r="C15" t="str">
            <v>IN</v>
          </cell>
          <cell r="D15">
            <v>0.32439999999999997</v>
          </cell>
        </row>
        <row r="16">
          <cell r="C16" t="str">
            <v>AU</v>
          </cell>
          <cell r="D16">
            <v>0.3</v>
          </cell>
        </row>
        <row r="17">
          <cell r="C17" t="str">
            <v>ES</v>
          </cell>
          <cell r="D17">
            <v>0.3</v>
          </cell>
        </row>
        <row r="18">
          <cell r="C18" t="str">
            <v>MX</v>
          </cell>
          <cell r="D18">
            <v>0.3</v>
          </cell>
        </row>
        <row r="19">
          <cell r="C19" t="str">
            <v>KR</v>
          </cell>
          <cell r="D19">
            <v>0.24199999999999999</v>
          </cell>
        </row>
        <row r="20">
          <cell r="C20" t="str">
            <v>ID</v>
          </cell>
          <cell r="D20">
            <v>0.25</v>
          </cell>
        </row>
        <row r="21">
          <cell r="C21" t="str">
            <v>TR</v>
          </cell>
          <cell r="D21">
            <v>0.2</v>
          </cell>
        </row>
        <row r="22">
          <cell r="C22" t="str">
            <v>NL</v>
          </cell>
          <cell r="D22">
            <v>0.25</v>
          </cell>
        </row>
        <row r="23">
          <cell r="C23" t="str">
            <v>SA</v>
          </cell>
          <cell r="D23">
            <v>0.2</v>
          </cell>
        </row>
        <row r="24">
          <cell r="C24" t="str">
            <v>CH</v>
          </cell>
          <cell r="D24">
            <v>0.21170000000000003</v>
          </cell>
        </row>
        <row r="25">
          <cell r="C25" t="str">
            <v>SE</v>
          </cell>
          <cell r="D25">
            <v>0.26300000000000001</v>
          </cell>
        </row>
        <row r="26">
          <cell r="C26" t="str">
            <v>PL</v>
          </cell>
          <cell r="D26">
            <v>0.19</v>
          </cell>
        </row>
        <row r="27">
          <cell r="C27" t="str">
            <v>NO</v>
          </cell>
          <cell r="D27">
            <v>0.28000000000000003</v>
          </cell>
        </row>
        <row r="28">
          <cell r="C28" t="str">
            <v>BE</v>
          </cell>
          <cell r="D28">
            <v>0.33990000000000004</v>
          </cell>
        </row>
        <row r="29">
          <cell r="C29" t="str">
            <v>TW</v>
          </cell>
          <cell r="D29">
            <v>0.17</v>
          </cell>
        </row>
        <row r="30">
          <cell r="C30" t="str">
            <v>AR</v>
          </cell>
          <cell r="D30">
            <v>0.35</v>
          </cell>
        </row>
        <row r="31">
          <cell r="C31" t="str">
            <v>ZA</v>
          </cell>
          <cell r="D31">
            <v>0.34549999999999997</v>
          </cell>
        </row>
        <row r="32">
          <cell r="C32" t="str">
            <v>AT</v>
          </cell>
          <cell r="D32">
            <v>0.25</v>
          </cell>
        </row>
        <row r="33">
          <cell r="C33" t="str">
            <v>AE</v>
          </cell>
          <cell r="D33">
            <v>0.55000000000000004</v>
          </cell>
        </row>
        <row r="34">
          <cell r="C34" t="str">
            <v>CO</v>
          </cell>
          <cell r="D34">
            <v>0.33</v>
          </cell>
        </row>
        <row r="35">
          <cell r="C35" t="str">
            <v>TH</v>
          </cell>
          <cell r="D35">
            <v>0.3</v>
          </cell>
        </row>
        <row r="36">
          <cell r="C36" t="str">
            <v>VE</v>
          </cell>
          <cell r="D36">
            <v>0.34</v>
          </cell>
        </row>
        <row r="37">
          <cell r="C37" t="str">
            <v>DK</v>
          </cell>
          <cell r="D37">
            <v>0.25</v>
          </cell>
        </row>
        <row r="38">
          <cell r="C38" t="str">
            <v>MY</v>
          </cell>
          <cell r="D38">
            <v>0.25</v>
          </cell>
        </row>
        <row r="39">
          <cell r="C39" t="str">
            <v>NG</v>
          </cell>
          <cell r="D39">
            <v>0.3</v>
          </cell>
        </row>
        <row r="40">
          <cell r="C40" t="str">
            <v>CL</v>
          </cell>
          <cell r="D40">
            <v>0.185</v>
          </cell>
        </row>
        <row r="41">
          <cell r="C41" t="str">
            <v>GR</v>
          </cell>
          <cell r="D41">
            <v>0.2</v>
          </cell>
        </row>
        <row r="42">
          <cell r="C42" t="str">
            <v>SG</v>
          </cell>
          <cell r="D42">
            <v>0.17</v>
          </cell>
        </row>
        <row r="43">
          <cell r="C43" t="str">
            <v>HK</v>
          </cell>
          <cell r="D43">
            <v>0.16500000000000001</v>
          </cell>
        </row>
        <row r="44">
          <cell r="C44" t="str">
            <v>FI</v>
          </cell>
          <cell r="D44">
            <v>0.245</v>
          </cell>
        </row>
        <row r="45">
          <cell r="C45" t="str">
            <v>EG</v>
          </cell>
          <cell r="D45">
            <v>0.25</v>
          </cell>
        </row>
        <row r="46">
          <cell r="C46" t="str">
            <v>IL</v>
          </cell>
          <cell r="D46">
            <v>0.25</v>
          </cell>
        </row>
        <row r="47">
          <cell r="C47" t="str">
            <v>PK</v>
          </cell>
          <cell r="D47">
            <v>0.35</v>
          </cell>
        </row>
        <row r="48">
          <cell r="C48" t="str">
            <v>PH</v>
          </cell>
          <cell r="D48">
            <v>0.3</v>
          </cell>
        </row>
        <row r="49">
          <cell r="C49" t="str">
            <v>PT</v>
          </cell>
          <cell r="D49">
            <v>0.25</v>
          </cell>
        </row>
        <row r="50">
          <cell r="C50" t="str">
            <v>IE</v>
          </cell>
          <cell r="D50">
            <v>0.125</v>
          </cell>
        </row>
        <row r="51">
          <cell r="C51" t="str">
            <v>CZ</v>
          </cell>
          <cell r="D51">
            <v>0.19</v>
          </cell>
        </row>
        <row r="52">
          <cell r="C52" t="str">
            <v>KW</v>
          </cell>
          <cell r="D52">
            <v>0.15</v>
          </cell>
        </row>
        <row r="53">
          <cell r="C53" t="str">
            <v>KZ</v>
          </cell>
          <cell r="D53">
            <v>0.2</v>
          </cell>
        </row>
        <row r="54">
          <cell r="C54" t="str">
            <v>QA</v>
          </cell>
          <cell r="D54">
            <v>0.1</v>
          </cell>
        </row>
        <row r="55">
          <cell r="C55" t="str">
            <v>RO</v>
          </cell>
          <cell r="D55">
            <v>0.16</v>
          </cell>
        </row>
        <row r="56">
          <cell r="C56" t="str">
            <v>PE</v>
          </cell>
          <cell r="D56">
            <v>0.3</v>
          </cell>
        </row>
        <row r="57">
          <cell r="C57" t="str">
            <v>UA</v>
          </cell>
          <cell r="D57">
            <v>0.21</v>
          </cell>
        </row>
        <row r="58">
          <cell r="C58" t="str">
            <v>NZ</v>
          </cell>
          <cell r="D58">
            <v>0.28000000000000003</v>
          </cell>
        </row>
        <row r="59">
          <cell r="C59" t="str">
            <v>VN</v>
          </cell>
          <cell r="D59">
            <v>0.25</v>
          </cell>
        </row>
        <row r="60">
          <cell r="C60" t="str">
            <v>HU</v>
          </cell>
          <cell r="D60">
            <v>0.19</v>
          </cell>
        </row>
        <row r="61">
          <cell r="C61" t="str">
            <v>AO</v>
          </cell>
          <cell r="D61">
            <v>0.35</v>
          </cell>
        </row>
        <row r="62">
          <cell r="C62" t="str">
            <v>BD</v>
          </cell>
          <cell r="D62">
            <v>0.27500000000000002</v>
          </cell>
        </row>
        <row r="63">
          <cell r="C63" t="str">
            <v>SK</v>
          </cell>
          <cell r="D63">
            <v>0.19</v>
          </cell>
        </row>
        <row r="64">
          <cell r="C64" t="str">
            <v>LY</v>
          </cell>
          <cell r="D64">
            <v>0.2</v>
          </cell>
        </row>
        <row r="65">
          <cell r="C65" t="str">
            <v>OM</v>
          </cell>
          <cell r="D65">
            <v>0.12</v>
          </cell>
        </row>
        <row r="66">
          <cell r="C66" t="str">
            <v>EC</v>
          </cell>
          <cell r="D66">
            <v>0.23</v>
          </cell>
        </row>
        <row r="67">
          <cell r="C67" t="str">
            <v>LK</v>
          </cell>
          <cell r="D67">
            <v>0.28000000000000003</v>
          </cell>
        </row>
        <row r="68">
          <cell r="C68" t="str">
            <v>HR</v>
          </cell>
          <cell r="D68">
            <v>0.2</v>
          </cell>
        </row>
        <row r="69">
          <cell r="C69" t="str">
            <v>DO</v>
          </cell>
          <cell r="D69">
            <v>0.28999999999999998</v>
          </cell>
        </row>
        <row r="70">
          <cell r="C70" t="str">
            <v>BY</v>
          </cell>
          <cell r="D70">
            <v>0.18</v>
          </cell>
        </row>
        <row r="71">
          <cell r="C71" t="str">
            <v>LU</v>
          </cell>
          <cell r="D71">
            <v>0.28800000000000003</v>
          </cell>
        </row>
        <row r="72">
          <cell r="C72" t="str">
            <v>SD</v>
          </cell>
          <cell r="D72">
            <v>0.35</v>
          </cell>
        </row>
        <row r="73">
          <cell r="C73" t="str">
            <v>UY</v>
          </cell>
          <cell r="D73">
            <v>0.25</v>
          </cell>
        </row>
        <row r="74">
          <cell r="C74" t="str">
            <v>BG</v>
          </cell>
          <cell r="D74">
            <v>0.1</v>
          </cell>
        </row>
        <row r="75">
          <cell r="C75" t="str">
            <v>GT</v>
          </cell>
          <cell r="D75">
            <v>0.31</v>
          </cell>
        </row>
        <row r="76">
          <cell r="C76" t="str">
            <v>SI</v>
          </cell>
          <cell r="D76">
            <v>0.2</v>
          </cell>
        </row>
        <row r="77">
          <cell r="C77" t="str">
            <v>TN</v>
          </cell>
          <cell r="D77">
            <v>0.3</v>
          </cell>
        </row>
        <row r="78">
          <cell r="C78" t="str">
            <v>CR</v>
          </cell>
          <cell r="D78">
            <v>0.3</v>
          </cell>
        </row>
        <row r="79">
          <cell r="C79" t="str">
            <v>RS</v>
          </cell>
          <cell r="D79">
            <v>0.1</v>
          </cell>
        </row>
        <row r="80">
          <cell r="C80" t="str">
            <v>LT</v>
          </cell>
          <cell r="D80">
            <v>0.15</v>
          </cell>
        </row>
        <row r="81">
          <cell r="C81" t="str">
            <v>PA</v>
          </cell>
          <cell r="D81">
            <v>0.25</v>
          </cell>
        </row>
        <row r="82">
          <cell r="C82" t="str">
            <v>JO</v>
          </cell>
          <cell r="D82">
            <v>0.14000000000000001</v>
          </cell>
        </row>
        <row r="83">
          <cell r="C83" t="str">
            <v>BH</v>
          </cell>
          <cell r="D83">
            <v>0</v>
          </cell>
        </row>
        <row r="84">
          <cell r="C84" t="str">
            <v>LV</v>
          </cell>
          <cell r="D84">
            <v>0.15</v>
          </cell>
        </row>
        <row r="85">
          <cell r="C85" t="str">
            <v>BO</v>
          </cell>
          <cell r="D85">
            <v>0.25</v>
          </cell>
        </row>
        <row r="86">
          <cell r="C86" t="str">
            <v>TZ</v>
          </cell>
          <cell r="D86">
            <v>0.3</v>
          </cell>
        </row>
        <row r="87">
          <cell r="C87" t="str">
            <v>TT</v>
          </cell>
          <cell r="D87">
            <v>0.25</v>
          </cell>
        </row>
        <row r="88">
          <cell r="C88" t="str">
            <v>SV</v>
          </cell>
          <cell r="D88">
            <v>0.3</v>
          </cell>
        </row>
        <row r="89">
          <cell r="C89" t="str">
            <v>CY</v>
          </cell>
          <cell r="D89">
            <v>0.1</v>
          </cell>
        </row>
        <row r="90">
          <cell r="C90" t="str">
            <v>PY</v>
          </cell>
          <cell r="D90">
            <v>0.1</v>
          </cell>
        </row>
        <row r="91">
          <cell r="C91" t="str">
            <v>EE</v>
          </cell>
          <cell r="D91">
            <v>0.21</v>
          </cell>
        </row>
        <row r="92">
          <cell r="C92" t="str">
            <v>ZM</v>
          </cell>
          <cell r="D92">
            <v>0.35</v>
          </cell>
        </row>
        <row r="93">
          <cell r="C93" t="str">
            <v>HN</v>
          </cell>
          <cell r="D93">
            <v>0.35</v>
          </cell>
        </row>
        <row r="94">
          <cell r="C94" t="str">
            <v>BA</v>
          </cell>
          <cell r="D94">
            <v>0.1</v>
          </cell>
        </row>
        <row r="95">
          <cell r="C95" t="str">
            <v>BW</v>
          </cell>
          <cell r="D95">
            <v>0.22</v>
          </cell>
        </row>
        <row r="96">
          <cell r="C96" t="str">
            <v>GE</v>
          </cell>
          <cell r="D96">
            <v>0</v>
          </cell>
        </row>
        <row r="97">
          <cell r="C97" t="str">
            <v>JM</v>
          </cell>
          <cell r="D97">
            <v>0.33329999999999999</v>
          </cell>
        </row>
        <row r="98">
          <cell r="C98" t="str">
            <v>PG</v>
          </cell>
          <cell r="D98">
            <v>0.3</v>
          </cell>
        </row>
        <row r="99">
          <cell r="C99" t="str">
            <v>MZ</v>
          </cell>
          <cell r="D99">
            <v>0.32</v>
          </cell>
        </row>
        <row r="100">
          <cell r="C100" t="str">
            <v>KH</v>
          </cell>
          <cell r="D100">
            <v>0.2</v>
          </cell>
        </row>
        <row r="101">
          <cell r="C101" t="str">
            <v>IS</v>
          </cell>
          <cell r="D101">
            <v>0.2</v>
          </cell>
        </row>
        <row r="102">
          <cell r="C102" t="str">
            <v>NA</v>
          </cell>
          <cell r="D102">
            <v>0.34</v>
          </cell>
        </row>
        <row r="103">
          <cell r="C103" t="str">
            <v>AL</v>
          </cell>
          <cell r="D103">
            <v>0.1</v>
          </cell>
        </row>
        <row r="104">
          <cell r="C104" t="str">
            <v>MU</v>
          </cell>
          <cell r="D104">
            <v>0.15</v>
          </cell>
        </row>
        <row r="105">
          <cell r="C105" t="str">
            <v>AM</v>
          </cell>
          <cell r="D105">
            <v>0.2</v>
          </cell>
        </row>
        <row r="106">
          <cell r="C106" t="str">
            <v>ZW</v>
          </cell>
          <cell r="D106">
            <v>0.25750000000000001</v>
          </cell>
        </row>
        <row r="107">
          <cell r="C107" t="str">
            <v>MT</v>
          </cell>
          <cell r="D107">
            <v>0.35</v>
          </cell>
        </row>
        <row r="108">
          <cell r="C108" t="str">
            <v>MW</v>
          </cell>
          <cell r="D108">
            <v>0.35</v>
          </cell>
        </row>
        <row r="109">
          <cell r="C109" t="str">
            <v>BB</v>
          </cell>
          <cell r="D109">
            <v>0.25</v>
          </cell>
        </row>
        <row r="110">
          <cell r="C110" t="str">
            <v>ME</v>
          </cell>
          <cell r="D110">
            <v>0.09</v>
          </cell>
        </row>
        <row r="111">
          <cell r="C111" t="str">
            <v>FJ</v>
          </cell>
          <cell r="D111">
            <v>0.28000000000000003</v>
          </cell>
        </row>
        <row r="112">
          <cell r="C112" t="str">
            <v>VU</v>
          </cell>
          <cell r="D112">
            <v>0</v>
          </cell>
        </row>
        <row r="113">
          <cell r="C113" t="str">
            <v>WS</v>
          </cell>
          <cell r="D113">
            <v>0.27</v>
          </cell>
        </row>
      </sheetData>
      <sheetData sheetId="1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흐름표"/>
      <sheetName val="Reference"/>
      <sheetName val="1998 P &amp; L"/>
      <sheetName val="95WBS"/>
      <sheetName val="當期시산표(결재)"/>
      <sheetName val="관리수정"/>
      <sheetName val="Stock Div Accural"/>
      <sheetName val="24.보증금(전신전화가입권)"/>
      <sheetName val="bs"/>
      <sheetName val="영업.일1"/>
      <sheetName val="108.수선비"/>
      <sheetName val="1-1-1-1"/>
      <sheetName val="지수"/>
      <sheetName val="신공항A-9(원가수정)"/>
      <sheetName val="US Codes"/>
      <sheetName val="MARCH 25"/>
      <sheetName val="공통"/>
      <sheetName val="cable-data"/>
      <sheetName val="업무분장 "/>
      <sheetName val="현금"/>
      <sheetName val="YOEMAGUM"/>
      <sheetName val="부도어음"/>
      <sheetName val="기계"/>
      <sheetName val="수입"/>
      <sheetName val="411-00 외화장기"/>
      <sheetName val="2.손익계산서"/>
      <sheetName val="별제권_정리담보권1"/>
      <sheetName val="#REF"/>
      <sheetName val="ST"/>
      <sheetName val="10한빛"/>
      <sheetName val="회차별합계"/>
      <sheetName val="대환취급"/>
      <sheetName val="부가세신고자료"/>
      <sheetName val="TB0313"/>
      <sheetName val="시나리오"/>
      <sheetName val="적용환율"/>
      <sheetName val="대외공문"/>
      <sheetName val="상품입고집계"/>
      <sheetName val="일삼현금흐름표"/>
      <sheetName val="산출기준(파견전산실)"/>
      <sheetName val="시산표(매출조정전)"/>
      <sheetName val="non"/>
      <sheetName val="고정자산원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흐름표"/>
    </sheetNames>
    <sheetDataSet>
      <sheetData sheetId="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청"/>
      <sheetName val="5300"/>
      <sheetName val="매출채권"/>
      <sheetName val="5500"/>
      <sheetName val="기타당좌자산"/>
      <sheetName val="XREF"/>
      <sheetName val="Sheet3"/>
      <sheetName val="Sheet2"/>
      <sheetName val="손익"/>
      <sheetName val="Tickmarks"/>
      <sheetName val="8100"/>
      <sheetName val="Summary"/>
      <sheetName val="K-1"/>
      <sheetName val="8340"/>
      <sheetName val="Lead"/>
      <sheetName val="총괄표"/>
      <sheetName val="General Inputs"/>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
      <sheetName val="over(정액)"/>
      <sheetName val="무형자산"/>
      <sheetName val="퇴충"/>
      <sheetName val="퇴충over"/>
      <sheetName val="판관비"/>
      <sheetName val="월별판관비"/>
      <sheetName val="월별판관"/>
      <sheetName val="급여overall"/>
      <sheetName val="판관비분석"/>
      <sheetName val="유형자산LEAD"/>
    </sheetNames>
    <sheetDataSet>
      <sheetData sheetId="0"/>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ckmarks "/>
      <sheetName val="감가상각누계액"/>
      <sheetName val="XREF"/>
      <sheetName val="유형"/>
      <sheetName val="고정부채"/>
      <sheetName val="취득 처분명세_반기"/>
      <sheetName val="SUMMARY"/>
      <sheetName val="감사인검토내역(PAJE)"/>
      <sheetName val="lead"/>
      <sheetName val="감가상각LS"/>
      <sheetName val="LS "/>
      <sheetName val="조회서"/>
      <sheetName val="감가상각"/>
      <sheetName val="1.외주공사"/>
      <sheetName val="손익"/>
      <sheetName val="Sheet1"/>
      <sheetName val="기타의투자자산"/>
      <sheetName val="장기대여금"/>
      <sheetName val="600-4"/>
      <sheetName val="D620"/>
      <sheetName val="시산표"/>
      <sheetName val="매입채무"/>
      <sheetName val="SS10"/>
      <sheetName val="3110-2"/>
      <sheetName val="통계자료"/>
      <sheetName val="유형자산증감"/>
      <sheetName val="6120"/>
      <sheetName val="xxxxxx"/>
      <sheetName val="시산표(매출조정전)"/>
      <sheetName val="고정자산원본"/>
      <sheetName val="감액검토_x_"/>
      <sheetName val="매출채권"/>
      <sheetName val="기타당좌자산"/>
      <sheetName val="5300"/>
      <sheetName val="5500"/>
      <sheetName val="보증금"/>
      <sheetName val="1.LEAD"/>
      <sheetName val="MARCH 25"/>
      <sheetName val="손익계산서"/>
      <sheetName val="매출"/>
      <sheetName val="한세A4PL"/>
      <sheetName val="손익합산"/>
      <sheetName val="compare2"/>
      <sheetName val="관세"/>
      <sheetName val="인건비 내역서"/>
      <sheetName val="부외부채"/>
      <sheetName val="공사미수금"/>
      <sheetName val="유형자산증가"/>
      <sheetName val="5400-재고자산Lead"/>
      <sheetName val="상품매출원가"/>
      <sheetName val="RESULT"/>
      <sheetName val="만기"/>
      <sheetName val="99발견사항"/>
      <sheetName val="발견사항"/>
      <sheetName val="wbs"/>
      <sheetName val="wpl"/>
      <sheetName val="대차대조표"/>
      <sheetName val="정산표"/>
      <sheetName val="영원bs"/>
      <sheetName val="영원is"/>
      <sheetName val="SDF"/>
      <sheetName val="YSS"/>
      <sheetName val="연결분개99"/>
      <sheetName val="Sheet6"/>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Sheet5"/>
      <sheetName val="Sheet4"/>
      <sheetName val="Sheet3"/>
      <sheetName val="Sheet2"/>
      <sheetName val="수정분개"/>
      <sheetName val="대차"/>
      <sheetName val="잉여금"/>
      <sheetName val="현금흐름표"/>
      <sheetName val="현금흐름표검증조서"/>
      <sheetName val="만기 (2)"/>
      <sheetName val="TB"/>
      <sheetName val="00'미수"/>
      <sheetName val="She_x0000__x0000_2"/>
      <sheetName val="꺐윂"/>
      <sheetName val="2.직영공사"/>
      <sheetName val="총괄(회사)"/>
      <sheetName val="무형자산"/>
      <sheetName val="전산기기최종"/>
      <sheetName val="집기비품최종"/>
      <sheetName val="만기0701"/>
      <sheetName val="99지분법평가ﾐ쟿"/>
      <sheetName val="자료"/>
      <sheetName val="INFO"/>
      <sheetName val="외환차손익"/>
      <sheetName val="회사제시"/>
      <sheetName val="거래처별매출비율_Interim"/>
      <sheetName val="1998 P &amp; L"/>
      <sheetName val="VXXXXX"/>
      <sheetName val="XXXX"/>
      <sheetName val="계정code"/>
      <sheetName val="대차표"/>
      <sheetName val="손익표"/>
      <sheetName val="광명대차"/>
      <sheetName val="광명손익"/>
      <sheetName val="안산대차"/>
      <sheetName val="안산손익"/>
      <sheetName val="대차(광+안)"/>
      <sheetName val="손익(광+안)"/>
      <sheetName val="TOTAL"/>
      <sheetName val="BA"/>
      <sheetName val="BB"/>
      <sheetName val="BC"/>
      <sheetName val="BD"/>
      <sheetName val="BE"/>
      <sheetName val="Module"/>
      <sheetName val="Walsei"/>
      <sheetName val="7.31연체현황"/>
      <sheetName val="감소Test"/>
      <sheetName val="0.총괄"/>
      <sheetName val="Rent Roll"/>
      <sheetName val="Budget"/>
      <sheetName val="Initial Input Variable"/>
      <sheetName val="Template"/>
      <sheetName val="신기술(비상장)0412"/>
      <sheetName val="리드"/>
      <sheetName val="후순위채05.01.20"/>
      <sheetName val="매출LS"/>
      <sheetName val="팀별"/>
      <sheetName val="1월"/>
      <sheetName val="2월"/>
      <sheetName val="3월"/>
      <sheetName val="4월"/>
      <sheetName val="5월"/>
      <sheetName val="6월"/>
      <sheetName val="7월"/>
      <sheetName val="8월"/>
      <sheetName val="채권전체"/>
      <sheetName val="채권1월"/>
      <sheetName val="채권2월"/>
      <sheetName val="채권3월"/>
      <sheetName val="채권4월"/>
      <sheetName val="채권5월"/>
      <sheetName val="채권6월"/>
      <sheetName val="채권7월"/>
      <sheetName val="채권8월"/>
      <sheetName val="입금1월"/>
      <sheetName val="입금2월"/>
      <sheetName val="입금3월"/>
      <sheetName val="입금4월"/>
      <sheetName val="입금5월"/>
      <sheetName val="입금6월"/>
      <sheetName val="입금7월"/>
      <sheetName val="입금8월"/>
      <sheetName val="수금조건"/>
      <sheetName val="한도"/>
      <sheetName val="무형"/>
      <sheetName val="front"/>
      <sheetName val="재료비"/>
      <sheetName val="가공비"/>
      <sheetName val="판관비"/>
      <sheetName val="생판계획"/>
      <sheetName val="9월제조원가"/>
      <sheetName val="받을어음"/>
      <sheetName val="재무비율분석"/>
      <sheetName val="PL"/>
      <sheetName val="LS (2)"/>
      <sheetName val="건물 (2)"/>
      <sheetName val="유선방송설비 (2)"/>
      <sheetName val="차량운반구 (2)"/>
      <sheetName val="전송선로설비 (2)"/>
      <sheetName val="집기비품 (2)"/>
      <sheetName val="공구기구 (2)"/>
      <sheetName val="구축물 (2)"/>
      <sheetName val="컨버터 (2)"/>
      <sheetName val="건물"/>
      <sheetName val="1_외주공사"/>
      <sheetName val="DATA"/>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
          <cell r="A2">
            <v>110001</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100"/>
      <sheetName val="8102회전율"/>
      <sheetName val="8104STAR"/>
      <sheetName val="S8105TAR 2"/>
      <sheetName val="2001년 매출액"/>
      <sheetName val="주거래처"/>
      <sheetName val="8110ERS"/>
      <sheetName val="월별자료"/>
      <sheetName val="8120판매량"/>
      <sheetName val="8122국가별수출"/>
      <sheetName val="8124월별분석(판관비)"/>
      <sheetName val="8130매출cutoff"/>
      <sheetName val="8140판매단가"/>
      <sheetName val="8150sales&amp;vat"/>
      <sheetName val="8160업종분석"/>
      <sheetName val="매출인식8190"/>
      <sheetName val="8191판매현황"/>
      <sheetName val="8192출고"/>
      <sheetName val="8193수출프로"/>
      <sheetName val="수출면장"/>
      <sheetName val="8194반품"/>
      <sheetName val="Sheet1"/>
      <sheetName val="XREF"/>
      <sheetName val="Tickmarks"/>
      <sheetName val="단가경쟁사비교"/>
      <sheetName val="5300"/>
      <sheetName val="매출채권"/>
      <sheetName val="기타당좌자산"/>
      <sheetName val="5500"/>
      <sheetName val="TB(PL)"/>
      <sheetName val="제조원가"/>
      <sheetName val="F-4,5"/>
      <sheetName val="지급수수료"/>
      <sheetName val="8312국가별수출"/>
      <sheetName val="8320특수관계(판관비)"/>
      <sheetName val="운반비"/>
      <sheetName val="수출제비"/>
      <sheetName val="수선비"/>
      <sheetName val="광고선전비"/>
      <sheetName val="용역비"/>
      <sheetName val="교제비"/>
      <sheetName val="8310"/>
      <sheetName val="감가상각"/>
      <sheetName val="6100(전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row r="2">
          <cell r="A2">
            <v>86199.732735000012</v>
          </cell>
          <cell r="B2">
            <v>86199732.734999999</v>
          </cell>
          <cell r="D2" t="str">
            <v>입증조서</v>
          </cell>
          <cell r="E2" t="str">
            <v>*</v>
          </cell>
        </row>
        <row r="3">
          <cell r="A3">
            <v>86199732.734999999</v>
          </cell>
          <cell r="B3">
            <v>86199.732735000012</v>
          </cell>
          <cell r="D3" t="str">
            <v>입증조서</v>
          </cell>
          <cell r="E3" t="str">
            <v>*</v>
          </cell>
        </row>
        <row r="4">
          <cell r="A4">
            <v>270067821127</v>
          </cell>
          <cell r="B4">
            <v>270067821127</v>
          </cell>
          <cell r="D4" t="str">
            <v>입증조서</v>
          </cell>
          <cell r="E4" t="str">
            <v>!</v>
          </cell>
        </row>
        <row r="5">
          <cell r="A5">
            <v>270067821127</v>
          </cell>
          <cell r="B5">
            <v>270067821127</v>
          </cell>
          <cell r="D5" t="str">
            <v>입증조서</v>
          </cell>
          <cell r="E5" t="str">
            <v>!</v>
          </cell>
        </row>
      </sheetData>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무형자산"/>
      <sheetName val="공업소유권"/>
      <sheetName val="XREF"/>
      <sheetName val="Tickmarks"/>
    </sheetNames>
    <sheetDataSet>
      <sheetData sheetId="0" refreshError="1"/>
      <sheetData sheetId="1" refreshError="1"/>
      <sheetData sheetId="2" refreshError="1"/>
      <sheetData sheetId="3"/>
      <sheetData sheetId="4"/>
      <sheetData sheetId="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
      <sheetName val="C-1"/>
      <sheetName val="C-2"/>
      <sheetName val="C-3"/>
      <sheetName val="C-4"/>
      <sheetName val="C-5"/>
      <sheetName val="XREF"/>
    </sheetNames>
    <sheetDataSet>
      <sheetData sheetId="0">
        <row r="8">
          <cell r="I8">
            <v>11892934353</v>
          </cell>
        </row>
      </sheetData>
      <sheetData sheetId="1"/>
      <sheetData sheetId="2"/>
      <sheetData sheetId="3"/>
      <sheetData sheetId="4"/>
      <sheetData sheetId="5"/>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
      <sheetName val="C-1"/>
      <sheetName val="C-2"/>
      <sheetName val="C-3"/>
      <sheetName val="C-4"/>
      <sheetName val="C-5"/>
      <sheetName val="XREF"/>
    </sheetNames>
    <sheetDataSet>
      <sheetData sheetId="0">
        <row r="8">
          <cell r="I8">
            <v>11892934353</v>
          </cell>
        </row>
      </sheetData>
      <sheetData sheetId="1"/>
      <sheetData sheetId="2"/>
      <sheetData sheetId="3"/>
      <sheetData sheetId="4"/>
      <sheetData sheetId="5"/>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
      <sheetName val="유형자산평가포함후bs"/>
      <sheetName val="usgaap수정사항"/>
      <sheetName val="환평가(환율조정기준)"/>
      <sheetName val="06TB,XLS (2)"/>
      <sheetName val="7월 추정transfer (2)"/>
      <sheetName val="제세공과금"/>
      <sheetName val="차입금정리"/>
      <sheetName val="Bonds"/>
      <sheetName val="Bond Disc"/>
      <sheetName val="Lease(환평가대상)"/>
      <sheetName val="Debt (KDB)"/>
      <sheetName val="KDB Loan for Facilities"/>
      <sheetName val="Loans &amp; CP&amp;Usance(환평가대상)"/>
      <sheetName val="표혜진"/>
      <sheetName val="투자증권김준우"/>
      <sheetName val="미수금김준우"/>
      <sheetName val="대손평가김준우"/>
      <sheetName val="국공채미수수익"/>
      <sheetName val="국공채현가평가"/>
      <sheetName val="장기미지급금"/>
      <sheetName val="최준"/>
      <sheetName val="2003.7.31-원단위"/>
      <sheetName val="예금"/>
      <sheetName val="34"/>
      <sheetName val="현금및예치금집계표"/>
      <sheetName val="XREF"/>
      <sheetName val="현금및등가물명세서"/>
      <sheetName val="유형자산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2"/>
      <sheetName val="f3"/>
      <sheetName val="f4"/>
      <sheetName val="f5"/>
      <sheetName val="f6"/>
      <sheetName val="XREF"/>
      <sheetName val="F12_BS"/>
      <sheetName val="F3_PL"/>
      <sheetName val="SS20"/>
      <sheetName val="SS10"/>
      <sheetName val="재무비율분석"/>
      <sheetName val="인건비 내역서"/>
      <sheetName val="한화국토개발 ok"/>
      <sheetName val="3-1.LGD(기업)"/>
      <sheetName val="AUDIT MEMO"/>
      <sheetName val="기업금융단_송길방"/>
      <sheetName val="고정자산 리드"/>
      <sheetName val="F4_PAJE(6월)"/>
      <sheetName val="현금및예치금집계표"/>
      <sheetName val="현금및등가물명세서"/>
      <sheetName val="손익합산"/>
      <sheetName val="현금및예치금-기말"/>
      <sheetName val="자본"/>
      <sheetName val="외화예치금명세"/>
      <sheetName val="현금및현금등가물"/>
      <sheetName val="투자주식명세"/>
      <sheetName val="유통망계획"/>
      <sheetName val="Summary"/>
      <sheetName val="종합2"/>
      <sheetName val="개발담당자 "/>
      <sheetName val="Ⅱ1-0타"/>
      <sheetName val="상품매출원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상 -&gt; 상"/>
      <sheetName val="자료 리스트"/>
      <sheetName val="Analyst Report"/>
      <sheetName val="사업의 내용"/>
      <sheetName val="LEK"/>
      <sheetName val="LEK Sales"/>
      <sheetName val="로열티"/>
      <sheetName val="인구전망(USA)"/>
      <sheetName val="인구전망(Kor)"/>
      <sheetName val="임상성공확률"/>
      <sheetName val="Prevalance(USA)_Lead_Sheet"/>
      <sheetName val="Prevalance(USA)"/>
      <sheetName val="Prevalance(Kor)"/>
      <sheetName val="Life Cycle"/>
      <sheetName val="인구통계"/>
      <sheetName val="유사회사분석"/>
      <sheetName val="Genetic 회사분석 "/>
      <sheetName val="Top10 제약회사분석"/>
      <sheetName val="Kisline 산업 평균"/>
      <sheetName val="OA2_리서치자료정리_20150608_v1"/>
    </sheetNames>
    <definedNames>
      <definedName name="TextRefCopy2"/>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담보내역"/>
      <sheetName val="1번근저당"/>
      <sheetName val="단차명세서"/>
      <sheetName val="USANCE"/>
      <sheetName val="은행조회서USANCE (2)"/>
      <sheetName val="유동성장기명세"/>
      <sheetName val="장기차입금"/>
      <sheetName val="외화리스"/>
      <sheetName val="리스원금 "/>
      <sheetName val="리스이자"/>
      <sheetName val="이자비용pre"/>
      <sheetName val="미지급선급"/>
      <sheetName val="사채명세서"/>
      <sheetName val="사채할인발행차금"/>
      <sheetName val="상환SCHEDULE"/>
      <sheetName val="은행조회서 CONTROL"/>
      <sheetName val="XREF"/>
      <sheetName val="Tickmarks"/>
      <sheetName val="Debt (KDB)"/>
      <sheetName val="나."/>
      <sheetName val="가."/>
      <sheetName val="총괄"/>
      <sheetName val="손익계산서"/>
      <sheetName val="FS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퇴충"/>
      <sheetName val="퇴충overall"/>
      <sheetName val="퇴충배부"/>
      <sheetName val="고정부채"/>
      <sheetName val="퇴충추계액"/>
      <sheetName val="퇴직충당금"/>
      <sheetName val="장기수입보증금 "/>
      <sheetName val="XREF"/>
      <sheetName val="Tickmarks"/>
      <sheetName val="6511 기타고정부채 Combined Leadsheet"/>
    </sheetNames>
    <sheetDataSet>
      <sheetData sheetId="0"/>
      <sheetData sheetId="1"/>
      <sheetData sheetId="2" refreshError="1"/>
      <sheetData sheetId="3" refreshError="1"/>
      <sheetData sheetId="4"/>
      <sheetData sheetId="5"/>
      <sheetData sheetId="6"/>
      <sheetData sheetId="7"/>
      <sheetData sheetId="8" refreshError="1"/>
      <sheetData sheetId="9"/>
      <sheetData sheetId="10" refreshError="1"/>
      <sheetData sheetId="1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REF"/>
      <sheetName val="Tickmarks"/>
      <sheetName val="유형자산명세서"/>
      <sheetName val="Sheet1"/>
      <sheetName val="FN"/>
      <sheetName val="원재료 단가 test"/>
      <sheetName val="은행조회서CS"/>
      <sheetName val="BA"/>
      <sheetName val="PL"/>
      <sheetName val="채권조회서 Roll-forward test"/>
      <sheetName val="노무비"/>
      <sheetName val="감가상각누계액"/>
      <sheetName val="이자비용Overall"/>
      <sheetName val="Leadsheet"/>
      <sheetName val="T4. 재공-2"/>
      <sheetName val="1.외주공사"/>
      <sheetName val="p.1 sub_lead"/>
      <sheetName val="유형"/>
      <sheetName val="고정부채"/>
      <sheetName val="Rent Roll"/>
      <sheetName val="total"/>
      <sheetName val="Budget"/>
      <sheetName val="상품매출원가"/>
      <sheetName val="투자유가증권명세서"/>
      <sheetName val="5630-해외투유평가"/>
      <sheetName val="5100-현금및등가물lead"/>
      <sheetName val="6400-고정부채lead"/>
      <sheetName val="Template"/>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옥포"/>
      <sheetName val="서울"/>
      <sheetName val="XREF"/>
      <sheetName val="Tickmarks"/>
    </sheetNames>
    <sheetDataSet>
      <sheetData sheetId="0" refreshError="1"/>
      <sheetData sheetId="1" refreshError="1"/>
      <sheetData sheetId="2"/>
      <sheetData sheetId="3"/>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무제표"/>
      <sheetName val="재무비율분석"/>
      <sheetName val="2002-re"/>
      <sheetName val="현금흐름표"/>
      <sheetName val="현금흐름검증표"/>
      <sheetName val="F12_BS"/>
      <sheetName val="F3_PL"/>
      <sheetName val="F4_PAJE"/>
      <sheetName val="F5_PRJE"/>
      <sheetName val="CAJE"/>
      <sheetName val="CRJE"/>
      <sheetName val="XREF"/>
      <sheetName val="개발비자산성검토"/>
      <sheetName val="Storage"/>
      <sheetName val="무역"/>
      <sheetName val="화약"/>
      <sheetName val="경지"/>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KUNGDEVI"/>
      <sheetName val="Index"/>
      <sheetName val="생산능력"/>
      <sheetName val="#REF"/>
      <sheetName val="Book1"/>
      <sheetName val="감독1130"/>
      <sheetName val="일반관리비"/>
      <sheetName val="G&amp;A(HQ)"/>
      <sheetName val="COGS(HQ)"/>
      <sheetName val="Manufacturing cost(total)"/>
      <sheetName val="EX판매요약  "/>
      <sheetName val="01 PL (본사) "/>
      <sheetName val="NC (판매구분)"/>
      <sheetName val="상각추이(96-10)-배분"/>
      <sheetName val="98년도"/>
      <sheetName val="99년도"/>
      <sheetName val="00년도"/>
      <sheetName val="98PL"/>
      <sheetName val="99PL"/>
      <sheetName val="00PL"/>
      <sheetName val="매출원가2002"/>
      <sheetName val="Con EBITDA"/>
      <sheetName val="원화종합"/>
      <sheetName val="금호전체"/>
      <sheetName val="조정내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PL계획"/>
      <sheetName val="매출,매출원가"/>
      <sheetName val="비용계획(원가)"/>
      <sheetName val="비용계획(판관)"/>
      <sheetName val="영업외.특별"/>
      <sheetName val="인원계획"/>
      <sheetName val="투자계획"/>
      <sheetName val="자금현황"/>
      <sheetName val="현금흐름"/>
      <sheetName val="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계정과목</v>
          </cell>
          <cell r="C1" t="str">
            <v>계정과목</v>
          </cell>
        </row>
        <row r="2">
          <cell r="A2" t="str">
            <v>인건비</v>
          </cell>
          <cell r="C2" t="str">
            <v>인건비</v>
          </cell>
        </row>
        <row r="3">
          <cell r="A3" t="str">
            <v>복리후생비</v>
          </cell>
          <cell r="C3" t="str">
            <v>인건비</v>
          </cell>
        </row>
        <row r="4">
          <cell r="A4" t="str">
            <v>회의비</v>
          </cell>
          <cell r="C4" t="str">
            <v>인건비</v>
          </cell>
        </row>
        <row r="5">
          <cell r="A5" t="str">
            <v>여비교통비</v>
          </cell>
          <cell r="C5" t="str">
            <v>인건비</v>
          </cell>
        </row>
        <row r="6">
          <cell r="A6" t="str">
            <v>차량유지비</v>
          </cell>
          <cell r="C6" t="str">
            <v>인건비</v>
          </cell>
        </row>
        <row r="7">
          <cell r="A7" t="str">
            <v>통신비</v>
          </cell>
          <cell r="C7" t="str">
            <v>인건비</v>
          </cell>
        </row>
        <row r="8">
          <cell r="A8" t="str">
            <v>세금과공과</v>
          </cell>
          <cell r="C8" t="str">
            <v>복리후생비</v>
          </cell>
        </row>
        <row r="9">
          <cell r="A9" t="str">
            <v>지급임차료</v>
          </cell>
          <cell r="C9" t="str">
            <v>복리후생비</v>
          </cell>
        </row>
        <row r="10">
          <cell r="A10" t="str">
            <v>수선비</v>
          </cell>
          <cell r="C10" t="str">
            <v>복리후생비</v>
          </cell>
        </row>
        <row r="11">
          <cell r="A11" t="str">
            <v>보험료</v>
          </cell>
          <cell r="C11" t="str">
            <v>복리후생비</v>
          </cell>
        </row>
        <row r="12">
          <cell r="A12" t="str">
            <v>접대비</v>
          </cell>
          <cell r="C12" t="str">
            <v>복리후생비</v>
          </cell>
        </row>
        <row r="13">
          <cell r="A13" t="str">
            <v>광고선전비</v>
          </cell>
          <cell r="C13" t="str">
            <v>복리후생비</v>
          </cell>
        </row>
        <row r="14">
          <cell r="A14" t="str">
            <v>지급수수료</v>
          </cell>
          <cell r="C14" t="str">
            <v>복리후생비</v>
          </cell>
        </row>
        <row r="15">
          <cell r="A15" t="str">
            <v>운반비</v>
          </cell>
          <cell r="C15" t="str">
            <v>복리후생비</v>
          </cell>
        </row>
        <row r="16">
          <cell r="A16" t="str">
            <v>교육훈련비</v>
          </cell>
          <cell r="C16" t="str">
            <v>복리후생비</v>
          </cell>
        </row>
        <row r="17">
          <cell r="A17" t="str">
            <v>소모품비</v>
          </cell>
          <cell r="C17" t="str">
            <v>복리후생비</v>
          </cell>
        </row>
        <row r="18">
          <cell r="A18" t="str">
            <v>도서인쇄비</v>
          </cell>
          <cell r="C18" t="str">
            <v>복리후생비</v>
          </cell>
        </row>
        <row r="19">
          <cell r="A19" t="str">
            <v>잡비</v>
          </cell>
          <cell r="C19" t="str">
            <v>회의비</v>
          </cell>
        </row>
        <row r="20">
          <cell r="C20" t="str">
            <v>회의비</v>
          </cell>
        </row>
        <row r="21">
          <cell r="C21" t="str">
            <v>여비교통비</v>
          </cell>
        </row>
        <row r="22">
          <cell r="C22" t="str">
            <v>여비교통비</v>
          </cell>
        </row>
        <row r="23">
          <cell r="C23" t="str">
            <v>여비교통비</v>
          </cell>
        </row>
        <row r="24">
          <cell r="C24" t="str">
            <v>차량유지비</v>
          </cell>
        </row>
        <row r="25">
          <cell r="C25" t="str">
            <v>차량유지비</v>
          </cell>
        </row>
        <row r="26">
          <cell r="C26" t="str">
            <v>차량유지비</v>
          </cell>
        </row>
        <row r="27">
          <cell r="C27" t="str">
            <v>차량유지비</v>
          </cell>
        </row>
        <row r="28">
          <cell r="C28" t="str">
            <v>통신비</v>
          </cell>
        </row>
        <row r="29">
          <cell r="C29" t="str">
            <v>통신비</v>
          </cell>
        </row>
        <row r="30">
          <cell r="C30" t="str">
            <v>통신비</v>
          </cell>
        </row>
        <row r="31">
          <cell r="C31" t="str">
            <v>통신비</v>
          </cell>
        </row>
        <row r="32">
          <cell r="C32" t="str">
            <v>통신비</v>
          </cell>
        </row>
        <row r="33">
          <cell r="C33" t="str">
            <v>세금과공과</v>
          </cell>
        </row>
        <row r="34">
          <cell r="C34" t="str">
            <v>세금과공과</v>
          </cell>
        </row>
        <row r="35">
          <cell r="C35" t="str">
            <v>세금과공과</v>
          </cell>
        </row>
        <row r="36">
          <cell r="C36" t="str">
            <v>세금과공과</v>
          </cell>
        </row>
        <row r="37">
          <cell r="C37" t="str">
            <v>세금과공과</v>
          </cell>
        </row>
        <row r="38">
          <cell r="C38" t="str">
            <v>세금과공과</v>
          </cell>
        </row>
        <row r="39">
          <cell r="C39" t="str">
            <v>지급임차료</v>
          </cell>
        </row>
        <row r="40">
          <cell r="C40" t="str">
            <v>지급임차료</v>
          </cell>
        </row>
        <row r="41">
          <cell r="C41" t="str">
            <v>수선비</v>
          </cell>
        </row>
        <row r="42">
          <cell r="C42" t="str">
            <v>수선비</v>
          </cell>
        </row>
        <row r="43">
          <cell r="C43" t="str">
            <v>보험료</v>
          </cell>
        </row>
        <row r="44">
          <cell r="C44" t="str">
            <v>보험료</v>
          </cell>
        </row>
        <row r="45">
          <cell r="C45" t="str">
            <v>보험료</v>
          </cell>
        </row>
        <row r="46">
          <cell r="C46" t="str">
            <v>접대비</v>
          </cell>
        </row>
        <row r="47">
          <cell r="C47" t="str">
            <v>접대비</v>
          </cell>
        </row>
        <row r="48">
          <cell r="C48" t="str">
            <v>접대비</v>
          </cell>
        </row>
        <row r="49">
          <cell r="C49" t="str">
            <v>광고선전비</v>
          </cell>
        </row>
        <row r="50">
          <cell r="C50" t="str">
            <v>광고선전비</v>
          </cell>
        </row>
        <row r="51">
          <cell r="C51" t="str">
            <v>광고선전비</v>
          </cell>
        </row>
        <row r="52">
          <cell r="C52" t="str">
            <v>지급수수료</v>
          </cell>
        </row>
        <row r="53">
          <cell r="C53" t="str">
            <v>지급수수료</v>
          </cell>
        </row>
        <row r="54">
          <cell r="C54" t="str">
            <v>지급수수료</v>
          </cell>
        </row>
        <row r="55">
          <cell r="C55" t="str">
            <v>지급수수료</v>
          </cell>
        </row>
        <row r="56">
          <cell r="C56" t="str">
            <v>지급수수료</v>
          </cell>
        </row>
        <row r="57">
          <cell r="C57" t="str">
            <v>운반비</v>
          </cell>
        </row>
        <row r="58">
          <cell r="C58" t="str">
            <v>교육훈련비</v>
          </cell>
        </row>
        <row r="59">
          <cell r="C59" t="str">
            <v>교육훈련비</v>
          </cell>
        </row>
        <row r="60">
          <cell r="C60" t="str">
            <v>소모품비</v>
          </cell>
        </row>
        <row r="61">
          <cell r="C61" t="str">
            <v>소모품비</v>
          </cell>
        </row>
        <row r="62">
          <cell r="C62" t="str">
            <v>소모품비</v>
          </cell>
        </row>
        <row r="63">
          <cell r="C63" t="str">
            <v>소모품비</v>
          </cell>
        </row>
        <row r="64">
          <cell r="C64" t="str">
            <v>도서인쇄비</v>
          </cell>
        </row>
        <row r="65">
          <cell r="C65" t="str">
            <v>도서인쇄비</v>
          </cell>
        </row>
        <row r="66">
          <cell r="C66" t="str">
            <v>도서인쇄비</v>
          </cell>
        </row>
        <row r="67">
          <cell r="C67" t="str">
            <v>도서인쇄비</v>
          </cell>
        </row>
        <row r="68">
          <cell r="C68" t="str">
            <v>잡비</v>
          </cell>
        </row>
      </sheetData>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 val="XREF"/>
    </sheetNames>
    <sheetDataSet>
      <sheetData sheetId="0"/>
      <sheetData sheetId="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s>
    <sheetDataSet>
      <sheetData sheetId="0"/>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s>
    <sheetDataSet>
      <sheetData sheetId="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접대비한도계산-2002.08"/>
      <sheetName val="접대비한도계산"/>
      <sheetName val="building"/>
      <sheetName val="대차합동"/>
    </sheetNames>
    <sheetDataSet>
      <sheetData sheetId="0"/>
      <sheetData sheetId="1"/>
      <sheetData sheetId="2" refreshError="1"/>
      <sheetData sheetId="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사조정)총괄"/>
      <sheetName val="실사후분석(내역서단가기준)"/>
      <sheetName val="_실사조정_총괄"/>
      <sheetName val="경영현황"/>
      <sheetName val="지성학원"/>
      <sheetName val="ILBAN"/>
      <sheetName val="시산표"/>
      <sheetName val="설치공사비"/>
      <sheetName val="보조부문비배부"/>
      <sheetName val="1.취수장"/>
      <sheetName val="금융"/>
      <sheetName val="은행"/>
      <sheetName val="리스"/>
      <sheetName val="보험"/>
      <sheetName val="프로젝트 LIST"/>
      <sheetName val="WELDING"/>
      <sheetName val="자바라1"/>
      <sheetName val="RE9604"/>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s>
    <sheetDataSet>
      <sheetData sheetId="0"/>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커버"/>
      <sheetName val="교육예산"/>
      <sheetName val="양식#1"/>
      <sheetName val="첨부1"/>
      <sheetName val="첨부2"/>
    </sheetNames>
    <sheetDataSet>
      <sheetData sheetId="0" refreshError="1"/>
      <sheetData sheetId="1" refreshError="1"/>
      <sheetData sheetId="2" refreshError="1"/>
      <sheetData sheetId="3" refreshError="1">
        <row r="1">
          <cell r="B1" t="str">
            <v>첨부1. 년도별 교육훈련비 추이</v>
          </cell>
          <cell r="E1" t="str">
            <v>단위:백만원</v>
          </cell>
        </row>
        <row r="2">
          <cell r="B2" t="str">
            <v>구분</v>
          </cell>
          <cell r="C2" t="str">
            <v>매출액</v>
          </cell>
          <cell r="D2" t="str">
            <v>교육비</v>
          </cell>
          <cell r="E2" t="str">
            <v>(매출대비)</v>
          </cell>
        </row>
        <row r="3">
          <cell r="B3" t="str">
            <v>96년실적</v>
          </cell>
          <cell r="C3">
            <v>4791630</v>
          </cell>
          <cell r="D3">
            <v>14677</v>
          </cell>
          <cell r="E3">
            <v>3.0630495259441983E-3</v>
          </cell>
        </row>
        <row r="4">
          <cell r="B4" t="str">
            <v>97년실적</v>
          </cell>
          <cell r="C4">
            <v>4934541</v>
          </cell>
          <cell r="D4">
            <v>14427</v>
          </cell>
          <cell r="E4">
            <v>2.9236761838639094E-3</v>
          </cell>
        </row>
        <row r="5">
          <cell r="B5" t="str">
            <v>98년실적</v>
          </cell>
          <cell r="C5">
            <v>5782448</v>
          </cell>
          <cell r="D5">
            <v>8655</v>
          </cell>
          <cell r="E5">
            <v>1.4967709177843018E-3</v>
          </cell>
        </row>
        <row r="6">
          <cell r="B6" t="str">
            <v>99년(上) 실적</v>
          </cell>
          <cell r="C6">
            <v>2919294</v>
          </cell>
          <cell r="D6">
            <v>3785</v>
          </cell>
          <cell r="E6">
            <v>1.2965463567561199E-3</v>
          </cell>
        </row>
        <row r="7">
          <cell r="B7" t="str">
            <v xml:space="preserve">        ( 99년 계획</v>
          </cell>
          <cell r="C7">
            <v>5965630</v>
          </cell>
          <cell r="D7">
            <v>12238</v>
          </cell>
          <cell r="E7" t="str">
            <v xml:space="preserve">          0.21%)</v>
          </cell>
        </row>
        <row r="8">
          <cell r="B8" t="str">
            <v>2000년 계획</v>
          </cell>
          <cell r="C8">
            <v>6200000</v>
          </cell>
          <cell r="D8">
            <v>15500</v>
          </cell>
          <cell r="E8">
            <v>2.5000000000000001E-3</v>
          </cell>
        </row>
      </sheetData>
      <sheetData sheetId="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월별입출금액"/>
      <sheetName val="통장출금액"/>
      <sheetName val="Sheet1"/>
      <sheetName val="대여금회수"/>
      <sheetName val="수금황"/>
      <sheetName val="사업개요"/>
      <sheetName val="당조 손익"/>
      <sheetName val="실제손익"/>
      <sheetName val="CF"/>
    </sheetNames>
    <sheetDataSet>
      <sheetData sheetId="0"/>
      <sheetData sheetId="1" refreshError="1">
        <row r="192">
          <cell r="A192" t="str">
            <v>'95.10.06</v>
          </cell>
          <cell r="B192">
            <v>5000000</v>
          </cell>
          <cell r="E192">
            <v>5000000</v>
          </cell>
          <cell r="G192" t="str">
            <v>#기간('95.10.4 - '95.11.10)</v>
          </cell>
          <cell r="K192" t="str">
            <v>이경희</v>
          </cell>
        </row>
        <row r="193">
          <cell r="A193" t="str">
            <v>'95.10.04</v>
          </cell>
          <cell r="B193">
            <v>110000000</v>
          </cell>
          <cell r="C193">
            <v>100000000</v>
          </cell>
          <cell r="E193">
            <v>10000000</v>
          </cell>
          <cell r="G193" t="str">
            <v>- 5.7억 상환, 두산대여0.3억,원천세1.5억납부</v>
          </cell>
          <cell r="K193" t="str">
            <v>대여금상환,임종헌,황호연</v>
          </cell>
        </row>
        <row r="194">
          <cell r="A194" t="str">
            <v>'95.09.30</v>
          </cell>
          <cell r="B194">
            <v>303000000</v>
          </cell>
          <cell r="C194">
            <v>200000000</v>
          </cell>
          <cell r="E194">
            <v>103000000</v>
          </cell>
          <cell r="K194" t="str">
            <v>대여금상환,김학경,안대환,김이철28,000천원,권윤오10,000천원</v>
          </cell>
        </row>
        <row r="195">
          <cell r="A195" t="str">
            <v>'95.09.29</v>
          </cell>
          <cell r="B195">
            <v>7000000</v>
          </cell>
          <cell r="E195">
            <v>7000000</v>
          </cell>
          <cell r="K195" t="str">
            <v>안귀만</v>
          </cell>
        </row>
        <row r="196">
          <cell r="A196" t="str">
            <v>'95.09.25</v>
          </cell>
          <cell r="B196">
            <v>45000000</v>
          </cell>
          <cell r="E196">
            <v>45000000</v>
          </cell>
          <cell r="K196" t="str">
            <v>안해준</v>
          </cell>
        </row>
        <row r="197">
          <cell r="A197" t="str">
            <v>'95.09.22</v>
          </cell>
          <cell r="B197">
            <v>62000000</v>
          </cell>
          <cell r="E197">
            <v>62000000</v>
          </cell>
          <cell r="J197" t="str">
            <v xml:space="preserve"> </v>
          </cell>
          <cell r="K197" t="str">
            <v>제일은행통장 입금,김이철(농협)</v>
          </cell>
        </row>
        <row r="198">
          <cell r="A198" t="str">
            <v>'95.09.14</v>
          </cell>
          <cell r="B198">
            <v>5000000</v>
          </cell>
          <cell r="E198">
            <v>5000000</v>
          </cell>
          <cell r="K198" t="str">
            <v>임광수</v>
          </cell>
        </row>
        <row r="199">
          <cell r="A199" t="str">
            <v>'95.09.11</v>
          </cell>
          <cell r="B199">
            <v>5000000</v>
          </cell>
          <cell r="E199">
            <v>5000000</v>
          </cell>
          <cell r="K199" t="str">
            <v>차국현</v>
          </cell>
        </row>
        <row r="200">
          <cell r="A200" t="str">
            <v>'95.09.04</v>
          </cell>
          <cell r="B200">
            <v>5000000</v>
          </cell>
          <cell r="E200">
            <v>5000000</v>
          </cell>
          <cell r="K200" t="str">
            <v>김세은</v>
          </cell>
        </row>
        <row r="201">
          <cell r="A201" t="str">
            <v>'95.09.01</v>
          </cell>
          <cell r="B201">
            <v>60000000</v>
          </cell>
          <cell r="E201">
            <v>60000000</v>
          </cell>
          <cell r="K201" t="str">
            <v>황광보</v>
          </cell>
        </row>
        <row r="202">
          <cell r="A202" t="str">
            <v>'95.08.26</v>
          </cell>
          <cell r="B202">
            <v>5000000</v>
          </cell>
          <cell r="E202">
            <v>5000000</v>
          </cell>
          <cell r="K202" t="str">
            <v>이성근</v>
          </cell>
        </row>
        <row r="203">
          <cell r="A203" t="str">
            <v>'95.08.24</v>
          </cell>
          <cell r="B203">
            <v>20000000</v>
          </cell>
          <cell r="E203">
            <v>20000000</v>
          </cell>
          <cell r="K203" t="str">
            <v>김이철</v>
          </cell>
        </row>
        <row r="204">
          <cell r="A204" t="str">
            <v>'95.08.18</v>
          </cell>
          <cell r="B204">
            <v>60000000</v>
          </cell>
          <cell r="E204">
            <v>60000000</v>
          </cell>
          <cell r="K204" t="str">
            <v>김용윤(농협)</v>
          </cell>
        </row>
        <row r="205">
          <cell r="A205" t="str">
            <v>'95.08.10</v>
          </cell>
          <cell r="B205">
            <v>10000000</v>
          </cell>
          <cell r="E205">
            <v>10000000</v>
          </cell>
          <cell r="K205" t="str">
            <v>유동호</v>
          </cell>
        </row>
        <row r="206">
          <cell r="A206" t="str">
            <v>'95.08.01</v>
          </cell>
          <cell r="B206">
            <v>45000000</v>
          </cell>
          <cell r="E206">
            <v>45000000</v>
          </cell>
          <cell r="K206" t="str">
            <v>조명선(제일25,신한20)</v>
          </cell>
        </row>
        <row r="207">
          <cell r="A207" t="str">
            <v>'95.07.28</v>
          </cell>
          <cell r="B207">
            <v>50000000</v>
          </cell>
          <cell r="E207">
            <v>50000000</v>
          </cell>
          <cell r="K207" t="str">
            <v>이상화10,000천원,강만재40,000천원</v>
          </cell>
        </row>
        <row r="208">
          <cell r="A208" t="str">
            <v>'95.07.14</v>
          </cell>
          <cell r="B208">
            <v>30000000</v>
          </cell>
          <cell r="E208">
            <v>30000000</v>
          </cell>
          <cell r="K208" t="str">
            <v>박대용</v>
          </cell>
        </row>
        <row r="209">
          <cell r="A209" t="str">
            <v>'95.07.03</v>
          </cell>
          <cell r="B209">
            <v>60000000</v>
          </cell>
          <cell r="E209">
            <v>60000000</v>
          </cell>
          <cell r="K209" t="str">
            <v>박호용</v>
          </cell>
        </row>
        <row r="210">
          <cell r="A210" t="str">
            <v>'95.06.30</v>
          </cell>
          <cell r="B210">
            <v>40000000</v>
          </cell>
          <cell r="E210">
            <v>40000000</v>
          </cell>
          <cell r="K210" t="str">
            <v>하근철</v>
          </cell>
        </row>
        <row r="211">
          <cell r="A211" t="str">
            <v>'95.06.23</v>
          </cell>
          <cell r="B211">
            <v>10000000</v>
          </cell>
          <cell r="E211">
            <v>10000000</v>
          </cell>
          <cell r="K211" t="str">
            <v>김창민</v>
          </cell>
        </row>
        <row r="212">
          <cell r="A212" t="str">
            <v>'95.06.22</v>
          </cell>
          <cell r="B212">
            <v>10000000</v>
          </cell>
          <cell r="E212">
            <v>10000000</v>
          </cell>
          <cell r="K212" t="str">
            <v>김병석</v>
          </cell>
        </row>
        <row r="213">
          <cell r="A213" t="str">
            <v>'95.06.16</v>
          </cell>
          <cell r="B213">
            <v>13485000</v>
          </cell>
          <cell r="F213">
            <v>46985</v>
          </cell>
          <cell r="H213">
            <v>13485000</v>
          </cell>
          <cell r="K213" t="str">
            <v>컴아트참고(카다로그제작)</v>
          </cell>
        </row>
        <row r="214">
          <cell r="A214" t="str">
            <v>'95.06.08</v>
          </cell>
          <cell r="B214">
            <v>100000000</v>
          </cell>
          <cell r="C214">
            <v>100000000</v>
          </cell>
          <cell r="K214" t="str">
            <v>대여금상환</v>
          </cell>
        </row>
        <row r="215">
          <cell r="A215" t="str">
            <v>'95.06.07</v>
          </cell>
          <cell r="B215">
            <v>33500000</v>
          </cell>
          <cell r="G215">
            <v>33500000</v>
          </cell>
          <cell r="K215" t="str">
            <v>진입도로(곽신지,세입자)</v>
          </cell>
        </row>
        <row r="216">
          <cell r="A216" t="str">
            <v>'95.05.17</v>
          </cell>
          <cell r="B216">
            <v>45000000</v>
          </cell>
          <cell r="E216">
            <v>45000000</v>
          </cell>
          <cell r="F216">
            <v>26500</v>
          </cell>
          <cell r="K216" t="str">
            <v>유태일</v>
          </cell>
        </row>
        <row r="217">
          <cell r="A217" t="str">
            <v>'95.05.13</v>
          </cell>
          <cell r="B217">
            <v>21500000</v>
          </cell>
          <cell r="G217">
            <v>21500000</v>
          </cell>
          <cell r="K217" t="str">
            <v>진입도로(곽신지)</v>
          </cell>
        </row>
        <row r="218">
          <cell r="A218" t="str">
            <v>'95.05.10</v>
          </cell>
          <cell r="B218">
            <v>65000000</v>
          </cell>
          <cell r="E218">
            <v>60000000</v>
          </cell>
          <cell r="G218">
            <v>5000000</v>
          </cell>
          <cell r="K218" t="str">
            <v>진입도로(곽신지),나재환환불</v>
          </cell>
        </row>
        <row r="219">
          <cell r="A219" t="str">
            <v>'95.05.03</v>
          </cell>
          <cell r="B219">
            <v>30000000</v>
          </cell>
          <cell r="E219">
            <v>30000000</v>
          </cell>
          <cell r="K219" t="str">
            <v>김영환</v>
          </cell>
        </row>
        <row r="220">
          <cell r="A220" t="str">
            <v>'95.04.27</v>
          </cell>
          <cell r="B220">
            <v>10000000</v>
          </cell>
          <cell r="F220">
            <v>130885.731</v>
          </cell>
          <cell r="G220">
            <v>10000000</v>
          </cell>
          <cell r="K220" t="str">
            <v>진입도로(김용매)</v>
          </cell>
        </row>
        <row r="221">
          <cell r="A221" t="str">
            <v>'95.04.24</v>
          </cell>
          <cell r="B221">
            <v>60000000</v>
          </cell>
          <cell r="E221">
            <v>60000000</v>
          </cell>
          <cell r="K221" t="str">
            <v>김재혁45,000천원,임형순15,000천원</v>
          </cell>
        </row>
        <row r="222">
          <cell r="A222" t="str">
            <v>'95.04.21</v>
          </cell>
          <cell r="B222">
            <v>50000000</v>
          </cell>
          <cell r="C222">
            <v>50000000</v>
          </cell>
          <cell r="K222" t="str">
            <v>대여금상환</v>
          </cell>
        </row>
        <row r="223">
          <cell r="A223" t="str">
            <v>'95.04.20</v>
          </cell>
          <cell r="B223">
            <v>10000000</v>
          </cell>
          <cell r="E223">
            <v>10000000</v>
          </cell>
          <cell r="K223" t="str">
            <v>박재우</v>
          </cell>
        </row>
        <row r="224">
          <cell r="A224" t="str">
            <v>'95.04.17</v>
          </cell>
          <cell r="B224">
            <v>45000000</v>
          </cell>
          <cell r="E224">
            <v>45000000</v>
          </cell>
          <cell r="K224" t="str">
            <v>신민평</v>
          </cell>
        </row>
        <row r="225">
          <cell r="A225" t="str">
            <v>'95.04.13</v>
          </cell>
          <cell r="B225">
            <v>400000000</v>
          </cell>
          <cell r="C225">
            <v>400000000</v>
          </cell>
          <cell r="K225" t="str">
            <v>대여금상환</v>
          </cell>
        </row>
        <row r="226">
          <cell r="A226" t="str">
            <v>'95.04.07</v>
          </cell>
          <cell r="B226">
            <v>315825</v>
          </cell>
          <cell r="E226">
            <v>315825</v>
          </cell>
          <cell r="K226" t="str">
            <v>안영익      (아래내용)국맹수40,000김재철32,500천원(제일)</v>
          </cell>
        </row>
        <row r="227">
          <cell r="A227" t="str">
            <v>'95.04.06</v>
          </cell>
          <cell r="B227">
            <v>319000000</v>
          </cell>
          <cell r="C227">
            <v>100000000</v>
          </cell>
          <cell r="E227">
            <v>219000000</v>
          </cell>
          <cell r="K227" t="str">
            <v>196,500천중50,000천상환.나머지대출초과자상환/대여상환50,000천</v>
          </cell>
        </row>
        <row r="228">
          <cell r="A228" t="str">
            <v>'95.04.04</v>
          </cell>
          <cell r="B228">
            <v>1670885731</v>
          </cell>
          <cell r="C228">
            <v>1550000000</v>
          </cell>
          <cell r="D228" t="str">
            <v>신한</v>
          </cell>
          <cell r="G228">
            <v>120885731</v>
          </cell>
          <cell r="H228" t="str">
            <v>사학</v>
          </cell>
          <cell r="K228" t="str">
            <v>1,650,000천원중 100,000천사학토지대금/토지대금이자(사학)20,885,731원</v>
          </cell>
        </row>
        <row r="229">
          <cell r="A229" t="str">
            <v>'95.03.29</v>
          </cell>
          <cell r="B229">
            <v>40000000</v>
          </cell>
          <cell r="E229">
            <v>40000000</v>
          </cell>
          <cell r="K229" t="str">
            <v>이홍구</v>
          </cell>
        </row>
        <row r="230">
          <cell r="A230" t="str">
            <v>'95.03.15</v>
          </cell>
          <cell r="B230">
            <v>72500000</v>
          </cell>
          <cell r="E230">
            <v>72500000</v>
          </cell>
          <cell r="K230" t="str">
            <v>조병선40,000천원,박항석32,500천원</v>
          </cell>
        </row>
        <row r="231">
          <cell r="A231" t="str">
            <v>'95.03.14</v>
          </cell>
          <cell r="B231">
            <v>45000000</v>
          </cell>
          <cell r="E231">
            <v>45000000</v>
          </cell>
          <cell r="K231" t="str">
            <v>송종일</v>
          </cell>
        </row>
        <row r="232">
          <cell r="A232" t="str">
            <v>'95.03.03</v>
          </cell>
          <cell r="B232">
            <v>45000000</v>
          </cell>
          <cell r="E232">
            <v>45000000</v>
          </cell>
          <cell r="K232" t="str">
            <v>김종식</v>
          </cell>
        </row>
        <row r="233">
          <cell r="A233" t="str">
            <v>'95.02.27</v>
          </cell>
          <cell r="B233">
            <v>200000000</v>
          </cell>
          <cell r="C233">
            <v>200000000</v>
          </cell>
          <cell r="K233" t="str">
            <v>대여금상환</v>
          </cell>
        </row>
        <row r="234">
          <cell r="A234" t="str">
            <v>'95.02.25</v>
          </cell>
          <cell r="B234">
            <v>44800000</v>
          </cell>
          <cell r="F234">
            <v>44800</v>
          </cell>
          <cell r="G234">
            <v>44800000</v>
          </cell>
          <cell r="K234" t="str">
            <v>진입도로(107-3)</v>
          </cell>
        </row>
        <row r="235">
          <cell r="A235" t="str">
            <v>'95.02.24</v>
          </cell>
          <cell r="B235">
            <v>45000000</v>
          </cell>
          <cell r="E235">
            <v>45000000</v>
          </cell>
          <cell r="K235" t="str">
            <v>장광호</v>
          </cell>
        </row>
        <row r="236">
          <cell r="A236" t="str">
            <v>'95.02.21</v>
          </cell>
          <cell r="B236">
            <v>3700000</v>
          </cell>
          <cell r="E236">
            <v>3700000</v>
          </cell>
          <cell r="K236" t="str">
            <v>심병채</v>
          </cell>
        </row>
        <row r="237">
          <cell r="A237" t="str">
            <v>'95.02.16</v>
          </cell>
          <cell r="B237">
            <v>2800000</v>
          </cell>
          <cell r="E237">
            <v>2800000</v>
          </cell>
          <cell r="K237" t="str">
            <v>곽명영</v>
          </cell>
        </row>
        <row r="238">
          <cell r="A238" t="str">
            <v>'95.02.10</v>
          </cell>
          <cell r="B238">
            <v>30000000</v>
          </cell>
          <cell r="E238">
            <v>30000000</v>
          </cell>
          <cell r="K238" t="str">
            <v>정근호</v>
          </cell>
        </row>
        <row r="239">
          <cell r="A239" t="str">
            <v>'95.01.27</v>
          </cell>
          <cell r="B239">
            <v>26806650</v>
          </cell>
          <cell r="F239">
            <v>50693.85</v>
          </cell>
          <cell r="G239">
            <v>26806650</v>
          </cell>
          <cell r="K239" t="str">
            <v>토지대잔금(사학),윤승로1.3</v>
          </cell>
        </row>
        <row r="240">
          <cell r="A240" t="str">
            <v>'95.01.25</v>
          </cell>
          <cell r="B240">
            <v>48887200</v>
          </cell>
          <cell r="E240">
            <v>45000000</v>
          </cell>
          <cell r="G240">
            <v>3887200</v>
          </cell>
          <cell r="K240" t="str">
            <v>이훈환불, 진입로소유권이전비용</v>
          </cell>
        </row>
        <row r="241">
          <cell r="A241" t="str">
            <v>'95.01.18</v>
          </cell>
          <cell r="B241">
            <v>3700000</v>
          </cell>
          <cell r="E241">
            <v>3700000</v>
          </cell>
          <cell r="K241" t="str">
            <v>고광찬</v>
          </cell>
        </row>
        <row r="242">
          <cell r="A242" t="str">
            <v>'95.01.14</v>
          </cell>
          <cell r="B242">
            <v>20000000</v>
          </cell>
          <cell r="G242">
            <v>20000000</v>
          </cell>
          <cell r="K242" t="str">
            <v>진입로비용(김용매)</v>
          </cell>
        </row>
        <row r="243">
          <cell r="A243" t="str">
            <v>'95.01.12</v>
          </cell>
          <cell r="B243">
            <v>10000000</v>
          </cell>
          <cell r="E243">
            <v>10000000</v>
          </cell>
          <cell r="K243" t="str">
            <v>유호윤</v>
          </cell>
        </row>
        <row r="244">
          <cell r="A244" t="str">
            <v>'95.01.11</v>
          </cell>
          <cell r="B244">
            <v>340000000</v>
          </cell>
          <cell r="C244">
            <v>300000000</v>
          </cell>
          <cell r="E244">
            <v>40000000</v>
          </cell>
          <cell r="K244" t="str">
            <v>대여금상환,김찬옥</v>
          </cell>
        </row>
        <row r="245">
          <cell r="A245" t="str">
            <v>'95.01.10</v>
          </cell>
          <cell r="B245">
            <v>6500000</v>
          </cell>
          <cell r="E245">
            <v>6500000</v>
          </cell>
          <cell r="K245" t="str">
            <v>박형석, 송대용</v>
          </cell>
        </row>
        <row r="246">
          <cell r="A246" t="str">
            <v>'94.12.30</v>
          </cell>
          <cell r="B246">
            <v>122859806</v>
          </cell>
          <cell r="E246">
            <v>6200000</v>
          </cell>
          <cell r="F246">
            <v>2152859.8059999999</v>
          </cell>
          <cell r="G246">
            <v>116659806</v>
          </cell>
          <cell r="K246" t="str">
            <v>박형석,윤덕호,토지대잔금(사학)</v>
          </cell>
        </row>
        <row r="247">
          <cell r="A247" t="str">
            <v>'94.12.28</v>
          </cell>
          <cell r="B247">
            <v>27200000</v>
          </cell>
          <cell r="G247">
            <v>27200000</v>
          </cell>
          <cell r="K247" t="str">
            <v>토지대잔금(불하)</v>
          </cell>
        </row>
        <row r="248">
          <cell r="A248" t="str">
            <v>'94.12.27</v>
          </cell>
          <cell r="B248">
            <v>210000000</v>
          </cell>
          <cell r="G248">
            <v>210000000</v>
          </cell>
          <cell r="K248" t="str">
            <v>진입로 부지</v>
          </cell>
        </row>
        <row r="249">
          <cell r="A249" t="str">
            <v>'94.12.26</v>
          </cell>
          <cell r="B249">
            <v>619000000</v>
          </cell>
          <cell r="E249">
            <v>20000000</v>
          </cell>
          <cell r="G249">
            <v>599000000</v>
          </cell>
          <cell r="K249" t="str">
            <v>진입로 부지, 공삼용환불</v>
          </cell>
        </row>
        <row r="250">
          <cell r="A250" t="str">
            <v>'94.12.20</v>
          </cell>
          <cell r="B250">
            <v>40000000</v>
          </cell>
          <cell r="E250">
            <v>40000000</v>
          </cell>
          <cell r="K250" t="str">
            <v>이기훈</v>
          </cell>
        </row>
        <row r="251">
          <cell r="A251" t="str">
            <v>'94.12.19</v>
          </cell>
          <cell r="B251">
            <v>62500000</v>
          </cell>
          <cell r="E251">
            <v>62500000</v>
          </cell>
          <cell r="K251" t="str">
            <v>최기자, 김원동</v>
          </cell>
        </row>
        <row r="252">
          <cell r="A252" t="str">
            <v>'94.12.15</v>
          </cell>
          <cell r="B252">
            <v>1200000000</v>
          </cell>
          <cell r="G252">
            <v>1200000000</v>
          </cell>
          <cell r="K252" t="str">
            <v>토지대(사학)</v>
          </cell>
        </row>
        <row r="253">
          <cell r="A253" t="str">
            <v>'94.12.08</v>
          </cell>
          <cell r="B253">
            <v>25000000</v>
          </cell>
          <cell r="E253">
            <v>25000000</v>
          </cell>
          <cell r="K253" t="str">
            <v>최정식</v>
          </cell>
        </row>
        <row r="254">
          <cell r="A254" t="str">
            <v>'94.11.30</v>
          </cell>
          <cell r="B254">
            <v>320000000</v>
          </cell>
          <cell r="E254">
            <v>56000000</v>
          </cell>
          <cell r="F254">
            <v>579000</v>
          </cell>
          <cell r="G254">
            <v>264000000</v>
          </cell>
          <cell r="K254" t="str">
            <v>진입도로,이승수,윤광준,김효순,변한숙</v>
          </cell>
        </row>
        <row r="255">
          <cell r="A255" t="str">
            <v>'94.11.29</v>
          </cell>
          <cell r="B255">
            <v>70000000</v>
          </cell>
          <cell r="C255">
            <v>40000000</v>
          </cell>
          <cell r="E255">
            <v>30000000</v>
          </cell>
          <cell r="K255" t="str">
            <v>본사40,000천원, 이재천30,000천원</v>
          </cell>
        </row>
        <row r="256">
          <cell r="A256" t="str">
            <v>'94.11.25</v>
          </cell>
          <cell r="B256">
            <v>315000000</v>
          </cell>
          <cell r="G256">
            <v>315000000</v>
          </cell>
          <cell r="K256" t="str">
            <v>진입도로부지</v>
          </cell>
        </row>
        <row r="257">
          <cell r="A257" t="str">
            <v>'94.11.21</v>
          </cell>
          <cell r="B257">
            <v>47500000</v>
          </cell>
          <cell r="E257">
            <v>47500000</v>
          </cell>
          <cell r="K257" t="str">
            <v>이각순30,000천원,강정애17,500천원</v>
          </cell>
        </row>
        <row r="258">
          <cell r="A258" t="str">
            <v>'94.11.09</v>
          </cell>
          <cell r="B258">
            <v>10000000</v>
          </cell>
          <cell r="E258">
            <v>10000000</v>
          </cell>
          <cell r="K258" t="str">
            <v>이학률</v>
          </cell>
        </row>
        <row r="259">
          <cell r="A259" t="str">
            <v>'94.11.04</v>
          </cell>
          <cell r="B259">
            <v>2500000</v>
          </cell>
          <cell r="E259">
            <v>2500000</v>
          </cell>
          <cell r="K259" t="str">
            <v>우찬제</v>
          </cell>
        </row>
        <row r="260">
          <cell r="A260" t="str">
            <v>'94.10.25</v>
          </cell>
          <cell r="B260">
            <v>120000000</v>
          </cell>
          <cell r="E260">
            <v>30000000</v>
          </cell>
          <cell r="F260">
            <v>90000</v>
          </cell>
          <cell r="G260">
            <v>90000000</v>
          </cell>
          <cell r="K260" t="str">
            <v>우찬제30,000천원,진입로부지</v>
          </cell>
        </row>
        <row r="261">
          <cell r="A261" t="str">
            <v>'94.10.07</v>
          </cell>
          <cell r="B261">
            <v>30000000</v>
          </cell>
          <cell r="E261">
            <v>30000000</v>
          </cell>
          <cell r="K261" t="str">
            <v>최무용</v>
          </cell>
        </row>
        <row r="262">
          <cell r="A262" t="str">
            <v>'94.09.26</v>
          </cell>
          <cell r="B262">
            <v>30000000</v>
          </cell>
          <cell r="E262">
            <v>30000000</v>
          </cell>
          <cell r="K262" t="str">
            <v>최승훈</v>
          </cell>
        </row>
        <row r="263">
          <cell r="A263" t="str">
            <v>'94.09.10</v>
          </cell>
          <cell r="B263">
            <v>40000000</v>
          </cell>
          <cell r="E263">
            <v>40000000</v>
          </cell>
          <cell r="K263" t="str">
            <v>정귀연</v>
          </cell>
        </row>
        <row r="264">
          <cell r="A264" t="str">
            <v>'94.09.08</v>
          </cell>
          <cell r="B264">
            <v>20000000</v>
          </cell>
          <cell r="E264">
            <v>20000000</v>
          </cell>
          <cell r="K264" t="str">
            <v>김창균</v>
          </cell>
        </row>
        <row r="265">
          <cell r="A265" t="str">
            <v>'94.09.07</v>
          </cell>
          <cell r="B265">
            <v>10000000</v>
          </cell>
          <cell r="E265">
            <v>10000000</v>
          </cell>
          <cell r="K265" t="str">
            <v>정명수</v>
          </cell>
        </row>
        <row r="266">
          <cell r="A266" t="str">
            <v>'94.09.06</v>
          </cell>
          <cell r="B266">
            <v>30000000</v>
          </cell>
          <cell r="E266">
            <v>30000000</v>
          </cell>
          <cell r="K266" t="str">
            <v>최병영</v>
          </cell>
        </row>
        <row r="267">
          <cell r="A267" t="str">
            <v>'94.08.25</v>
          </cell>
          <cell r="B267">
            <v>60000000</v>
          </cell>
          <cell r="F267">
            <v>60000</v>
          </cell>
          <cell r="G267">
            <v>60000000</v>
          </cell>
          <cell r="K267" t="str">
            <v>진입도로</v>
          </cell>
        </row>
        <row r="268">
          <cell r="A268" t="str">
            <v>'94.08.22</v>
          </cell>
          <cell r="B268">
            <v>65000000</v>
          </cell>
          <cell r="E268">
            <v>65000000</v>
          </cell>
          <cell r="K268" t="str">
            <v>오병진32,500천원,이수범32,500천원</v>
          </cell>
        </row>
        <row r="269">
          <cell r="A269" t="str">
            <v>'94.08.03</v>
          </cell>
          <cell r="B269">
            <v>330000000</v>
          </cell>
          <cell r="C269">
            <v>300000000</v>
          </cell>
          <cell r="E269">
            <v>30000000</v>
          </cell>
          <cell r="K269" t="str">
            <v>대여금상환,윤영복 환불</v>
          </cell>
        </row>
        <row r="270">
          <cell r="A270" t="str">
            <v>'94.08.02</v>
          </cell>
          <cell r="B270">
            <v>30000000</v>
          </cell>
          <cell r="E270">
            <v>30000000</v>
          </cell>
          <cell r="K270" t="str">
            <v>박우찬</v>
          </cell>
        </row>
        <row r="271">
          <cell r="A271" t="str">
            <v>'94.07.27</v>
          </cell>
          <cell r="B271">
            <v>3000000</v>
          </cell>
          <cell r="E271">
            <v>3000000</v>
          </cell>
          <cell r="K271" t="str">
            <v>구정회</v>
          </cell>
        </row>
        <row r="272">
          <cell r="A272" t="str">
            <v>'94.07.25</v>
          </cell>
          <cell r="B272">
            <v>10000000</v>
          </cell>
          <cell r="E272">
            <v>10000000</v>
          </cell>
          <cell r="K272" t="str">
            <v>안영태</v>
          </cell>
        </row>
        <row r="273">
          <cell r="A273" t="str">
            <v>'94.07.21</v>
          </cell>
          <cell r="B273">
            <v>12700000</v>
          </cell>
          <cell r="E273">
            <v>12700000</v>
          </cell>
          <cell r="K273" t="str">
            <v>김찬식</v>
          </cell>
        </row>
        <row r="274">
          <cell r="A274" t="str">
            <v>'94.07.11</v>
          </cell>
          <cell r="B274">
            <v>31688000</v>
          </cell>
          <cell r="F274">
            <v>31688</v>
          </cell>
          <cell r="J274">
            <v>31688000</v>
          </cell>
          <cell r="K274" t="str">
            <v>감정평가수수료</v>
          </cell>
        </row>
        <row r="275">
          <cell r="A275" t="str">
            <v>'94.07.04</v>
          </cell>
          <cell r="B275">
            <v>28000000</v>
          </cell>
          <cell r="C275" t="str">
            <v xml:space="preserve"> </v>
          </cell>
          <cell r="E275">
            <v>28000000</v>
          </cell>
          <cell r="K275" t="str">
            <v>황기서</v>
          </cell>
        </row>
        <row r="276">
          <cell r="A276" t="str">
            <v>'94.06.28</v>
          </cell>
          <cell r="B276">
            <v>20000000</v>
          </cell>
          <cell r="E276">
            <v>20000000</v>
          </cell>
          <cell r="K276" t="str">
            <v>김이철</v>
          </cell>
        </row>
        <row r="277">
          <cell r="A277" t="str">
            <v>'94.06.23</v>
          </cell>
          <cell r="B277">
            <v>120000000</v>
          </cell>
          <cell r="C277">
            <v>100000000</v>
          </cell>
          <cell r="E277">
            <v>20000000</v>
          </cell>
          <cell r="K277" t="str">
            <v>대여금 상환,김이철</v>
          </cell>
        </row>
        <row r="278">
          <cell r="A278" t="str">
            <v>'94.06.20</v>
          </cell>
          <cell r="B278">
            <v>32500000</v>
          </cell>
          <cell r="E278">
            <v>32500000</v>
          </cell>
          <cell r="K278" t="str">
            <v>반재봉15,000천원,최영길17,500천원</v>
          </cell>
        </row>
        <row r="279">
          <cell r="A279" t="str">
            <v>'94.06.13</v>
          </cell>
          <cell r="B279">
            <v>17500000</v>
          </cell>
          <cell r="E279">
            <v>17500000</v>
          </cell>
          <cell r="K279" t="str">
            <v>서계문</v>
          </cell>
        </row>
        <row r="280">
          <cell r="A280" t="str">
            <v>'94.06.08</v>
          </cell>
          <cell r="B280">
            <v>20000000</v>
          </cell>
          <cell r="E280">
            <v>20000000</v>
          </cell>
          <cell r="K280" t="str">
            <v>최명식</v>
          </cell>
        </row>
        <row r="281">
          <cell r="A281" t="str">
            <v>'94.06.03</v>
          </cell>
          <cell r="B281">
            <v>100000000</v>
          </cell>
          <cell r="C281">
            <v>100000000</v>
          </cell>
          <cell r="K281" t="str">
            <v>대여금상환</v>
          </cell>
        </row>
        <row r="282">
          <cell r="A282" t="str">
            <v>'94.06.02</v>
          </cell>
          <cell r="B282">
            <v>0</v>
          </cell>
          <cell r="E282" t="str">
            <v xml:space="preserve"> </v>
          </cell>
          <cell r="K282" t="str">
            <v xml:space="preserve"> </v>
          </cell>
        </row>
        <row r="283">
          <cell r="A283" t="str">
            <v>'94.05.30</v>
          </cell>
          <cell r="B283">
            <v>30000000</v>
          </cell>
          <cell r="E283">
            <v>30000000</v>
          </cell>
          <cell r="K283" t="str">
            <v>나재환</v>
          </cell>
        </row>
        <row r="284">
          <cell r="A284" t="str">
            <v>'94.05.26</v>
          </cell>
          <cell r="B284">
            <v>2500000</v>
          </cell>
          <cell r="E284">
            <v>2500000</v>
          </cell>
          <cell r="K284" t="str">
            <v>이영주</v>
          </cell>
        </row>
        <row r="285">
          <cell r="A285" t="str">
            <v>'94.05.17</v>
          </cell>
          <cell r="B285">
            <v>30000000</v>
          </cell>
          <cell r="E285">
            <v>30000000</v>
          </cell>
          <cell r="K285" t="str">
            <v>양순봉</v>
          </cell>
        </row>
        <row r="286">
          <cell r="A286" t="str">
            <v>'94.05.11</v>
          </cell>
          <cell r="B286">
            <v>20000000</v>
          </cell>
          <cell r="E286">
            <v>20000000</v>
          </cell>
          <cell r="K286" t="str">
            <v>유향옥(농협)</v>
          </cell>
        </row>
        <row r="287">
          <cell r="A287" t="str">
            <v>'94.05.10</v>
          </cell>
          <cell r="B287">
            <v>100000000</v>
          </cell>
          <cell r="C287">
            <v>100000000</v>
          </cell>
          <cell r="K287" t="str">
            <v>대여금상환</v>
          </cell>
        </row>
        <row r="288">
          <cell r="A288" t="str">
            <v>'94.05.09</v>
          </cell>
          <cell r="B288">
            <v>2500000</v>
          </cell>
          <cell r="E288">
            <v>2500000</v>
          </cell>
          <cell r="K288" t="str">
            <v>차종우</v>
          </cell>
        </row>
        <row r="289">
          <cell r="A289" t="str">
            <v>'94.05.06</v>
          </cell>
          <cell r="B289">
            <v>100000000</v>
          </cell>
          <cell r="C289">
            <v>100000000</v>
          </cell>
          <cell r="K289" t="str">
            <v>대여금상환</v>
          </cell>
        </row>
        <row r="290">
          <cell r="A290" t="str">
            <v>'94.05.04</v>
          </cell>
          <cell r="B290">
            <v>15000000</v>
          </cell>
          <cell r="E290">
            <v>15000000</v>
          </cell>
          <cell r="K290" t="str">
            <v>송영준</v>
          </cell>
        </row>
        <row r="291">
          <cell r="A291" t="str">
            <v>'94.05.02</v>
          </cell>
          <cell r="B291">
            <v>147500000</v>
          </cell>
          <cell r="C291">
            <v>100000000</v>
          </cell>
          <cell r="E291">
            <v>47500000</v>
          </cell>
          <cell r="K291" t="str">
            <v>대여금상환,유용삼,유근숙,김종호,라금욱</v>
          </cell>
        </row>
        <row r="292">
          <cell r="A292" t="str">
            <v>'94.04.30</v>
          </cell>
          <cell r="B292">
            <v>100000000</v>
          </cell>
          <cell r="C292">
            <v>100000000</v>
          </cell>
          <cell r="K292" t="str">
            <v>대여금상환</v>
          </cell>
        </row>
        <row r="293">
          <cell r="A293" t="str">
            <v>'94.04.29</v>
          </cell>
          <cell r="B293">
            <v>152500000</v>
          </cell>
          <cell r="C293">
            <v>100000000</v>
          </cell>
          <cell r="E293">
            <v>52500000</v>
          </cell>
          <cell r="K293" t="str">
            <v>대여금상환,강성훈20,000.심영석32,500천원</v>
          </cell>
        </row>
        <row r="294">
          <cell r="A294" t="str">
            <v>'94.04.27</v>
          </cell>
          <cell r="B294">
            <v>300000000</v>
          </cell>
          <cell r="C294">
            <v>300000000</v>
          </cell>
          <cell r="K294" t="str">
            <v>대여금상환</v>
          </cell>
        </row>
        <row r="295">
          <cell r="A295" t="str">
            <v>'94.04.25</v>
          </cell>
          <cell r="B295">
            <v>102500000</v>
          </cell>
          <cell r="C295">
            <v>100000000</v>
          </cell>
          <cell r="E295">
            <v>2500000</v>
          </cell>
          <cell r="K295" t="str">
            <v>대여금상환, 곽성호</v>
          </cell>
        </row>
        <row r="296">
          <cell r="A296" t="str">
            <v>'94.04.21</v>
          </cell>
          <cell r="B296">
            <v>100000000</v>
          </cell>
          <cell r="C296">
            <v>100000000</v>
          </cell>
          <cell r="K296" t="str">
            <v>대여금상환</v>
          </cell>
        </row>
        <row r="297">
          <cell r="A297" t="str">
            <v>'94.04.20</v>
          </cell>
          <cell r="B297">
            <v>300000000</v>
          </cell>
          <cell r="C297">
            <v>300000000</v>
          </cell>
          <cell r="K297" t="str">
            <v>대여금상환</v>
          </cell>
        </row>
        <row r="298">
          <cell r="A298" t="str">
            <v>'94.04.18</v>
          </cell>
          <cell r="B298">
            <v>180500000</v>
          </cell>
          <cell r="C298">
            <v>100000000</v>
          </cell>
          <cell r="E298">
            <v>80500000</v>
          </cell>
          <cell r="K298" t="str">
            <v>대여금상환,어유선,김석수,김기훈,이동희</v>
          </cell>
        </row>
        <row r="299">
          <cell r="A299" t="str">
            <v>'94.04.11</v>
          </cell>
          <cell r="B299">
            <v>59510000</v>
          </cell>
          <cell r="E299">
            <v>59510000</v>
          </cell>
          <cell r="K299" t="str">
            <v>홍석식,전영주</v>
          </cell>
        </row>
        <row r="300">
          <cell r="A300" t="str">
            <v>'94.04.07</v>
          </cell>
          <cell r="B300">
            <v>117500000</v>
          </cell>
          <cell r="C300">
            <v>100000000</v>
          </cell>
          <cell r="E300">
            <v>17500000</v>
          </cell>
          <cell r="K300" t="str">
            <v>대여금상환,이태종15,000,유성문2,500천원</v>
          </cell>
        </row>
        <row r="301">
          <cell r="A301" t="str">
            <v>'94.04.06</v>
          </cell>
          <cell r="B301">
            <v>265000000</v>
          </cell>
          <cell r="C301">
            <v>250000000</v>
          </cell>
          <cell r="E301">
            <v>15000000</v>
          </cell>
          <cell r="K301" t="str">
            <v>대여금상환,김광호15,000천원</v>
          </cell>
        </row>
        <row r="302">
          <cell r="A302" t="str">
            <v>'94.04.01</v>
          </cell>
          <cell r="B302">
            <v>200000000</v>
          </cell>
          <cell r="C302">
            <v>200000000</v>
          </cell>
          <cell r="K302" t="str">
            <v>대여금상환</v>
          </cell>
        </row>
        <row r="303">
          <cell r="A303" t="str">
            <v>'94.03.31</v>
          </cell>
          <cell r="B303">
            <v>646428464</v>
          </cell>
          <cell r="F303">
            <v>4246428.4639999997</v>
          </cell>
          <cell r="G303">
            <v>646428464</v>
          </cell>
          <cell r="K303" t="str">
            <v>사학</v>
          </cell>
        </row>
        <row r="304">
          <cell r="A304" t="str">
            <v>'94.03.30</v>
          </cell>
          <cell r="B304">
            <v>1400000000</v>
          </cell>
          <cell r="C304" t="str">
            <v xml:space="preserve"> </v>
          </cell>
          <cell r="G304">
            <v>1400000000</v>
          </cell>
          <cell r="K304" t="str">
            <v>사학</v>
          </cell>
        </row>
        <row r="305">
          <cell r="A305" t="str">
            <v>'94.03.29</v>
          </cell>
          <cell r="B305">
            <v>500000000</v>
          </cell>
          <cell r="C305" t="str">
            <v xml:space="preserve"> </v>
          </cell>
          <cell r="G305">
            <v>500000000</v>
          </cell>
          <cell r="K305" t="str">
            <v>사학</v>
          </cell>
        </row>
        <row r="306">
          <cell r="A306" t="str">
            <v>'94.03.28</v>
          </cell>
          <cell r="B306">
            <v>417500000</v>
          </cell>
          <cell r="C306" t="str">
            <v xml:space="preserve"> </v>
          </cell>
          <cell r="E306">
            <v>17500000</v>
          </cell>
          <cell r="G306">
            <v>400000000</v>
          </cell>
          <cell r="K306" t="str">
            <v>사학,김정권17,500천원</v>
          </cell>
        </row>
        <row r="307">
          <cell r="A307" t="str">
            <v>'94.03.22</v>
          </cell>
          <cell r="B307">
            <v>722500000</v>
          </cell>
          <cell r="C307" t="str">
            <v xml:space="preserve"> </v>
          </cell>
          <cell r="E307">
            <v>22500000</v>
          </cell>
          <cell r="G307">
            <v>700000000</v>
          </cell>
          <cell r="K307" t="str">
            <v>사학,박성심.우정희5,000천원,김혜영15,000천원,이필재2,500천원</v>
          </cell>
        </row>
        <row r="308">
          <cell r="A308" t="str">
            <v>'94.03.21</v>
          </cell>
          <cell r="B308">
            <v>25000000</v>
          </cell>
          <cell r="E308">
            <v>25000000</v>
          </cell>
          <cell r="K308" t="str">
            <v>김정욱.유현철5,000천원,유연상20,000천원</v>
          </cell>
        </row>
        <row r="309">
          <cell r="A309" t="str">
            <v>'94.03.16</v>
          </cell>
          <cell r="B309">
            <v>600000000</v>
          </cell>
          <cell r="C309" t="str">
            <v xml:space="preserve"> </v>
          </cell>
          <cell r="G309">
            <v>600000000</v>
          </cell>
          <cell r="K309" t="str">
            <v>사학</v>
          </cell>
        </row>
        <row r="310">
          <cell r="A310" t="str">
            <v>'94.03.14</v>
          </cell>
          <cell r="B310">
            <v>40000000</v>
          </cell>
          <cell r="E310">
            <v>40000000</v>
          </cell>
          <cell r="K310" t="str">
            <v>박복순.김재구20,000천원,구경모17,500천원,이은용2,500천원</v>
          </cell>
        </row>
        <row r="311">
          <cell r="A311" t="str">
            <v>'94.03.08</v>
          </cell>
          <cell r="B311">
            <v>5500000</v>
          </cell>
          <cell r="E311">
            <v>5500000</v>
          </cell>
          <cell r="K311" t="str">
            <v>한상만2,500.정재열3,000천원</v>
          </cell>
        </row>
        <row r="312">
          <cell r="A312" t="str">
            <v>'94.03.07</v>
          </cell>
          <cell r="B312">
            <v>7500000</v>
          </cell>
          <cell r="E312">
            <v>7500000</v>
          </cell>
          <cell r="K312" t="str">
            <v>김유근.김평수5,000천원,홍경모2,500천원</v>
          </cell>
        </row>
        <row r="313">
          <cell r="A313" t="str">
            <v>'94.03.03</v>
          </cell>
          <cell r="B313">
            <v>24000000</v>
          </cell>
          <cell r="E313">
            <v>24000000</v>
          </cell>
          <cell r="K313" t="str">
            <v>박명균,이철재,김동현,조감연</v>
          </cell>
        </row>
        <row r="314">
          <cell r="A314" t="str">
            <v>'94.03.02</v>
          </cell>
          <cell r="B314">
            <v>205500000</v>
          </cell>
          <cell r="C314">
            <v>200000000</v>
          </cell>
          <cell r="E314">
            <v>5500000</v>
          </cell>
          <cell r="K314" t="str">
            <v>대여금상환,이재완,송돈헌</v>
          </cell>
        </row>
        <row r="315">
          <cell r="A315" t="str">
            <v>'94.02.04</v>
          </cell>
          <cell r="B315">
            <v>500000000</v>
          </cell>
          <cell r="C315">
            <v>500000000</v>
          </cell>
          <cell r="K315" t="str">
            <v>대여금상환</v>
          </cell>
        </row>
        <row r="316">
          <cell r="A316" t="str">
            <v>'94.02.02</v>
          </cell>
          <cell r="B316">
            <v>2500000</v>
          </cell>
          <cell r="E316">
            <v>2500000</v>
          </cell>
          <cell r="K316" t="str">
            <v>이효득</v>
          </cell>
        </row>
        <row r="317">
          <cell r="A317" t="str">
            <v>'94.01.31</v>
          </cell>
          <cell r="B317">
            <v>5500000</v>
          </cell>
          <cell r="E317">
            <v>5500000</v>
          </cell>
          <cell r="K317" t="str">
            <v>박은선,이웅수</v>
          </cell>
        </row>
        <row r="318">
          <cell r="A318" t="str">
            <v>'94.01.25</v>
          </cell>
          <cell r="B318">
            <v>10500000</v>
          </cell>
          <cell r="C318">
            <v>5000000</v>
          </cell>
          <cell r="E318">
            <v>5500000</v>
          </cell>
          <cell r="K318" t="str">
            <v>대여금상환,김의호,서인순</v>
          </cell>
        </row>
        <row r="319">
          <cell r="A319" t="str">
            <v>'94.01.24</v>
          </cell>
          <cell r="B319">
            <v>711000000</v>
          </cell>
          <cell r="C319" t="str">
            <v xml:space="preserve"> </v>
          </cell>
          <cell r="E319">
            <v>11000000</v>
          </cell>
          <cell r="F319">
            <v>772079.25</v>
          </cell>
          <cell r="G319">
            <v>700000000</v>
          </cell>
          <cell r="K319" t="str">
            <v>사학,이명우,정종희,황한규,서순예</v>
          </cell>
        </row>
        <row r="320">
          <cell r="A320" t="str">
            <v>'94.01.13</v>
          </cell>
          <cell r="B320">
            <v>3000000</v>
          </cell>
          <cell r="E320">
            <v>3000000</v>
          </cell>
          <cell r="K320" t="str">
            <v>정헌선</v>
          </cell>
        </row>
        <row r="321">
          <cell r="A321" t="str">
            <v>'94.01.12</v>
          </cell>
          <cell r="B321">
            <v>2500000</v>
          </cell>
          <cell r="E321">
            <v>2500000</v>
          </cell>
          <cell r="K321" t="str">
            <v>김정남</v>
          </cell>
        </row>
        <row r="322">
          <cell r="A322" t="str">
            <v>'94.01.11</v>
          </cell>
          <cell r="B322">
            <v>2500000</v>
          </cell>
          <cell r="E322">
            <v>2500000</v>
          </cell>
          <cell r="K322" t="str">
            <v>김정현</v>
          </cell>
        </row>
        <row r="323">
          <cell r="A323" t="str">
            <v>'94.01.07</v>
          </cell>
          <cell r="B323">
            <v>3000000</v>
          </cell>
          <cell r="E323">
            <v>3000000</v>
          </cell>
          <cell r="K323" t="str">
            <v>김봉환</v>
          </cell>
        </row>
        <row r="324">
          <cell r="A324" t="str">
            <v>'94.01.06</v>
          </cell>
          <cell r="B324">
            <v>79579250</v>
          </cell>
          <cell r="C324" t="str">
            <v xml:space="preserve"> </v>
          </cell>
          <cell r="E324">
            <v>7500000</v>
          </cell>
          <cell r="G324">
            <v>72079250</v>
          </cell>
          <cell r="K324" t="str">
            <v>사학(제일47,000천원,동화25,079.250천원),김수일2,500천원,윤덕호2,500천원,허영금2.50천원</v>
          </cell>
        </row>
        <row r="325">
          <cell r="A325" t="str">
            <v>'93.12.30</v>
          </cell>
          <cell r="B325">
            <v>178500000</v>
          </cell>
          <cell r="E325">
            <v>8500000</v>
          </cell>
          <cell r="F325">
            <v>170000</v>
          </cell>
          <cell r="G325">
            <v>170000000</v>
          </cell>
          <cell r="K325" t="str">
            <v>사학,김종철,김일식,허영근</v>
          </cell>
        </row>
        <row r="326">
          <cell r="A326" t="str">
            <v>'93.12.29</v>
          </cell>
          <cell r="B326">
            <v>2500000</v>
          </cell>
          <cell r="E326">
            <v>2500000</v>
          </cell>
          <cell r="K326" t="str">
            <v>이승호</v>
          </cell>
        </row>
        <row r="327">
          <cell r="A327" t="str">
            <v>'93.12.13</v>
          </cell>
          <cell r="B327">
            <v>22000000</v>
          </cell>
          <cell r="C327">
            <v>22000000</v>
          </cell>
          <cell r="E327">
            <v>0</v>
          </cell>
          <cell r="K327" t="str">
            <v>공삼영,백건균</v>
          </cell>
        </row>
        <row r="328">
          <cell r="A328" t="str">
            <v>'93.12.08</v>
          </cell>
          <cell r="B328">
            <v>13000000</v>
          </cell>
          <cell r="C328">
            <v>13000000</v>
          </cell>
          <cell r="E328" t="str">
            <v xml:space="preserve"> </v>
          </cell>
          <cell r="K328" t="str">
            <v>대여금상환</v>
          </cell>
        </row>
        <row r="329">
          <cell r="A329" t="str">
            <v>'93.11.23</v>
          </cell>
          <cell r="B329">
            <v>20000000</v>
          </cell>
          <cell r="E329">
            <v>20000000</v>
          </cell>
          <cell r="K329" t="str">
            <v>이기남</v>
          </cell>
        </row>
        <row r="330">
          <cell r="A330" t="str">
            <v>'93.11.18</v>
          </cell>
          <cell r="B330">
            <v>30000000</v>
          </cell>
          <cell r="E330">
            <v>30000000</v>
          </cell>
          <cell r="K330" t="str">
            <v>은연수,이덕우</v>
          </cell>
        </row>
        <row r="331">
          <cell r="A331" t="str">
            <v>'93.11.10</v>
          </cell>
          <cell r="B331">
            <v>15000000</v>
          </cell>
          <cell r="E331">
            <v>15000000</v>
          </cell>
          <cell r="K331" t="str">
            <v>김재호</v>
          </cell>
        </row>
        <row r="332">
          <cell r="A332" t="str">
            <v>'93.10.14</v>
          </cell>
          <cell r="B332">
            <v>39000000</v>
          </cell>
          <cell r="C332">
            <v>39000000</v>
          </cell>
          <cell r="K332" t="str">
            <v>대여금상환(제일15,000,동아24,000천원)</v>
          </cell>
        </row>
        <row r="333">
          <cell r="A333" t="str">
            <v>'93.10.06</v>
          </cell>
          <cell r="B333">
            <v>56500000</v>
          </cell>
          <cell r="C333">
            <v>26500000</v>
          </cell>
          <cell r="E333">
            <v>30000000</v>
          </cell>
          <cell r="K333" t="str">
            <v>대여금상환,정병찬,송종면</v>
          </cell>
        </row>
        <row r="334">
          <cell r="A334" t="str">
            <v>'93.10.04</v>
          </cell>
          <cell r="B334">
            <v>15000000</v>
          </cell>
          <cell r="E334">
            <v>15000000</v>
          </cell>
          <cell r="K334" t="str">
            <v>민형기</v>
          </cell>
        </row>
        <row r="335">
          <cell r="A335" t="str">
            <v>'93.09.27</v>
          </cell>
          <cell r="B335">
            <v>65000000</v>
          </cell>
          <cell r="C335">
            <v>65000000</v>
          </cell>
          <cell r="K335" t="str">
            <v>대여금상환</v>
          </cell>
        </row>
        <row r="336">
          <cell r="A336" t="str">
            <v>'93.09.16</v>
          </cell>
          <cell r="B336">
            <v>38000000</v>
          </cell>
          <cell r="C336">
            <v>38000000</v>
          </cell>
          <cell r="K336" t="str">
            <v>대여금상환</v>
          </cell>
        </row>
        <row r="337">
          <cell r="A337" t="str">
            <v>'93.09.13</v>
          </cell>
          <cell r="B337">
            <v>50000000</v>
          </cell>
          <cell r="C337">
            <v>50000000</v>
          </cell>
          <cell r="K337" t="str">
            <v>대여금상환</v>
          </cell>
        </row>
        <row r="338">
          <cell r="A338" t="str">
            <v>'93.09.08</v>
          </cell>
          <cell r="B338">
            <v>15000000</v>
          </cell>
          <cell r="C338">
            <v>15000000</v>
          </cell>
          <cell r="K338" t="str">
            <v>대여금상환</v>
          </cell>
        </row>
        <row r="339">
          <cell r="A339" t="str">
            <v>'93.09.03</v>
          </cell>
          <cell r="B339">
            <v>48000000</v>
          </cell>
          <cell r="C339">
            <v>48000000</v>
          </cell>
          <cell r="K339" t="str">
            <v>대여금상환</v>
          </cell>
        </row>
        <row r="340">
          <cell r="A340" t="str">
            <v>'93.09.02</v>
          </cell>
          <cell r="B340">
            <v>47600000</v>
          </cell>
          <cell r="C340">
            <v>42600000</v>
          </cell>
          <cell r="E340">
            <v>5000000</v>
          </cell>
          <cell r="K340" t="str">
            <v>대여금상환(제일34,000천원,축협8,600천원),최금자</v>
          </cell>
        </row>
        <row r="341">
          <cell r="A341" t="str">
            <v>'93.09.01</v>
          </cell>
          <cell r="B341">
            <v>866900000</v>
          </cell>
          <cell r="C341">
            <v>866900000</v>
          </cell>
          <cell r="K341" t="str">
            <v>대여금상환(제일685,000천원,축협181,400천원)</v>
          </cell>
        </row>
        <row r="342">
          <cell r="A342" t="str">
            <v>'93.08.31</v>
          </cell>
          <cell r="B342">
            <v>1248000000</v>
          </cell>
          <cell r="C342">
            <v>1248000000</v>
          </cell>
          <cell r="K342" t="str">
            <v>대여금상환</v>
          </cell>
        </row>
        <row r="343">
          <cell r="A343" t="str">
            <v>'93.08.02</v>
          </cell>
          <cell r="B343">
            <v>20000000</v>
          </cell>
          <cell r="C343">
            <v>20000000</v>
          </cell>
        </row>
        <row r="344">
          <cell r="A344" t="str">
            <v>'93.07.06</v>
          </cell>
          <cell r="B344">
            <v>10000000</v>
          </cell>
          <cell r="C344">
            <v>10000000</v>
          </cell>
        </row>
        <row r="345">
          <cell r="A345" t="str">
            <v>'93.05.14</v>
          </cell>
          <cell r="B345">
            <v>35000000</v>
          </cell>
          <cell r="E345">
            <v>35000000</v>
          </cell>
          <cell r="K345" t="str">
            <v>최금환15,000천원,최성환20,000천원</v>
          </cell>
        </row>
        <row r="346">
          <cell r="A346" t="str">
            <v>'93.04.30</v>
          </cell>
          <cell r="B346">
            <v>15000000</v>
          </cell>
          <cell r="C346">
            <v>15000000</v>
          </cell>
        </row>
        <row r="347">
          <cell r="A347" t="str">
            <v>'93.04.28</v>
          </cell>
          <cell r="B347">
            <v>10000000</v>
          </cell>
          <cell r="C347">
            <v>10000000</v>
          </cell>
        </row>
        <row r="348">
          <cell r="A348" t="str">
            <v>'93.04.22</v>
          </cell>
          <cell r="B348">
            <v>5000000</v>
          </cell>
          <cell r="C348">
            <v>5000000</v>
          </cell>
        </row>
        <row r="349">
          <cell r="A349" t="str">
            <v xml:space="preserve"> </v>
          </cell>
          <cell r="C349">
            <v>26240000000</v>
          </cell>
          <cell r="E349">
            <v>4636877985</v>
          </cell>
          <cell r="F349">
            <v>9757689.7659999989</v>
          </cell>
          <cell r="G349">
            <v>8478100121</v>
          </cell>
          <cell r="H349">
            <v>118861606</v>
          </cell>
          <cell r="I349">
            <v>1064549330</v>
          </cell>
          <cell r="J349">
            <v>96178709</v>
          </cell>
        </row>
        <row r="350">
          <cell r="C350">
            <v>31360811781</v>
          </cell>
          <cell r="G350">
            <v>9757689766</v>
          </cell>
        </row>
      </sheetData>
      <sheetData sheetId="2"/>
      <sheetData sheetId="3"/>
      <sheetData sheetId="4"/>
      <sheetData sheetId="5"/>
      <sheetData sheetId="6"/>
      <sheetData sheetId="7"/>
      <sheetData sheetId="8"/>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 val="삼화95"/>
    </sheetNames>
    <sheetDataSet>
      <sheetData sheetId="0"/>
      <sheetData sheetId="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s>
    <sheetDataSet>
      <sheetData sheetId="0"/>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안지 (3)"/>
      <sheetName val="자구계획총괄보고"/>
      <sheetName val="재무제표(현재상황)"/>
      <sheetName val="자구이행시(자산매각시)"/>
      <sheetName val="자구이행시 (계열사주식매각)"/>
      <sheetName val="신차입금"/>
      <sheetName val="차입금"/>
      <sheetName val="2.PL"/>
      <sheetName val="13.CF"/>
      <sheetName val="4.BS"/>
      <sheetName val="10.영업외손익"/>
      <sheetName val="16.Downsizing"/>
      <sheetName val="14.차입"/>
      <sheetName val="감가상각"/>
      <sheetName val="감가상각비"/>
      <sheetName val="평가익"/>
      <sheetName val="평가익 (2)"/>
      <sheetName val="cfchark"/>
      <sheetName val="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68">
          <cell r="B68" t="str">
            <v>'98.12.9.</v>
          </cell>
        </row>
      </sheetData>
      <sheetData sheetId="14" refreshError="1"/>
      <sheetData sheetId="15" refreshError="1"/>
      <sheetData sheetId="16" refreshError="1"/>
      <sheetData sheetId="17" refreshError="1"/>
      <sheetData sheetId="1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커버"/>
      <sheetName val="교육예산"/>
      <sheetName val="양식#1"/>
      <sheetName val="첨부1"/>
      <sheetName val="첨부2"/>
      <sheetName val="자료"/>
    </sheetNames>
    <sheetDataSet>
      <sheetData sheetId="0" refreshError="1"/>
      <sheetData sheetId="1" refreshError="1"/>
      <sheetData sheetId="2" refreshError="1"/>
      <sheetData sheetId="3" refreshError="1">
        <row r="1">
          <cell r="B1" t="str">
            <v>첨부1. 년도별 교육훈련비 추이</v>
          </cell>
          <cell r="E1" t="str">
            <v>단위:백만원</v>
          </cell>
        </row>
        <row r="2">
          <cell r="B2" t="str">
            <v>구분</v>
          </cell>
          <cell r="C2" t="str">
            <v>매출액</v>
          </cell>
          <cell r="D2" t="str">
            <v>교육비</v>
          </cell>
          <cell r="E2" t="str">
            <v>(매출대비)</v>
          </cell>
        </row>
        <row r="3">
          <cell r="B3" t="str">
            <v>96년실적</v>
          </cell>
          <cell r="C3">
            <v>4791630</v>
          </cell>
          <cell r="D3">
            <v>14677</v>
          </cell>
          <cell r="E3">
            <v>3.0630495259441983E-3</v>
          </cell>
        </row>
        <row r="4">
          <cell r="B4" t="str">
            <v>97년실적</v>
          </cell>
          <cell r="C4">
            <v>4934541</v>
          </cell>
          <cell r="D4">
            <v>14427</v>
          </cell>
          <cell r="E4">
            <v>2.9236761838639094E-3</v>
          </cell>
        </row>
        <row r="5">
          <cell r="B5" t="str">
            <v>98년실적</v>
          </cell>
          <cell r="C5">
            <v>5782448</v>
          </cell>
          <cell r="D5">
            <v>8655</v>
          </cell>
          <cell r="E5">
            <v>1.4967709177843018E-3</v>
          </cell>
        </row>
        <row r="6">
          <cell r="B6" t="str">
            <v>99년(上) 실적</v>
          </cell>
          <cell r="C6">
            <v>2919294</v>
          </cell>
          <cell r="D6">
            <v>3785</v>
          </cell>
          <cell r="E6">
            <v>1.2965463567561199E-3</v>
          </cell>
        </row>
        <row r="7">
          <cell r="B7" t="str">
            <v xml:space="preserve">        ( 99년 계획</v>
          </cell>
          <cell r="C7">
            <v>5965630</v>
          </cell>
          <cell r="D7">
            <v>12238</v>
          </cell>
          <cell r="E7" t="str">
            <v xml:space="preserve">          0.21%)</v>
          </cell>
        </row>
        <row r="8">
          <cell r="B8" t="str">
            <v>2000년 계획</v>
          </cell>
          <cell r="C8">
            <v>6200000</v>
          </cell>
          <cell r="D8">
            <v>15500</v>
          </cell>
          <cell r="E8">
            <v>2.5000000000000001E-3</v>
          </cell>
        </row>
      </sheetData>
      <sheetData sheetId="4" refreshError="1"/>
      <sheetData sheetId="5"/>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
      <sheetName val="A2"/>
      <sheetName val="to do"/>
      <sheetName val="재고"/>
      <sheetName val="AR"/>
      <sheetName val="단가검증"/>
      <sheetName val="재고분석"/>
      <sheetName val="가공비배부"/>
      <sheetName val="제,원"/>
      <sheetName val="투자"/>
      <sheetName val="평가"/>
      <sheetName val="무형"/>
      <sheetName val="M"/>
      <sheetName val="M1-anl"/>
      <sheetName val="퇴충"/>
      <sheetName val="분석적검토"/>
      <sheetName val="자본"/>
      <sheetName val="스탁옵션"/>
      <sheetName val="원가"/>
      <sheetName val="제조원가"/>
      <sheetName val="월별제조"/>
      <sheetName val="영업외"/>
      <sheetName val="우발"/>
      <sheetName val="법인"/>
      <sheetName val="미지급법인세"/>
      <sheetName val="이연법인세"/>
      <sheetName val="BS일이후"/>
      <sheetName val="매입"/>
      <sheetName val="원재료평가"/>
      <sheetName val="제품평가"/>
      <sheetName val="cc"/>
      <sheetName val="조회"/>
      <sheetName val="총괄"/>
      <sheetName val="미수"/>
      <sheetName val="공통"/>
      <sheetName val="업무분장 "/>
      <sheetName val="B-90"/>
      <sheetName val="기말요약"/>
      <sheetName val="중요성기준"/>
      <sheetName val="A9-1~5 "/>
      <sheetName val="A9-3"/>
      <sheetName val="경영분석"/>
      <sheetName val="98경영"/>
      <sheetName val="A9-부2 "/>
      <sheetName val="A9"/>
      <sheetName val="A9-2(구)"/>
      <sheetName val="주석자료A7"/>
      <sheetName val="주총요약"/>
      <sheetName val="지급보증"/>
      <sheetName val="(법인,토지)등기부등본요약"/>
      <sheetName val="보험가입"/>
      <sheetName val="계속기업검토표"/>
      <sheetName val="A7"/>
      <sheetName val="등본요약"/>
      <sheetName val="계속기업"/>
      <sheetName val="수정시산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row r="45">
          <cell r="F45" t="str">
            <v>V</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고정부채"/>
      <sheetName val="전환사채"/>
      <sheetName val="사채명세서"/>
      <sheetName val="장기차입금"/>
      <sheetName val="외화장기차입금"/>
      <sheetName val="평가"/>
      <sheetName val="임대보증금"/>
      <sheetName val="예수보증금"/>
      <sheetName val="대손충당금"/>
      <sheetName val="주주명부&lt;끝&gt;"/>
      <sheetName val="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bhp"/>
      <sheetName val="업무분장 "/>
    </sheetNames>
    <sheetDataSet>
      <sheetData sheetId="0"/>
      <sheetData sheetId="1"/>
      <sheetData sheetId="2"/>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 val="확인서"/>
      <sheetName val="별제권_정리담보권1"/>
      <sheetName val="업무분장 "/>
    </sheetNames>
    <sheetDataSet>
      <sheetData sheetId="0"/>
      <sheetData sheetId="1" refreshError="1"/>
      <sheetData sheetId="2" refreshError="1"/>
      <sheetData sheetId="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전체종합BS"/>
      <sheetName val="국내종합BS"/>
      <sheetName val="전체종합PL"/>
      <sheetName val="국내종합PL"/>
      <sheetName val="차이분석"/>
      <sheetName val="결손금처리계산서"/>
      <sheetName val="잉여금"/>
      <sheetName val="합계잔액시산표"/>
      <sheetName val="보고서CF"/>
      <sheetName val="?????"/>
    </sheetNames>
    <sheetDataSet>
      <sheetData sheetId="0" refreshError="1">
        <row r="13">
          <cell r="E13" t="str">
            <v>외상매출금</v>
          </cell>
          <cell r="F13">
            <v>5082464183</v>
          </cell>
          <cell r="H13">
            <v>5944818452</v>
          </cell>
          <cell r="K13">
            <v>100000</v>
          </cell>
          <cell r="L13">
            <v>5944718452</v>
          </cell>
          <cell r="M13" t="str">
            <v/>
          </cell>
        </row>
        <row r="14">
          <cell r="E14" t="str">
            <v>대손충당금</v>
          </cell>
          <cell r="F14">
            <v>11994615</v>
          </cell>
          <cell r="G14">
            <v>5070469568</v>
          </cell>
          <cell r="H14">
            <v>23838721</v>
          </cell>
          <cell r="I14">
            <v>5920979731</v>
          </cell>
          <cell r="L14">
            <v>23838721</v>
          </cell>
          <cell r="M14">
            <v>5920879731</v>
          </cell>
        </row>
        <row r="15">
          <cell r="E15" t="str">
            <v>받을어음</v>
          </cell>
          <cell r="F15">
            <v>1742140994</v>
          </cell>
          <cell r="H15">
            <v>1605855193</v>
          </cell>
          <cell r="L15">
            <v>1605855193</v>
          </cell>
          <cell r="M15" t="str">
            <v/>
          </cell>
        </row>
        <row r="16">
          <cell r="E16" t="str">
            <v>대손충당금</v>
          </cell>
          <cell r="F16">
            <v>4111452</v>
          </cell>
          <cell r="G16">
            <v>1738029542</v>
          </cell>
          <cell r="H16">
            <v>6439479</v>
          </cell>
          <cell r="I16">
            <v>1599415714</v>
          </cell>
          <cell r="L16">
            <v>6439479</v>
          </cell>
          <cell r="M16">
            <v>1599415714</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704"/>
      <sheetName val="9704 (2)"/>
      <sheetName val="9710"/>
      <sheetName val="990406"/>
      <sheetName val="(실사조정)총괄"/>
      <sheetName val="은행"/>
      <sheetName val="Sheet11"/>
      <sheetName val="중기"/>
      <sheetName val="45,46"/>
    </sheetNames>
    <sheetDataSet>
      <sheetData sheetId="0" refreshError="1"/>
      <sheetData sheetId="1" refreshError="1"/>
      <sheetData sheetId="2" refreshError="1">
        <row r="8">
          <cell r="B8">
            <v>1</v>
          </cell>
        </row>
        <row r="9">
          <cell r="B9">
            <v>2</v>
          </cell>
        </row>
        <row r="10">
          <cell r="B10">
            <v>3</v>
          </cell>
        </row>
        <row r="11">
          <cell r="B11">
            <v>4</v>
          </cell>
        </row>
        <row r="12">
          <cell r="B12">
            <v>5</v>
          </cell>
        </row>
        <row r="13">
          <cell r="B13">
            <v>6</v>
          </cell>
        </row>
        <row r="14">
          <cell r="B14">
            <v>7</v>
          </cell>
        </row>
        <row r="15">
          <cell r="B15">
            <v>8</v>
          </cell>
        </row>
        <row r="16">
          <cell r="B16">
            <v>9</v>
          </cell>
        </row>
        <row r="17">
          <cell r="B17">
            <v>10</v>
          </cell>
        </row>
        <row r="18">
          <cell r="B18">
            <v>11</v>
          </cell>
        </row>
        <row r="19">
          <cell r="B19">
            <v>12</v>
          </cell>
        </row>
        <row r="20">
          <cell r="B20">
            <v>13</v>
          </cell>
        </row>
        <row r="21">
          <cell r="B21">
            <v>14</v>
          </cell>
        </row>
        <row r="22">
          <cell r="B22">
            <v>15</v>
          </cell>
        </row>
        <row r="23">
          <cell r="B23">
            <v>16</v>
          </cell>
        </row>
        <row r="24">
          <cell r="B24">
            <v>17</v>
          </cell>
        </row>
        <row r="25">
          <cell r="B25">
            <v>18</v>
          </cell>
        </row>
        <row r="26">
          <cell r="B26">
            <v>19</v>
          </cell>
        </row>
        <row r="27">
          <cell r="B27">
            <v>20</v>
          </cell>
        </row>
        <row r="28">
          <cell r="B28">
            <v>21</v>
          </cell>
        </row>
        <row r="29">
          <cell r="B29">
            <v>22</v>
          </cell>
        </row>
        <row r="30">
          <cell r="B30">
            <v>23</v>
          </cell>
        </row>
        <row r="31">
          <cell r="B31">
            <v>24</v>
          </cell>
        </row>
        <row r="32">
          <cell r="B32">
            <v>25</v>
          </cell>
        </row>
        <row r="33">
          <cell r="B33">
            <v>26</v>
          </cell>
        </row>
        <row r="34">
          <cell r="B34">
            <v>27</v>
          </cell>
        </row>
        <row r="35">
          <cell r="B35">
            <v>28</v>
          </cell>
        </row>
        <row r="36">
          <cell r="B36">
            <v>29</v>
          </cell>
        </row>
        <row r="37">
          <cell r="B37">
            <v>30</v>
          </cell>
        </row>
        <row r="38">
          <cell r="B38">
            <v>31</v>
          </cell>
        </row>
        <row r="39">
          <cell r="B39">
            <v>32</v>
          </cell>
        </row>
        <row r="40">
          <cell r="B40">
            <v>33</v>
          </cell>
        </row>
        <row r="41">
          <cell r="B41">
            <v>34</v>
          </cell>
        </row>
        <row r="42">
          <cell r="B42">
            <v>35</v>
          </cell>
        </row>
        <row r="43">
          <cell r="B43">
            <v>36</v>
          </cell>
        </row>
        <row r="44">
          <cell r="B44">
            <v>37</v>
          </cell>
        </row>
        <row r="45">
          <cell r="B45">
            <v>38</v>
          </cell>
        </row>
        <row r="46">
          <cell r="B46">
            <v>39</v>
          </cell>
        </row>
        <row r="47">
          <cell r="B47">
            <v>40</v>
          </cell>
        </row>
        <row r="48">
          <cell r="B48">
            <v>41</v>
          </cell>
        </row>
        <row r="49">
          <cell r="B49">
            <v>42</v>
          </cell>
        </row>
        <row r="50">
          <cell r="B50">
            <v>43</v>
          </cell>
        </row>
        <row r="51">
          <cell r="B51">
            <v>44</v>
          </cell>
        </row>
        <row r="52">
          <cell r="B52">
            <v>45</v>
          </cell>
        </row>
        <row r="53">
          <cell r="B53">
            <v>46</v>
          </cell>
        </row>
        <row r="54">
          <cell r="B54">
            <v>47</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산표"/>
      <sheetName val="현금흐름표"/>
      <sheetName val="재무제표"/>
      <sheetName val="현금흐름표전기"/>
      <sheetName val="지역별약정(당일)"/>
      <sheetName val="보증어음분류"/>
      <sheetName val="사모사채분류"/>
      <sheetName val="부서별공수"/>
      <sheetName val="투입공수"/>
      <sheetName val="생산"/>
      <sheetName val="자재재고"/>
      <sheetName val="재공재고"/>
      <sheetName val="품질현황-보류"/>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s>
    <sheetDataSet>
      <sheetData sheetId="0"/>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 val="기간"/>
      <sheetName val="POS (2)"/>
      <sheetName val="확인서"/>
    </sheetNames>
    <sheetDataSet>
      <sheetData sheetId="0"/>
      <sheetData sheetId="1" refreshError="1"/>
      <sheetData sheetId="2" refreshError="1"/>
      <sheetData sheetId="3"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경영비율 "/>
      <sheetName val="수정시산표"/>
    </sheetNames>
    <sheetDataSet>
      <sheetData sheetId="0"/>
      <sheetData sheetId="1"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경영비율 "/>
      <sheetName val="수정시산표"/>
    </sheetNames>
    <sheetDataSet>
      <sheetData sheetId="0"/>
      <sheetData sheetId="1"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경영비율 "/>
    </sheetNames>
    <sheetDataSet>
      <sheetData sheetId="0"/>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 val="경영비율 "/>
      <sheetName val="2월특별상여"/>
      <sheetName val="9월상여"/>
    </sheetNames>
    <sheetDataSet>
      <sheetData sheetId="0"/>
      <sheetData sheetId="1" refreshError="1"/>
      <sheetData sheetId="2" refreshError="1"/>
      <sheetData sheetId="3"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 val="기간"/>
      <sheetName val="POS (2)"/>
      <sheetName val="확인서"/>
    </sheetNames>
    <sheetDataSet>
      <sheetData sheetId="0"/>
      <sheetData sheetId="1" refreshError="1"/>
      <sheetData sheetId="2" refreshError="1"/>
      <sheetData sheetId="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현금 등"/>
      <sheetName val="기타유동부채"/>
      <sheetName val="판관비"/>
      <sheetName val="고정부채"/>
      <sheetName val="tangible"/>
      <sheetName val="Job Assign"/>
      <sheetName val="요청서류리스트"/>
      <sheetName val="의견형성단계의 분석적검토"/>
      <sheetName val="재고자산"/>
      <sheetName val="유형자산"/>
      <sheetName val="투자자산"/>
      <sheetName val="무형자산"/>
      <sheetName val="미회수어음-수표"/>
    </sheetNames>
    <sheetDataSet>
      <sheetData sheetId="0"/>
      <sheetData sheetId="1"/>
      <sheetData sheetId="2"/>
      <sheetData sheetId="3"/>
      <sheetData sheetId="4"/>
      <sheetData sheetId="5"/>
      <sheetData sheetId="6">
        <row r="1">
          <cell r="A1" t="str">
            <v>우리회계법인</v>
          </cell>
        </row>
      </sheetData>
      <sheetData sheetId="7"/>
      <sheetData sheetId="8"/>
      <sheetData sheetId="9"/>
      <sheetData sheetId="10"/>
      <sheetData sheetId="11"/>
      <sheetData sheetId="12"/>
      <sheetData sheetId="13"/>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평가"/>
      <sheetName val="3.RISK"/>
      <sheetName val="재무제표"/>
      <sheetName val="상반기누계"/>
      <sheetName val="차입금"/>
      <sheetName val="2.PL"/>
      <sheetName val="13.CF"/>
      <sheetName val="4.BS"/>
      <sheetName val="기안지 (3)"/>
      <sheetName val="10.영업외손익"/>
      <sheetName val="16.Downsizing"/>
      <sheetName val="14.차입"/>
      <sheetName val="감가상각"/>
      <sheetName val="감가상각비"/>
      <sheetName val="평가익"/>
      <sheetName val="평가익 (2)"/>
      <sheetName val="cfchark"/>
      <sheetName val="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8">
          <cell r="B58" t="str">
            <v>c:\99\bscf</v>
          </cell>
        </row>
      </sheetData>
      <sheetData sheetId="13" refreshError="1"/>
      <sheetData sheetId="14" refreshError="1"/>
      <sheetData sheetId="15" refreshError="1"/>
      <sheetData sheetId="16" refreshError="1"/>
      <sheetData sheetId="17"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품입고집계"/>
      <sheetName val="공통"/>
      <sheetName val="95WBS"/>
      <sheetName val="경영비율 "/>
      <sheetName val="산업은행 경영지표"/>
      <sheetName val="잉여금"/>
      <sheetName val="Sheet1"/>
      <sheetName val="당초"/>
      <sheetName val="집계표"/>
      <sheetName val="현금"/>
      <sheetName val="JOB Assign"/>
      <sheetName val="108.수선비"/>
      <sheetName val="현금흐름표"/>
      <sheetName val="B"/>
      <sheetName val="Krw"/>
      <sheetName val="건물"/>
      <sheetName val="조회서"/>
      <sheetName val="주소"/>
      <sheetName val="수정시산표"/>
      <sheetName val="현금및현금등가물"/>
      <sheetName val="부재료입고집계"/>
      <sheetName val="상품매출"/>
      <sheetName val="재고 "/>
      <sheetName val="2010년"/>
      <sheetName val="주beam"/>
      <sheetName val="9월누계해외"/>
      <sheetName val="년말집계"/>
      <sheetName val="9-1차이내역"/>
      <sheetName val="정산표"/>
      <sheetName val="CC"/>
      <sheetName val="1안98Billing"/>
      <sheetName val="RAW9701"/>
      <sheetName val="공정코드"/>
      <sheetName val="첨1.2"/>
      <sheetName val="공통부대비"/>
      <sheetName val="업무연락"/>
      <sheetName val="월별매출"/>
      <sheetName val="#REF"/>
      <sheetName val="STAND20"/>
      <sheetName val="시험연구비상각"/>
      <sheetName val="내역"/>
      <sheetName val="2.예금"/>
      <sheetName val="YOEMAGUM"/>
      <sheetName val="표준대차대조표(1)"/>
      <sheetName val="교통대책내역"/>
      <sheetName val="IDONG"/>
      <sheetName val="보고"/>
      <sheetName val="TEMP2"/>
      <sheetName val="TEMP1"/>
      <sheetName val="기본"/>
      <sheetName val="XREF"/>
      <sheetName val="산업은행_경영지표"/>
      <sheetName val="108_수선비"/>
      <sheetName val="JOB_Assign"/>
      <sheetName val="재고_"/>
      <sheetName val="9609Aß"/>
      <sheetName val="출입자명단"/>
      <sheetName val="매출"/>
      <sheetName val="1997"/>
      <sheetName val="LIST"/>
      <sheetName val="송전기본"/>
      <sheetName val="24.보증금(전신전화가입권)"/>
      <sheetName val="기계기구"/>
      <sheetName val="수입수불"/>
      <sheetName val="3.판관비명세서"/>
      <sheetName val="유효성검사"/>
      <sheetName val="세율"/>
      <sheetName val="붙임2-1  지급조서명세서(2001년분)"/>
      <sheetName val="기타코드"/>
      <sheetName val="홍원식"/>
      <sheetName val="99급여표"/>
      <sheetName val="#3-1 保有 有價證券 評價 及び 評價(X-23)"/>
      <sheetName val="Config"/>
      <sheetName val="work"/>
      <sheetName val="1995년 섹터별 매출"/>
      <sheetName val="경비공통"/>
      <sheetName val="회사정보"/>
      <sheetName val="관리1"/>
      <sheetName val="10월판관"/>
      <sheetName val="3공장_Lot_Card"/>
      <sheetName val="급여표"/>
      <sheetName val="기성이력현황"/>
      <sheetName val="공제"/>
      <sheetName val="보험금"/>
      <sheetName val="F3"/>
      <sheetName val="F12"/>
      <sheetName val="7.3 DY팀"/>
      <sheetName val="지급이자"/>
      <sheetName val="95년12월말"/>
      <sheetName val="유림골조"/>
      <sheetName val="실행철강하도"/>
      <sheetName val="항목"/>
      <sheetName val="손익계산서"/>
      <sheetName val="수입비용1021"/>
      <sheetName val="현장코드"/>
      <sheetName val="채널별"/>
      <sheetName val="금액집계(리포트)"/>
      <sheetName val="CJE집계"/>
      <sheetName val="공사내역"/>
      <sheetName val="의왕F사"/>
      <sheetName val="가공사"/>
      <sheetName val="Eq. Mobilization"/>
      <sheetName val="98지급계획"/>
      <sheetName val="자료입력"/>
      <sheetName val="건축"/>
      <sheetName val="포장공사"/>
      <sheetName val="표지"/>
      <sheetName val="토목"/>
      <sheetName val="유형고정"/>
      <sheetName val="대환취급"/>
      <sheetName val="3_판관비명세서"/>
      <sheetName val="24_보증금(전신전화가입권)"/>
      <sheetName val="부서실적"/>
      <sheetName val="대차대조표-공시형"/>
      <sheetName val="환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 val="확인서"/>
      <sheetName val="A1"/>
    </sheetNames>
    <sheetDataSet>
      <sheetData sheetId="0"/>
      <sheetData sheetId="1" refreshError="1"/>
      <sheetData sheetId="2"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통"/>
      <sheetName val="업무분장 "/>
      <sheetName val="B-90"/>
      <sheetName val="기말요약"/>
      <sheetName val="중요성기준"/>
      <sheetName val="A9-1~5 "/>
      <sheetName val="A9-3"/>
      <sheetName val="경영분석"/>
      <sheetName val="98경영"/>
      <sheetName val="A9-부2 "/>
      <sheetName val="A9"/>
      <sheetName val="A9-2(구)"/>
      <sheetName val="주석자료A7"/>
      <sheetName val="주총요약"/>
      <sheetName val="지급보증"/>
      <sheetName val="(법인,토지)등기부등본요약"/>
      <sheetName val="보험가입"/>
      <sheetName val="계속기업검토표"/>
      <sheetName val="A7"/>
      <sheetName val="등본요약"/>
      <sheetName val="계속기업"/>
      <sheetName val="A1"/>
      <sheetName val="A2"/>
      <sheetName val="to do"/>
      <sheetName val="재고"/>
      <sheetName val="AR"/>
      <sheetName val="단가검증"/>
      <sheetName val="재고분석"/>
      <sheetName val="가공비배부"/>
      <sheetName val="제,원"/>
      <sheetName val="투자"/>
      <sheetName val="평가"/>
      <sheetName val="무형"/>
      <sheetName val="M"/>
      <sheetName val="M1-anl"/>
      <sheetName val="퇴충"/>
      <sheetName val="분석적검토"/>
      <sheetName val="자본"/>
      <sheetName val="스탁옵션"/>
      <sheetName val="원가"/>
      <sheetName val="제조원가"/>
      <sheetName val="월별제조"/>
      <sheetName val="영업외"/>
      <sheetName val="우발"/>
      <sheetName val="법인"/>
      <sheetName val="미지급법인세"/>
      <sheetName val="이연법인세"/>
      <sheetName val="BS일이후"/>
      <sheetName val="매입"/>
      <sheetName val="원재료평가"/>
      <sheetName val="제품평가"/>
      <sheetName val="cc"/>
      <sheetName val="조회"/>
      <sheetName val="총괄"/>
      <sheetName val="미수"/>
      <sheetName val="승용"/>
      <sheetName val="10한빛"/>
      <sheetName val="현금"/>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추가예산"/>
      <sheetName val="득점현황"/>
      <sheetName val="CAUDIT"/>
    </sheetNames>
    <sheetDataSet>
      <sheetData sheetId="0"/>
      <sheetData sheetId="1"/>
      <sheetData sheetId="2"/>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병"/>
      <sheetName val="CAN"/>
      <sheetName val="CAP"/>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은행"/>
      <sheetName val="추가예산"/>
      <sheetName val="거래순위"/>
    </sheetNames>
    <sheetDataSet>
      <sheetData sheetId="0">
        <row r="7">
          <cell r="H7" t="str">
            <v>두산경월</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월차잔"/>
      <sheetName val="8외화단기"/>
      <sheetName val="1유리"/>
      <sheetName val="호프"/>
      <sheetName val="득점현황"/>
      <sheetName val="8월외단차"/>
      <sheetName val="병"/>
      <sheetName val="추가예산"/>
      <sheetName val="은행"/>
      <sheetName val="b_balju"/>
      <sheetName val="붙임2-1  지급조서명세서(2001년분)"/>
      <sheetName val="환산TB"/>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커버"/>
      <sheetName val="교육예산"/>
      <sheetName val="양식#1"/>
      <sheetName val="첨부1"/>
      <sheetName val="첨부2"/>
    </sheetNames>
    <sheetDataSet>
      <sheetData sheetId="0" refreshError="1"/>
      <sheetData sheetId="1" refreshError="1"/>
      <sheetData sheetId="2" refreshError="1"/>
      <sheetData sheetId="3" refreshError="1">
        <row r="1">
          <cell r="B1" t="str">
            <v>첨부1. 년도별 교육훈련비 추이</v>
          </cell>
          <cell r="E1" t="str">
            <v>단위:백만원</v>
          </cell>
        </row>
        <row r="2">
          <cell r="B2" t="str">
            <v>구분</v>
          </cell>
          <cell r="C2" t="str">
            <v>매출액</v>
          </cell>
          <cell r="D2" t="str">
            <v>교육비</v>
          </cell>
          <cell r="E2" t="str">
            <v>(매출대비)</v>
          </cell>
        </row>
        <row r="3">
          <cell r="B3" t="str">
            <v>96년실적</v>
          </cell>
          <cell r="C3">
            <v>4791630</v>
          </cell>
          <cell r="D3">
            <v>14677</v>
          </cell>
          <cell r="E3">
            <v>3.0630495259441983E-3</v>
          </cell>
        </row>
        <row r="4">
          <cell r="B4" t="str">
            <v>97년실적</v>
          </cell>
          <cell r="C4">
            <v>4934541</v>
          </cell>
          <cell r="D4">
            <v>14427</v>
          </cell>
          <cell r="E4">
            <v>2.9236761838639094E-3</v>
          </cell>
        </row>
        <row r="5">
          <cell r="B5" t="str">
            <v>98년실적</v>
          </cell>
          <cell r="C5">
            <v>5782448</v>
          </cell>
          <cell r="D5">
            <v>8655</v>
          </cell>
          <cell r="E5">
            <v>1.4967709177843018E-3</v>
          </cell>
        </row>
        <row r="6">
          <cell r="B6" t="str">
            <v>99년(上) 실적</v>
          </cell>
          <cell r="C6">
            <v>2919294</v>
          </cell>
          <cell r="D6">
            <v>3785</v>
          </cell>
          <cell r="E6">
            <v>1.2965463567561199E-3</v>
          </cell>
        </row>
        <row r="7">
          <cell r="B7" t="str">
            <v xml:space="preserve">        ( 99년 계획</v>
          </cell>
          <cell r="C7">
            <v>5965630</v>
          </cell>
          <cell r="D7">
            <v>12238</v>
          </cell>
          <cell r="E7" t="str">
            <v xml:space="preserve">          0.21%)</v>
          </cell>
        </row>
        <row r="8">
          <cell r="B8" t="str">
            <v>2000년 계획</v>
          </cell>
          <cell r="C8">
            <v>6200000</v>
          </cell>
          <cell r="D8">
            <v>15500</v>
          </cell>
          <cell r="E8">
            <v>2.5000000000000001E-3</v>
          </cell>
        </row>
      </sheetData>
      <sheetData sheetId="4"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검토보고"/>
      <sheetName val="보수계획2"/>
      <sheetName val="보수계획1"/>
      <sheetName val="자바라1"/>
      <sheetName val="8월차잔"/>
      <sheetName val="9710"/>
      <sheetName val="은행"/>
      <sheetName val="입고단가기준"/>
      <sheetName val="산업"/>
      <sheetName val="시산표"/>
      <sheetName val="추가예산"/>
      <sheetName val="노임이"/>
      <sheetName val="지성학원"/>
      <sheetName val="ILBAN"/>
      <sheetName val="병"/>
      <sheetName val="7 (2)"/>
      <sheetName val="1유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업무연락"/>
      <sheetName val="예산입력방법"/>
      <sheetName val="예산간사조직표"/>
      <sheetName val="부서코드표"/>
      <sheetName val="특수,항공 부서코드표"/>
      <sheetName val="본부별예산편성총괄표"/>
      <sheetName val="집행부서별예산계획표"/>
      <sheetName val="집행부서별예산산출내역표"/>
      <sheetName val="본부별인원인건비총괄표"/>
      <sheetName val="부서별인원인건비계획"/>
      <sheetName val="용역인원인건비계획"/>
      <sheetName val="예산조정신청서 양식"/>
      <sheetName val="ILBAN"/>
      <sheetName val="지성학원"/>
      <sheetName val="시산표"/>
      <sheetName val="8월차잔"/>
      <sheetName val="자바라1"/>
      <sheetName val="입고단가기준"/>
      <sheetName val="96예산신청을 위한 양식및 공문"/>
      <sheetName val="현금"/>
      <sheetName val="원가계산"/>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생산성98"/>
      <sheetName val="표지"/>
      <sheetName val="자구계획db"/>
      <sheetName val="부서코드표"/>
      <sheetName val="3-3"/>
      <sheetName val="RE9604"/>
      <sheetName val="득점현황"/>
      <sheetName val="대외공문"/>
      <sheetName val="1유리"/>
      <sheetName val="현금"/>
      <sheetName val="입고단가기준"/>
      <sheetName val="존4"/>
      <sheetName val="RD제품개발투자비(매가)"/>
      <sheetName val="시산표"/>
      <sheetName val="99-0002"/>
      <sheetName val="Assumption"/>
      <sheetName val="차체부품 INS REPORT(갑)"/>
      <sheetName val="총원가.24"/>
      <sheetName val="구동"/>
      <sheetName val="전사 (2)"/>
      <sheetName val="BA (2)"/>
      <sheetName val="CP (2)"/>
      <sheetName val="품의서"/>
      <sheetName val="경영피벗"/>
      <sheetName val="노c"/>
      <sheetName val="제조부문배부"/>
      <sheetName val="첨부1"/>
      <sheetName val="RFP견적물량(60%)"/>
      <sheetName val="경영현황"/>
      <sheetName val="euc"/>
      <sheetName val="공문"/>
      <sheetName val="07년매출실적"/>
      <sheetName val="장이정"/>
      <sheetName val="장일정"/>
      <sheetName val="장중정"/>
      <sheetName val="1월말"/>
      <sheetName val="ILBAN"/>
      <sheetName val="지성학원"/>
      <sheetName val="추가예산"/>
      <sheetName val="원가명세"/>
      <sheetName val="해외 기술훈련비 (합계)"/>
      <sheetName val="일정(4)"/>
      <sheetName val="일정(3)"/>
      <sheetName val="Sheet11"/>
      <sheetName val="자바라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목차본문"/>
      <sheetName val="정산표"/>
      <sheetName val="확정BS"/>
      <sheetName val="경영비율 "/>
      <sheetName val="확정IS"/>
      <sheetName val="결손금(안)"/>
      <sheetName val="현금흐름"/>
      <sheetName val="현금흐름표"/>
      <sheetName val="주석"/>
      <sheetName val="부속명세서"/>
      <sheetName val="매출액(명) "/>
      <sheetName val="매출원가(명)"/>
      <sheetName val="경영표지"/>
      <sheetName val="영업사항"/>
      <sheetName val="대주주"/>
      <sheetName val="본사재고"/>
      <sheetName val="수정시산표"/>
      <sheetName val="GEN Inputs"/>
      <sheetName val="WACC_BUILDUP"/>
      <sheetName val="IR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광사거리"/>
      <sheetName val="첨부1"/>
      <sheetName val="Ⅱ.손익계산서"/>
    </sheetNames>
    <sheetDataSet>
      <sheetData sheetId="0" refreshError="1"/>
      <sheetData sheetId="1" refreshError="1"/>
      <sheetData sheetId="2"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계"/>
      <sheetName val="국내리스1"/>
      <sheetName val="특외대"/>
      <sheetName val="연불,리스"/>
      <sheetName val="원화00"/>
      <sheetName val="원화01"/>
      <sheetName val="원화02"/>
      <sheetName val="원화03"/>
      <sheetName val="현지00"/>
      <sheetName val="현지01"/>
      <sheetName val="현지02"/>
      <sheetName val="현지03"/>
      <sheetName val="회사채00"/>
      <sheetName val="회사채01"/>
      <sheetName val="회사채02"/>
      <sheetName val="회사채03"/>
      <sheetName val="국내리스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특수"/>
      <sheetName val="참고"/>
      <sheetName val="현장"/>
      <sheetName val="계획대비"/>
      <sheetName val="골조시행"/>
      <sheetName val="출자한도"/>
      <sheetName val="건축내역"/>
      <sheetName val="예산"/>
      <sheetName val="손익차9월2"/>
      <sheetName val="Sheet2"/>
      <sheetName val="부재리스트"/>
      <sheetName val="양식0202"/>
      <sheetName val="현장명"/>
      <sheetName val="내역"/>
      <sheetName val="경영혁신본부"/>
      <sheetName val="#REF"/>
      <sheetName val="차액보증"/>
      <sheetName val="할증 "/>
      <sheetName val="사업부배부A"/>
      <sheetName val="당진1,2호기전선관설치및접지4차공사내역서-을지"/>
      <sheetName val="입찰안"/>
      <sheetName val="1001"/>
      <sheetName val="내역서"/>
      <sheetName val="12CGOU"/>
      <sheetName val="특외대"/>
      <sheetName val="첨부1"/>
      <sheetName val="기준액"/>
      <sheetName val="95년12월말"/>
      <sheetName val="리비아전체장비200306"/>
      <sheetName val="BID"/>
      <sheetName val="경산"/>
      <sheetName val="BOJUNGGM"/>
      <sheetName val="MIJIBI"/>
      <sheetName val="손익9801"/>
      <sheetName val="가로등내역서"/>
      <sheetName val="구분"/>
      <sheetName val="목창호"/>
      <sheetName val="실행철강하도"/>
      <sheetName val="도급양식"/>
      <sheetName val="기성현황"/>
      <sheetName val="사업전망"/>
      <sheetName val="원가현황"/>
      <sheetName val="당초"/>
      <sheetName val="SG"/>
      <sheetName val="기성수금(단단위)"/>
      <sheetName val="원가매출(단단위)"/>
      <sheetName val="인수공규격"/>
      <sheetName val="현금"/>
      <sheetName val="감가상각"/>
      <sheetName val="누계12"/>
      <sheetName val="RECIMAKE"/>
      <sheetName val="2.예금"/>
      <sheetName val="NYS"/>
      <sheetName val="대,유,램"/>
      <sheetName val="경비"/>
      <sheetName val="EACT10"/>
      <sheetName val="보증수수료산출"/>
      <sheetName val="200"/>
      <sheetName val="집계표"/>
      <sheetName val="인건-측정"/>
      <sheetName val="매출원가"/>
      <sheetName val="실행"/>
      <sheetName val="내역서2안"/>
      <sheetName val="일위대가"/>
      <sheetName val="준검 내역서"/>
      <sheetName val="지질조사"/>
      <sheetName val="2001년 예산"/>
      <sheetName val="Input"/>
      <sheetName val="도급견적가"/>
      <sheetName val="남양시작동자105노65기1.3화1.2"/>
      <sheetName val="조명시설"/>
      <sheetName val="중기"/>
      <sheetName val="데리네이타현황"/>
      <sheetName val="2000년1차"/>
      <sheetName val="남대문빌딩"/>
      <sheetName val="2공구산출내역"/>
      <sheetName val="토공(우물통,기타) "/>
      <sheetName val="원가"/>
      <sheetName val="미지급금"/>
      <sheetName val="년판01"/>
      <sheetName val="보험금"/>
      <sheetName val="경영비율 "/>
      <sheetName val="손익계산서"/>
      <sheetName val="주민번호"/>
      <sheetName val="수정시산표"/>
      <sheetName val="Sheet6"/>
      <sheetName val="일반관리"/>
      <sheetName val="운항율"/>
      <sheetName val="산출근거"/>
      <sheetName val="견적서"/>
      <sheetName val="단가조사"/>
      <sheetName val="KUNGDEVI"/>
      <sheetName val="회사정보"/>
      <sheetName val="호봉피치"/>
      <sheetName val="Sheet3"/>
      <sheetName val="공사개요"/>
      <sheetName val="직접비원가"/>
      <sheetName val="패널"/>
      <sheetName val="직노"/>
      <sheetName val="산근"/>
      <sheetName val="일위대가표"/>
      <sheetName val="콘크리트타설집계표"/>
      <sheetName val="반포2차"/>
      <sheetName val="설계내역서"/>
      <sheetName val="F라인"/>
      <sheetName val="존4"/>
      <sheetName val="Instruction"/>
      <sheetName val="직원"/>
      <sheetName val="업무분장 "/>
      <sheetName val="공통"/>
      <sheetName val="상품입고집계"/>
      <sheetName val="YOEMAGUM"/>
      <sheetName val="대출금현황"/>
      <sheetName val="controll"/>
      <sheetName val="기본가정"/>
      <sheetName val="Sheet5"/>
      <sheetName val="영문"/>
      <sheetName val="공통가설공사"/>
      <sheetName val="조명율표"/>
      <sheetName val="선급법인세"/>
      <sheetName val="할증_"/>
      <sheetName val="Sheet1"/>
      <sheetName val="지성학원"/>
      <sheetName val="8월차잔"/>
      <sheetName val="세골재  T2 변경 현황"/>
      <sheetName val="교각별철근수량집계표"/>
      <sheetName val="12월집계"/>
      <sheetName val="출금실적"/>
      <sheetName val="총보수(월)"/>
      <sheetName val="실적"/>
      <sheetName val="총괄(회사1)"/>
      <sheetName val="생산매출 (4)"/>
      <sheetName val="연환"/>
      <sheetName val="외화"/>
      <sheetName val="공정외주"/>
      <sheetName val="BS(5월-경리과)"/>
      <sheetName val="관계주식"/>
      <sheetName val="원가검토가 (최초양산품)"/>
      <sheetName val="원가검토가 (현양산품)"/>
      <sheetName val="시산표"/>
      <sheetName val="#3_일위대가목록"/>
      <sheetName val="조경일람"/>
      <sheetName val="실행내역"/>
      <sheetName val="주메뉴"/>
      <sheetName val="부채평가"/>
      <sheetName val="신공"/>
      <sheetName val="노임단가"/>
      <sheetName val="장단기차입금LS"/>
      <sheetName val="1 자원총괄"/>
      <sheetName val="LIST"/>
      <sheetName val="주요기준"/>
      <sheetName val="VXXXXXX"/>
      <sheetName val="주요재무비율"/>
      <sheetName val="원료비"/>
      <sheetName val="(1)2002년 매출목표 산출"/>
      <sheetName val="단말기리스트"/>
      <sheetName val="급여인상효과-연간부담분"/>
      <sheetName val="完"/>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참가보고"/>
      <sheetName val="실행갑지"/>
      <sheetName val="내역갑지"/>
      <sheetName val="내역"/>
      <sheetName val="하수급견적대비"/>
    </sheetNames>
    <sheetDataSet>
      <sheetData sheetId="0" refreshError="1"/>
      <sheetData sheetId="1" refreshError="1"/>
      <sheetData sheetId="2" refreshError="1"/>
      <sheetData sheetId="3" refreshError="1"/>
      <sheetData sheetId="4" refreshError="1">
        <row r="2">
          <cell r="A2" t="str">
            <v xml:space="preserve"> </v>
          </cell>
          <cell r="B2" t="str">
            <v xml:space="preserve"> </v>
          </cell>
          <cell r="C2" t="str">
            <v xml:space="preserve"> </v>
          </cell>
          <cell r="D2" t="str">
            <v xml:space="preserve"> </v>
          </cell>
          <cell r="E2" t="str">
            <v>단  가</v>
          </cell>
          <cell r="F2" t="str">
            <v>금  액</v>
          </cell>
          <cell r="G2" t="str">
            <v>단   가</v>
          </cell>
          <cell r="I2" t="str">
            <v>단   가</v>
          </cell>
          <cell r="J2" t="str">
            <v>금    액</v>
          </cell>
          <cell r="K2" t="str">
            <v>설계대비</v>
          </cell>
          <cell r="L2" t="str">
            <v>단  가</v>
          </cell>
          <cell r="M2" t="str">
            <v>금  액</v>
          </cell>
        </row>
        <row r="3">
          <cell r="J3" t="str">
            <v xml:space="preserve"> </v>
          </cell>
        </row>
        <row r="4">
          <cell r="A4">
            <v>1</v>
          </cell>
          <cell r="B4" t="str">
            <v>토  공</v>
          </cell>
          <cell r="M4" t="str">
            <v xml:space="preserve"> </v>
          </cell>
        </row>
        <row r="6">
          <cell r="A6">
            <v>1.01</v>
          </cell>
          <cell r="B6" t="str">
            <v>기존구조물철거공</v>
          </cell>
          <cell r="M6" t="str">
            <v xml:space="preserve"> </v>
          </cell>
        </row>
        <row r="7">
          <cell r="A7" t="str">
            <v>a</v>
          </cell>
          <cell r="B7" t="str">
            <v>무근 콘크리트 깨기</v>
          </cell>
          <cell r="C7" t="str">
            <v>m3</v>
          </cell>
          <cell r="D7">
            <v>259</v>
          </cell>
          <cell r="E7">
            <v>23000</v>
          </cell>
          <cell r="F7">
            <v>5957000</v>
          </cell>
          <cell r="G7">
            <v>15700</v>
          </cell>
          <cell r="H7">
            <v>0</v>
          </cell>
          <cell r="I7">
            <v>15700</v>
          </cell>
          <cell r="J7">
            <v>4066300</v>
          </cell>
          <cell r="K7">
            <v>0.68260869565217386</v>
          </cell>
          <cell r="L7">
            <v>12000</v>
          </cell>
          <cell r="M7">
            <v>3108000</v>
          </cell>
        </row>
        <row r="8">
          <cell r="A8" t="str">
            <v>b</v>
          </cell>
          <cell r="B8" t="str">
            <v>철근 콘크리트 깨기</v>
          </cell>
          <cell r="C8" t="str">
            <v>m3</v>
          </cell>
          <cell r="D8">
            <v>748</v>
          </cell>
          <cell r="E8">
            <v>33074</v>
          </cell>
          <cell r="F8">
            <v>24739352</v>
          </cell>
          <cell r="G8">
            <v>26580</v>
          </cell>
          <cell r="H8">
            <v>0</v>
          </cell>
          <cell r="I8">
            <v>26580</v>
          </cell>
          <cell r="J8">
            <v>19881840</v>
          </cell>
          <cell r="K8">
            <v>0.80365241579488422</v>
          </cell>
          <cell r="L8">
            <v>15000</v>
          </cell>
          <cell r="M8">
            <v>11220000</v>
          </cell>
        </row>
        <row r="9">
          <cell r="A9" t="str">
            <v>c</v>
          </cell>
          <cell r="B9" t="str">
            <v>석축헐기</v>
          </cell>
          <cell r="C9" t="str">
            <v>m2</v>
          </cell>
          <cell r="D9">
            <v>240</v>
          </cell>
          <cell r="E9">
            <v>14531</v>
          </cell>
          <cell r="F9">
            <v>3487440</v>
          </cell>
          <cell r="G9">
            <v>10920</v>
          </cell>
          <cell r="H9">
            <v>0</v>
          </cell>
          <cell r="I9">
            <v>10920</v>
          </cell>
          <cell r="J9">
            <v>2620800</v>
          </cell>
          <cell r="K9">
            <v>0.75149679994494534</v>
          </cell>
          <cell r="L9">
            <v>8000</v>
          </cell>
          <cell r="M9">
            <v>1920000</v>
          </cell>
        </row>
        <row r="10">
          <cell r="A10" t="str">
            <v>d</v>
          </cell>
          <cell r="B10" t="str">
            <v>기존포장끼기</v>
          </cell>
          <cell r="C10" t="str">
            <v xml:space="preserve"> </v>
          </cell>
          <cell r="D10" t="str">
            <v xml:space="preserve"> </v>
          </cell>
          <cell r="G10">
            <v>0</v>
          </cell>
          <cell r="H10">
            <v>0</v>
          </cell>
          <cell r="I10">
            <v>0</v>
          </cell>
          <cell r="J10">
            <v>0</v>
          </cell>
          <cell r="K10">
            <v>0</v>
          </cell>
          <cell r="M10">
            <v>0</v>
          </cell>
        </row>
        <row r="11">
          <cell r="A11" t="str">
            <v>d-1</v>
          </cell>
          <cell r="B11" t="str">
            <v>콘크리트 포장</v>
          </cell>
          <cell r="C11" t="str">
            <v>m3</v>
          </cell>
          <cell r="D11">
            <v>250</v>
          </cell>
          <cell r="E11">
            <v>18001</v>
          </cell>
          <cell r="F11">
            <v>4500250</v>
          </cell>
          <cell r="G11">
            <v>16800</v>
          </cell>
          <cell r="H11">
            <v>0</v>
          </cell>
          <cell r="I11">
            <v>16800</v>
          </cell>
          <cell r="J11">
            <v>4200000</v>
          </cell>
          <cell r="K11">
            <v>0.93328148436197989</v>
          </cell>
          <cell r="L11">
            <v>8000</v>
          </cell>
          <cell r="M11">
            <v>2000000</v>
          </cell>
        </row>
        <row r="12">
          <cell r="A12" t="str">
            <v>d-2</v>
          </cell>
          <cell r="B12" t="str">
            <v>아스팔트 포장</v>
          </cell>
          <cell r="C12" t="str">
            <v>m3</v>
          </cell>
          <cell r="D12">
            <v>29</v>
          </cell>
          <cell r="E12">
            <v>14814</v>
          </cell>
          <cell r="F12">
            <v>429606</v>
          </cell>
          <cell r="G12">
            <v>14260</v>
          </cell>
          <cell r="H12">
            <v>0</v>
          </cell>
          <cell r="I12">
            <v>14260</v>
          </cell>
          <cell r="J12">
            <v>413540</v>
          </cell>
          <cell r="K12">
            <v>0.96260294316187389</v>
          </cell>
          <cell r="L12">
            <v>8000</v>
          </cell>
          <cell r="M12">
            <v>232000</v>
          </cell>
        </row>
        <row r="13">
          <cell r="A13" t="str">
            <v>e</v>
          </cell>
          <cell r="B13" t="str">
            <v>기계절단공</v>
          </cell>
          <cell r="C13" t="str">
            <v xml:space="preserve"> </v>
          </cell>
          <cell r="D13" t="str">
            <v xml:space="preserve"> </v>
          </cell>
          <cell r="G13" t="str">
            <v xml:space="preserve"> </v>
          </cell>
          <cell r="H13">
            <v>0</v>
          </cell>
          <cell r="I13" t="str">
            <v xml:space="preserve"> </v>
          </cell>
          <cell r="J13">
            <v>0</v>
          </cell>
          <cell r="K13">
            <v>0</v>
          </cell>
          <cell r="M13">
            <v>0</v>
          </cell>
        </row>
        <row r="14">
          <cell r="A14" t="str">
            <v>e-1</v>
          </cell>
          <cell r="B14" t="str">
            <v>콘크리트</v>
          </cell>
          <cell r="C14" t="str">
            <v>m</v>
          </cell>
          <cell r="D14">
            <v>10</v>
          </cell>
          <cell r="E14">
            <v>1290</v>
          </cell>
          <cell r="F14">
            <v>12900</v>
          </cell>
          <cell r="G14">
            <v>1660</v>
          </cell>
          <cell r="H14">
            <v>0</v>
          </cell>
          <cell r="I14">
            <v>1660</v>
          </cell>
          <cell r="J14">
            <v>16600</v>
          </cell>
          <cell r="K14">
            <v>1.2868217054263567</v>
          </cell>
          <cell r="L14">
            <v>1500</v>
          </cell>
          <cell r="M14">
            <v>15000</v>
          </cell>
        </row>
        <row r="15">
          <cell r="A15" t="str">
            <v>e-2</v>
          </cell>
          <cell r="B15" t="str">
            <v>아스콘</v>
          </cell>
          <cell r="C15" t="str">
            <v>m</v>
          </cell>
          <cell r="D15">
            <v>1480</v>
          </cell>
          <cell r="E15">
            <v>1149</v>
          </cell>
          <cell r="F15">
            <v>1700520</v>
          </cell>
          <cell r="G15">
            <v>1300</v>
          </cell>
          <cell r="H15">
            <v>0</v>
          </cell>
          <cell r="I15">
            <v>1300</v>
          </cell>
          <cell r="J15">
            <v>1924000</v>
          </cell>
          <cell r="K15">
            <v>1.1314186248912097</v>
          </cell>
          <cell r="L15">
            <v>1500</v>
          </cell>
          <cell r="M15">
            <v>2220000</v>
          </cell>
        </row>
        <row r="16">
          <cell r="A16">
            <v>1.02</v>
          </cell>
          <cell r="B16" t="str">
            <v>토사다이크 축조공</v>
          </cell>
          <cell r="C16" t="str">
            <v>m3</v>
          </cell>
          <cell r="D16">
            <v>4027</v>
          </cell>
          <cell r="E16">
            <v>2231</v>
          </cell>
          <cell r="F16">
            <v>8984237</v>
          </cell>
          <cell r="G16">
            <v>2800</v>
          </cell>
          <cell r="H16">
            <v>0</v>
          </cell>
          <cell r="I16">
            <v>2800</v>
          </cell>
          <cell r="J16">
            <v>11275600</v>
          </cell>
          <cell r="K16">
            <v>1.2550425818018827</v>
          </cell>
          <cell r="L16">
            <v>500</v>
          </cell>
          <cell r="M16">
            <v>2013500</v>
          </cell>
        </row>
        <row r="17">
          <cell r="A17">
            <v>1.03</v>
          </cell>
          <cell r="B17" t="str">
            <v>탑구간 표토 제거공</v>
          </cell>
          <cell r="C17" t="str">
            <v>m2</v>
          </cell>
          <cell r="D17">
            <v>23468</v>
          </cell>
          <cell r="E17">
            <v>146</v>
          </cell>
          <cell r="F17">
            <v>3426328</v>
          </cell>
          <cell r="G17">
            <v>150</v>
          </cell>
          <cell r="H17">
            <v>0</v>
          </cell>
          <cell r="I17">
            <v>150</v>
          </cell>
          <cell r="J17">
            <v>3520200</v>
          </cell>
          <cell r="K17">
            <v>1.0273972602739727</v>
          </cell>
          <cell r="L17">
            <v>150</v>
          </cell>
          <cell r="M17">
            <v>3520200</v>
          </cell>
        </row>
        <row r="18">
          <cell r="A18">
            <v>1.04</v>
          </cell>
          <cell r="B18" t="str">
            <v>벌개 제근공</v>
          </cell>
          <cell r="C18" t="str">
            <v>m3</v>
          </cell>
          <cell r="D18">
            <v>660881</v>
          </cell>
          <cell r="E18">
            <v>171</v>
          </cell>
          <cell r="F18">
            <v>113010651</v>
          </cell>
          <cell r="G18">
            <v>370</v>
          </cell>
          <cell r="H18">
            <v>0</v>
          </cell>
          <cell r="I18">
            <v>370</v>
          </cell>
          <cell r="J18">
            <v>244525970</v>
          </cell>
          <cell r="K18">
            <v>2.1637426900584797</v>
          </cell>
          <cell r="L18">
            <v>150</v>
          </cell>
          <cell r="M18">
            <v>99132150</v>
          </cell>
        </row>
        <row r="19">
          <cell r="A19">
            <v>1.05</v>
          </cell>
          <cell r="B19" t="str">
            <v>깍기공</v>
          </cell>
          <cell r="C19" t="str">
            <v xml:space="preserve"> </v>
          </cell>
          <cell r="D19" t="str">
            <v xml:space="preserve"> </v>
          </cell>
          <cell r="G19" t="str">
            <v xml:space="preserve"> </v>
          </cell>
          <cell r="H19">
            <v>0</v>
          </cell>
          <cell r="I19" t="str">
            <v xml:space="preserve"> </v>
          </cell>
          <cell r="J19">
            <v>0</v>
          </cell>
          <cell r="K19">
            <v>0</v>
          </cell>
          <cell r="M19">
            <v>0</v>
          </cell>
        </row>
        <row r="20">
          <cell r="A20" t="str">
            <v>a</v>
          </cell>
          <cell r="B20" t="str">
            <v>토 사</v>
          </cell>
          <cell r="C20" t="str">
            <v>m3</v>
          </cell>
          <cell r="D20">
            <v>1530106</v>
          </cell>
          <cell r="E20">
            <v>483</v>
          </cell>
          <cell r="F20">
            <v>739041198</v>
          </cell>
          <cell r="G20">
            <v>400</v>
          </cell>
          <cell r="H20">
            <v>0</v>
          </cell>
          <cell r="I20">
            <v>400</v>
          </cell>
          <cell r="J20">
            <v>612042400</v>
          </cell>
          <cell r="K20">
            <v>0.82815734989648038</v>
          </cell>
          <cell r="L20">
            <v>400</v>
          </cell>
          <cell r="M20">
            <v>612042400</v>
          </cell>
        </row>
        <row r="21">
          <cell r="A21" t="str">
            <v>b</v>
          </cell>
          <cell r="B21" t="str">
            <v>리핑암</v>
          </cell>
          <cell r="C21" t="str">
            <v>m3</v>
          </cell>
          <cell r="D21">
            <v>1539857</v>
          </cell>
          <cell r="E21">
            <v>894</v>
          </cell>
          <cell r="F21">
            <v>1376632158</v>
          </cell>
          <cell r="G21">
            <v>680</v>
          </cell>
          <cell r="H21">
            <v>0</v>
          </cell>
          <cell r="I21">
            <v>680</v>
          </cell>
          <cell r="J21">
            <v>1047102760</v>
          </cell>
          <cell r="K21">
            <v>0.76062639821029088</v>
          </cell>
          <cell r="L21">
            <v>700</v>
          </cell>
          <cell r="M21">
            <v>1077899900</v>
          </cell>
        </row>
        <row r="22">
          <cell r="A22" t="str">
            <v>c</v>
          </cell>
          <cell r="B22" t="str">
            <v>발파암</v>
          </cell>
          <cell r="C22" t="str">
            <v>m3</v>
          </cell>
          <cell r="D22" t="str">
            <v xml:space="preserve"> </v>
          </cell>
          <cell r="G22" t="str">
            <v xml:space="preserve"> </v>
          </cell>
          <cell r="H22">
            <v>0</v>
          </cell>
          <cell r="I22" t="str">
            <v xml:space="preserve"> </v>
          </cell>
          <cell r="J22">
            <v>0</v>
          </cell>
          <cell r="K22">
            <v>0</v>
          </cell>
          <cell r="M22">
            <v>0</v>
          </cell>
        </row>
        <row r="23">
          <cell r="A23" t="str">
            <v>c-1</v>
          </cell>
          <cell r="B23" t="str">
            <v>신 설 (발파 100%)</v>
          </cell>
          <cell r="C23" t="str">
            <v>m3</v>
          </cell>
          <cell r="D23">
            <v>759008</v>
          </cell>
          <cell r="E23">
            <v>8543</v>
          </cell>
          <cell r="F23">
            <v>6484205344</v>
          </cell>
          <cell r="G23">
            <v>5200</v>
          </cell>
          <cell r="H23">
            <v>0</v>
          </cell>
          <cell r="I23">
            <v>5200</v>
          </cell>
          <cell r="J23">
            <v>3946841600</v>
          </cell>
          <cell r="K23">
            <v>0.60868547348706548</v>
          </cell>
          <cell r="L23">
            <v>3700</v>
          </cell>
          <cell r="M23">
            <v>2808329600</v>
          </cell>
        </row>
        <row r="24">
          <cell r="A24" t="str">
            <v>c-3</v>
          </cell>
          <cell r="B24" t="str">
            <v>미진동 발파</v>
          </cell>
          <cell r="C24" t="str">
            <v>m3</v>
          </cell>
          <cell r="D24">
            <v>48264</v>
          </cell>
          <cell r="E24">
            <v>18641</v>
          </cell>
          <cell r="F24">
            <v>899689224</v>
          </cell>
          <cell r="G24">
            <v>15000</v>
          </cell>
          <cell r="H24">
            <v>0</v>
          </cell>
          <cell r="I24">
            <v>15000</v>
          </cell>
          <cell r="J24">
            <v>723960000</v>
          </cell>
          <cell r="K24">
            <v>0.80467786062979452</v>
          </cell>
          <cell r="L24">
            <v>13000</v>
          </cell>
          <cell r="M24">
            <v>627432000</v>
          </cell>
        </row>
        <row r="25">
          <cell r="A25">
            <v>1.06</v>
          </cell>
          <cell r="B25" t="str">
            <v>운 반 공</v>
          </cell>
          <cell r="C25" t="str">
            <v xml:space="preserve"> </v>
          </cell>
          <cell r="D25" t="str">
            <v xml:space="preserve"> </v>
          </cell>
          <cell r="G25" t="str">
            <v xml:space="preserve"> </v>
          </cell>
          <cell r="H25">
            <v>0</v>
          </cell>
          <cell r="I25" t="str">
            <v xml:space="preserve"> </v>
          </cell>
          <cell r="J25">
            <v>0</v>
          </cell>
          <cell r="K25">
            <v>0</v>
          </cell>
          <cell r="M25">
            <v>0</v>
          </cell>
        </row>
        <row r="26">
          <cell r="A26" t="str">
            <v>a</v>
          </cell>
          <cell r="B26" t="str">
            <v>토 사</v>
          </cell>
          <cell r="G26" t="str">
            <v xml:space="preserve"> </v>
          </cell>
          <cell r="H26">
            <v>0</v>
          </cell>
          <cell r="I26" t="str">
            <v xml:space="preserve"> </v>
          </cell>
          <cell r="J26">
            <v>0</v>
          </cell>
          <cell r="K26">
            <v>0</v>
          </cell>
          <cell r="M26">
            <v>0</v>
          </cell>
        </row>
        <row r="27">
          <cell r="A27" t="str">
            <v>a-1</v>
          </cell>
          <cell r="B27" t="str">
            <v>무 대</v>
          </cell>
          <cell r="C27" t="str">
            <v>m3</v>
          </cell>
          <cell r="D27">
            <v>210249</v>
          </cell>
          <cell r="G27" t="str">
            <v xml:space="preserve"> </v>
          </cell>
          <cell r="H27">
            <v>0</v>
          </cell>
          <cell r="I27" t="str">
            <v xml:space="preserve"> </v>
          </cell>
          <cell r="J27">
            <v>0</v>
          </cell>
          <cell r="K27">
            <v>0</v>
          </cell>
          <cell r="M27">
            <v>0</v>
          </cell>
        </row>
        <row r="28">
          <cell r="A28" t="str">
            <v>a-2</v>
          </cell>
          <cell r="B28" t="str">
            <v>도우져</v>
          </cell>
          <cell r="C28" t="str">
            <v>m3</v>
          </cell>
          <cell r="D28">
            <v>78377</v>
          </cell>
          <cell r="E28">
            <v>404</v>
          </cell>
          <cell r="F28">
            <v>31664308</v>
          </cell>
          <cell r="G28">
            <v>350</v>
          </cell>
          <cell r="H28">
            <v>0</v>
          </cell>
          <cell r="I28">
            <v>350</v>
          </cell>
          <cell r="J28">
            <v>27431950</v>
          </cell>
          <cell r="K28">
            <v>0.86633663366336633</v>
          </cell>
          <cell r="L28">
            <v>500</v>
          </cell>
          <cell r="M28">
            <v>39188500</v>
          </cell>
        </row>
        <row r="29">
          <cell r="A29" t="str">
            <v>a-3</v>
          </cell>
          <cell r="B29" t="str">
            <v>덤프트럭</v>
          </cell>
          <cell r="C29" t="str">
            <v>m3</v>
          </cell>
          <cell r="D29">
            <v>1305448</v>
          </cell>
          <cell r="E29">
            <v>1557</v>
          </cell>
          <cell r="F29">
            <v>2032582536</v>
          </cell>
          <cell r="G29">
            <v>1220</v>
          </cell>
          <cell r="H29">
            <v>0</v>
          </cell>
          <cell r="I29">
            <v>1220</v>
          </cell>
          <cell r="J29">
            <v>1592646560</v>
          </cell>
          <cell r="K29">
            <v>0.78355812459858698</v>
          </cell>
          <cell r="L29">
            <v>1100</v>
          </cell>
          <cell r="M29">
            <v>1435992800</v>
          </cell>
        </row>
        <row r="30">
          <cell r="A30" t="str">
            <v>b</v>
          </cell>
          <cell r="B30" t="str">
            <v>리핑암</v>
          </cell>
          <cell r="C30" t="str">
            <v xml:space="preserve"> </v>
          </cell>
          <cell r="D30" t="str">
            <v xml:space="preserve"> </v>
          </cell>
          <cell r="G30" t="str">
            <v xml:space="preserve"> </v>
          </cell>
          <cell r="H30">
            <v>0</v>
          </cell>
          <cell r="I30" t="str">
            <v xml:space="preserve"> </v>
          </cell>
          <cell r="J30">
            <v>0</v>
          </cell>
          <cell r="K30">
            <v>0</v>
          </cell>
          <cell r="M30">
            <v>0</v>
          </cell>
        </row>
        <row r="31">
          <cell r="A31" t="str">
            <v>b-1</v>
          </cell>
          <cell r="B31" t="str">
            <v>무 대</v>
          </cell>
          <cell r="C31" t="str">
            <v>m3</v>
          </cell>
          <cell r="D31">
            <v>81606</v>
          </cell>
          <cell r="G31" t="str">
            <v xml:space="preserve"> </v>
          </cell>
          <cell r="H31">
            <v>0</v>
          </cell>
          <cell r="I31" t="str">
            <v xml:space="preserve"> </v>
          </cell>
          <cell r="J31">
            <v>0</v>
          </cell>
          <cell r="K31">
            <v>0</v>
          </cell>
          <cell r="M31">
            <v>0</v>
          </cell>
        </row>
        <row r="32">
          <cell r="A32" t="str">
            <v>b-2</v>
          </cell>
          <cell r="B32" t="str">
            <v>도우져</v>
          </cell>
          <cell r="C32" t="str">
            <v>m3</v>
          </cell>
          <cell r="D32">
            <v>37744</v>
          </cell>
          <cell r="E32">
            <v>680</v>
          </cell>
          <cell r="F32">
            <v>25665920</v>
          </cell>
          <cell r="G32">
            <v>440</v>
          </cell>
          <cell r="H32">
            <v>0</v>
          </cell>
          <cell r="I32">
            <v>440</v>
          </cell>
          <cell r="J32">
            <v>16607360</v>
          </cell>
          <cell r="K32">
            <v>0.6470588235294118</v>
          </cell>
          <cell r="L32">
            <v>700</v>
          </cell>
          <cell r="M32">
            <v>26420800</v>
          </cell>
        </row>
        <row r="33">
          <cell r="A33" t="str">
            <v>b-3</v>
          </cell>
          <cell r="B33" t="str">
            <v>덤프트럭</v>
          </cell>
          <cell r="C33" t="str">
            <v>m3</v>
          </cell>
          <cell r="D33">
            <v>1430919</v>
          </cell>
          <cell r="E33">
            <v>2650</v>
          </cell>
          <cell r="F33">
            <v>3791935350</v>
          </cell>
          <cell r="G33">
            <v>1460</v>
          </cell>
          <cell r="H33">
            <v>0</v>
          </cell>
          <cell r="I33">
            <v>1460</v>
          </cell>
          <cell r="J33">
            <v>2089141740</v>
          </cell>
          <cell r="K33">
            <v>0.55094339622641508</v>
          </cell>
          <cell r="L33">
            <v>1400</v>
          </cell>
          <cell r="M33">
            <v>2003286600</v>
          </cell>
        </row>
        <row r="34">
          <cell r="A34" t="str">
            <v>c</v>
          </cell>
          <cell r="B34" t="str">
            <v>발파암</v>
          </cell>
          <cell r="C34" t="str">
            <v xml:space="preserve"> </v>
          </cell>
          <cell r="G34" t="str">
            <v xml:space="preserve"> </v>
          </cell>
          <cell r="H34">
            <v>0</v>
          </cell>
          <cell r="I34" t="str">
            <v xml:space="preserve"> </v>
          </cell>
          <cell r="J34">
            <v>0</v>
          </cell>
          <cell r="K34">
            <v>0</v>
          </cell>
          <cell r="M34">
            <v>0</v>
          </cell>
        </row>
        <row r="35">
          <cell r="A35" t="str">
            <v>c-1</v>
          </cell>
          <cell r="B35" t="str">
            <v>무 대</v>
          </cell>
          <cell r="C35" t="str">
            <v>m3</v>
          </cell>
          <cell r="D35">
            <v>15205</v>
          </cell>
          <cell r="G35" t="str">
            <v xml:space="preserve"> </v>
          </cell>
          <cell r="H35">
            <v>0</v>
          </cell>
          <cell r="I35" t="str">
            <v xml:space="preserve"> </v>
          </cell>
          <cell r="J35">
            <v>0</v>
          </cell>
          <cell r="K35">
            <v>0</v>
          </cell>
          <cell r="L35">
            <v>900</v>
          </cell>
          <cell r="M35">
            <v>13684500</v>
          </cell>
        </row>
        <row r="36">
          <cell r="A36" t="str">
            <v>c-2</v>
          </cell>
          <cell r="B36" t="str">
            <v>도우져</v>
          </cell>
          <cell r="C36" t="str">
            <v>m3</v>
          </cell>
          <cell r="D36">
            <v>16660</v>
          </cell>
          <cell r="E36">
            <v>1160</v>
          </cell>
          <cell r="F36">
            <v>19325600</v>
          </cell>
          <cell r="G36">
            <v>980</v>
          </cell>
          <cell r="H36">
            <v>0</v>
          </cell>
          <cell r="I36">
            <v>980</v>
          </cell>
          <cell r="J36">
            <v>16326800</v>
          </cell>
          <cell r="K36">
            <v>0.84482758620689657</v>
          </cell>
          <cell r="L36">
            <v>1800</v>
          </cell>
          <cell r="M36">
            <v>29988000</v>
          </cell>
        </row>
        <row r="37">
          <cell r="A37" t="str">
            <v>c-3</v>
          </cell>
          <cell r="B37" t="str">
            <v>덤프트럭</v>
          </cell>
          <cell r="C37" t="str">
            <v>m3</v>
          </cell>
          <cell r="D37">
            <v>459412</v>
          </cell>
          <cell r="E37">
            <v>4534</v>
          </cell>
          <cell r="F37">
            <v>2082974008</v>
          </cell>
          <cell r="G37">
            <v>2450</v>
          </cell>
          <cell r="H37">
            <v>0</v>
          </cell>
          <cell r="I37">
            <v>2450</v>
          </cell>
          <cell r="J37">
            <v>1125559400</v>
          </cell>
          <cell r="K37">
            <v>0.54036171151301282</v>
          </cell>
          <cell r="L37">
            <v>2500</v>
          </cell>
          <cell r="M37">
            <v>1148530000</v>
          </cell>
        </row>
        <row r="38">
          <cell r="A38" t="str">
            <v>e</v>
          </cell>
          <cell r="B38" t="str">
            <v>사 토</v>
          </cell>
          <cell r="C38" t="str">
            <v xml:space="preserve"> </v>
          </cell>
          <cell r="G38" t="str">
            <v xml:space="preserve"> </v>
          </cell>
          <cell r="H38">
            <v>0</v>
          </cell>
          <cell r="I38" t="str">
            <v xml:space="preserve"> </v>
          </cell>
          <cell r="J38">
            <v>0</v>
          </cell>
          <cell r="K38">
            <v>0</v>
          </cell>
          <cell r="M38">
            <v>0</v>
          </cell>
        </row>
        <row r="39">
          <cell r="A39" t="str">
            <v>e-1</v>
          </cell>
          <cell r="B39" t="str">
            <v>토 사</v>
          </cell>
          <cell r="C39" t="str">
            <v>m3</v>
          </cell>
          <cell r="D39">
            <v>38927</v>
          </cell>
          <cell r="E39">
            <v>1871</v>
          </cell>
          <cell r="F39">
            <v>72832417</v>
          </cell>
          <cell r="G39">
            <v>1700</v>
          </cell>
          <cell r="H39">
            <v>0</v>
          </cell>
          <cell r="I39">
            <v>1700</v>
          </cell>
          <cell r="J39">
            <v>66175900</v>
          </cell>
          <cell r="K39">
            <v>0.9086050240513095</v>
          </cell>
          <cell r="L39">
            <v>1500</v>
          </cell>
          <cell r="M39">
            <v>58390500</v>
          </cell>
        </row>
        <row r="40">
          <cell r="A40">
            <v>1.07</v>
          </cell>
          <cell r="B40" t="str">
            <v xml:space="preserve"> 성토 및 다짐공 </v>
          </cell>
          <cell r="C40" t="str">
            <v xml:space="preserve"> </v>
          </cell>
          <cell r="G40" t="str">
            <v xml:space="preserve"> </v>
          </cell>
          <cell r="H40">
            <v>0</v>
          </cell>
          <cell r="I40" t="str">
            <v xml:space="preserve"> </v>
          </cell>
          <cell r="J40">
            <v>0</v>
          </cell>
          <cell r="K40">
            <v>0</v>
          </cell>
          <cell r="M40">
            <v>0</v>
          </cell>
        </row>
        <row r="41">
          <cell r="A41" t="str">
            <v>a</v>
          </cell>
          <cell r="B41" t="str">
            <v>노 체</v>
          </cell>
          <cell r="C41" t="str">
            <v>m3</v>
          </cell>
          <cell r="D41">
            <v>3277310</v>
          </cell>
          <cell r="E41">
            <v>687</v>
          </cell>
          <cell r="F41">
            <v>2251511970</v>
          </cell>
          <cell r="G41">
            <v>600</v>
          </cell>
          <cell r="H41">
            <v>0</v>
          </cell>
          <cell r="I41">
            <v>600</v>
          </cell>
          <cell r="J41">
            <v>1966386000</v>
          </cell>
          <cell r="K41">
            <v>0.8733624454148472</v>
          </cell>
          <cell r="L41">
            <v>580</v>
          </cell>
          <cell r="M41">
            <v>1900839800</v>
          </cell>
        </row>
        <row r="42">
          <cell r="A42" t="str">
            <v>b</v>
          </cell>
          <cell r="B42" t="str">
            <v>노 상</v>
          </cell>
          <cell r="C42" t="str">
            <v>m3</v>
          </cell>
          <cell r="D42">
            <v>259605</v>
          </cell>
          <cell r="E42">
            <v>823</v>
          </cell>
          <cell r="F42">
            <v>213654915</v>
          </cell>
          <cell r="G42">
            <v>790</v>
          </cell>
          <cell r="H42">
            <v>0</v>
          </cell>
          <cell r="I42">
            <v>790</v>
          </cell>
          <cell r="J42">
            <v>205087950</v>
          </cell>
          <cell r="K42">
            <v>0.95990279465370598</v>
          </cell>
          <cell r="L42">
            <v>800</v>
          </cell>
          <cell r="M42">
            <v>207684000</v>
          </cell>
        </row>
        <row r="43">
          <cell r="A43" t="str">
            <v>c</v>
          </cell>
          <cell r="B43" t="str">
            <v>녹지대</v>
          </cell>
          <cell r="C43" t="str">
            <v>m3</v>
          </cell>
          <cell r="D43">
            <v>139579</v>
          </cell>
          <cell r="E43">
            <v>136</v>
          </cell>
          <cell r="F43">
            <v>18982744</v>
          </cell>
          <cell r="G43">
            <v>270</v>
          </cell>
          <cell r="H43">
            <v>0</v>
          </cell>
          <cell r="I43">
            <v>270</v>
          </cell>
          <cell r="J43">
            <v>37686330</v>
          </cell>
          <cell r="K43">
            <v>1.9852941176470589</v>
          </cell>
          <cell r="L43">
            <v>200</v>
          </cell>
          <cell r="M43">
            <v>27915800</v>
          </cell>
        </row>
        <row r="44">
          <cell r="A44">
            <v>1.08</v>
          </cell>
          <cell r="B44" t="str">
            <v>뒷채움 및 다짐공</v>
          </cell>
          <cell r="C44" t="str">
            <v>m3</v>
          </cell>
          <cell r="D44">
            <v>85063</v>
          </cell>
          <cell r="E44">
            <v>5061</v>
          </cell>
          <cell r="F44">
            <v>430503843</v>
          </cell>
          <cell r="G44">
            <v>5460</v>
          </cell>
          <cell r="H44">
            <v>0</v>
          </cell>
          <cell r="I44">
            <v>5460</v>
          </cell>
          <cell r="J44">
            <v>464443980</v>
          </cell>
          <cell r="K44">
            <v>1.0788381742738589</v>
          </cell>
          <cell r="L44">
            <v>3000</v>
          </cell>
          <cell r="M44">
            <v>255189000</v>
          </cell>
        </row>
        <row r="45">
          <cell r="A45">
            <v>1.0900000000000001</v>
          </cell>
          <cell r="B45" t="str">
            <v>노상 준비공</v>
          </cell>
          <cell r="C45" t="str">
            <v>m2</v>
          </cell>
          <cell r="D45">
            <v>132433</v>
          </cell>
          <cell r="E45">
            <v>33</v>
          </cell>
          <cell r="F45">
            <v>4370289</v>
          </cell>
          <cell r="G45">
            <v>60</v>
          </cell>
          <cell r="H45">
            <v>0</v>
          </cell>
          <cell r="I45">
            <v>60</v>
          </cell>
          <cell r="J45">
            <v>7945980</v>
          </cell>
          <cell r="K45">
            <v>1.8181818181818181</v>
          </cell>
          <cell r="L45">
            <v>200</v>
          </cell>
          <cell r="M45">
            <v>26486600</v>
          </cell>
        </row>
        <row r="46">
          <cell r="A46" t="str">
            <v>1.10</v>
          </cell>
          <cell r="B46" t="str">
            <v>범면 보호공</v>
          </cell>
          <cell r="C46" t="str">
            <v xml:space="preserve"> </v>
          </cell>
          <cell r="G46" t="str">
            <v xml:space="preserve"> </v>
          </cell>
          <cell r="H46">
            <v>0</v>
          </cell>
          <cell r="I46" t="str">
            <v xml:space="preserve"> </v>
          </cell>
          <cell r="J46">
            <v>0</v>
          </cell>
          <cell r="K46">
            <v>0</v>
          </cell>
          <cell r="M46">
            <v>0</v>
          </cell>
        </row>
        <row r="47">
          <cell r="A47" t="str">
            <v>a</v>
          </cell>
          <cell r="B47" t="str">
            <v xml:space="preserve"> 절토부</v>
          </cell>
          <cell r="C47" t="str">
            <v xml:space="preserve"> </v>
          </cell>
          <cell r="G47" t="str">
            <v xml:space="preserve"> </v>
          </cell>
          <cell r="H47">
            <v>0</v>
          </cell>
          <cell r="I47" t="str">
            <v xml:space="preserve"> </v>
          </cell>
          <cell r="J47">
            <v>0</v>
          </cell>
          <cell r="K47">
            <v>0</v>
          </cell>
          <cell r="M47">
            <v>0</v>
          </cell>
        </row>
        <row r="48">
          <cell r="A48" t="str">
            <v>a-2</v>
          </cell>
          <cell r="B48" t="str">
            <v>리핑암 면고르기</v>
          </cell>
          <cell r="C48" t="str">
            <v>m2</v>
          </cell>
          <cell r="D48">
            <v>117215</v>
          </cell>
          <cell r="E48">
            <v>2282</v>
          </cell>
          <cell r="F48">
            <v>267484630</v>
          </cell>
          <cell r="G48">
            <v>1160</v>
          </cell>
          <cell r="H48">
            <v>0</v>
          </cell>
          <cell r="I48">
            <v>1160</v>
          </cell>
          <cell r="J48">
            <v>135969400</v>
          </cell>
          <cell r="K48">
            <v>0.50832602979842245</v>
          </cell>
          <cell r="L48">
            <v>1200</v>
          </cell>
          <cell r="M48">
            <v>140658000</v>
          </cell>
        </row>
        <row r="49">
          <cell r="A49" t="str">
            <v>a-3</v>
          </cell>
          <cell r="B49" t="str">
            <v>발파암 면고르기</v>
          </cell>
          <cell r="C49" t="str">
            <v>m2</v>
          </cell>
          <cell r="D49">
            <v>57609</v>
          </cell>
          <cell r="E49">
            <v>5781</v>
          </cell>
          <cell r="F49">
            <v>333037629</v>
          </cell>
          <cell r="G49">
            <v>2710</v>
          </cell>
          <cell r="H49">
            <v>0</v>
          </cell>
          <cell r="I49">
            <v>2710</v>
          </cell>
          <cell r="J49">
            <v>156120390</v>
          </cell>
          <cell r="K49">
            <v>0.46877702819581385</v>
          </cell>
          <cell r="L49">
            <v>2000</v>
          </cell>
          <cell r="M49">
            <v>115218000</v>
          </cell>
        </row>
        <row r="50">
          <cell r="A50" t="str">
            <v>e</v>
          </cell>
          <cell r="B50" t="str">
            <v>공사중 범면 보호공</v>
          </cell>
          <cell r="C50" t="str">
            <v xml:space="preserve"> </v>
          </cell>
          <cell r="D50" t="str">
            <v xml:space="preserve"> </v>
          </cell>
          <cell r="G50">
            <v>0</v>
          </cell>
          <cell r="H50">
            <v>0</v>
          </cell>
          <cell r="J50">
            <v>0</v>
          </cell>
          <cell r="K50">
            <v>0</v>
          </cell>
          <cell r="M50">
            <v>0</v>
          </cell>
        </row>
        <row r="51">
          <cell r="A51" t="str">
            <v>e-1</v>
          </cell>
          <cell r="B51" t="str">
            <v>범면 가보호망</v>
          </cell>
          <cell r="C51" t="str">
            <v>식</v>
          </cell>
          <cell r="D51">
            <v>1</v>
          </cell>
          <cell r="F51">
            <v>31009201</v>
          </cell>
          <cell r="G51">
            <v>48704880</v>
          </cell>
          <cell r="H51">
            <v>0</v>
          </cell>
          <cell r="I51">
            <v>48704880</v>
          </cell>
          <cell r="J51">
            <v>48704880</v>
          </cell>
          <cell r="K51">
            <v>1.5706589795719019</v>
          </cell>
          <cell r="M51">
            <v>50000000</v>
          </cell>
        </row>
        <row r="52">
          <cell r="A52" t="str">
            <v>e-2</v>
          </cell>
          <cell r="B52" t="str">
            <v>가도수로</v>
          </cell>
          <cell r="C52" t="str">
            <v>식</v>
          </cell>
          <cell r="D52">
            <v>1</v>
          </cell>
          <cell r="F52">
            <v>1441244</v>
          </cell>
          <cell r="G52">
            <v>0</v>
          </cell>
          <cell r="H52">
            <v>0</v>
          </cell>
          <cell r="I52">
            <v>0</v>
          </cell>
          <cell r="J52">
            <v>5000000</v>
          </cell>
          <cell r="K52">
            <v>3.4692251971213759</v>
          </cell>
          <cell r="M52">
            <v>50000000</v>
          </cell>
        </row>
        <row r="53">
          <cell r="A53">
            <v>1.1100000000000001</v>
          </cell>
          <cell r="B53" t="str">
            <v>되메우기 및 다짐공</v>
          </cell>
          <cell r="C53" t="str">
            <v>m3</v>
          </cell>
          <cell r="D53">
            <v>12363</v>
          </cell>
          <cell r="E53">
            <v>3631</v>
          </cell>
          <cell r="F53">
            <v>44890053</v>
          </cell>
          <cell r="G53">
            <v>2640</v>
          </cell>
          <cell r="H53">
            <v>0</v>
          </cell>
          <cell r="I53">
            <v>2640</v>
          </cell>
          <cell r="J53">
            <v>32638320</v>
          </cell>
          <cell r="K53">
            <v>0.72707243183695947</v>
          </cell>
          <cell r="L53">
            <v>2500</v>
          </cell>
          <cell r="M53">
            <v>30907500</v>
          </cell>
        </row>
        <row r="54">
          <cell r="G54">
            <v>0</v>
          </cell>
          <cell r="H54">
            <v>0</v>
          </cell>
          <cell r="K54">
            <v>0</v>
          </cell>
          <cell r="M54">
            <v>0</v>
          </cell>
        </row>
        <row r="55">
          <cell r="B55" t="str">
            <v>소  계  (토  공)</v>
          </cell>
          <cell r="F55">
            <v>21319682865</v>
          </cell>
          <cell r="G55">
            <v>0</v>
          </cell>
          <cell r="H55">
            <v>0</v>
          </cell>
          <cell r="J55">
            <v>14616264550</v>
          </cell>
          <cell r="K55">
            <v>0.68557607740006132</v>
          </cell>
          <cell r="M55">
            <v>12811465150</v>
          </cell>
        </row>
        <row r="56">
          <cell r="G56">
            <v>0</v>
          </cell>
          <cell r="H56">
            <v>0</v>
          </cell>
          <cell r="K56">
            <v>0</v>
          </cell>
        </row>
        <row r="57">
          <cell r="A57">
            <v>2</v>
          </cell>
          <cell r="B57" t="str">
            <v>배   수   공</v>
          </cell>
          <cell r="G57">
            <v>0</v>
          </cell>
          <cell r="H57">
            <v>0</v>
          </cell>
          <cell r="K57">
            <v>0</v>
          </cell>
        </row>
        <row r="58">
          <cell r="G58">
            <v>0</v>
          </cell>
          <cell r="H58">
            <v>0</v>
          </cell>
          <cell r="K58">
            <v>0</v>
          </cell>
        </row>
        <row r="59">
          <cell r="A59" t="str">
            <v>A</v>
          </cell>
          <cell r="B59" t="str">
            <v>터파기공</v>
          </cell>
          <cell r="F59" t="str">
            <v xml:space="preserve"> </v>
          </cell>
          <cell r="G59">
            <v>0</v>
          </cell>
          <cell r="H59">
            <v>0</v>
          </cell>
          <cell r="K59">
            <v>0</v>
          </cell>
          <cell r="M59" t="str">
            <v xml:space="preserve"> </v>
          </cell>
        </row>
        <row r="60">
          <cell r="A60">
            <v>1</v>
          </cell>
          <cell r="B60" t="str">
            <v>측구 터파기</v>
          </cell>
          <cell r="G60">
            <v>0</v>
          </cell>
          <cell r="H60">
            <v>0</v>
          </cell>
          <cell r="K60">
            <v>0</v>
          </cell>
          <cell r="M60">
            <v>0</v>
          </cell>
        </row>
        <row r="61">
          <cell r="A61" t="str">
            <v>a</v>
          </cell>
          <cell r="B61" t="str">
            <v>토    사</v>
          </cell>
          <cell r="C61" t="str">
            <v>m3</v>
          </cell>
          <cell r="D61">
            <v>44159</v>
          </cell>
          <cell r="E61">
            <v>3632</v>
          </cell>
          <cell r="F61">
            <v>160385488</v>
          </cell>
          <cell r="G61">
            <v>2430</v>
          </cell>
          <cell r="H61">
            <v>0</v>
          </cell>
          <cell r="I61">
            <v>2430</v>
          </cell>
          <cell r="J61">
            <v>107306370</v>
          </cell>
          <cell r="K61">
            <v>0.66905286343612336</v>
          </cell>
          <cell r="L61">
            <v>1200</v>
          </cell>
          <cell r="M61">
            <v>52990800</v>
          </cell>
        </row>
        <row r="62">
          <cell r="A62" t="str">
            <v>b</v>
          </cell>
          <cell r="B62" t="str">
            <v>리    핑</v>
          </cell>
          <cell r="C62" t="str">
            <v>m3</v>
          </cell>
          <cell r="D62">
            <v>2491</v>
          </cell>
          <cell r="E62">
            <v>74619</v>
          </cell>
          <cell r="F62">
            <v>185875929</v>
          </cell>
          <cell r="G62">
            <v>18870</v>
          </cell>
          <cell r="H62">
            <v>0</v>
          </cell>
          <cell r="I62">
            <v>18870</v>
          </cell>
          <cell r="J62">
            <v>47005170</v>
          </cell>
          <cell r="K62">
            <v>0.25288465404253607</v>
          </cell>
          <cell r="L62">
            <v>10000</v>
          </cell>
          <cell r="M62">
            <v>24910000</v>
          </cell>
        </row>
        <row r="63">
          <cell r="A63" t="str">
            <v>c</v>
          </cell>
          <cell r="B63" t="str">
            <v>발    파</v>
          </cell>
          <cell r="C63" t="str">
            <v>m3</v>
          </cell>
          <cell r="D63">
            <v>1803</v>
          </cell>
          <cell r="E63">
            <v>128155</v>
          </cell>
          <cell r="F63">
            <v>231063465</v>
          </cell>
          <cell r="G63">
            <v>35745</v>
          </cell>
          <cell r="H63">
            <v>0</v>
          </cell>
          <cell r="I63">
            <v>35745</v>
          </cell>
          <cell r="J63">
            <v>64448235</v>
          </cell>
          <cell r="K63">
            <v>0.27892005774257733</v>
          </cell>
          <cell r="L63">
            <v>25000</v>
          </cell>
          <cell r="M63">
            <v>45075000</v>
          </cell>
        </row>
        <row r="64">
          <cell r="A64">
            <v>2.02</v>
          </cell>
          <cell r="B64" t="str">
            <v>구조물터파기</v>
          </cell>
          <cell r="G64" t="str">
            <v xml:space="preserve"> </v>
          </cell>
          <cell r="H64">
            <v>0</v>
          </cell>
          <cell r="I64" t="str">
            <v xml:space="preserve"> </v>
          </cell>
          <cell r="J64">
            <v>0</v>
          </cell>
          <cell r="K64">
            <v>0</v>
          </cell>
          <cell r="M64">
            <v>0</v>
          </cell>
        </row>
        <row r="65">
          <cell r="A65" t="str">
            <v>a</v>
          </cell>
          <cell r="B65" t="str">
            <v>토   사</v>
          </cell>
          <cell r="G65" t="str">
            <v xml:space="preserve"> </v>
          </cell>
          <cell r="H65">
            <v>0</v>
          </cell>
          <cell r="I65" t="str">
            <v xml:space="preserve"> </v>
          </cell>
          <cell r="J65">
            <v>0</v>
          </cell>
          <cell r="K65">
            <v>0</v>
          </cell>
          <cell r="M65">
            <v>0</v>
          </cell>
        </row>
        <row r="66">
          <cell r="A66" t="str">
            <v>a-1</v>
          </cell>
          <cell r="B66" t="str">
            <v>육   상</v>
          </cell>
          <cell r="C66" t="str">
            <v>m3</v>
          </cell>
          <cell r="D66">
            <v>69974</v>
          </cell>
          <cell r="E66">
            <v>2374</v>
          </cell>
          <cell r="F66">
            <v>166118276</v>
          </cell>
          <cell r="G66">
            <v>1720</v>
          </cell>
          <cell r="H66">
            <v>0</v>
          </cell>
          <cell r="I66">
            <v>1720</v>
          </cell>
          <cell r="J66">
            <v>120355280</v>
          </cell>
          <cell r="K66">
            <v>0.72451558550968831</v>
          </cell>
          <cell r="L66">
            <v>800</v>
          </cell>
          <cell r="M66">
            <v>55979200</v>
          </cell>
        </row>
        <row r="67">
          <cell r="A67" t="str">
            <v>a-2</v>
          </cell>
          <cell r="B67" t="str">
            <v>수   중</v>
          </cell>
          <cell r="C67" t="str">
            <v>m3</v>
          </cell>
          <cell r="D67">
            <v>685</v>
          </cell>
          <cell r="E67">
            <v>3560</v>
          </cell>
          <cell r="F67">
            <v>2438600</v>
          </cell>
          <cell r="G67">
            <v>2580</v>
          </cell>
          <cell r="H67">
            <v>0</v>
          </cell>
          <cell r="I67">
            <v>2580</v>
          </cell>
          <cell r="J67">
            <v>1767300</v>
          </cell>
          <cell r="K67">
            <v>0.7247191011235955</v>
          </cell>
          <cell r="L67">
            <v>1500</v>
          </cell>
          <cell r="M67">
            <v>1027500</v>
          </cell>
        </row>
        <row r="68">
          <cell r="A68" t="str">
            <v>b</v>
          </cell>
          <cell r="B68" t="str">
            <v>리 핑 암</v>
          </cell>
          <cell r="G68" t="str">
            <v xml:space="preserve">  </v>
          </cell>
          <cell r="H68">
            <v>0</v>
          </cell>
          <cell r="I68" t="str">
            <v xml:space="preserve">  </v>
          </cell>
          <cell r="J68">
            <v>0</v>
          </cell>
          <cell r="K68">
            <v>0</v>
          </cell>
          <cell r="M68">
            <v>0</v>
          </cell>
        </row>
        <row r="69">
          <cell r="A69" t="str">
            <v>b-1</v>
          </cell>
          <cell r="B69" t="str">
            <v>육   상</v>
          </cell>
          <cell r="C69" t="str">
            <v>m3</v>
          </cell>
          <cell r="D69">
            <v>5275</v>
          </cell>
          <cell r="E69">
            <v>50471</v>
          </cell>
          <cell r="F69">
            <v>266234525</v>
          </cell>
          <cell r="G69">
            <v>12580</v>
          </cell>
          <cell r="H69">
            <v>0</v>
          </cell>
          <cell r="I69">
            <v>12580</v>
          </cell>
          <cell r="J69">
            <v>66359500</v>
          </cell>
          <cell r="K69">
            <v>0.24925204572923065</v>
          </cell>
          <cell r="L69">
            <v>10000</v>
          </cell>
          <cell r="M69">
            <v>52750000</v>
          </cell>
        </row>
        <row r="70">
          <cell r="A70" t="str">
            <v>b-2</v>
          </cell>
          <cell r="B70" t="str">
            <v>수   중</v>
          </cell>
          <cell r="C70" t="str">
            <v>m3</v>
          </cell>
          <cell r="G70" t="str">
            <v xml:space="preserve"> </v>
          </cell>
          <cell r="H70">
            <v>0</v>
          </cell>
          <cell r="I70" t="str">
            <v xml:space="preserve"> </v>
          </cell>
          <cell r="J70">
            <v>0</v>
          </cell>
          <cell r="K70">
            <v>0</v>
          </cell>
          <cell r="M70">
            <v>0</v>
          </cell>
        </row>
        <row r="71">
          <cell r="A71" t="str">
            <v>c</v>
          </cell>
          <cell r="B71" t="str">
            <v>발   파</v>
          </cell>
          <cell r="G71">
            <v>0</v>
          </cell>
          <cell r="H71">
            <v>0</v>
          </cell>
          <cell r="J71">
            <v>0</v>
          </cell>
          <cell r="K71">
            <v>0</v>
          </cell>
          <cell r="M71">
            <v>0</v>
          </cell>
        </row>
        <row r="72">
          <cell r="A72" t="str">
            <v>c-1</v>
          </cell>
          <cell r="B72" t="str">
            <v>육   상</v>
          </cell>
          <cell r="C72" t="str">
            <v>m3</v>
          </cell>
          <cell r="D72">
            <v>2078</v>
          </cell>
          <cell r="E72">
            <v>86595</v>
          </cell>
          <cell r="F72">
            <v>179944410</v>
          </cell>
          <cell r="G72">
            <v>23830</v>
          </cell>
          <cell r="H72">
            <v>0</v>
          </cell>
          <cell r="I72">
            <v>23830</v>
          </cell>
          <cell r="J72">
            <v>49518740</v>
          </cell>
          <cell r="K72">
            <v>0.27518909867775276</v>
          </cell>
          <cell r="L72">
            <v>25000</v>
          </cell>
          <cell r="M72">
            <v>51950000</v>
          </cell>
        </row>
        <row r="73">
          <cell r="A73" t="str">
            <v>c-2</v>
          </cell>
          <cell r="B73" t="str">
            <v>수   중</v>
          </cell>
          <cell r="C73" t="str">
            <v>m3</v>
          </cell>
          <cell r="G73">
            <v>0</v>
          </cell>
          <cell r="H73">
            <v>0</v>
          </cell>
          <cell r="J73">
            <v>0</v>
          </cell>
          <cell r="K73">
            <v>0</v>
          </cell>
          <cell r="M73">
            <v>0</v>
          </cell>
        </row>
        <row r="74">
          <cell r="A74">
            <v>2.0299999999999998</v>
          </cell>
          <cell r="B74" t="str">
            <v>되메우기및 다짐</v>
          </cell>
          <cell r="C74" t="str">
            <v>m3</v>
          </cell>
          <cell r="D74">
            <v>52223</v>
          </cell>
          <cell r="E74">
            <v>3631</v>
          </cell>
          <cell r="F74">
            <v>189621713</v>
          </cell>
          <cell r="G74">
            <v>2640</v>
          </cell>
          <cell r="H74">
            <v>0</v>
          </cell>
          <cell r="I74">
            <v>2640</v>
          </cell>
          <cell r="J74">
            <v>137868720</v>
          </cell>
          <cell r="K74">
            <v>0.72707243183695947</v>
          </cell>
          <cell r="L74">
            <v>2500</v>
          </cell>
          <cell r="M74">
            <v>130557500</v>
          </cell>
        </row>
        <row r="75">
          <cell r="A75" t="str">
            <v>B</v>
          </cell>
          <cell r="B75" t="str">
            <v>측   구   공</v>
          </cell>
          <cell r="G75" t="str">
            <v xml:space="preserve"> </v>
          </cell>
          <cell r="H75">
            <v>0</v>
          </cell>
          <cell r="I75" t="str">
            <v xml:space="preserve"> </v>
          </cell>
          <cell r="J75">
            <v>0</v>
          </cell>
          <cell r="K75">
            <v>0</v>
          </cell>
          <cell r="M75">
            <v>0</v>
          </cell>
        </row>
        <row r="76">
          <cell r="A76">
            <v>2.04</v>
          </cell>
          <cell r="B76" t="str">
            <v>V형 측구</v>
          </cell>
          <cell r="G76" t="str">
            <v xml:space="preserve"> </v>
          </cell>
          <cell r="H76">
            <v>0</v>
          </cell>
          <cell r="I76" t="str">
            <v xml:space="preserve"> </v>
          </cell>
          <cell r="J76">
            <v>0</v>
          </cell>
          <cell r="K76">
            <v>0</v>
          </cell>
          <cell r="M76">
            <v>0</v>
          </cell>
        </row>
        <row r="77">
          <cell r="A77" t="str">
            <v>b</v>
          </cell>
          <cell r="B77" t="str">
            <v>형식-2(H=0.60M)</v>
          </cell>
          <cell r="C77" t="str">
            <v>m</v>
          </cell>
          <cell r="D77">
            <v>7595</v>
          </cell>
          <cell r="E77">
            <v>64704</v>
          </cell>
          <cell r="F77">
            <v>491426880</v>
          </cell>
          <cell r="G77">
            <v>60000</v>
          </cell>
          <cell r="H77" t="str">
            <v>ERR</v>
          </cell>
          <cell r="I77">
            <v>63870</v>
          </cell>
          <cell r="J77">
            <v>455700000</v>
          </cell>
          <cell r="K77">
            <v>0.92729970326409494</v>
          </cell>
          <cell r="L77">
            <v>50000</v>
          </cell>
          <cell r="M77">
            <v>379750000</v>
          </cell>
        </row>
        <row r="78">
          <cell r="A78" t="str">
            <v>c</v>
          </cell>
          <cell r="B78" t="str">
            <v>형식-3(H=1.00M)</v>
          </cell>
          <cell r="C78" t="str">
            <v>m</v>
          </cell>
          <cell r="D78">
            <v>11475</v>
          </cell>
          <cell r="E78">
            <v>104751</v>
          </cell>
          <cell r="F78">
            <v>1202017725</v>
          </cell>
          <cell r="G78">
            <v>95680</v>
          </cell>
          <cell r="H78" t="str">
            <v>ERR</v>
          </cell>
          <cell r="I78">
            <v>102350</v>
          </cell>
          <cell r="J78">
            <v>1097928000</v>
          </cell>
          <cell r="K78">
            <v>0.91340416797930335</v>
          </cell>
          <cell r="L78">
            <v>70000</v>
          </cell>
          <cell r="M78">
            <v>803250000</v>
          </cell>
        </row>
        <row r="79">
          <cell r="A79">
            <v>2.0499999999999998</v>
          </cell>
          <cell r="B79" t="str">
            <v>산마루 측구</v>
          </cell>
          <cell r="G79" t="str">
            <v xml:space="preserve"> </v>
          </cell>
          <cell r="H79">
            <v>0</v>
          </cell>
          <cell r="I79" t="str">
            <v xml:space="preserve"> </v>
          </cell>
          <cell r="J79">
            <v>0</v>
          </cell>
          <cell r="K79">
            <v>0</v>
          </cell>
          <cell r="M79">
            <v>0</v>
          </cell>
        </row>
        <row r="80">
          <cell r="A80" t="str">
            <v>b</v>
          </cell>
          <cell r="B80" t="str">
            <v>형식-2(990X650X500X1000M/M)</v>
          </cell>
          <cell r="C80" t="str">
            <v>m</v>
          </cell>
          <cell r="D80">
            <v>5136</v>
          </cell>
          <cell r="E80">
            <v>7723</v>
          </cell>
          <cell r="F80">
            <v>39665328</v>
          </cell>
          <cell r="G80">
            <v>66680</v>
          </cell>
          <cell r="H80">
            <v>0</v>
          </cell>
          <cell r="I80">
            <v>66680</v>
          </cell>
          <cell r="J80">
            <v>342468480</v>
          </cell>
          <cell r="K80">
            <v>8.6339505373559504</v>
          </cell>
          <cell r="L80">
            <v>80000</v>
          </cell>
          <cell r="M80">
            <v>410880000</v>
          </cell>
        </row>
        <row r="81">
          <cell r="A81">
            <v>2.06</v>
          </cell>
          <cell r="B81" t="str">
            <v>L형 측구</v>
          </cell>
          <cell r="G81" t="str">
            <v xml:space="preserve"> </v>
          </cell>
          <cell r="H81">
            <v>0</v>
          </cell>
          <cell r="I81" t="str">
            <v xml:space="preserve"> </v>
          </cell>
          <cell r="J81">
            <v>0</v>
          </cell>
          <cell r="K81">
            <v>0</v>
          </cell>
          <cell r="M81">
            <v>0</v>
          </cell>
        </row>
        <row r="82">
          <cell r="A82" t="str">
            <v>a</v>
          </cell>
          <cell r="B82" t="str">
            <v>형식-1(H=0.45M)</v>
          </cell>
          <cell r="C82" t="str">
            <v>m</v>
          </cell>
          <cell r="D82">
            <v>8181</v>
          </cell>
          <cell r="E82">
            <v>3089</v>
          </cell>
          <cell r="F82">
            <v>25271109</v>
          </cell>
          <cell r="G82">
            <v>6160</v>
          </cell>
          <cell r="H82" t="str">
            <v>ERR</v>
          </cell>
          <cell r="I82">
            <v>8210</v>
          </cell>
          <cell r="J82">
            <v>50394960</v>
          </cell>
          <cell r="K82">
            <v>1.9941728714794431</v>
          </cell>
          <cell r="L82">
            <v>25000</v>
          </cell>
          <cell r="M82">
            <v>204525000</v>
          </cell>
        </row>
        <row r="83">
          <cell r="A83" t="str">
            <v>b</v>
          </cell>
          <cell r="B83" t="str">
            <v>형식-2(H=1.20M)</v>
          </cell>
          <cell r="C83" t="str">
            <v>m</v>
          </cell>
          <cell r="D83">
            <v>6166</v>
          </cell>
          <cell r="E83">
            <v>67034</v>
          </cell>
          <cell r="F83">
            <v>413331644</v>
          </cell>
          <cell r="G83">
            <v>56920</v>
          </cell>
          <cell r="H83" t="str">
            <v>ERR</v>
          </cell>
          <cell r="I83">
            <v>64890</v>
          </cell>
          <cell r="J83">
            <v>350968720</v>
          </cell>
          <cell r="K83">
            <v>0.84912134140883733</v>
          </cell>
          <cell r="L83">
            <v>65000</v>
          </cell>
          <cell r="M83">
            <v>400790000</v>
          </cell>
        </row>
        <row r="84">
          <cell r="A84" t="str">
            <v>d</v>
          </cell>
          <cell r="B84" t="str">
            <v>형식-4(부채용도로)</v>
          </cell>
          <cell r="C84" t="str">
            <v>m</v>
          </cell>
          <cell r="D84">
            <v>4851</v>
          </cell>
          <cell r="E84">
            <v>5600</v>
          </cell>
          <cell r="F84">
            <v>27165600</v>
          </cell>
          <cell r="G84">
            <v>14160</v>
          </cell>
          <cell r="H84" t="str">
            <v>ERR</v>
          </cell>
          <cell r="I84">
            <v>15380</v>
          </cell>
          <cell r="J84">
            <v>68690160</v>
          </cell>
          <cell r="K84">
            <v>2.5285714285714285</v>
          </cell>
          <cell r="L84">
            <v>20000</v>
          </cell>
          <cell r="M84">
            <v>97020000</v>
          </cell>
        </row>
        <row r="85">
          <cell r="A85">
            <v>2.0699999999999998</v>
          </cell>
          <cell r="B85" t="str">
            <v>U형 측구</v>
          </cell>
          <cell r="G85" t="str">
            <v xml:space="preserve"> </v>
          </cell>
          <cell r="H85">
            <v>0</v>
          </cell>
          <cell r="I85" t="str">
            <v xml:space="preserve"> </v>
          </cell>
          <cell r="J85">
            <v>0</v>
          </cell>
          <cell r="K85">
            <v>0</v>
          </cell>
          <cell r="M85">
            <v>0</v>
          </cell>
        </row>
        <row r="86">
          <cell r="A86" t="str">
            <v>a</v>
          </cell>
          <cell r="B86" t="str">
            <v>형식-1(H=0.15M)</v>
          </cell>
          <cell r="C86" t="str">
            <v>m</v>
          </cell>
          <cell r="D86">
            <v>890</v>
          </cell>
          <cell r="E86">
            <v>38090</v>
          </cell>
          <cell r="F86">
            <v>33900100</v>
          </cell>
          <cell r="G86">
            <v>46490</v>
          </cell>
          <cell r="H86" t="str">
            <v>ERR</v>
          </cell>
          <cell r="I86">
            <v>53500</v>
          </cell>
          <cell r="J86">
            <v>41376100</v>
          </cell>
          <cell r="K86">
            <v>1.2205303229194013</v>
          </cell>
          <cell r="L86">
            <v>45000</v>
          </cell>
          <cell r="M86">
            <v>40050000</v>
          </cell>
        </row>
        <row r="87">
          <cell r="A87" t="str">
            <v>f</v>
          </cell>
          <cell r="B87" t="str">
            <v>형식-6(H=0.5M,녹지대용)</v>
          </cell>
          <cell r="C87" t="str">
            <v>m</v>
          </cell>
          <cell r="D87">
            <v>2513</v>
          </cell>
          <cell r="E87">
            <v>55642</v>
          </cell>
          <cell r="F87">
            <v>139828346</v>
          </cell>
          <cell r="G87">
            <v>50680</v>
          </cell>
          <cell r="H87" t="str">
            <v>ERR</v>
          </cell>
          <cell r="I87">
            <v>54220</v>
          </cell>
          <cell r="J87">
            <v>127358840</v>
          </cell>
          <cell r="K87">
            <v>0.91082275978577332</v>
          </cell>
          <cell r="L87">
            <v>50000</v>
          </cell>
          <cell r="M87">
            <v>125650000</v>
          </cell>
        </row>
        <row r="88">
          <cell r="A88">
            <v>2.08</v>
          </cell>
          <cell r="B88" t="str">
            <v>맹 암 거</v>
          </cell>
          <cell r="G88" t="str">
            <v xml:space="preserve"> </v>
          </cell>
          <cell r="H88">
            <v>0</v>
          </cell>
          <cell r="I88" t="str">
            <v xml:space="preserve"> </v>
          </cell>
          <cell r="J88">
            <v>0</v>
          </cell>
          <cell r="K88">
            <v>0</v>
          </cell>
          <cell r="M88">
            <v>0</v>
          </cell>
        </row>
        <row r="89">
          <cell r="A89" t="str">
            <v>a</v>
          </cell>
          <cell r="B89" t="str">
            <v>형식-1(유공관+부직포)</v>
          </cell>
          <cell r="C89" t="str">
            <v>m</v>
          </cell>
          <cell r="D89">
            <v>3517</v>
          </cell>
          <cell r="E89">
            <v>9988</v>
          </cell>
          <cell r="F89">
            <v>35127796</v>
          </cell>
          <cell r="G89">
            <v>7640</v>
          </cell>
          <cell r="H89" t="str">
            <v>ERR</v>
          </cell>
          <cell r="I89">
            <v>8680</v>
          </cell>
          <cell r="J89">
            <v>26869880</v>
          </cell>
          <cell r="K89">
            <v>0.76491790148177818</v>
          </cell>
          <cell r="L89">
            <v>16000</v>
          </cell>
          <cell r="M89">
            <v>56272000</v>
          </cell>
        </row>
        <row r="90">
          <cell r="A90" t="str">
            <v>b</v>
          </cell>
          <cell r="B90" t="str">
            <v>형식-2(유공관)</v>
          </cell>
          <cell r="C90" t="str">
            <v>m</v>
          </cell>
          <cell r="D90">
            <v>10137</v>
          </cell>
          <cell r="E90">
            <v>6265</v>
          </cell>
          <cell r="F90">
            <v>63508305</v>
          </cell>
          <cell r="G90">
            <v>4610</v>
          </cell>
          <cell r="H90" t="str">
            <v>ERR</v>
          </cell>
          <cell r="I90">
            <v>5660</v>
          </cell>
          <cell r="J90">
            <v>46731570</v>
          </cell>
          <cell r="K90">
            <v>0.73583399840383079</v>
          </cell>
          <cell r="L90">
            <v>14000</v>
          </cell>
          <cell r="M90">
            <v>141918000</v>
          </cell>
        </row>
        <row r="91">
          <cell r="A91" t="str">
            <v>c</v>
          </cell>
          <cell r="B91" t="str">
            <v>형식-3(부직포)</v>
          </cell>
          <cell r="C91" t="str">
            <v>m</v>
          </cell>
          <cell r="D91">
            <v>3926</v>
          </cell>
          <cell r="E91">
            <v>7214</v>
          </cell>
          <cell r="F91">
            <v>28322164</v>
          </cell>
          <cell r="G91">
            <v>4610</v>
          </cell>
          <cell r="H91" t="str">
            <v>ERR</v>
          </cell>
          <cell r="I91">
            <v>5660</v>
          </cell>
          <cell r="J91">
            <v>18098860</v>
          </cell>
          <cell r="K91">
            <v>0.6390352093152204</v>
          </cell>
          <cell r="L91">
            <v>9000</v>
          </cell>
          <cell r="M91">
            <v>35334000</v>
          </cell>
        </row>
        <row r="92">
          <cell r="A92" t="str">
            <v>d</v>
          </cell>
          <cell r="B92" t="str">
            <v>형식-4(선택재료층재)</v>
          </cell>
          <cell r="C92" t="str">
            <v>m</v>
          </cell>
          <cell r="D92">
            <v>186</v>
          </cell>
          <cell r="E92">
            <v>4532</v>
          </cell>
          <cell r="F92">
            <v>842952</v>
          </cell>
          <cell r="G92">
            <v>4610</v>
          </cell>
          <cell r="H92" t="str">
            <v>ERR</v>
          </cell>
          <cell r="I92">
            <v>5660</v>
          </cell>
          <cell r="J92">
            <v>857460</v>
          </cell>
          <cell r="K92">
            <v>1.0172109443954105</v>
          </cell>
          <cell r="L92">
            <v>6000</v>
          </cell>
          <cell r="M92">
            <v>1116000</v>
          </cell>
        </row>
        <row r="93">
          <cell r="A93" t="str">
            <v>C</v>
          </cell>
          <cell r="B93" t="str">
            <v>배수관공</v>
          </cell>
          <cell r="G93" t="str">
            <v xml:space="preserve"> </v>
          </cell>
          <cell r="H93">
            <v>0</v>
          </cell>
          <cell r="I93" t="str">
            <v xml:space="preserve"> </v>
          </cell>
          <cell r="J93">
            <v>0</v>
          </cell>
          <cell r="K93">
            <v>0</v>
          </cell>
          <cell r="M93">
            <v>0</v>
          </cell>
        </row>
        <row r="94">
          <cell r="A94" t="str">
            <v>b</v>
          </cell>
          <cell r="B94" t="str">
            <v>원심력 철근콘크리트관</v>
          </cell>
          <cell r="C94" t="str">
            <v xml:space="preserve"> </v>
          </cell>
          <cell r="G94" t="str">
            <v xml:space="preserve"> </v>
          </cell>
          <cell r="H94">
            <v>0</v>
          </cell>
          <cell r="I94" t="str">
            <v xml:space="preserve"> </v>
          </cell>
          <cell r="J94">
            <v>0</v>
          </cell>
          <cell r="K94">
            <v>0</v>
          </cell>
          <cell r="M94">
            <v>0</v>
          </cell>
        </row>
        <row r="95">
          <cell r="A95" t="str">
            <v>b-3</v>
          </cell>
          <cell r="B95" t="str">
            <v>D =  600M/M</v>
          </cell>
          <cell r="C95" t="str">
            <v>m</v>
          </cell>
          <cell r="D95">
            <v>654</v>
          </cell>
          <cell r="E95">
            <v>64990</v>
          </cell>
          <cell r="F95">
            <v>42503460</v>
          </cell>
          <cell r="G95">
            <v>30300</v>
          </cell>
          <cell r="H95" t="str">
            <v>ERR</v>
          </cell>
          <cell r="I95">
            <v>64600</v>
          </cell>
          <cell r="J95">
            <v>19816200</v>
          </cell>
          <cell r="K95">
            <v>0.46622557316510232</v>
          </cell>
          <cell r="L95">
            <v>20000</v>
          </cell>
          <cell r="M95">
            <v>13080000</v>
          </cell>
        </row>
        <row r="96">
          <cell r="A96" t="str">
            <v>b-5</v>
          </cell>
          <cell r="B96" t="str">
            <v>D = 1000M/M</v>
          </cell>
          <cell r="C96" t="str">
            <v>m</v>
          </cell>
          <cell r="D96">
            <v>27</v>
          </cell>
          <cell r="E96">
            <v>128755</v>
          </cell>
          <cell r="F96">
            <v>3476385</v>
          </cell>
          <cell r="G96">
            <v>62600</v>
          </cell>
          <cell r="H96" t="str">
            <v>ERR</v>
          </cell>
          <cell r="I96">
            <v>150100</v>
          </cell>
          <cell r="J96">
            <v>1690200</v>
          </cell>
          <cell r="K96">
            <v>0.48619471088501415</v>
          </cell>
          <cell r="L96">
            <v>60000</v>
          </cell>
          <cell r="M96">
            <v>1620000</v>
          </cell>
        </row>
        <row r="97">
          <cell r="A97" t="str">
            <v>b-6</v>
          </cell>
          <cell r="B97" t="str">
            <v>D = 1200M/M</v>
          </cell>
          <cell r="C97" t="str">
            <v>m</v>
          </cell>
          <cell r="D97">
            <v>11</v>
          </cell>
          <cell r="E97">
            <v>181417</v>
          </cell>
          <cell r="F97">
            <v>1995587</v>
          </cell>
          <cell r="G97">
            <v>87110</v>
          </cell>
          <cell r="H97" t="str">
            <v>ERR</v>
          </cell>
          <cell r="I97">
            <v>210400</v>
          </cell>
          <cell r="J97">
            <v>958210</v>
          </cell>
          <cell r="K97">
            <v>0.48016448293158853</v>
          </cell>
          <cell r="L97">
            <v>80000</v>
          </cell>
          <cell r="M97">
            <v>880000</v>
          </cell>
        </row>
        <row r="98">
          <cell r="A98" t="str">
            <v>2.10</v>
          </cell>
          <cell r="B98" t="str">
            <v>횡배수관</v>
          </cell>
          <cell r="G98" t="str">
            <v xml:space="preserve"> </v>
          </cell>
          <cell r="H98">
            <v>0</v>
          </cell>
          <cell r="I98" t="str">
            <v xml:space="preserve"> </v>
          </cell>
          <cell r="J98">
            <v>0</v>
          </cell>
          <cell r="K98">
            <v>0</v>
          </cell>
          <cell r="M98">
            <v>0</v>
          </cell>
        </row>
        <row r="99">
          <cell r="A99" t="str">
            <v>c</v>
          </cell>
          <cell r="B99" t="str">
            <v>보강원심력 철근콘크리트관</v>
          </cell>
          <cell r="G99" t="str">
            <v xml:space="preserve"> </v>
          </cell>
          <cell r="H99">
            <v>0</v>
          </cell>
          <cell r="I99" t="str">
            <v xml:space="preserve"> </v>
          </cell>
          <cell r="J99">
            <v>0</v>
          </cell>
          <cell r="K99">
            <v>0</v>
          </cell>
          <cell r="M99">
            <v>0</v>
          </cell>
        </row>
        <row r="100">
          <cell r="A100" t="str">
            <v>c-1</v>
          </cell>
          <cell r="B100" t="str">
            <v>형식-A (H &lt;  5M)</v>
          </cell>
          <cell r="G100">
            <v>0</v>
          </cell>
          <cell r="H100">
            <v>0</v>
          </cell>
          <cell r="J100">
            <v>0</v>
          </cell>
          <cell r="K100">
            <v>0</v>
          </cell>
          <cell r="M100">
            <v>0</v>
          </cell>
        </row>
        <row r="101">
          <cell r="A101" t="str">
            <v>c-1-a</v>
          </cell>
          <cell r="B101" t="str">
            <v>D =  800M/M</v>
          </cell>
          <cell r="C101" t="str">
            <v>m</v>
          </cell>
          <cell r="D101">
            <v>128</v>
          </cell>
          <cell r="E101">
            <v>116200</v>
          </cell>
          <cell r="F101">
            <v>14873600</v>
          </cell>
          <cell r="G101">
            <v>70090</v>
          </cell>
          <cell r="H101" t="str">
            <v>ERR</v>
          </cell>
          <cell r="I101">
            <v>147320</v>
          </cell>
          <cell r="J101">
            <v>8971520</v>
          </cell>
          <cell r="K101">
            <v>0.60318416523235796</v>
          </cell>
          <cell r="L101">
            <v>75000</v>
          </cell>
          <cell r="M101">
            <v>9600000</v>
          </cell>
        </row>
        <row r="102">
          <cell r="A102" t="str">
            <v>c-1-b</v>
          </cell>
          <cell r="B102" t="str">
            <v>D = 1000M/M</v>
          </cell>
          <cell r="C102" t="str">
            <v>m</v>
          </cell>
          <cell r="D102">
            <v>601</v>
          </cell>
          <cell r="E102">
            <v>149042</v>
          </cell>
          <cell r="F102">
            <v>89574242</v>
          </cell>
          <cell r="G102">
            <v>92610</v>
          </cell>
          <cell r="H102" t="str">
            <v>ERR</v>
          </cell>
          <cell r="I102">
            <v>210400</v>
          </cell>
          <cell r="J102">
            <v>55658610</v>
          </cell>
          <cell r="K102">
            <v>0.62136847331624645</v>
          </cell>
          <cell r="L102">
            <v>130000</v>
          </cell>
          <cell r="M102">
            <v>78130000</v>
          </cell>
        </row>
        <row r="103">
          <cell r="A103" t="str">
            <v>c-1-c</v>
          </cell>
          <cell r="B103" t="str">
            <v>D = 1200M/M</v>
          </cell>
          <cell r="C103" t="str">
            <v>m</v>
          </cell>
          <cell r="D103">
            <v>135</v>
          </cell>
          <cell r="E103">
            <v>211672</v>
          </cell>
          <cell r="F103">
            <v>28575720</v>
          </cell>
          <cell r="G103">
            <v>146880</v>
          </cell>
          <cell r="H103" t="str">
            <v>ERR</v>
          </cell>
          <cell r="I103">
            <v>302960</v>
          </cell>
          <cell r="J103">
            <v>19828800</v>
          </cell>
          <cell r="K103">
            <v>0.69390377565289696</v>
          </cell>
          <cell r="L103">
            <v>170000</v>
          </cell>
          <cell r="M103">
            <v>22950000</v>
          </cell>
        </row>
        <row r="104">
          <cell r="A104" t="str">
            <v>c-2</v>
          </cell>
          <cell r="B104" t="str">
            <v>형식-B( 5M&lt;=H&lt;10M)</v>
          </cell>
          <cell r="G104" t="str">
            <v xml:space="preserve"> </v>
          </cell>
          <cell r="H104">
            <v>0</v>
          </cell>
          <cell r="I104" t="str">
            <v xml:space="preserve"> </v>
          </cell>
          <cell r="J104">
            <v>0</v>
          </cell>
          <cell r="K104">
            <v>0</v>
          </cell>
          <cell r="M104">
            <v>0</v>
          </cell>
        </row>
        <row r="105">
          <cell r="A105" t="str">
            <v>c-2-a</v>
          </cell>
          <cell r="B105" t="str">
            <v>D =  800M/M</v>
          </cell>
          <cell r="C105" t="str">
            <v>m</v>
          </cell>
          <cell r="D105">
            <v>46</v>
          </cell>
          <cell r="E105">
            <v>116200</v>
          </cell>
          <cell r="F105">
            <v>5345200</v>
          </cell>
          <cell r="G105">
            <v>70090</v>
          </cell>
          <cell r="H105" t="str">
            <v>ERR</v>
          </cell>
          <cell r="I105">
            <v>147320</v>
          </cell>
          <cell r="J105">
            <v>3224140</v>
          </cell>
          <cell r="K105">
            <v>0.60318416523235796</v>
          </cell>
          <cell r="L105">
            <v>80000</v>
          </cell>
          <cell r="M105">
            <v>3680000</v>
          </cell>
        </row>
        <row r="106">
          <cell r="A106" t="str">
            <v>c-2-b</v>
          </cell>
          <cell r="B106" t="str">
            <v>D = 1000M/M</v>
          </cell>
          <cell r="C106" t="str">
            <v>m</v>
          </cell>
          <cell r="D106">
            <v>575</v>
          </cell>
          <cell r="E106">
            <v>149042</v>
          </cell>
          <cell r="F106">
            <v>85699150</v>
          </cell>
          <cell r="G106">
            <v>92610</v>
          </cell>
          <cell r="H106" t="str">
            <v>ERR</v>
          </cell>
          <cell r="I106">
            <v>210400</v>
          </cell>
          <cell r="J106">
            <v>53250750</v>
          </cell>
          <cell r="K106">
            <v>0.62136847331624645</v>
          </cell>
          <cell r="L106">
            <v>140000</v>
          </cell>
          <cell r="M106">
            <v>80500000</v>
          </cell>
        </row>
        <row r="107">
          <cell r="A107" t="str">
            <v>c-2-c</v>
          </cell>
          <cell r="B107" t="str">
            <v>D = 1200M/M</v>
          </cell>
          <cell r="C107" t="str">
            <v>m</v>
          </cell>
          <cell r="D107">
            <v>345</v>
          </cell>
          <cell r="E107">
            <v>211672</v>
          </cell>
          <cell r="F107">
            <v>73026840</v>
          </cell>
          <cell r="G107">
            <v>146880</v>
          </cell>
          <cell r="H107" t="str">
            <v>ERR</v>
          </cell>
          <cell r="I107">
            <v>302960</v>
          </cell>
          <cell r="J107">
            <v>50673600</v>
          </cell>
          <cell r="K107">
            <v>0.69390377565289696</v>
          </cell>
          <cell r="L107">
            <v>190000</v>
          </cell>
          <cell r="M107">
            <v>65550000</v>
          </cell>
        </row>
        <row r="108">
          <cell r="A108" t="str">
            <v>c-3</v>
          </cell>
          <cell r="B108" t="str">
            <v>형식-C(10M&lt;=H&lt;15M)</v>
          </cell>
          <cell r="G108" t="str">
            <v xml:space="preserve"> </v>
          </cell>
          <cell r="H108">
            <v>0</v>
          </cell>
          <cell r="I108" t="str">
            <v xml:space="preserve"> </v>
          </cell>
          <cell r="J108">
            <v>0</v>
          </cell>
          <cell r="K108">
            <v>0</v>
          </cell>
          <cell r="M108">
            <v>0</v>
          </cell>
        </row>
        <row r="109">
          <cell r="A109" t="str">
            <v>c-3-a</v>
          </cell>
          <cell r="B109" t="str">
            <v>D =  800M/M</v>
          </cell>
          <cell r="C109" t="str">
            <v>m</v>
          </cell>
          <cell r="G109">
            <v>0</v>
          </cell>
          <cell r="H109">
            <v>0</v>
          </cell>
          <cell r="J109">
            <v>0</v>
          </cell>
          <cell r="K109">
            <v>0</v>
          </cell>
          <cell r="M109">
            <v>0</v>
          </cell>
        </row>
        <row r="110">
          <cell r="A110" t="str">
            <v>c-3-b</v>
          </cell>
          <cell r="B110" t="str">
            <v>D = 1000M/M</v>
          </cell>
          <cell r="C110" t="str">
            <v>m</v>
          </cell>
          <cell r="D110">
            <v>207</v>
          </cell>
          <cell r="E110">
            <v>143278</v>
          </cell>
          <cell r="F110">
            <v>29658546</v>
          </cell>
          <cell r="G110">
            <v>96870</v>
          </cell>
          <cell r="H110" t="str">
            <v>ERR</v>
          </cell>
          <cell r="I110">
            <v>224940</v>
          </cell>
          <cell r="J110">
            <v>20052090</v>
          </cell>
          <cell r="K110">
            <v>0.67609821465961273</v>
          </cell>
          <cell r="L110">
            <v>150000</v>
          </cell>
          <cell r="M110">
            <v>31050000</v>
          </cell>
        </row>
        <row r="111">
          <cell r="A111" t="str">
            <v>c-3-c</v>
          </cell>
          <cell r="B111" t="str">
            <v>D = 1200M/M</v>
          </cell>
          <cell r="C111" t="str">
            <v>m</v>
          </cell>
          <cell r="D111">
            <v>148</v>
          </cell>
          <cell r="E111">
            <v>210321</v>
          </cell>
          <cell r="F111">
            <v>31127508</v>
          </cell>
          <cell r="G111">
            <v>149380</v>
          </cell>
          <cell r="H111" t="str">
            <v>ERR</v>
          </cell>
          <cell r="I111">
            <v>317240</v>
          </cell>
          <cell r="J111">
            <v>22108240</v>
          </cell>
          <cell r="K111">
            <v>0.71024766903923053</v>
          </cell>
          <cell r="L111">
            <v>210000</v>
          </cell>
          <cell r="M111">
            <v>31080000</v>
          </cell>
        </row>
        <row r="112">
          <cell r="A112" t="str">
            <v>c-4</v>
          </cell>
          <cell r="B112" t="str">
            <v>형식-D(15M&lt;=H&lt;20M)</v>
          </cell>
          <cell r="G112" t="str">
            <v xml:space="preserve"> </v>
          </cell>
          <cell r="H112">
            <v>0</v>
          </cell>
          <cell r="I112" t="str">
            <v xml:space="preserve"> </v>
          </cell>
          <cell r="J112">
            <v>0</v>
          </cell>
          <cell r="K112">
            <v>0</v>
          </cell>
          <cell r="M112">
            <v>0</v>
          </cell>
        </row>
        <row r="113">
          <cell r="A113" t="str">
            <v>c-4-b</v>
          </cell>
          <cell r="B113" t="str">
            <v>D = 1000M/M</v>
          </cell>
          <cell r="C113" t="str">
            <v>m</v>
          </cell>
          <cell r="D113">
            <v>86</v>
          </cell>
          <cell r="E113">
            <v>138234</v>
          </cell>
          <cell r="F113">
            <v>11888124</v>
          </cell>
          <cell r="G113">
            <v>105730</v>
          </cell>
          <cell r="H113" t="str">
            <v>ERR</v>
          </cell>
          <cell r="I113">
            <v>255610</v>
          </cell>
          <cell r="J113">
            <v>9092780</v>
          </cell>
          <cell r="K113">
            <v>0.76486247956363851</v>
          </cell>
          <cell r="L113">
            <v>170000</v>
          </cell>
          <cell r="M113">
            <v>14620000</v>
          </cell>
        </row>
        <row r="114">
          <cell r="A114">
            <v>2.11</v>
          </cell>
          <cell r="B114" t="str">
            <v>종 배 수 관</v>
          </cell>
          <cell r="C114" t="str">
            <v xml:space="preserve"> </v>
          </cell>
          <cell r="G114" t="str">
            <v xml:space="preserve"> </v>
          </cell>
          <cell r="H114">
            <v>0</v>
          </cell>
          <cell r="I114" t="str">
            <v xml:space="preserve"> </v>
          </cell>
          <cell r="J114">
            <v>0</v>
          </cell>
          <cell r="K114">
            <v>0</v>
          </cell>
          <cell r="M114">
            <v>0</v>
          </cell>
        </row>
        <row r="115">
          <cell r="A115" t="str">
            <v>a</v>
          </cell>
          <cell r="B115" t="str">
            <v>D =  600M/M</v>
          </cell>
          <cell r="C115" t="str">
            <v xml:space="preserve"> </v>
          </cell>
          <cell r="D115">
            <v>169</v>
          </cell>
          <cell r="E115">
            <v>43385</v>
          </cell>
          <cell r="F115">
            <v>7332065</v>
          </cell>
          <cell r="G115">
            <v>17810</v>
          </cell>
          <cell r="H115" t="str">
            <v>ERR</v>
          </cell>
          <cell r="I115">
            <v>39230</v>
          </cell>
          <cell r="J115">
            <v>3009890</v>
          </cell>
          <cell r="K115">
            <v>0.41051054511928087</v>
          </cell>
          <cell r="L115">
            <v>20000</v>
          </cell>
          <cell r="M115">
            <v>3380000</v>
          </cell>
        </row>
        <row r="116">
          <cell r="A116" t="str">
            <v>b</v>
          </cell>
          <cell r="B116" t="str">
            <v>D =  800M/M</v>
          </cell>
          <cell r="D116">
            <v>60</v>
          </cell>
          <cell r="E116">
            <v>67457</v>
          </cell>
          <cell r="F116">
            <v>4047420</v>
          </cell>
          <cell r="G116">
            <v>24520</v>
          </cell>
          <cell r="H116" t="str">
            <v>ERR</v>
          </cell>
          <cell r="I116">
            <v>62430</v>
          </cell>
          <cell r="J116">
            <v>1471200</v>
          </cell>
          <cell r="K116">
            <v>0.363490816371911</v>
          </cell>
          <cell r="L116">
            <v>40000</v>
          </cell>
          <cell r="M116">
            <v>2400000</v>
          </cell>
        </row>
        <row r="117">
          <cell r="A117" t="str">
            <v>c</v>
          </cell>
          <cell r="B117" t="str">
            <v>D = 1000M/M</v>
          </cell>
          <cell r="D117">
            <v>108</v>
          </cell>
          <cell r="E117">
            <v>96785</v>
          </cell>
          <cell r="F117">
            <v>10452780</v>
          </cell>
          <cell r="G117">
            <v>32670</v>
          </cell>
          <cell r="H117" t="str">
            <v>ERR</v>
          </cell>
          <cell r="I117">
            <v>93230</v>
          </cell>
          <cell r="J117">
            <v>3528360</v>
          </cell>
          <cell r="K117">
            <v>0.33755230665908975</v>
          </cell>
          <cell r="L117">
            <v>60000</v>
          </cell>
          <cell r="M117">
            <v>6480000</v>
          </cell>
        </row>
        <row r="118">
          <cell r="A118" t="str">
            <v>d</v>
          </cell>
          <cell r="B118" t="str">
            <v>D = 1200M/M</v>
          </cell>
          <cell r="D118">
            <v>5</v>
          </cell>
          <cell r="E118">
            <v>139900</v>
          </cell>
          <cell r="F118">
            <v>699500</v>
          </cell>
          <cell r="G118">
            <v>48970</v>
          </cell>
          <cell r="H118" t="str">
            <v>ERR</v>
          </cell>
          <cell r="I118">
            <v>133840</v>
          </cell>
          <cell r="J118">
            <v>244850</v>
          </cell>
          <cell r="K118">
            <v>0.35003573981415298</v>
          </cell>
          <cell r="L118">
            <v>80000</v>
          </cell>
          <cell r="M118">
            <v>400000</v>
          </cell>
        </row>
        <row r="119">
          <cell r="A119">
            <v>2.12</v>
          </cell>
          <cell r="B119" t="str">
            <v>기존배수관 접합부세척</v>
          </cell>
          <cell r="C119" t="str">
            <v>개소</v>
          </cell>
          <cell r="D119">
            <v>9</v>
          </cell>
          <cell r="E119">
            <v>3187</v>
          </cell>
          <cell r="F119">
            <v>28683</v>
          </cell>
          <cell r="G119">
            <v>43260</v>
          </cell>
          <cell r="H119">
            <v>0</v>
          </cell>
          <cell r="I119">
            <v>43260</v>
          </cell>
          <cell r="J119">
            <v>389340</v>
          </cell>
          <cell r="K119">
            <v>13.573893944148102</v>
          </cell>
          <cell r="L119">
            <v>60000</v>
          </cell>
          <cell r="M119">
            <v>540000</v>
          </cell>
        </row>
        <row r="120">
          <cell r="A120">
            <v>2.13</v>
          </cell>
          <cell r="B120" t="str">
            <v>배수관 날개벽및 면벽</v>
          </cell>
          <cell r="C120" t="str">
            <v xml:space="preserve"> </v>
          </cell>
          <cell r="G120" t="str">
            <v xml:space="preserve"> </v>
          </cell>
          <cell r="H120">
            <v>0</v>
          </cell>
          <cell r="I120" t="str">
            <v xml:space="preserve"> </v>
          </cell>
          <cell r="J120">
            <v>0</v>
          </cell>
          <cell r="K120">
            <v>0</v>
          </cell>
          <cell r="M120">
            <v>0</v>
          </cell>
        </row>
        <row r="121">
          <cell r="A121" t="str">
            <v>a</v>
          </cell>
          <cell r="B121" t="str">
            <v>거푸집(합판3회)</v>
          </cell>
          <cell r="C121" t="str">
            <v>m2</v>
          </cell>
          <cell r="D121">
            <v>1224</v>
          </cell>
          <cell r="E121">
            <v>16812</v>
          </cell>
          <cell r="F121">
            <v>20577888</v>
          </cell>
          <cell r="G121">
            <v>19000</v>
          </cell>
          <cell r="H121">
            <v>0</v>
          </cell>
          <cell r="I121">
            <v>19000</v>
          </cell>
          <cell r="J121">
            <v>23256000</v>
          </cell>
          <cell r="K121">
            <v>1.1301451344277897</v>
          </cell>
          <cell r="L121">
            <v>18000</v>
          </cell>
          <cell r="M121">
            <v>22032000</v>
          </cell>
        </row>
        <row r="122">
          <cell r="A122" t="str">
            <v>b</v>
          </cell>
          <cell r="B122" t="str">
            <v>거푸집(합판4회)</v>
          </cell>
          <cell r="C122" t="str">
            <v>m2</v>
          </cell>
          <cell r="D122">
            <v>488</v>
          </cell>
          <cell r="E122">
            <v>14344</v>
          </cell>
          <cell r="F122">
            <v>6999872</v>
          </cell>
          <cell r="G122">
            <v>18000</v>
          </cell>
          <cell r="H122">
            <v>0</v>
          </cell>
          <cell r="I122">
            <v>18000</v>
          </cell>
          <cell r="J122">
            <v>8784000</v>
          </cell>
          <cell r="K122">
            <v>1.2548800892359175</v>
          </cell>
          <cell r="L122">
            <v>17000</v>
          </cell>
          <cell r="M122">
            <v>8296000</v>
          </cell>
        </row>
        <row r="123">
          <cell r="A123" t="str">
            <v>c</v>
          </cell>
          <cell r="B123" t="str">
            <v>콘크리트(3종40)구입및타설</v>
          </cell>
          <cell r="C123" t="str">
            <v>m3</v>
          </cell>
          <cell r="D123">
            <v>294</v>
          </cell>
          <cell r="E123">
            <v>17726</v>
          </cell>
          <cell r="F123">
            <v>5211444</v>
          </cell>
          <cell r="G123">
            <v>16000</v>
          </cell>
          <cell r="H123" t="str">
            <v>ERR</v>
          </cell>
          <cell r="I123">
            <v>57000</v>
          </cell>
          <cell r="J123">
            <v>4704000</v>
          </cell>
          <cell r="K123">
            <v>0.90262890669073681</v>
          </cell>
          <cell r="L123">
            <v>18000</v>
          </cell>
          <cell r="M123">
            <v>5292000</v>
          </cell>
        </row>
        <row r="124">
          <cell r="A124">
            <v>2.14</v>
          </cell>
          <cell r="B124" t="str">
            <v xml:space="preserve"> 콘크리트 집수정</v>
          </cell>
          <cell r="G124" t="str">
            <v xml:space="preserve"> </v>
          </cell>
          <cell r="H124">
            <v>0</v>
          </cell>
          <cell r="I124" t="str">
            <v xml:space="preserve"> </v>
          </cell>
          <cell r="J124">
            <v>0</v>
          </cell>
          <cell r="K124">
            <v>0</v>
          </cell>
          <cell r="M124">
            <v>0</v>
          </cell>
        </row>
        <row r="125">
          <cell r="A125" t="str">
            <v>a</v>
          </cell>
          <cell r="B125" t="str">
            <v>거푸집(합판4회)</v>
          </cell>
          <cell r="C125" t="str">
            <v>m2</v>
          </cell>
          <cell r="D125">
            <v>3256</v>
          </cell>
          <cell r="E125">
            <v>14344</v>
          </cell>
          <cell r="F125">
            <v>46704064</v>
          </cell>
          <cell r="G125">
            <v>18000</v>
          </cell>
          <cell r="H125">
            <v>0</v>
          </cell>
          <cell r="I125">
            <v>18000</v>
          </cell>
          <cell r="J125">
            <v>58608000</v>
          </cell>
          <cell r="K125">
            <v>1.2548800892359175</v>
          </cell>
          <cell r="L125">
            <v>17000</v>
          </cell>
          <cell r="M125">
            <v>55352000</v>
          </cell>
        </row>
        <row r="126">
          <cell r="A126" t="str">
            <v>b</v>
          </cell>
          <cell r="B126" t="str">
            <v>콘크리트구입및 타설</v>
          </cell>
          <cell r="G126" t="str">
            <v xml:space="preserve"> </v>
          </cell>
          <cell r="H126">
            <v>0</v>
          </cell>
          <cell r="I126" t="str">
            <v xml:space="preserve"> </v>
          </cell>
          <cell r="J126">
            <v>0</v>
          </cell>
          <cell r="K126">
            <v>0</v>
          </cell>
          <cell r="M126">
            <v>0</v>
          </cell>
        </row>
        <row r="127">
          <cell r="A127" t="str">
            <v>b-1</v>
          </cell>
          <cell r="B127" t="str">
            <v>CON'C(3종40:무근)</v>
          </cell>
          <cell r="C127" t="str">
            <v>m3</v>
          </cell>
          <cell r="D127">
            <v>166</v>
          </cell>
          <cell r="E127">
            <v>17726</v>
          </cell>
          <cell r="F127">
            <v>2942516</v>
          </cell>
          <cell r="G127">
            <v>16000</v>
          </cell>
          <cell r="H127" t="str">
            <v>ERR</v>
          </cell>
          <cell r="I127">
            <v>57000</v>
          </cell>
          <cell r="J127">
            <v>2656000</v>
          </cell>
          <cell r="K127">
            <v>0.90262890669073681</v>
          </cell>
          <cell r="L127">
            <v>18000</v>
          </cell>
          <cell r="M127">
            <v>2988000</v>
          </cell>
        </row>
        <row r="128">
          <cell r="A128" t="str">
            <v>b-2</v>
          </cell>
          <cell r="B128" t="str">
            <v>CON'C(3종40:철근)</v>
          </cell>
          <cell r="C128" t="str">
            <v>m3</v>
          </cell>
          <cell r="D128">
            <v>162</v>
          </cell>
          <cell r="E128">
            <v>17726</v>
          </cell>
          <cell r="F128">
            <v>2871612</v>
          </cell>
          <cell r="G128">
            <v>17000</v>
          </cell>
          <cell r="H128" t="str">
            <v>ERR</v>
          </cell>
          <cell r="I128">
            <v>58000</v>
          </cell>
          <cell r="J128">
            <v>2754000</v>
          </cell>
          <cell r="K128">
            <v>0.95904321335890785</v>
          </cell>
          <cell r="L128">
            <v>18000</v>
          </cell>
          <cell r="M128">
            <v>2916000</v>
          </cell>
        </row>
        <row r="129">
          <cell r="A129" t="str">
            <v>c</v>
          </cell>
          <cell r="B129" t="str">
            <v>철근가공조립(간단)</v>
          </cell>
          <cell r="C129" t="str">
            <v>TON</v>
          </cell>
          <cell r="D129">
            <v>7.5830000000000002</v>
          </cell>
          <cell r="E129">
            <v>243567</v>
          </cell>
          <cell r="F129">
            <v>1846968</v>
          </cell>
          <cell r="G129">
            <v>220000</v>
          </cell>
          <cell r="H129">
            <v>0</v>
          </cell>
          <cell r="I129">
            <v>220000</v>
          </cell>
          <cell r="J129">
            <v>1668260</v>
          </cell>
          <cell r="K129">
            <v>0.90324250338933865</v>
          </cell>
          <cell r="L129">
            <v>230000</v>
          </cell>
          <cell r="M129">
            <v>1744090</v>
          </cell>
        </row>
        <row r="130">
          <cell r="A130" t="str">
            <v>d-1</v>
          </cell>
          <cell r="B130" t="str">
            <v>땅깍기부용 집수정용</v>
          </cell>
          <cell r="G130" t="str">
            <v xml:space="preserve"> </v>
          </cell>
          <cell r="H130">
            <v>0</v>
          </cell>
          <cell r="I130" t="str">
            <v xml:space="preserve"> </v>
          </cell>
          <cell r="J130">
            <v>0</v>
          </cell>
          <cell r="K130">
            <v>0</v>
          </cell>
          <cell r="M130">
            <v>0</v>
          </cell>
        </row>
        <row r="131">
          <cell r="A131" t="str">
            <v>d-1-a</v>
          </cell>
          <cell r="B131" t="str">
            <v>1330x830x100m/m,(D=800m/m)</v>
          </cell>
          <cell r="C131" t="str">
            <v>개</v>
          </cell>
          <cell r="D131">
            <v>94</v>
          </cell>
          <cell r="E131">
            <v>181537</v>
          </cell>
          <cell r="F131">
            <v>17064478</v>
          </cell>
          <cell r="G131" t="str">
            <v xml:space="preserve"> </v>
          </cell>
          <cell r="H131">
            <v>0</v>
          </cell>
          <cell r="I131" t="str">
            <v xml:space="preserve"> </v>
          </cell>
          <cell r="J131">
            <v>0</v>
          </cell>
          <cell r="K131">
            <v>0</v>
          </cell>
          <cell r="L131">
            <v>160000</v>
          </cell>
          <cell r="M131">
            <v>15040000</v>
          </cell>
        </row>
        <row r="132">
          <cell r="A132" t="str">
            <v>d-1-b</v>
          </cell>
          <cell r="B132" t="str">
            <v>1530x830x100m/m,(D=1000m/m)</v>
          </cell>
          <cell r="C132" t="str">
            <v>개</v>
          </cell>
          <cell r="D132">
            <v>7</v>
          </cell>
          <cell r="E132">
            <v>207637</v>
          </cell>
          <cell r="F132">
            <v>1453459</v>
          </cell>
          <cell r="G132">
            <v>165600</v>
          </cell>
          <cell r="H132">
            <v>0</v>
          </cell>
          <cell r="I132">
            <v>165600</v>
          </cell>
          <cell r="J132">
            <v>1159200</v>
          </cell>
          <cell r="K132">
            <v>0.79754571680384512</v>
          </cell>
          <cell r="L132">
            <v>180000</v>
          </cell>
          <cell r="M132">
            <v>1260000</v>
          </cell>
        </row>
        <row r="133">
          <cell r="A133" t="str">
            <v>d-1-c</v>
          </cell>
          <cell r="B133" t="str">
            <v>1730x830x100m/m,(D=800m/m)</v>
          </cell>
          <cell r="C133" t="str">
            <v>개</v>
          </cell>
          <cell r="D133">
            <v>5</v>
          </cell>
          <cell r="E133">
            <v>232137</v>
          </cell>
          <cell r="F133">
            <v>1160685</v>
          </cell>
          <cell r="G133">
            <v>190500</v>
          </cell>
          <cell r="H133">
            <v>0</v>
          </cell>
          <cell r="I133">
            <v>190500</v>
          </cell>
          <cell r="J133">
            <v>952500</v>
          </cell>
          <cell r="K133">
            <v>0.82063608989519121</v>
          </cell>
          <cell r="L133">
            <v>200000</v>
          </cell>
          <cell r="M133">
            <v>1000000</v>
          </cell>
        </row>
        <row r="134">
          <cell r="A134" t="str">
            <v>d-1-d</v>
          </cell>
          <cell r="B134" t="str">
            <v>콘크리트(부채도로용)뚜껑</v>
          </cell>
          <cell r="D134">
            <v>51</v>
          </cell>
          <cell r="E134">
            <v>6424</v>
          </cell>
          <cell r="F134">
            <v>327624</v>
          </cell>
          <cell r="G134">
            <v>215400</v>
          </cell>
          <cell r="H134">
            <v>0</v>
          </cell>
          <cell r="I134">
            <v>215400</v>
          </cell>
          <cell r="J134">
            <v>10985400</v>
          </cell>
          <cell r="K134">
            <v>33.530510585305109</v>
          </cell>
          <cell r="L134">
            <v>80000</v>
          </cell>
          <cell r="M134">
            <v>4080000</v>
          </cell>
        </row>
        <row r="135">
          <cell r="A135" t="str">
            <v>e</v>
          </cell>
          <cell r="B135" t="str">
            <v>집수정 연결관</v>
          </cell>
          <cell r="G135">
            <v>9820</v>
          </cell>
          <cell r="H135" t="str">
            <v>ERR</v>
          </cell>
          <cell r="I135">
            <v>12810</v>
          </cell>
          <cell r="J135">
            <v>0</v>
          </cell>
          <cell r="K135">
            <v>0</v>
          </cell>
          <cell r="M135">
            <v>0</v>
          </cell>
        </row>
        <row r="136">
          <cell r="A136" t="str">
            <v>e-1</v>
          </cell>
          <cell r="B136" t="str">
            <v>D = 300m/m</v>
          </cell>
          <cell r="C136" t="str">
            <v>m</v>
          </cell>
          <cell r="D136">
            <v>9</v>
          </cell>
          <cell r="E136">
            <v>20256</v>
          </cell>
          <cell r="F136">
            <v>182304</v>
          </cell>
          <cell r="G136">
            <v>26580</v>
          </cell>
          <cell r="H136">
            <v>0</v>
          </cell>
          <cell r="I136">
            <v>26580</v>
          </cell>
          <cell r="J136">
            <v>239220</v>
          </cell>
          <cell r="K136">
            <v>1.3122037914691944</v>
          </cell>
          <cell r="L136">
            <v>10000</v>
          </cell>
          <cell r="M136">
            <v>90000</v>
          </cell>
        </row>
        <row r="137">
          <cell r="A137" t="str">
            <v>D</v>
          </cell>
          <cell r="B137" t="str">
            <v>암 거 공</v>
          </cell>
          <cell r="G137" t="str">
            <v xml:space="preserve"> </v>
          </cell>
          <cell r="H137">
            <v>0</v>
          </cell>
          <cell r="I137" t="str">
            <v xml:space="preserve"> </v>
          </cell>
          <cell r="J137">
            <v>0</v>
          </cell>
          <cell r="K137">
            <v>0</v>
          </cell>
          <cell r="M137">
            <v>0</v>
          </cell>
        </row>
        <row r="138">
          <cell r="A138">
            <v>2.15</v>
          </cell>
          <cell r="B138" t="str">
            <v>암거및날개벽공</v>
          </cell>
          <cell r="G138" t="str">
            <v xml:space="preserve"> </v>
          </cell>
          <cell r="H138">
            <v>0</v>
          </cell>
          <cell r="I138" t="str">
            <v xml:space="preserve"> </v>
          </cell>
          <cell r="J138">
            <v>0</v>
          </cell>
          <cell r="K138">
            <v>0</v>
          </cell>
          <cell r="M138">
            <v>0</v>
          </cell>
        </row>
        <row r="139">
          <cell r="A139" t="str">
            <v>a</v>
          </cell>
          <cell r="B139" t="str">
            <v>거푸집</v>
          </cell>
          <cell r="C139" t="str">
            <v xml:space="preserve"> </v>
          </cell>
          <cell r="G139" t="str">
            <v xml:space="preserve"> </v>
          </cell>
          <cell r="H139">
            <v>0</v>
          </cell>
          <cell r="I139" t="str">
            <v xml:space="preserve"> </v>
          </cell>
          <cell r="J139">
            <v>0</v>
          </cell>
          <cell r="K139">
            <v>0</v>
          </cell>
          <cell r="M139">
            <v>0</v>
          </cell>
        </row>
        <row r="140">
          <cell r="A140" t="str">
            <v>a-1</v>
          </cell>
          <cell r="B140" t="str">
            <v>합판3회</v>
          </cell>
          <cell r="C140" t="str">
            <v>m2</v>
          </cell>
          <cell r="D140">
            <v>33220</v>
          </cell>
          <cell r="E140">
            <v>16812</v>
          </cell>
          <cell r="F140">
            <v>558494640</v>
          </cell>
          <cell r="G140">
            <v>17000</v>
          </cell>
          <cell r="H140">
            <v>0</v>
          </cell>
          <cell r="I140">
            <v>17000</v>
          </cell>
          <cell r="J140">
            <v>564740000</v>
          </cell>
          <cell r="K140">
            <v>1.0111824886985488</v>
          </cell>
          <cell r="L140">
            <v>18000</v>
          </cell>
          <cell r="M140">
            <v>597960000</v>
          </cell>
        </row>
        <row r="141">
          <cell r="A141" t="str">
            <v>a-2</v>
          </cell>
          <cell r="B141" t="str">
            <v>합판4회</v>
          </cell>
          <cell r="C141" t="str">
            <v>m2</v>
          </cell>
          <cell r="D141">
            <v>1606</v>
          </cell>
          <cell r="E141">
            <v>14344</v>
          </cell>
          <cell r="F141">
            <v>23036464</v>
          </cell>
          <cell r="G141">
            <v>16000</v>
          </cell>
          <cell r="H141">
            <v>0</v>
          </cell>
          <cell r="I141">
            <v>16000</v>
          </cell>
          <cell r="J141">
            <v>25696000</v>
          </cell>
          <cell r="K141">
            <v>1.1154489682097044</v>
          </cell>
          <cell r="L141">
            <v>17000</v>
          </cell>
          <cell r="M141">
            <v>27302000</v>
          </cell>
        </row>
        <row r="142">
          <cell r="A142" t="str">
            <v>a-3</v>
          </cell>
          <cell r="B142" t="str">
            <v>코팅거푸집3회</v>
          </cell>
          <cell r="C142" t="str">
            <v>m2</v>
          </cell>
          <cell r="D142">
            <v>13963</v>
          </cell>
          <cell r="E142">
            <v>17393</v>
          </cell>
          <cell r="F142">
            <v>242858459</v>
          </cell>
          <cell r="G142">
            <v>18000</v>
          </cell>
          <cell r="H142">
            <v>0</v>
          </cell>
          <cell r="I142">
            <v>18000</v>
          </cell>
          <cell r="J142">
            <v>251334000</v>
          </cell>
          <cell r="K142">
            <v>1.0348990973380094</v>
          </cell>
          <cell r="L142">
            <v>20000</v>
          </cell>
          <cell r="M142">
            <v>279260000</v>
          </cell>
        </row>
        <row r="143">
          <cell r="A143" t="str">
            <v>b</v>
          </cell>
          <cell r="B143" t="str">
            <v>콘크리트</v>
          </cell>
          <cell r="G143" t="str">
            <v xml:space="preserve"> </v>
          </cell>
          <cell r="H143">
            <v>0</v>
          </cell>
          <cell r="I143" t="str">
            <v xml:space="preserve"> </v>
          </cell>
          <cell r="J143">
            <v>0</v>
          </cell>
          <cell r="K143">
            <v>0</v>
          </cell>
          <cell r="M143">
            <v>0</v>
          </cell>
        </row>
        <row r="144">
          <cell r="A144" t="str">
            <v>b-2</v>
          </cell>
          <cell r="B144" t="str">
            <v>2종 32m/m (생산및타설)</v>
          </cell>
          <cell r="C144" t="str">
            <v>m3</v>
          </cell>
          <cell r="D144">
            <v>20283</v>
          </cell>
          <cell r="E144">
            <v>13614</v>
          </cell>
          <cell r="F144">
            <v>276132762</v>
          </cell>
          <cell r="G144">
            <v>13000</v>
          </cell>
          <cell r="H144" t="str">
            <v>ERR</v>
          </cell>
          <cell r="I144">
            <v>22050</v>
          </cell>
          <cell r="J144">
            <v>263679000</v>
          </cell>
          <cell r="K144">
            <v>0.95489936829734101</v>
          </cell>
          <cell r="L144">
            <v>12000</v>
          </cell>
          <cell r="M144">
            <v>243396000</v>
          </cell>
        </row>
        <row r="145">
          <cell r="A145" t="str">
            <v>b-3</v>
          </cell>
          <cell r="B145" t="str">
            <v>3종 40m/m (구입및타설)</v>
          </cell>
          <cell r="C145" t="str">
            <v>m3</v>
          </cell>
          <cell r="D145">
            <v>113</v>
          </cell>
          <cell r="E145">
            <v>17726</v>
          </cell>
          <cell r="F145">
            <v>2003038</v>
          </cell>
          <cell r="G145">
            <v>13000</v>
          </cell>
          <cell r="H145" t="str">
            <v>ERR</v>
          </cell>
          <cell r="I145">
            <v>54000</v>
          </cell>
          <cell r="J145">
            <v>1469000</v>
          </cell>
          <cell r="K145">
            <v>0.73338598668622368</v>
          </cell>
          <cell r="L145">
            <v>12000</v>
          </cell>
          <cell r="M145">
            <v>1356000</v>
          </cell>
        </row>
        <row r="146">
          <cell r="A146" t="str">
            <v>b-4</v>
          </cell>
          <cell r="B146" t="str">
            <v>5종 50m/m (구입및타설)</v>
          </cell>
          <cell r="C146" t="str">
            <v>m3</v>
          </cell>
          <cell r="D146">
            <v>1250</v>
          </cell>
          <cell r="E146">
            <v>17088</v>
          </cell>
          <cell r="F146">
            <v>21360000</v>
          </cell>
          <cell r="G146">
            <v>12000</v>
          </cell>
          <cell r="H146" t="str">
            <v>ERR</v>
          </cell>
          <cell r="I146">
            <v>48000</v>
          </cell>
          <cell r="J146">
            <v>15000000</v>
          </cell>
          <cell r="K146">
            <v>0.702247191011236</v>
          </cell>
          <cell r="L146">
            <v>12000</v>
          </cell>
          <cell r="M146">
            <v>15000000</v>
          </cell>
        </row>
        <row r="147">
          <cell r="A147" t="str">
            <v>c</v>
          </cell>
          <cell r="B147" t="str">
            <v>철근가공조립(복잡)</v>
          </cell>
          <cell r="C147" t="str">
            <v>TON</v>
          </cell>
          <cell r="D147">
            <v>2197.7289999999998</v>
          </cell>
          <cell r="E147">
            <v>422311</v>
          </cell>
          <cell r="F147">
            <v>928125131</v>
          </cell>
          <cell r="G147">
            <v>240000</v>
          </cell>
          <cell r="H147">
            <v>0</v>
          </cell>
          <cell r="I147">
            <v>240000</v>
          </cell>
          <cell r="J147">
            <v>527454960</v>
          </cell>
          <cell r="K147">
            <v>0.56830156019124112</v>
          </cell>
          <cell r="L147">
            <v>240000</v>
          </cell>
          <cell r="M147">
            <v>527454960</v>
          </cell>
        </row>
        <row r="148">
          <cell r="A148" t="str">
            <v>d</v>
          </cell>
          <cell r="B148" t="str">
            <v>PVC PIPE</v>
          </cell>
          <cell r="G148" t="str">
            <v xml:space="preserve"> </v>
          </cell>
          <cell r="H148">
            <v>0</v>
          </cell>
          <cell r="I148" t="str">
            <v xml:space="preserve"> </v>
          </cell>
          <cell r="J148">
            <v>0</v>
          </cell>
          <cell r="K148">
            <v>0</v>
          </cell>
          <cell r="M148">
            <v>0</v>
          </cell>
        </row>
        <row r="149">
          <cell r="A149" t="str">
            <v>d-1</v>
          </cell>
          <cell r="B149" t="str">
            <v>D= 100m/m(L=300 - 500m/m)</v>
          </cell>
          <cell r="C149" t="str">
            <v>개</v>
          </cell>
          <cell r="D149">
            <v>1070</v>
          </cell>
          <cell r="E149">
            <v>1009</v>
          </cell>
          <cell r="F149">
            <v>1079630</v>
          </cell>
          <cell r="G149">
            <v>2500</v>
          </cell>
          <cell r="H149">
            <v>0</v>
          </cell>
          <cell r="I149">
            <v>2500</v>
          </cell>
          <cell r="J149">
            <v>2675000</v>
          </cell>
          <cell r="K149">
            <v>2.4777006937561943</v>
          </cell>
          <cell r="L149">
            <v>3000</v>
          </cell>
          <cell r="M149">
            <v>3210000</v>
          </cell>
        </row>
        <row r="150">
          <cell r="A150" t="str">
            <v>d-2</v>
          </cell>
          <cell r="B150" t="str">
            <v>D= 16m/m(통로암거내 전선관)</v>
          </cell>
          <cell r="C150" t="str">
            <v>개</v>
          </cell>
          <cell r="D150">
            <v>429</v>
          </cell>
          <cell r="E150">
            <v>375</v>
          </cell>
          <cell r="F150">
            <v>160875</v>
          </cell>
          <cell r="G150">
            <v>450</v>
          </cell>
          <cell r="H150">
            <v>0</v>
          </cell>
          <cell r="I150">
            <v>450</v>
          </cell>
          <cell r="J150">
            <v>193050</v>
          </cell>
          <cell r="K150">
            <v>1.2</v>
          </cell>
          <cell r="L150">
            <v>400</v>
          </cell>
          <cell r="M150">
            <v>171600</v>
          </cell>
        </row>
        <row r="151">
          <cell r="A151" t="str">
            <v>e</v>
          </cell>
          <cell r="B151" t="str">
            <v>지수판</v>
          </cell>
          <cell r="C151" t="str">
            <v>m</v>
          </cell>
          <cell r="D151">
            <v>907</v>
          </cell>
          <cell r="E151">
            <v>8727</v>
          </cell>
          <cell r="F151">
            <v>7915389</v>
          </cell>
          <cell r="G151">
            <v>8500</v>
          </cell>
          <cell r="H151">
            <v>0</v>
          </cell>
          <cell r="I151">
            <v>8500</v>
          </cell>
          <cell r="J151">
            <v>7709500</v>
          </cell>
          <cell r="K151">
            <v>0.97398877048241095</v>
          </cell>
          <cell r="L151">
            <v>10000</v>
          </cell>
          <cell r="M151">
            <v>9070000</v>
          </cell>
        </row>
        <row r="152">
          <cell r="A152" t="str">
            <v>f</v>
          </cell>
          <cell r="B152" t="str">
            <v>기초잡석깔기(T=300m/m)</v>
          </cell>
          <cell r="C152" t="str">
            <v>m3</v>
          </cell>
          <cell r="D152">
            <v>998</v>
          </cell>
          <cell r="E152">
            <v>19131</v>
          </cell>
          <cell r="F152">
            <v>19092738</v>
          </cell>
          <cell r="G152">
            <v>16100</v>
          </cell>
          <cell r="H152">
            <v>0</v>
          </cell>
          <cell r="I152">
            <v>16100</v>
          </cell>
          <cell r="J152">
            <v>16067800</v>
          </cell>
          <cell r="K152">
            <v>0.84156604463959017</v>
          </cell>
          <cell r="L152">
            <v>10000</v>
          </cell>
          <cell r="M152">
            <v>9980000</v>
          </cell>
        </row>
        <row r="153">
          <cell r="A153" t="str">
            <v>g</v>
          </cell>
          <cell r="B153" t="str">
            <v>아스팔트코팅</v>
          </cell>
          <cell r="C153" t="str">
            <v>m2</v>
          </cell>
          <cell r="D153">
            <v>15307</v>
          </cell>
          <cell r="E153">
            <v>4353</v>
          </cell>
          <cell r="F153">
            <v>66631371</v>
          </cell>
          <cell r="G153">
            <v>2800</v>
          </cell>
          <cell r="H153">
            <v>0</v>
          </cell>
          <cell r="I153">
            <v>2800</v>
          </cell>
          <cell r="J153">
            <v>42859600</v>
          </cell>
          <cell r="K153">
            <v>0.64323455088444748</v>
          </cell>
          <cell r="L153">
            <v>4000</v>
          </cell>
          <cell r="M153">
            <v>61228000</v>
          </cell>
        </row>
        <row r="154">
          <cell r="A154" t="str">
            <v>j</v>
          </cell>
          <cell r="B154" t="str">
            <v>폴리에틸렌발포단열재(T=300m/m)</v>
          </cell>
          <cell r="C154" t="str">
            <v>m2</v>
          </cell>
          <cell r="D154">
            <v>1451</v>
          </cell>
          <cell r="E154">
            <v>3923</v>
          </cell>
          <cell r="F154">
            <v>5692273</v>
          </cell>
          <cell r="G154">
            <v>3500</v>
          </cell>
          <cell r="H154">
            <v>0</v>
          </cell>
          <cell r="I154">
            <v>3500</v>
          </cell>
          <cell r="J154">
            <v>5078500</v>
          </cell>
          <cell r="K154">
            <v>0.89217435635992859</v>
          </cell>
          <cell r="L154">
            <v>2000</v>
          </cell>
          <cell r="M154">
            <v>2902000</v>
          </cell>
        </row>
        <row r="155">
          <cell r="A155" t="str">
            <v>k</v>
          </cell>
          <cell r="B155" t="str">
            <v>sheet 방수(T=2m/m)</v>
          </cell>
          <cell r="C155" t="str">
            <v>m2</v>
          </cell>
          <cell r="D155">
            <v>2906</v>
          </cell>
          <cell r="E155">
            <v>11633</v>
          </cell>
          <cell r="F155">
            <v>33805498</v>
          </cell>
          <cell r="G155">
            <v>6000</v>
          </cell>
          <cell r="H155">
            <v>0</v>
          </cell>
          <cell r="I155">
            <v>6000</v>
          </cell>
          <cell r="J155">
            <v>17436000</v>
          </cell>
          <cell r="K155">
            <v>0.51577409094816473</v>
          </cell>
          <cell r="L155">
            <v>12000</v>
          </cell>
          <cell r="M155">
            <v>34872000</v>
          </cell>
        </row>
        <row r="156">
          <cell r="A156" t="str">
            <v>i</v>
          </cell>
          <cell r="B156" t="str">
            <v>보호몰탈</v>
          </cell>
          <cell r="G156" t="str">
            <v xml:space="preserve"> </v>
          </cell>
          <cell r="H156">
            <v>0</v>
          </cell>
          <cell r="I156" t="str">
            <v xml:space="preserve"> </v>
          </cell>
          <cell r="J156">
            <v>0</v>
          </cell>
          <cell r="K156">
            <v>0</v>
          </cell>
          <cell r="M156">
            <v>0</v>
          </cell>
        </row>
        <row r="157">
          <cell r="A157" t="str">
            <v>i-2</v>
          </cell>
          <cell r="B157" t="str">
            <v>T= 10m/m</v>
          </cell>
          <cell r="C157" t="str">
            <v>m2</v>
          </cell>
          <cell r="D157">
            <v>711</v>
          </cell>
          <cell r="E157">
            <v>4893</v>
          </cell>
          <cell r="F157">
            <v>3478923</v>
          </cell>
          <cell r="G157">
            <v>4000</v>
          </cell>
          <cell r="H157">
            <v>0</v>
          </cell>
          <cell r="I157">
            <v>4000</v>
          </cell>
          <cell r="J157">
            <v>2844000</v>
          </cell>
          <cell r="K157">
            <v>0.81749437972613936</v>
          </cell>
          <cell r="L157">
            <v>4000</v>
          </cell>
          <cell r="M157">
            <v>2844000</v>
          </cell>
        </row>
        <row r="158">
          <cell r="A158" t="str">
            <v>i-3</v>
          </cell>
          <cell r="B158" t="str">
            <v>T= 30m/m</v>
          </cell>
          <cell r="C158" t="str">
            <v>m2</v>
          </cell>
          <cell r="D158">
            <v>711</v>
          </cell>
          <cell r="E158">
            <v>8863</v>
          </cell>
          <cell r="F158">
            <v>6301593</v>
          </cell>
          <cell r="G158">
            <v>6000</v>
          </cell>
          <cell r="H158">
            <v>0</v>
          </cell>
          <cell r="I158">
            <v>6000</v>
          </cell>
          <cell r="J158">
            <v>4266000</v>
          </cell>
          <cell r="K158">
            <v>0.67697168001805252</v>
          </cell>
          <cell r="L158">
            <v>6000</v>
          </cell>
          <cell r="M158">
            <v>4266000</v>
          </cell>
        </row>
        <row r="159">
          <cell r="A159" t="str">
            <v>i-4</v>
          </cell>
          <cell r="B159" t="str">
            <v>T= 50m/m</v>
          </cell>
          <cell r="C159" t="str">
            <v>m2</v>
          </cell>
          <cell r="D159">
            <v>616</v>
          </cell>
          <cell r="E159">
            <v>8955</v>
          </cell>
          <cell r="F159">
            <v>5516280</v>
          </cell>
          <cell r="G159">
            <v>8000</v>
          </cell>
          <cell r="H159">
            <v>0</v>
          </cell>
          <cell r="I159">
            <v>8000</v>
          </cell>
          <cell r="J159">
            <v>4928000</v>
          </cell>
          <cell r="K159">
            <v>0.89335566722501392</v>
          </cell>
          <cell r="L159">
            <v>8000</v>
          </cell>
          <cell r="M159">
            <v>4928000</v>
          </cell>
        </row>
        <row r="160">
          <cell r="A160" t="str">
            <v>m</v>
          </cell>
          <cell r="B160" t="str">
            <v>칼라하드너(T= 3m/m)</v>
          </cell>
          <cell r="C160" t="str">
            <v>m2</v>
          </cell>
          <cell r="D160">
            <v>565</v>
          </cell>
          <cell r="E160">
            <v>12303</v>
          </cell>
          <cell r="F160">
            <v>6951195</v>
          </cell>
          <cell r="G160">
            <v>14250</v>
          </cell>
          <cell r="H160">
            <v>0</v>
          </cell>
          <cell r="I160">
            <v>14250</v>
          </cell>
          <cell r="J160">
            <v>8051250</v>
          </cell>
          <cell r="K160">
            <v>1.158254084369666</v>
          </cell>
          <cell r="L160">
            <v>20000</v>
          </cell>
          <cell r="M160">
            <v>11300000</v>
          </cell>
        </row>
        <row r="161">
          <cell r="A161" t="str">
            <v>n</v>
          </cell>
          <cell r="B161" t="str">
            <v>스틸그레이팅(995x700x50m/m)</v>
          </cell>
          <cell r="C161" t="str">
            <v>개</v>
          </cell>
          <cell r="D161">
            <v>3</v>
          </cell>
          <cell r="E161">
            <v>26837</v>
          </cell>
          <cell r="F161">
            <v>80511</v>
          </cell>
          <cell r="G161">
            <v>70000</v>
          </cell>
          <cell r="H161">
            <v>0</v>
          </cell>
          <cell r="I161">
            <v>70000</v>
          </cell>
          <cell r="J161">
            <v>210000</v>
          </cell>
          <cell r="K161">
            <v>2.6083392331482655</v>
          </cell>
          <cell r="L161">
            <v>70000</v>
          </cell>
          <cell r="M161">
            <v>210000</v>
          </cell>
        </row>
        <row r="162">
          <cell r="A162" t="str">
            <v>o</v>
          </cell>
          <cell r="B162" t="str">
            <v>페인트도색(수성3회)</v>
          </cell>
          <cell r="C162" t="str">
            <v>m2</v>
          </cell>
          <cell r="D162">
            <v>1660</v>
          </cell>
          <cell r="E162">
            <v>5304</v>
          </cell>
          <cell r="F162">
            <v>8804640</v>
          </cell>
          <cell r="G162">
            <v>4200</v>
          </cell>
          <cell r="H162">
            <v>0</v>
          </cell>
          <cell r="I162">
            <v>4200</v>
          </cell>
          <cell r="J162">
            <v>6972000</v>
          </cell>
          <cell r="K162">
            <v>0.79185520361990946</v>
          </cell>
          <cell r="L162">
            <v>2500</v>
          </cell>
          <cell r="M162">
            <v>4150000</v>
          </cell>
        </row>
        <row r="163">
          <cell r="A163" t="str">
            <v>p</v>
          </cell>
          <cell r="B163" t="str">
            <v>부직포(0.6x0.6)</v>
          </cell>
          <cell r="C163" t="str">
            <v>m2</v>
          </cell>
          <cell r="D163">
            <v>385</v>
          </cell>
          <cell r="E163">
            <v>1274</v>
          </cell>
          <cell r="F163">
            <v>490490</v>
          </cell>
          <cell r="G163">
            <v>2100</v>
          </cell>
          <cell r="H163">
            <v>0</v>
          </cell>
          <cell r="I163">
            <v>2100</v>
          </cell>
          <cell r="J163">
            <v>808500</v>
          </cell>
          <cell r="K163">
            <v>1.6483516483516483</v>
          </cell>
          <cell r="L163">
            <v>3000</v>
          </cell>
          <cell r="M163">
            <v>1155000</v>
          </cell>
        </row>
        <row r="164">
          <cell r="A164">
            <v>2.16</v>
          </cell>
          <cell r="B164" t="str">
            <v>물푸기</v>
          </cell>
          <cell r="C164" t="str">
            <v>시간</v>
          </cell>
          <cell r="D164">
            <v>112</v>
          </cell>
          <cell r="E164">
            <v>2654</v>
          </cell>
          <cell r="F164">
            <v>297248</v>
          </cell>
          <cell r="G164">
            <v>3000</v>
          </cell>
          <cell r="H164">
            <v>0</v>
          </cell>
          <cell r="I164">
            <v>3000</v>
          </cell>
          <cell r="J164">
            <v>336000</v>
          </cell>
          <cell r="K164">
            <v>1.1303692539562924</v>
          </cell>
          <cell r="L164">
            <v>10000</v>
          </cell>
          <cell r="M164">
            <v>1120000</v>
          </cell>
        </row>
        <row r="165">
          <cell r="A165">
            <v>2.17</v>
          </cell>
          <cell r="B165" t="str">
            <v>비계공(강관)</v>
          </cell>
          <cell r="C165" t="str">
            <v>m2</v>
          </cell>
          <cell r="D165">
            <v>19982</v>
          </cell>
          <cell r="E165">
            <v>7615</v>
          </cell>
          <cell r="F165">
            <v>152162930</v>
          </cell>
          <cell r="G165">
            <v>7000</v>
          </cell>
          <cell r="H165">
            <v>0</v>
          </cell>
          <cell r="I165">
            <v>7000</v>
          </cell>
          <cell r="J165">
            <v>139874000</v>
          </cell>
          <cell r="K165">
            <v>0.91923834537097837</v>
          </cell>
          <cell r="L165">
            <v>7000</v>
          </cell>
          <cell r="M165">
            <v>139874000</v>
          </cell>
        </row>
        <row r="166">
          <cell r="A166">
            <v>2.1800000000000002</v>
          </cell>
          <cell r="B166" t="str">
            <v>동바리공</v>
          </cell>
          <cell r="G166" t="str">
            <v xml:space="preserve"> </v>
          </cell>
          <cell r="H166">
            <v>0</v>
          </cell>
          <cell r="I166" t="str">
            <v xml:space="preserve"> </v>
          </cell>
          <cell r="J166">
            <v>0</v>
          </cell>
          <cell r="K166">
            <v>0</v>
          </cell>
          <cell r="M166">
            <v>0</v>
          </cell>
        </row>
        <row r="167">
          <cell r="A167" t="str">
            <v>b</v>
          </cell>
          <cell r="B167" t="str">
            <v>강관동바리</v>
          </cell>
          <cell r="C167" t="str">
            <v>공/m3</v>
          </cell>
          <cell r="D167">
            <v>25109</v>
          </cell>
          <cell r="E167">
            <v>6473</v>
          </cell>
          <cell r="F167">
            <v>162530557</v>
          </cell>
          <cell r="G167">
            <v>7000</v>
          </cell>
          <cell r="H167">
            <v>0</v>
          </cell>
          <cell r="I167">
            <v>7000</v>
          </cell>
          <cell r="J167">
            <v>175763000</v>
          </cell>
          <cell r="K167">
            <v>1.0814151089139503</v>
          </cell>
          <cell r="L167">
            <v>7000</v>
          </cell>
          <cell r="M167">
            <v>175763000</v>
          </cell>
        </row>
        <row r="168">
          <cell r="A168" t="str">
            <v>d</v>
          </cell>
          <cell r="B168" t="str">
            <v>강재동바리(4.5mx4.5m)</v>
          </cell>
          <cell r="C168" t="str">
            <v>m</v>
          </cell>
          <cell r="D168">
            <v>36</v>
          </cell>
          <cell r="E168">
            <v>1680017</v>
          </cell>
          <cell r="F168">
            <v>60480612</v>
          </cell>
          <cell r="G168">
            <v>1500000</v>
          </cell>
          <cell r="H168">
            <v>0</v>
          </cell>
          <cell r="I168">
            <v>1500000</v>
          </cell>
          <cell r="J168">
            <v>54000000</v>
          </cell>
          <cell r="K168">
            <v>0.89284810808462056</v>
          </cell>
          <cell r="L168">
            <v>900000</v>
          </cell>
          <cell r="M168">
            <v>32400000</v>
          </cell>
        </row>
        <row r="169">
          <cell r="A169" t="str">
            <v>E</v>
          </cell>
          <cell r="B169" t="str">
            <v>기 타 공</v>
          </cell>
          <cell r="G169" t="str">
            <v xml:space="preserve"> </v>
          </cell>
          <cell r="H169">
            <v>0</v>
          </cell>
          <cell r="I169" t="str">
            <v xml:space="preserve"> </v>
          </cell>
          <cell r="J169">
            <v>0</v>
          </cell>
          <cell r="K169">
            <v>0</v>
          </cell>
          <cell r="M169">
            <v>0</v>
          </cell>
        </row>
        <row r="170">
          <cell r="A170" t="str">
            <v>2.20</v>
          </cell>
          <cell r="B170" t="str">
            <v>수로보호공</v>
          </cell>
          <cell r="G170" t="str">
            <v xml:space="preserve"> </v>
          </cell>
          <cell r="H170">
            <v>0</v>
          </cell>
          <cell r="I170" t="str">
            <v xml:space="preserve"> </v>
          </cell>
          <cell r="J170">
            <v>0</v>
          </cell>
          <cell r="K170">
            <v>0</v>
          </cell>
          <cell r="M170">
            <v>0</v>
          </cell>
        </row>
        <row r="171">
          <cell r="A171" t="str">
            <v>a</v>
          </cell>
          <cell r="B171" t="str">
            <v>거푸집</v>
          </cell>
          <cell r="G171" t="str">
            <v xml:space="preserve"> </v>
          </cell>
          <cell r="H171">
            <v>0</v>
          </cell>
          <cell r="I171" t="str">
            <v xml:space="preserve"> </v>
          </cell>
          <cell r="J171">
            <v>0</v>
          </cell>
          <cell r="K171">
            <v>0</v>
          </cell>
          <cell r="M171">
            <v>0</v>
          </cell>
        </row>
        <row r="172">
          <cell r="A172" t="str">
            <v>a-2</v>
          </cell>
          <cell r="B172" t="str">
            <v>합판4회</v>
          </cell>
          <cell r="C172" t="str">
            <v>m2</v>
          </cell>
          <cell r="D172">
            <v>261</v>
          </cell>
          <cell r="E172">
            <v>14344</v>
          </cell>
          <cell r="F172">
            <v>3743784</v>
          </cell>
          <cell r="G172">
            <v>18000</v>
          </cell>
          <cell r="H172">
            <v>0</v>
          </cell>
          <cell r="I172">
            <v>18000</v>
          </cell>
          <cell r="J172">
            <v>4698000</v>
          </cell>
          <cell r="K172">
            <v>1.2548800892359175</v>
          </cell>
          <cell r="L172">
            <v>17000</v>
          </cell>
          <cell r="M172">
            <v>4437000</v>
          </cell>
        </row>
        <row r="173">
          <cell r="A173" t="str">
            <v>a-3</v>
          </cell>
          <cell r="B173" t="str">
            <v>합판6회</v>
          </cell>
          <cell r="C173" t="str">
            <v>m2</v>
          </cell>
          <cell r="D173">
            <v>166</v>
          </cell>
          <cell r="E173">
            <v>11730</v>
          </cell>
          <cell r="F173">
            <v>1947180</v>
          </cell>
          <cell r="G173">
            <v>15000</v>
          </cell>
          <cell r="H173">
            <v>0</v>
          </cell>
          <cell r="I173">
            <v>15000</v>
          </cell>
          <cell r="J173">
            <v>2490000</v>
          </cell>
          <cell r="K173">
            <v>1.2787723785166241</v>
          </cell>
          <cell r="L173">
            <v>16000</v>
          </cell>
          <cell r="M173">
            <v>2656000</v>
          </cell>
        </row>
        <row r="174">
          <cell r="A174" t="str">
            <v>b</v>
          </cell>
          <cell r="B174" t="str">
            <v>콘크리트</v>
          </cell>
          <cell r="G174" t="str">
            <v xml:space="preserve"> </v>
          </cell>
          <cell r="H174">
            <v>0</v>
          </cell>
          <cell r="I174" t="str">
            <v xml:space="preserve"> </v>
          </cell>
          <cell r="J174">
            <v>0</v>
          </cell>
          <cell r="K174">
            <v>0</v>
          </cell>
          <cell r="M174">
            <v>0</v>
          </cell>
        </row>
        <row r="175">
          <cell r="A175" t="str">
            <v>b-2</v>
          </cell>
          <cell r="B175" t="str">
            <v>3종 40m/m(무근)구입및타설</v>
          </cell>
          <cell r="C175" t="str">
            <v>m3</v>
          </cell>
          <cell r="D175">
            <v>1146</v>
          </cell>
          <cell r="E175">
            <v>17726</v>
          </cell>
          <cell r="F175">
            <v>20313996</v>
          </cell>
          <cell r="G175">
            <v>22000</v>
          </cell>
          <cell r="H175" t="str">
            <v>ERR</v>
          </cell>
          <cell r="I175">
            <v>63000</v>
          </cell>
          <cell r="J175">
            <v>25212000</v>
          </cell>
          <cell r="K175">
            <v>1.241114746699763</v>
          </cell>
          <cell r="L175">
            <v>15000</v>
          </cell>
          <cell r="M175">
            <v>17190000</v>
          </cell>
        </row>
        <row r="176">
          <cell r="A176" t="str">
            <v>b-3</v>
          </cell>
          <cell r="B176" t="str">
            <v>3종 40m/m(철근)구입및타설</v>
          </cell>
          <cell r="C176" t="str">
            <v>m3</v>
          </cell>
          <cell r="D176">
            <v>87</v>
          </cell>
          <cell r="E176">
            <v>19288</v>
          </cell>
          <cell r="F176">
            <v>1678056</v>
          </cell>
          <cell r="G176">
            <v>22000</v>
          </cell>
          <cell r="H176" t="str">
            <v>ERR</v>
          </cell>
          <cell r="I176">
            <v>63000</v>
          </cell>
          <cell r="J176">
            <v>1914000</v>
          </cell>
          <cell r="K176">
            <v>1.1406055578598091</v>
          </cell>
          <cell r="L176">
            <v>15000</v>
          </cell>
          <cell r="M176">
            <v>1305000</v>
          </cell>
        </row>
        <row r="177">
          <cell r="A177" t="str">
            <v>b-4</v>
          </cell>
          <cell r="B177" t="str">
            <v>5종 50m/m(무근)구입및타설</v>
          </cell>
          <cell r="C177" t="str">
            <v>m3</v>
          </cell>
          <cell r="D177">
            <v>121</v>
          </cell>
          <cell r="E177">
            <v>17088</v>
          </cell>
          <cell r="F177">
            <v>2067648</v>
          </cell>
          <cell r="G177">
            <v>22000</v>
          </cell>
          <cell r="H177" t="str">
            <v>ERR</v>
          </cell>
          <cell r="I177">
            <v>58000</v>
          </cell>
          <cell r="J177">
            <v>2662000</v>
          </cell>
          <cell r="K177">
            <v>1.2874531835205993</v>
          </cell>
          <cell r="L177">
            <v>15000</v>
          </cell>
          <cell r="M177">
            <v>1815000</v>
          </cell>
        </row>
        <row r="178">
          <cell r="A178" t="str">
            <v>c</v>
          </cell>
          <cell r="B178" t="str">
            <v>채움재</v>
          </cell>
          <cell r="C178" t="str">
            <v>m3</v>
          </cell>
          <cell r="D178">
            <v>470</v>
          </cell>
          <cell r="E178">
            <v>20724</v>
          </cell>
          <cell r="F178">
            <v>9740280</v>
          </cell>
          <cell r="G178">
            <v>16100</v>
          </cell>
          <cell r="H178">
            <v>0</v>
          </cell>
          <cell r="I178">
            <v>16100</v>
          </cell>
          <cell r="J178">
            <v>7567000</v>
          </cell>
          <cell r="K178">
            <v>0.7768770507624011</v>
          </cell>
          <cell r="L178">
            <v>4000</v>
          </cell>
          <cell r="M178">
            <v>1880000</v>
          </cell>
        </row>
        <row r="179">
          <cell r="A179" t="str">
            <v>d</v>
          </cell>
          <cell r="B179" t="str">
            <v>P.V.C 파이프(D= 50m/m)</v>
          </cell>
          <cell r="C179" t="str">
            <v>m</v>
          </cell>
          <cell r="D179">
            <v>235</v>
          </cell>
          <cell r="E179">
            <v>921</v>
          </cell>
          <cell r="F179">
            <v>216435</v>
          </cell>
          <cell r="G179">
            <v>1570</v>
          </cell>
          <cell r="H179">
            <v>0</v>
          </cell>
          <cell r="I179">
            <v>1570</v>
          </cell>
          <cell r="J179">
            <v>368950</v>
          </cell>
          <cell r="K179">
            <v>1.7046688382193269</v>
          </cell>
          <cell r="L179">
            <v>2000</v>
          </cell>
          <cell r="M179">
            <v>470000</v>
          </cell>
        </row>
        <row r="180">
          <cell r="A180" t="str">
            <v>f-1</v>
          </cell>
          <cell r="B180" t="str">
            <v>찰쌓기(0 - 3m)</v>
          </cell>
          <cell r="C180" t="str">
            <v>m2</v>
          </cell>
          <cell r="D180">
            <v>339</v>
          </cell>
          <cell r="E180">
            <v>14439</v>
          </cell>
          <cell r="F180">
            <v>4894821</v>
          </cell>
          <cell r="G180">
            <v>31180</v>
          </cell>
          <cell r="H180">
            <v>0</v>
          </cell>
          <cell r="I180">
            <v>31180</v>
          </cell>
          <cell r="J180">
            <v>10570020</v>
          </cell>
          <cell r="K180">
            <v>2.1594293233603437</v>
          </cell>
          <cell r="L180">
            <v>35000</v>
          </cell>
          <cell r="M180">
            <v>11865000</v>
          </cell>
        </row>
        <row r="181">
          <cell r="A181" t="str">
            <v>f-2</v>
          </cell>
          <cell r="B181" t="str">
            <v>찰쌓기(3 - 6m)</v>
          </cell>
          <cell r="C181" t="str">
            <v>m2</v>
          </cell>
          <cell r="D181">
            <v>334</v>
          </cell>
          <cell r="E181">
            <v>20396</v>
          </cell>
          <cell r="F181">
            <v>6812264</v>
          </cell>
          <cell r="G181">
            <v>36880</v>
          </cell>
          <cell r="H181">
            <v>0</v>
          </cell>
          <cell r="I181">
            <v>36880</v>
          </cell>
          <cell r="J181">
            <v>12317920</v>
          </cell>
          <cell r="K181">
            <v>1.8081976858207491</v>
          </cell>
          <cell r="L181">
            <v>45000</v>
          </cell>
          <cell r="M181">
            <v>15030000</v>
          </cell>
        </row>
        <row r="182">
          <cell r="A182" t="str">
            <v>h</v>
          </cell>
          <cell r="B182" t="str">
            <v>철근가공조립(간단)</v>
          </cell>
          <cell r="C182" t="str">
            <v>TON</v>
          </cell>
          <cell r="D182">
            <v>2.0910000000000002</v>
          </cell>
          <cell r="E182">
            <v>243567</v>
          </cell>
          <cell r="F182">
            <v>509298</v>
          </cell>
          <cell r="G182">
            <v>220000</v>
          </cell>
          <cell r="H182">
            <v>0</v>
          </cell>
          <cell r="I182">
            <v>220000</v>
          </cell>
          <cell r="J182">
            <v>460020</v>
          </cell>
          <cell r="K182">
            <v>0.90324328781970475</v>
          </cell>
          <cell r="L182">
            <v>230000</v>
          </cell>
          <cell r="M182">
            <v>480930</v>
          </cell>
        </row>
        <row r="183">
          <cell r="A183">
            <v>2.21</v>
          </cell>
          <cell r="B183" t="str">
            <v>콘크리트다이크</v>
          </cell>
          <cell r="G183" t="str">
            <v xml:space="preserve"> </v>
          </cell>
          <cell r="H183">
            <v>0</v>
          </cell>
          <cell r="I183" t="str">
            <v xml:space="preserve"> </v>
          </cell>
          <cell r="J183">
            <v>0</v>
          </cell>
          <cell r="K183">
            <v>0</v>
          </cell>
          <cell r="M183">
            <v>0</v>
          </cell>
        </row>
        <row r="184">
          <cell r="A184" t="str">
            <v>a</v>
          </cell>
          <cell r="B184" t="str">
            <v>기계타설</v>
          </cell>
          <cell r="C184" t="str">
            <v>m</v>
          </cell>
          <cell r="D184">
            <v>20799</v>
          </cell>
          <cell r="E184">
            <v>1048</v>
          </cell>
          <cell r="F184">
            <v>21797352</v>
          </cell>
          <cell r="G184">
            <v>4680</v>
          </cell>
          <cell r="H184" t="str">
            <v>ERR</v>
          </cell>
          <cell r="I184">
            <v>5040</v>
          </cell>
          <cell r="J184">
            <v>97339320</v>
          </cell>
          <cell r="K184">
            <v>4.4656488549618318</v>
          </cell>
          <cell r="L184">
            <v>6500</v>
          </cell>
          <cell r="M184">
            <v>135193500</v>
          </cell>
        </row>
        <row r="185">
          <cell r="A185" t="str">
            <v>b</v>
          </cell>
          <cell r="B185" t="str">
            <v>프리케스트</v>
          </cell>
          <cell r="C185" t="str">
            <v>m</v>
          </cell>
          <cell r="D185">
            <v>1346</v>
          </cell>
          <cell r="E185">
            <v>10827</v>
          </cell>
          <cell r="F185">
            <v>14573142</v>
          </cell>
          <cell r="G185">
            <v>12080</v>
          </cell>
          <cell r="H185" t="str">
            <v>ERR</v>
          </cell>
          <cell r="I185">
            <v>13420</v>
          </cell>
          <cell r="J185">
            <v>16259680</v>
          </cell>
          <cell r="K185">
            <v>1.1157291955296942</v>
          </cell>
          <cell r="L185">
            <v>12000</v>
          </cell>
          <cell r="M185">
            <v>16152000</v>
          </cell>
        </row>
        <row r="186">
          <cell r="A186">
            <v>2.2200000000000002</v>
          </cell>
          <cell r="B186" t="str">
            <v>소단배수로</v>
          </cell>
          <cell r="G186" t="str">
            <v xml:space="preserve"> </v>
          </cell>
          <cell r="H186">
            <v>0</v>
          </cell>
          <cell r="I186" t="str">
            <v xml:space="preserve"> </v>
          </cell>
          <cell r="J186">
            <v>0</v>
          </cell>
          <cell r="K186">
            <v>0</v>
          </cell>
          <cell r="L186">
            <v>0</v>
          </cell>
          <cell r="M186">
            <v>0</v>
          </cell>
        </row>
        <row r="187">
          <cell r="A187" t="str">
            <v>a</v>
          </cell>
          <cell r="B187" t="str">
            <v>형식-1(암구간;L형 측구)</v>
          </cell>
          <cell r="C187" t="str">
            <v>m</v>
          </cell>
          <cell r="D187">
            <v>2391</v>
          </cell>
          <cell r="E187">
            <v>11906</v>
          </cell>
          <cell r="F187">
            <v>28467246</v>
          </cell>
          <cell r="G187">
            <v>11580</v>
          </cell>
          <cell r="H187" t="str">
            <v>ERR</v>
          </cell>
          <cell r="I187">
            <v>12710</v>
          </cell>
          <cell r="J187">
            <v>27687780</v>
          </cell>
          <cell r="K187">
            <v>0.97261884763984541</v>
          </cell>
          <cell r="L187">
            <v>40000</v>
          </cell>
          <cell r="M187">
            <v>95640000</v>
          </cell>
        </row>
        <row r="188">
          <cell r="A188" t="str">
            <v>b</v>
          </cell>
          <cell r="B188" t="str">
            <v>형식-1(토사구간;PE반원형)</v>
          </cell>
          <cell r="C188" t="str">
            <v>m</v>
          </cell>
          <cell r="D188">
            <v>203</v>
          </cell>
          <cell r="E188">
            <v>11406</v>
          </cell>
          <cell r="F188">
            <v>2315418</v>
          </cell>
          <cell r="G188">
            <v>8380</v>
          </cell>
          <cell r="H188" t="str">
            <v>ERR</v>
          </cell>
          <cell r="I188">
            <v>13530</v>
          </cell>
          <cell r="J188">
            <v>1701140</v>
          </cell>
          <cell r="K188">
            <v>0.73470103454322289</v>
          </cell>
          <cell r="L188">
            <v>70000</v>
          </cell>
          <cell r="M188">
            <v>14210000</v>
          </cell>
        </row>
        <row r="189">
          <cell r="A189">
            <v>2.23</v>
          </cell>
          <cell r="B189" t="str">
            <v>길어깨다이크집수거</v>
          </cell>
          <cell r="G189" t="str">
            <v xml:space="preserve"> </v>
          </cell>
          <cell r="H189">
            <v>0</v>
          </cell>
          <cell r="I189" t="str">
            <v xml:space="preserve"> </v>
          </cell>
          <cell r="J189">
            <v>0</v>
          </cell>
          <cell r="K189">
            <v>0</v>
          </cell>
          <cell r="M189">
            <v>0</v>
          </cell>
        </row>
        <row r="190">
          <cell r="A190" t="str">
            <v>a</v>
          </cell>
          <cell r="B190" t="str">
            <v>형식-1(L형)</v>
          </cell>
          <cell r="C190" t="str">
            <v>개</v>
          </cell>
          <cell r="D190">
            <v>226</v>
          </cell>
          <cell r="E190">
            <v>93439</v>
          </cell>
          <cell r="F190">
            <v>21117214</v>
          </cell>
          <cell r="G190">
            <v>91480</v>
          </cell>
          <cell r="H190" t="str">
            <v>ERR</v>
          </cell>
          <cell r="I190">
            <v>95230</v>
          </cell>
          <cell r="J190">
            <v>20674480</v>
          </cell>
          <cell r="K190">
            <v>0.97903445028307234</v>
          </cell>
          <cell r="L190">
            <v>120000</v>
          </cell>
          <cell r="M190">
            <v>27120000</v>
          </cell>
        </row>
        <row r="191">
          <cell r="A191" t="str">
            <v>b</v>
          </cell>
          <cell r="B191" t="str">
            <v>형식-2(T형)</v>
          </cell>
          <cell r="C191" t="str">
            <v>개</v>
          </cell>
          <cell r="D191">
            <v>16</v>
          </cell>
          <cell r="E191">
            <v>149323</v>
          </cell>
          <cell r="F191">
            <v>2389168</v>
          </cell>
          <cell r="G191">
            <v>171900</v>
          </cell>
          <cell r="H191" t="str">
            <v>ERR</v>
          </cell>
          <cell r="I191">
            <v>178900</v>
          </cell>
          <cell r="J191">
            <v>2750400</v>
          </cell>
          <cell r="K191">
            <v>1.1511957300616784</v>
          </cell>
          <cell r="L191">
            <v>150000</v>
          </cell>
          <cell r="M191">
            <v>2400000</v>
          </cell>
        </row>
        <row r="192">
          <cell r="A192">
            <v>2.2400000000000002</v>
          </cell>
          <cell r="B192" t="str">
            <v>도수로설치공</v>
          </cell>
          <cell r="G192" t="str">
            <v xml:space="preserve"> </v>
          </cell>
          <cell r="H192">
            <v>0</v>
          </cell>
          <cell r="I192" t="str">
            <v xml:space="preserve"> </v>
          </cell>
          <cell r="J192">
            <v>0</v>
          </cell>
          <cell r="K192">
            <v>0</v>
          </cell>
          <cell r="M192">
            <v>0</v>
          </cell>
        </row>
        <row r="193">
          <cell r="A193" t="str">
            <v>a</v>
          </cell>
          <cell r="B193" t="str">
            <v>거푸집</v>
          </cell>
          <cell r="C193" t="str">
            <v xml:space="preserve"> </v>
          </cell>
          <cell r="G193" t="str">
            <v xml:space="preserve"> </v>
          </cell>
          <cell r="H193">
            <v>0</v>
          </cell>
          <cell r="I193" t="str">
            <v xml:space="preserve"> </v>
          </cell>
          <cell r="J193">
            <v>0</v>
          </cell>
          <cell r="K193">
            <v>0</v>
          </cell>
          <cell r="M193">
            <v>0</v>
          </cell>
        </row>
        <row r="194">
          <cell r="A194" t="str">
            <v>a-1</v>
          </cell>
          <cell r="B194" t="str">
            <v>합판3회</v>
          </cell>
          <cell r="C194" t="str">
            <v>m2</v>
          </cell>
          <cell r="D194">
            <v>81</v>
          </cell>
          <cell r="E194">
            <v>16812</v>
          </cell>
          <cell r="F194">
            <v>1361772</v>
          </cell>
          <cell r="G194">
            <v>19000</v>
          </cell>
          <cell r="H194">
            <v>0</v>
          </cell>
          <cell r="I194">
            <v>19000</v>
          </cell>
          <cell r="J194">
            <v>1539000</v>
          </cell>
          <cell r="K194">
            <v>1.1301451344277897</v>
          </cell>
          <cell r="L194">
            <v>18000</v>
          </cell>
          <cell r="M194">
            <v>1458000</v>
          </cell>
        </row>
        <row r="195">
          <cell r="A195" t="str">
            <v>a-2</v>
          </cell>
          <cell r="B195" t="str">
            <v>합판4회</v>
          </cell>
          <cell r="C195" t="str">
            <v>m2</v>
          </cell>
          <cell r="D195">
            <v>5956</v>
          </cell>
          <cell r="E195">
            <v>14344</v>
          </cell>
          <cell r="F195">
            <v>85432864</v>
          </cell>
          <cell r="G195">
            <v>18000</v>
          </cell>
          <cell r="H195">
            <v>0</v>
          </cell>
          <cell r="I195">
            <v>18000</v>
          </cell>
          <cell r="J195">
            <v>107208000</v>
          </cell>
          <cell r="K195">
            <v>1.2548800892359175</v>
          </cell>
          <cell r="L195">
            <v>17000</v>
          </cell>
          <cell r="M195">
            <v>101252000</v>
          </cell>
        </row>
        <row r="196">
          <cell r="A196" t="str">
            <v>b</v>
          </cell>
          <cell r="B196" t="str">
            <v>철근가공조립(간단)</v>
          </cell>
          <cell r="C196" t="str">
            <v>TON</v>
          </cell>
          <cell r="D196">
            <v>44.098999999999997</v>
          </cell>
          <cell r="E196">
            <v>243567</v>
          </cell>
          <cell r="F196">
            <v>10741061</v>
          </cell>
          <cell r="G196">
            <v>220000</v>
          </cell>
          <cell r="H196">
            <v>0</v>
          </cell>
          <cell r="I196">
            <v>220000</v>
          </cell>
          <cell r="J196">
            <v>9701780</v>
          </cell>
          <cell r="K196">
            <v>0.90324224022189237</v>
          </cell>
          <cell r="L196">
            <v>230000</v>
          </cell>
          <cell r="M196">
            <v>10142770</v>
          </cell>
        </row>
        <row r="197">
          <cell r="A197" t="str">
            <v>c-1</v>
          </cell>
          <cell r="B197" t="str">
            <v>철근(VIB제외):con'c3종</v>
          </cell>
          <cell r="C197" t="str">
            <v>m3</v>
          </cell>
          <cell r="D197">
            <v>253</v>
          </cell>
          <cell r="E197">
            <v>17774</v>
          </cell>
          <cell r="F197">
            <v>4496822</v>
          </cell>
          <cell r="G197">
            <v>22000</v>
          </cell>
          <cell r="H197" t="str">
            <v>ERR</v>
          </cell>
          <cell r="I197">
            <v>64000</v>
          </cell>
          <cell r="J197">
            <v>5566000</v>
          </cell>
          <cell r="K197">
            <v>1.2377630246427367</v>
          </cell>
          <cell r="L197">
            <v>20000</v>
          </cell>
          <cell r="M197">
            <v>5060000</v>
          </cell>
        </row>
        <row r="198">
          <cell r="A198" t="str">
            <v>c-2</v>
          </cell>
          <cell r="B198" t="str">
            <v>소형(VIB제외);con'c3종</v>
          </cell>
          <cell r="C198" t="str">
            <v>m3</v>
          </cell>
          <cell r="D198">
            <v>508</v>
          </cell>
          <cell r="E198">
            <v>26516</v>
          </cell>
          <cell r="F198">
            <v>13470128</v>
          </cell>
          <cell r="G198">
            <v>22000</v>
          </cell>
          <cell r="H198" t="str">
            <v>ERR</v>
          </cell>
          <cell r="I198">
            <v>64000</v>
          </cell>
          <cell r="J198">
            <v>11176000</v>
          </cell>
          <cell r="K198">
            <v>0.82968773570674315</v>
          </cell>
          <cell r="L198">
            <v>20000</v>
          </cell>
          <cell r="M198">
            <v>10160000</v>
          </cell>
        </row>
        <row r="199">
          <cell r="A199" t="str">
            <v>d-1</v>
          </cell>
          <cell r="B199" t="str">
            <v>철근(VIB제외):con'c3종</v>
          </cell>
          <cell r="C199" t="str">
            <v>m3</v>
          </cell>
          <cell r="D199">
            <v>11</v>
          </cell>
          <cell r="E199">
            <v>19164</v>
          </cell>
          <cell r="F199">
            <v>210804</v>
          </cell>
          <cell r="G199">
            <v>22000</v>
          </cell>
          <cell r="H199" t="str">
            <v>ERR</v>
          </cell>
          <cell r="I199">
            <v>63000</v>
          </cell>
          <cell r="J199">
            <v>242000</v>
          </cell>
          <cell r="K199">
            <v>1.147985806720935</v>
          </cell>
          <cell r="L199">
            <v>20000</v>
          </cell>
          <cell r="M199">
            <v>220000</v>
          </cell>
        </row>
        <row r="200">
          <cell r="A200" t="str">
            <v>d-2</v>
          </cell>
          <cell r="B200" t="str">
            <v>소형(VIB제외);con'c3종</v>
          </cell>
          <cell r="C200" t="str">
            <v>m3</v>
          </cell>
          <cell r="D200">
            <v>119</v>
          </cell>
          <cell r="E200">
            <v>27905</v>
          </cell>
          <cell r="F200">
            <v>3320695</v>
          </cell>
          <cell r="G200">
            <v>22000</v>
          </cell>
          <cell r="H200" t="str">
            <v>ERR</v>
          </cell>
          <cell r="I200">
            <v>63000</v>
          </cell>
          <cell r="J200">
            <v>2618000</v>
          </cell>
          <cell r="K200">
            <v>0.78838917756674431</v>
          </cell>
          <cell r="L200">
            <v>20000</v>
          </cell>
          <cell r="M200">
            <v>2380000</v>
          </cell>
        </row>
        <row r="201">
          <cell r="A201">
            <v>2.25</v>
          </cell>
          <cell r="B201" t="str">
            <v>노면배수공</v>
          </cell>
          <cell r="G201" t="str">
            <v xml:space="preserve"> </v>
          </cell>
          <cell r="H201">
            <v>0</v>
          </cell>
          <cell r="I201" t="str">
            <v xml:space="preserve"> </v>
          </cell>
          <cell r="J201">
            <v>0</v>
          </cell>
          <cell r="K201">
            <v>0</v>
          </cell>
          <cell r="L201">
            <v>0</v>
          </cell>
          <cell r="M201">
            <v>0</v>
          </cell>
        </row>
        <row r="202">
          <cell r="A202" t="str">
            <v>a</v>
          </cell>
          <cell r="B202" t="str">
            <v>중분대 횡배수관(D=300m/m)</v>
          </cell>
          <cell r="C202" t="str">
            <v>m</v>
          </cell>
          <cell r="D202">
            <v>367</v>
          </cell>
          <cell r="E202">
            <v>38844</v>
          </cell>
          <cell r="F202">
            <v>14255748</v>
          </cell>
          <cell r="G202">
            <v>35110</v>
          </cell>
          <cell r="H202">
            <v>0</v>
          </cell>
          <cell r="I202">
            <v>35110</v>
          </cell>
          <cell r="J202">
            <v>12885370</v>
          </cell>
          <cell r="K202">
            <v>0.90387189784780142</v>
          </cell>
          <cell r="L202">
            <v>18000</v>
          </cell>
          <cell r="M202">
            <v>6606000</v>
          </cell>
        </row>
        <row r="203">
          <cell r="A203" t="str">
            <v>2-25-B</v>
          </cell>
          <cell r="B203" t="str">
            <v>종배수관-중분대,L형측구</v>
          </cell>
          <cell r="G203" t="str">
            <v xml:space="preserve"> </v>
          </cell>
          <cell r="H203">
            <v>0</v>
          </cell>
          <cell r="I203" t="str">
            <v xml:space="preserve"> </v>
          </cell>
          <cell r="J203">
            <v>0</v>
          </cell>
          <cell r="K203">
            <v>0</v>
          </cell>
          <cell r="L203">
            <v>0</v>
          </cell>
          <cell r="M203">
            <v>0</v>
          </cell>
        </row>
        <row r="204">
          <cell r="A204" t="str">
            <v>b-1</v>
          </cell>
          <cell r="B204" t="str">
            <v>D =  300m/m</v>
          </cell>
          <cell r="C204" t="str">
            <v>m</v>
          </cell>
          <cell r="D204">
            <v>5224</v>
          </cell>
          <cell r="E204">
            <v>20663</v>
          </cell>
          <cell r="F204">
            <v>107943512</v>
          </cell>
          <cell r="G204">
            <v>8050</v>
          </cell>
          <cell r="H204" t="str">
            <v>ERR</v>
          </cell>
          <cell r="I204">
            <v>18760</v>
          </cell>
          <cell r="J204">
            <v>42053200</v>
          </cell>
          <cell r="K204">
            <v>0.38958524899578956</v>
          </cell>
          <cell r="L204">
            <v>12000</v>
          </cell>
          <cell r="M204">
            <v>62688000</v>
          </cell>
        </row>
        <row r="205">
          <cell r="A205" t="str">
            <v>b-2</v>
          </cell>
          <cell r="B205" t="str">
            <v>D =  450m/m</v>
          </cell>
          <cell r="C205" t="str">
            <v>m</v>
          </cell>
          <cell r="D205">
            <v>1124</v>
          </cell>
          <cell r="E205">
            <v>25618</v>
          </cell>
          <cell r="F205">
            <v>28794632</v>
          </cell>
          <cell r="G205">
            <v>10980</v>
          </cell>
          <cell r="H205" t="str">
            <v>ERR</v>
          </cell>
          <cell r="I205">
            <v>23760</v>
          </cell>
          <cell r="J205">
            <v>12341520</v>
          </cell>
          <cell r="K205">
            <v>0.42860488718869544</v>
          </cell>
          <cell r="L205">
            <v>16000</v>
          </cell>
          <cell r="M205">
            <v>17984000</v>
          </cell>
        </row>
        <row r="206">
          <cell r="A206" t="str">
            <v>b-3</v>
          </cell>
          <cell r="B206" t="str">
            <v>D =  600m/m</v>
          </cell>
          <cell r="C206" t="str">
            <v>m</v>
          </cell>
          <cell r="D206">
            <v>4044</v>
          </cell>
          <cell r="E206">
            <v>43554</v>
          </cell>
          <cell r="F206">
            <v>176132376</v>
          </cell>
          <cell r="G206">
            <v>17820</v>
          </cell>
          <cell r="H206" t="str">
            <v>ERR</v>
          </cell>
          <cell r="I206">
            <v>39240</v>
          </cell>
          <cell r="J206">
            <v>72064080</v>
          </cell>
          <cell r="K206">
            <v>0.40914726546356245</v>
          </cell>
          <cell r="L206">
            <v>20000</v>
          </cell>
          <cell r="M206">
            <v>80880000</v>
          </cell>
        </row>
        <row r="207">
          <cell r="A207" t="str">
            <v>b-5</v>
          </cell>
          <cell r="B207" t="str">
            <v>D =  1000m/m</v>
          </cell>
          <cell r="C207" t="str">
            <v>m</v>
          </cell>
          <cell r="D207">
            <v>426</v>
          </cell>
          <cell r="E207">
            <v>97034</v>
          </cell>
          <cell r="F207">
            <v>41336484</v>
          </cell>
          <cell r="G207">
            <v>32680</v>
          </cell>
          <cell r="H207" t="str">
            <v>ERR</v>
          </cell>
          <cell r="I207">
            <v>93240</v>
          </cell>
          <cell r="J207">
            <v>13921680</v>
          </cell>
          <cell r="K207">
            <v>0.33678916668384279</v>
          </cell>
          <cell r="L207">
            <v>60000</v>
          </cell>
          <cell r="M207">
            <v>25560000</v>
          </cell>
        </row>
        <row r="208">
          <cell r="A208" t="str">
            <v>b-6</v>
          </cell>
          <cell r="B208" t="str">
            <v>D =  1200m/m</v>
          </cell>
          <cell r="C208" t="str">
            <v>m</v>
          </cell>
          <cell r="D208">
            <v>10</v>
          </cell>
          <cell r="E208">
            <v>140363</v>
          </cell>
          <cell r="F208">
            <v>1403630</v>
          </cell>
          <cell r="G208">
            <v>48970</v>
          </cell>
          <cell r="H208" t="str">
            <v>ERR</v>
          </cell>
          <cell r="I208">
            <v>133840</v>
          </cell>
          <cell r="J208">
            <v>489700</v>
          </cell>
          <cell r="K208">
            <v>0.34888111539365785</v>
          </cell>
          <cell r="L208">
            <v>80000</v>
          </cell>
          <cell r="M208">
            <v>800000</v>
          </cell>
        </row>
        <row r="209">
          <cell r="A209" t="str">
            <v>c</v>
          </cell>
          <cell r="B209" t="str">
            <v>중분대 집수정</v>
          </cell>
          <cell r="G209" t="str">
            <v xml:space="preserve"> </v>
          </cell>
          <cell r="H209">
            <v>0</v>
          </cell>
          <cell r="I209" t="str">
            <v xml:space="preserve"> </v>
          </cell>
          <cell r="J209">
            <v>0</v>
          </cell>
          <cell r="K209">
            <v>0</v>
          </cell>
          <cell r="M209">
            <v>0</v>
          </cell>
        </row>
        <row r="210">
          <cell r="A210" t="str">
            <v>c-1</v>
          </cell>
          <cell r="B210" t="str">
            <v>형식 - 1 (양종방향)</v>
          </cell>
          <cell r="C210" t="str">
            <v>개</v>
          </cell>
          <cell r="D210">
            <v>272</v>
          </cell>
          <cell r="E210">
            <v>205291</v>
          </cell>
          <cell r="F210">
            <v>55839152</v>
          </cell>
          <cell r="G210">
            <v>224070</v>
          </cell>
          <cell r="H210" t="str">
            <v>ERR</v>
          </cell>
          <cell r="I210">
            <v>252280</v>
          </cell>
          <cell r="J210">
            <v>60947040</v>
          </cell>
          <cell r="K210">
            <v>1.0914750281307997</v>
          </cell>
          <cell r="L210">
            <v>220000</v>
          </cell>
          <cell r="M210">
            <v>59840000</v>
          </cell>
        </row>
        <row r="211">
          <cell r="A211" t="str">
            <v>c-2</v>
          </cell>
          <cell r="B211" t="str">
            <v>형식 - 1 (양종방향)</v>
          </cell>
          <cell r="C211" t="str">
            <v>개</v>
          </cell>
          <cell r="D211">
            <v>25</v>
          </cell>
          <cell r="E211">
            <v>200681</v>
          </cell>
          <cell r="F211">
            <v>5017025</v>
          </cell>
          <cell r="G211">
            <v>220120</v>
          </cell>
          <cell r="H211" t="str">
            <v>ERR</v>
          </cell>
          <cell r="I211">
            <v>247640</v>
          </cell>
          <cell r="J211">
            <v>5503000</v>
          </cell>
          <cell r="K211">
            <v>1.0968651740822499</v>
          </cell>
          <cell r="L211">
            <v>220000</v>
          </cell>
          <cell r="M211">
            <v>5500000</v>
          </cell>
        </row>
        <row r="212">
          <cell r="A212" t="str">
            <v>c-3</v>
          </cell>
          <cell r="B212" t="str">
            <v>형식 - 1 (양종방향)</v>
          </cell>
          <cell r="C212" t="str">
            <v>개</v>
          </cell>
          <cell r="D212">
            <v>1</v>
          </cell>
          <cell r="E212">
            <v>196060</v>
          </cell>
          <cell r="F212">
            <v>196060</v>
          </cell>
          <cell r="G212">
            <v>216160</v>
          </cell>
          <cell r="H212" t="str">
            <v>ERR</v>
          </cell>
          <cell r="I212">
            <v>243280</v>
          </cell>
          <cell r="J212">
            <v>216160</v>
          </cell>
          <cell r="K212">
            <v>1.1025196368458634</v>
          </cell>
          <cell r="L212">
            <v>220000</v>
          </cell>
          <cell r="M212">
            <v>220000</v>
          </cell>
        </row>
        <row r="213">
          <cell r="A213">
            <v>2.2599999999999998</v>
          </cell>
          <cell r="B213" t="str">
            <v>용배수로</v>
          </cell>
          <cell r="G213" t="str">
            <v xml:space="preserve"> </v>
          </cell>
          <cell r="H213">
            <v>0</v>
          </cell>
          <cell r="I213" t="str">
            <v xml:space="preserve"> </v>
          </cell>
          <cell r="J213">
            <v>0</v>
          </cell>
          <cell r="K213">
            <v>0</v>
          </cell>
          <cell r="M213">
            <v>0</v>
          </cell>
        </row>
        <row r="214">
          <cell r="A214" t="str">
            <v>b</v>
          </cell>
          <cell r="B214" t="str">
            <v>거푸집</v>
          </cell>
          <cell r="G214" t="str">
            <v xml:space="preserve"> </v>
          </cell>
          <cell r="H214">
            <v>0</v>
          </cell>
          <cell r="I214" t="str">
            <v xml:space="preserve"> </v>
          </cell>
          <cell r="J214">
            <v>0</v>
          </cell>
          <cell r="K214">
            <v>0</v>
          </cell>
          <cell r="M214">
            <v>0</v>
          </cell>
        </row>
        <row r="215">
          <cell r="A215" t="str">
            <v>b-1</v>
          </cell>
          <cell r="B215" t="str">
            <v>합판 3회</v>
          </cell>
          <cell r="C215" t="str">
            <v>m2</v>
          </cell>
          <cell r="D215">
            <v>674</v>
          </cell>
          <cell r="E215">
            <v>16812</v>
          </cell>
          <cell r="F215">
            <v>11331288</v>
          </cell>
          <cell r="G215">
            <v>19000</v>
          </cell>
          <cell r="H215">
            <v>0</v>
          </cell>
          <cell r="I215">
            <v>19000</v>
          </cell>
          <cell r="J215">
            <v>12806000</v>
          </cell>
          <cell r="K215">
            <v>1.1301451344277897</v>
          </cell>
          <cell r="L215">
            <v>18000</v>
          </cell>
          <cell r="M215">
            <v>12132000</v>
          </cell>
        </row>
        <row r="216">
          <cell r="A216" t="str">
            <v>b-2</v>
          </cell>
          <cell r="B216" t="str">
            <v>합판 4회</v>
          </cell>
          <cell r="C216" t="str">
            <v>m2</v>
          </cell>
          <cell r="D216">
            <v>736</v>
          </cell>
          <cell r="E216">
            <v>14344</v>
          </cell>
          <cell r="F216">
            <v>10557184</v>
          </cell>
          <cell r="G216">
            <v>18000</v>
          </cell>
          <cell r="H216">
            <v>0</v>
          </cell>
          <cell r="I216">
            <v>18000</v>
          </cell>
          <cell r="J216">
            <v>13248000</v>
          </cell>
          <cell r="K216">
            <v>1.2548800892359175</v>
          </cell>
          <cell r="L216">
            <v>17000</v>
          </cell>
          <cell r="M216">
            <v>12512000</v>
          </cell>
        </row>
        <row r="217">
          <cell r="A217" t="str">
            <v>c</v>
          </cell>
          <cell r="B217" t="str">
            <v>철근가공조립(보통)</v>
          </cell>
          <cell r="C217" t="str">
            <v>TON</v>
          </cell>
          <cell r="D217">
            <v>24.202000000000002</v>
          </cell>
          <cell r="E217">
            <v>336241</v>
          </cell>
          <cell r="F217">
            <v>8137704</v>
          </cell>
          <cell r="G217">
            <v>240000</v>
          </cell>
          <cell r="H217">
            <v>0</v>
          </cell>
          <cell r="I217">
            <v>240000</v>
          </cell>
          <cell r="J217">
            <v>5808480</v>
          </cell>
          <cell r="K217">
            <v>0.71377381138463625</v>
          </cell>
          <cell r="L217">
            <v>230000</v>
          </cell>
          <cell r="M217">
            <v>5566460</v>
          </cell>
        </row>
        <row r="218">
          <cell r="A218" t="str">
            <v>f</v>
          </cell>
          <cell r="B218" t="str">
            <v>콘크리트</v>
          </cell>
          <cell r="G218" t="str">
            <v xml:space="preserve"> </v>
          </cell>
          <cell r="H218">
            <v>0</v>
          </cell>
          <cell r="I218" t="str">
            <v xml:space="preserve"> </v>
          </cell>
          <cell r="J218">
            <v>0</v>
          </cell>
          <cell r="K218">
            <v>0</v>
          </cell>
          <cell r="M218">
            <v>0</v>
          </cell>
        </row>
        <row r="219">
          <cell r="A219" t="str">
            <v>f-1</v>
          </cell>
          <cell r="B219" t="str">
            <v>2종 32m/m (생산 및 타설)</v>
          </cell>
          <cell r="C219" t="str">
            <v>m3</v>
          </cell>
          <cell r="D219">
            <v>263</v>
          </cell>
          <cell r="E219">
            <v>28836</v>
          </cell>
          <cell r="F219">
            <v>7583868</v>
          </cell>
          <cell r="G219">
            <v>22000</v>
          </cell>
          <cell r="H219" t="str">
            <v>ERR</v>
          </cell>
          <cell r="I219">
            <v>31050</v>
          </cell>
          <cell r="J219">
            <v>5786000</v>
          </cell>
          <cell r="K219">
            <v>0.76293521986405877</v>
          </cell>
          <cell r="L219">
            <v>15000</v>
          </cell>
          <cell r="M219">
            <v>3945000</v>
          </cell>
        </row>
        <row r="220">
          <cell r="A220" t="str">
            <v>f-4</v>
          </cell>
          <cell r="B220" t="str">
            <v>5종 50m/m (구입 및 타설)</v>
          </cell>
          <cell r="C220" t="str">
            <v>m3</v>
          </cell>
          <cell r="D220">
            <v>31</v>
          </cell>
          <cell r="E220">
            <v>17088</v>
          </cell>
          <cell r="F220">
            <v>529728</v>
          </cell>
          <cell r="G220">
            <v>22000</v>
          </cell>
          <cell r="H220" t="str">
            <v>ERR</v>
          </cell>
          <cell r="I220">
            <v>58000</v>
          </cell>
          <cell r="J220">
            <v>682000</v>
          </cell>
          <cell r="K220">
            <v>1.2874531835205993</v>
          </cell>
          <cell r="L220">
            <v>15000</v>
          </cell>
          <cell r="M220">
            <v>465000</v>
          </cell>
        </row>
        <row r="221">
          <cell r="B221" t="str">
            <v>소   계 (배수공구조물)</v>
          </cell>
          <cell r="F221">
            <v>7753897165</v>
          </cell>
          <cell r="J221">
            <v>6382728585</v>
          </cell>
          <cell r="K221">
            <v>0.8231639457137423</v>
          </cell>
          <cell r="M221">
            <v>6562213310</v>
          </cell>
        </row>
        <row r="222">
          <cell r="B222" t="str">
            <v>직접공사비 계</v>
          </cell>
          <cell r="F222">
            <v>29073580030</v>
          </cell>
          <cell r="J222">
            <v>20998993135</v>
          </cell>
          <cell r="K222">
            <v>0.72227063586018236</v>
          </cell>
          <cell r="M222">
            <v>19373678460</v>
          </cell>
        </row>
        <row r="223">
          <cell r="F223" t="str">
            <v xml:space="preserve"> </v>
          </cell>
          <cell r="K223">
            <v>0</v>
          </cell>
          <cell r="M223" t="str">
            <v xml:space="preserve"> </v>
          </cell>
        </row>
        <row r="224">
          <cell r="B224" t="str">
            <v>안전관리비</v>
          </cell>
          <cell r="E224">
            <v>1.5199999999999998E-2</v>
          </cell>
          <cell r="F224">
            <v>441918416.45599997</v>
          </cell>
          <cell r="G224">
            <v>0.01</v>
          </cell>
          <cell r="I224">
            <v>5.0000000000000001E-3</v>
          </cell>
          <cell r="J224">
            <v>209989931</v>
          </cell>
          <cell r="K224">
            <v>0.47517804911601336</v>
          </cell>
          <cell r="M224">
            <v>356321540</v>
          </cell>
        </row>
      </sheetData>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재료비"/>
      <sheetName val="제조원가"/>
      <sheetName val="97년제조사업장별"/>
      <sheetName val="원재료"/>
      <sheetName val="재고계획"/>
      <sheetName val="building"/>
      <sheetName val="1월"/>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목차본문"/>
      <sheetName val="정산표"/>
      <sheetName val="확정BS"/>
      <sheetName val="경영비율 "/>
      <sheetName val="확정IS"/>
      <sheetName val="결손금(안)"/>
      <sheetName val="현금흐름"/>
      <sheetName val="현금흐름표"/>
      <sheetName val="주석"/>
      <sheetName val="부속명세서"/>
      <sheetName val="매출액(명) "/>
      <sheetName val="매출원가(명)"/>
      <sheetName val="경영표지"/>
      <sheetName val="영업사항"/>
      <sheetName val="대주주"/>
      <sheetName val="확인서"/>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 val="경영비율 "/>
      <sheetName val="정산표"/>
      <sheetName val="현지법인 대손설정"/>
      <sheetName val="총괄표"/>
      <sheetName val="분개장·원장"/>
      <sheetName val="완성차 미수금"/>
      <sheetName val="Assumption"/>
      <sheetName val="보험금"/>
      <sheetName val="1월"/>
      <sheetName val="투자자산"/>
      <sheetName val="대손상각"/>
      <sheetName val="외상매출금"/>
      <sheetName val="받을어음"/>
      <sheetName val="재무제표"/>
      <sheetName val="제조원가"/>
      <sheetName val="재고자산명세"/>
      <sheetName val="관계주식"/>
      <sheetName val="이자율"/>
      <sheetName val="재공품(3)"/>
      <sheetName val="표준원가표(2)"/>
      <sheetName val="ls"/>
      <sheetName val="주관사업"/>
      <sheetName val="본사재고"/>
      <sheetName val="제품구분"/>
      <sheetName val="용역원가명세서"/>
      <sheetName val="현금흐름표"/>
      <sheetName val="수입"/>
      <sheetName val="추가예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갑지"/>
      <sheetName val="총괄"/>
      <sheetName val="지하철6-1"/>
      <sheetName val="지하철6-2"/>
      <sheetName val="고철1-1"/>
      <sheetName val="고속철도1-2"/>
      <sheetName val="부산지하철"/>
      <sheetName val="부산통신구"/>
      <sheetName val="광주도시철도1-1"/>
      <sheetName val="소태역사"/>
      <sheetName val="신공항고속도로"/>
      <sheetName val="신공항A-3"/>
      <sheetName val="신공항A-4"/>
      <sheetName val="양양국제공항(원가수정)"/>
      <sheetName val="신공항A-9(원가수정)"/>
      <sheetName val="신공항A-10"/>
      <sheetName val="신공항철도노반(원가수정)"/>
      <sheetName val="중수처리시설"/>
      <sheetName val="대진7공구"/>
      <sheetName val="대진8공구"/>
      <sheetName val="평동산단"/>
      <sheetName val="천안논산"/>
      <sheetName val="지도사옥"/>
      <sheetName val="대구4차순환도로"/>
      <sheetName val="삼덕시지간도로"/>
      <sheetName val="대구팔달로"/>
      <sheetName val="태전구마지선"/>
      <sheetName val="전주대교"/>
      <sheetName val="여수하수처리장"/>
      <sheetName val="송대하수2단계"/>
      <sheetName val="대청댐"/>
      <sheetName val="탐진댐"/>
      <sheetName val="장수축산"/>
      <sheetName val="광동리하수처리장"/>
      <sheetName val="해도배수펌프장"/>
      <sheetName val="풍암시설물관리"/>
      <sheetName val="시화부대시설"/>
      <sheetName val="부산신항만"/>
      <sheetName val="양산ICD"/>
      <sheetName val="양산유수지"/>
      <sheetName val="평동공단"/>
      <sheetName val="양산TR"/>
      <sheetName val="서창선차집관로"/>
      <sheetName val="가양화곡"/>
      <sheetName val="안암성동"/>
      <sheetName val="신공항A18"/>
      <sheetName val="하남장성"/>
      <sheetName val="광로7호선"/>
      <sheetName val="아산만"/>
      <sheetName val="기타(준공)"/>
      <sheetName val="광주하수탈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7">
          <cell r="AB7">
            <v>9589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흐름표"/>
      <sheetName val="코드표"/>
      <sheetName val="95WBS"/>
      <sheetName val="일위대가(가설)"/>
      <sheetName val="제품L.D."/>
      <sheetName val="2.손익계산서"/>
      <sheetName val="Sheet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
      <sheetName val="A2"/>
      <sheetName val="to do"/>
      <sheetName val="재고"/>
      <sheetName val="AR"/>
      <sheetName val="단가검증"/>
      <sheetName val="재고분석"/>
      <sheetName val="가공비배부"/>
      <sheetName val="제,원"/>
      <sheetName val="투자"/>
      <sheetName val="평가"/>
      <sheetName val="무형"/>
      <sheetName val="M"/>
      <sheetName val="M1-anl"/>
      <sheetName val="퇴충"/>
      <sheetName val="분석적검토"/>
      <sheetName val="자본"/>
      <sheetName val="스탁옵션"/>
      <sheetName val="원가"/>
      <sheetName val="제조원가"/>
      <sheetName val="월별제조"/>
      <sheetName val="영업외"/>
      <sheetName val="우발"/>
      <sheetName val="법인"/>
      <sheetName val="미지급법인세"/>
      <sheetName val="이연법인세"/>
      <sheetName val="BS일이후"/>
      <sheetName val="매입"/>
      <sheetName val="원재료평가"/>
      <sheetName val="제품평가"/>
      <sheetName val="cc"/>
      <sheetName val="조회"/>
      <sheetName val="총괄"/>
      <sheetName val="미수"/>
      <sheetName val="메모"/>
      <sheetName val="입출금메모"/>
      <sheetName val="판관비"/>
      <sheetName val="월간판관"/>
      <sheetName val="C-1구매"/>
      <sheetName val="C-2제조"/>
      <sheetName val="배부기준"/>
      <sheetName val="C-21-1매입toc"/>
      <sheetName val="C-22-월별경비"/>
      <sheetName val="부문별"/>
      <sheetName val="회선사용"/>
      <sheetName val="C-42원가AR"/>
      <sheetName val="C-43-11cutoff"/>
      <sheetName val="C-43-31"/>
      <sheetName val="매출"/>
      <sheetName val="건설중인자산"/>
      <sheetName val="중간감사-드림라인"/>
      <sheetName val="#REF"/>
      <sheetName val="업무분장 "/>
      <sheetName val="공통"/>
      <sheetName val="95WBS"/>
      <sheetName val="현금흐름표"/>
      <sheetName val="YOEMAGUM"/>
      <sheetName val="신공항A-9(원가수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득점현황"/>
      <sheetName val="평가결과"/>
      <sheetName val="평가결과 (2)"/>
      <sheetName val="평가결과 (3)"/>
      <sheetName val="문제점요약"/>
      <sheetName val="첨부자료"/>
      <sheetName val="기준건수"/>
      <sheetName val="평균득점"/>
      <sheetName val="표지"/>
      <sheetName val="실적건수"/>
      <sheetName val="11월AS품질평가(직영)"/>
      <sheetName val="차체부품 INS REPORT(갑)"/>
      <sheetName val="중기"/>
      <sheetName val="외화계약"/>
      <sheetName val="평가결과_(2)"/>
      <sheetName val="평가결과_(3)"/>
      <sheetName val="차체부품_INS_REPORT(갑)"/>
      <sheetName val="2.대외공문"/>
      <sheetName val="병"/>
      <sheetName val="CS누계자료"/>
      <sheetName val="Macro1"/>
      <sheetName val="경영현황"/>
      <sheetName val="수입"/>
      <sheetName val="10매출"/>
      <sheetName val="수리결과"/>
      <sheetName val="현금흐름"/>
      <sheetName val="지성학원"/>
      <sheetName val="시험연구비상각"/>
      <sheetName val="excfimdl"/>
      <sheetName val="자바라1"/>
      <sheetName val="TABLE DB"/>
      <sheetName val="쌍용 data base"/>
      <sheetName val="가격합의서"/>
      <sheetName val="매출"/>
      <sheetName val="수주"/>
      <sheetName val="96갑지"/>
      <sheetName val="교육계획"/>
      <sheetName val="CAUDIT"/>
      <sheetName val="A1"/>
      <sheetName val="현금흐름표"/>
      <sheetName val="钢板差异"/>
      <sheetName val="수금RAW (2)"/>
      <sheetName val="45,46"/>
      <sheetName val="확정현황"/>
      <sheetName val="ENG油洩れ"/>
      <sheetName val="Sheet11"/>
      <sheetName val="GRACE"/>
      <sheetName val="영업일수"/>
      <sheetName val="자료"/>
      <sheetName val="저속"/>
      <sheetName val="11년 SRS PL(IFRS기준)"/>
      <sheetName val="Sheet2"/>
      <sheetName val="기준재고"/>
      <sheetName val="관계주식"/>
      <sheetName val="ML"/>
      <sheetName val="호프"/>
      <sheetName val="Data1"/>
      <sheetName val="효율계획(당월)"/>
      <sheetName val="$bhp"/>
      <sheetName val="변경비교-을"/>
      <sheetName val="정비부품대우월별"/>
      <sheetName val="부서코드표"/>
      <sheetName val="시산표"/>
      <sheetName val="원가계산"/>
      <sheetName val="입고단가기준"/>
      <sheetName val="W-현원가"/>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Des"/>
      <sheetName val="WGL"/>
      <sheetName val="질의사항"/>
      <sheetName val="_TM_GTM"/>
      <sheetName val="Result"/>
      <sheetName val="_TM_GTM_프리미엄분석"/>
      <sheetName val="_TM_DCF"/>
      <sheetName val="DCF"/>
      <sheetName val="Pro forma"/>
      <sheetName val="DCF_연결기준"/>
      <sheetName val="Pro forma_연결기준"/>
      <sheetName val="보고서용 FS"/>
      <sheetName val="WACC_최종"/>
      <sheetName val="유사회사 WACC 분석"/>
      <sheetName val="매출액"/>
      <sheetName val="매출원가"/>
      <sheetName val="SG&amp;A"/>
      <sheetName val="노무비(인건비)"/>
      <sheetName val="CapEx&amp;Dep"/>
      <sheetName val="WC"/>
      <sheetName val="NOA&amp;IBD"/>
      <sheetName val="▶ 회사제시자료"/>
      <sheetName val="BS_별도"/>
      <sheetName val="IS_별도"/>
      <sheetName val="제조원가"/>
      <sheetName val="Dep(기존자산)"/>
      <sheetName val="판매량&amp;판매가격"/>
      <sheetName val="무형자산상각비"/>
      <sheetName val="개발비명세"/>
      <sheetName val="손익"/>
      <sheetName val="재무상태"/>
      <sheetName val="CF_별도"/>
      <sheetName val="CAPEX_주석사항"/>
      <sheetName val="자회사 현황"/>
      <sheetName val="주주현황"/>
      <sheetName val="필맥스 5개년 제조원가명세서"/>
      <sheetName val="▶ 예측자료"/>
      <sheetName val="Macro_KR"/>
      <sheetName val="Macro_PH"/>
      <sheetName val="유가전망"/>
      <sheetName val="▶ 자회사 추정"/>
      <sheetName val="자회사_Pro forma_필리핀"/>
      <sheetName val="자회사_DCF(필리핀)"/>
      <sheetName val="자회사_FS_필리핀"/>
      <sheetName val="자회사_FS_필리핀2"/>
      <sheetName val="_TM_GPCM_Tier1 (2)"/>
      <sheetName val="_TM_매출액"/>
      <sheetName val="_TM_유니맥스_Pro forma"/>
      <sheetName val="_TM_자회사"/>
      <sheetName val="_TM_주주현황"/>
      <sheetName val="_TM_이사회의사록"/>
      <sheetName val="_TM_WACC_유사회사"/>
      <sheetName val="_TM_관련 산업 성장률"/>
      <sheetName val="유사_국내IS"/>
      <sheetName val="유사_국내BS"/>
      <sheetName val="유사_국내CF"/>
      <sheetName val="유사_해외IS"/>
      <sheetName val="유사_해외BS"/>
      <sheetName val="유사_해외CF"/>
    </sheetNames>
    <sheetDataSet>
      <sheetData sheetId="0" refreshError="1"/>
      <sheetData sheetId="1" refreshError="1">
        <row r="12">
          <cell r="C12" t="str">
            <v>DRAFT - For Discussion Purposes Only</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Disclaimer"/>
      <sheetName val="Des"/>
      <sheetName val="Rep.1"/>
      <sheetName val="Rep.2"/>
      <sheetName val="Rep.3"/>
      <sheetName val="Rep.4"/>
      <sheetName val="Result"/>
      <sheetName val="자산가치"/>
      <sheetName val="DCF"/>
      <sheetName val="Pro Forma"/>
      <sheetName val="DCF(사업계획)"/>
      <sheetName val="Pro Forma(사업계획)"/>
      <sheetName val="WACC"/>
      <sheetName val="Beta"/>
      <sheetName val="CRP"/>
      <sheetName val="GPCM"/>
      <sheetName val="신용등급"/>
      <sheetName val="MKT Cap"/>
      <sheetName val="GTM"/>
      <sheetName val="Assumption"/>
      <sheetName val="질의사항"/>
      <sheetName val="Sales"/>
      <sheetName val="COGS"/>
      <sheetName val="SG&amp;A"/>
      <sheetName val="NOA"/>
      <sheetName val="WC"/>
      <sheetName val="CapEx&amp;Dep"/>
      <sheetName val="기존(정률)"/>
      <sheetName val="기존(정액)"/>
      <sheetName val="신규(정액)"/>
      <sheetName val="신규(정률)"/>
      <sheetName val="수주 분석"/>
      <sheetName val="수주잔고"/>
      <sheetName val="수주잔고 향후"/>
      <sheetName val="원가구분"/>
      <sheetName val="성과급"/>
      <sheetName val="인원"/>
      <sheetName val="사업계획"/>
      <sheetName val="Analysis"/>
      <sheetName val="건설업 과거"/>
      <sheetName val="건설EEO"/>
      <sheetName val="IFRS_BS"/>
      <sheetName val="IFRS_IS"/>
      <sheetName val="IFRS_원가"/>
      <sheetName val="K-GAAP_BS"/>
      <sheetName val="K-GAAP_IS"/>
      <sheetName val="K-GAAP_원가"/>
      <sheetName val="Mac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12">
          <cell r="B12">
            <v>13938287000000</v>
          </cell>
          <cell r="C12">
            <v>17628398480000</v>
          </cell>
          <cell r="E12">
            <v>19718486920000</v>
          </cell>
          <cell r="G12">
            <v>21294443695652.199</v>
          </cell>
          <cell r="I12">
            <v>23369768200000</v>
          </cell>
          <cell r="M12">
            <v>4046137100000</v>
          </cell>
          <cell r="N12">
            <v>4298819111111.1099</v>
          </cell>
          <cell r="P12">
            <v>4497385833333.3301</v>
          </cell>
          <cell r="R12">
            <v>4725903294117.6504</v>
          </cell>
          <cell r="T12">
            <v>5107675285714.29</v>
          </cell>
          <cell r="X12">
            <v>13532755000000</v>
          </cell>
          <cell r="Y12">
            <v>16820414689655.199</v>
          </cell>
          <cell r="AA12">
            <v>17091525172413.801</v>
          </cell>
          <cell r="AC12">
            <v>17659077111111.102</v>
          </cell>
          <cell r="AE12">
            <v>18565165875000</v>
          </cell>
        </row>
      </sheetData>
      <sheetData sheetId="42"/>
      <sheetData sheetId="43"/>
      <sheetData sheetId="44"/>
      <sheetData sheetId="45"/>
      <sheetData sheetId="46"/>
      <sheetData sheetId="47"/>
      <sheetData sheetId="48"/>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2.vml"/><Relationship Id="rId7" Type="http://schemas.openxmlformats.org/officeDocument/2006/relationships/ctrlProp" Target="../ctrlProps/ctrlProp10.xml"/><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1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9.bin"/><Relationship Id="rId1" Type="http://schemas.openxmlformats.org/officeDocument/2006/relationships/externalLinkPath" Target="/Deal%20V_SIA/1.%20Deal%20Advisory/3.%202016&#45380;/Project%20IT/Data/5.%20Customized%20Data/2016&#45380;%20Pipeline%20List_20160122.xlsx" TargetMode="External"/><Relationship Id="rId4" Type="http://schemas.openxmlformats.org/officeDocument/2006/relationships/comments" Target="../comments4.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8.v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9.vm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www.kofiabond.or.kr/SGPG/index.asp?id=m05_0101" TargetMode="External"/></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0000"/>
  </sheetPr>
  <dimension ref="A1:U26"/>
  <sheetViews>
    <sheetView showGridLines="0" workbookViewId="0">
      <selection activeCell="I25" sqref="I25"/>
    </sheetView>
  </sheetViews>
  <sheetFormatPr defaultRowHeight="14.25" x14ac:dyDescent="0.3"/>
  <cols>
    <col min="1" max="1" width="1.625" style="37" customWidth="1"/>
    <col min="2" max="2" width="14.125" style="37" customWidth="1"/>
    <col min="3" max="3" width="3.625" style="37" customWidth="1"/>
    <col min="4" max="8" width="8" style="37" customWidth="1"/>
    <col min="9" max="11" width="9" style="37"/>
    <col min="12" max="12" width="17" style="37" customWidth="1"/>
    <col min="13" max="13" width="11.5" style="37" customWidth="1"/>
    <col min="14" max="14" width="9" style="37"/>
    <col min="15" max="15" width="3.375" style="37" customWidth="1"/>
    <col min="16" max="16" width="1.25" style="37" customWidth="1"/>
    <col min="17" max="246" width="9" style="37"/>
    <col min="247" max="247" width="1.25" style="37" customWidth="1"/>
    <col min="248" max="248" width="2.5" style="37" customWidth="1"/>
    <col min="249" max="249" width="3.625" style="37" customWidth="1"/>
    <col min="250" max="254" width="8" style="37" customWidth="1"/>
    <col min="255" max="257" width="9" style="37"/>
    <col min="258" max="258" width="14.375" style="37" customWidth="1"/>
    <col min="259" max="261" width="9" style="37"/>
    <col min="262" max="262" width="2.5" style="37" customWidth="1"/>
    <col min="263" max="502" width="9" style="37"/>
    <col min="503" max="503" width="1.25" style="37" customWidth="1"/>
    <col min="504" max="504" width="2.5" style="37" customWidth="1"/>
    <col min="505" max="505" width="3.625" style="37" customWidth="1"/>
    <col min="506" max="510" width="8" style="37" customWidth="1"/>
    <col min="511" max="513" width="9" style="37"/>
    <col min="514" max="514" width="14.375" style="37" customWidth="1"/>
    <col min="515" max="517" width="9" style="37"/>
    <col min="518" max="518" width="2.5" style="37" customWidth="1"/>
    <col min="519" max="758" width="9" style="37"/>
    <col min="759" max="759" width="1.25" style="37" customWidth="1"/>
    <col min="760" max="760" width="2.5" style="37" customWidth="1"/>
    <col min="761" max="761" width="3.625" style="37" customWidth="1"/>
    <col min="762" max="766" width="8" style="37" customWidth="1"/>
    <col min="767" max="769" width="9" style="37"/>
    <col min="770" max="770" width="14.375" style="37" customWidth="1"/>
    <col min="771" max="773" width="9" style="37"/>
    <col min="774" max="774" width="2.5" style="37" customWidth="1"/>
    <col min="775" max="1014" width="9" style="37"/>
    <col min="1015" max="1015" width="1.25" style="37" customWidth="1"/>
    <col min="1016" max="1016" width="2.5" style="37" customWidth="1"/>
    <col min="1017" max="1017" width="3.625" style="37" customWidth="1"/>
    <col min="1018" max="1022" width="8" style="37" customWidth="1"/>
    <col min="1023" max="1025" width="9" style="37"/>
    <col min="1026" max="1026" width="14.375" style="37" customWidth="1"/>
    <col min="1027" max="1029" width="9" style="37"/>
    <col min="1030" max="1030" width="2.5" style="37" customWidth="1"/>
    <col min="1031" max="1270" width="9" style="37"/>
    <col min="1271" max="1271" width="1.25" style="37" customWidth="1"/>
    <col min="1272" max="1272" width="2.5" style="37" customWidth="1"/>
    <col min="1273" max="1273" width="3.625" style="37" customWidth="1"/>
    <col min="1274" max="1278" width="8" style="37" customWidth="1"/>
    <col min="1279" max="1281" width="9" style="37"/>
    <col min="1282" max="1282" width="14.375" style="37" customWidth="1"/>
    <col min="1283" max="1285" width="9" style="37"/>
    <col min="1286" max="1286" width="2.5" style="37" customWidth="1"/>
    <col min="1287" max="1526" width="9" style="37"/>
    <col min="1527" max="1527" width="1.25" style="37" customWidth="1"/>
    <col min="1528" max="1528" width="2.5" style="37" customWidth="1"/>
    <col min="1529" max="1529" width="3.625" style="37" customWidth="1"/>
    <col min="1530" max="1534" width="8" style="37" customWidth="1"/>
    <col min="1535" max="1537" width="9" style="37"/>
    <col min="1538" max="1538" width="14.375" style="37" customWidth="1"/>
    <col min="1539" max="1541" width="9" style="37"/>
    <col min="1542" max="1542" width="2.5" style="37" customWidth="1"/>
    <col min="1543" max="1782" width="9" style="37"/>
    <col min="1783" max="1783" width="1.25" style="37" customWidth="1"/>
    <col min="1784" max="1784" width="2.5" style="37" customWidth="1"/>
    <col min="1785" max="1785" width="3.625" style="37" customWidth="1"/>
    <col min="1786" max="1790" width="8" style="37" customWidth="1"/>
    <col min="1791" max="1793" width="9" style="37"/>
    <col min="1794" max="1794" width="14.375" style="37" customWidth="1"/>
    <col min="1795" max="1797" width="9" style="37"/>
    <col min="1798" max="1798" width="2.5" style="37" customWidth="1"/>
    <col min="1799" max="2038" width="9" style="37"/>
    <col min="2039" max="2039" width="1.25" style="37" customWidth="1"/>
    <col min="2040" max="2040" width="2.5" style="37" customWidth="1"/>
    <col min="2041" max="2041" width="3.625" style="37" customWidth="1"/>
    <col min="2042" max="2046" width="8" style="37" customWidth="1"/>
    <col min="2047" max="2049" width="9" style="37"/>
    <col min="2050" max="2050" width="14.375" style="37" customWidth="1"/>
    <col min="2051" max="2053" width="9" style="37"/>
    <col min="2054" max="2054" width="2.5" style="37" customWidth="1"/>
    <col min="2055" max="2294" width="9" style="37"/>
    <col min="2295" max="2295" width="1.25" style="37" customWidth="1"/>
    <col min="2296" max="2296" width="2.5" style="37" customWidth="1"/>
    <col min="2297" max="2297" width="3.625" style="37" customWidth="1"/>
    <col min="2298" max="2302" width="8" style="37" customWidth="1"/>
    <col min="2303" max="2305" width="9" style="37"/>
    <col min="2306" max="2306" width="14.375" style="37" customWidth="1"/>
    <col min="2307" max="2309" width="9" style="37"/>
    <col min="2310" max="2310" width="2.5" style="37" customWidth="1"/>
    <col min="2311" max="2550" width="9" style="37"/>
    <col min="2551" max="2551" width="1.25" style="37" customWidth="1"/>
    <col min="2552" max="2552" width="2.5" style="37" customWidth="1"/>
    <col min="2553" max="2553" width="3.625" style="37" customWidth="1"/>
    <col min="2554" max="2558" width="8" style="37" customWidth="1"/>
    <col min="2559" max="2561" width="9" style="37"/>
    <col min="2562" max="2562" width="14.375" style="37" customWidth="1"/>
    <col min="2563" max="2565" width="9" style="37"/>
    <col min="2566" max="2566" width="2.5" style="37" customWidth="1"/>
    <col min="2567" max="2806" width="9" style="37"/>
    <col min="2807" max="2807" width="1.25" style="37" customWidth="1"/>
    <col min="2808" max="2808" width="2.5" style="37" customWidth="1"/>
    <col min="2809" max="2809" width="3.625" style="37" customWidth="1"/>
    <col min="2810" max="2814" width="8" style="37" customWidth="1"/>
    <col min="2815" max="2817" width="9" style="37"/>
    <col min="2818" max="2818" width="14.375" style="37" customWidth="1"/>
    <col min="2819" max="2821" width="9" style="37"/>
    <col min="2822" max="2822" width="2.5" style="37" customWidth="1"/>
    <col min="2823" max="3062" width="9" style="37"/>
    <col min="3063" max="3063" width="1.25" style="37" customWidth="1"/>
    <col min="3064" max="3064" width="2.5" style="37" customWidth="1"/>
    <col min="3065" max="3065" width="3.625" style="37" customWidth="1"/>
    <col min="3066" max="3070" width="8" style="37" customWidth="1"/>
    <col min="3071" max="3073" width="9" style="37"/>
    <col min="3074" max="3074" width="14.375" style="37" customWidth="1"/>
    <col min="3075" max="3077" width="9" style="37"/>
    <col min="3078" max="3078" width="2.5" style="37" customWidth="1"/>
    <col min="3079" max="3318" width="9" style="37"/>
    <col min="3319" max="3319" width="1.25" style="37" customWidth="1"/>
    <col min="3320" max="3320" width="2.5" style="37" customWidth="1"/>
    <col min="3321" max="3321" width="3.625" style="37" customWidth="1"/>
    <col min="3322" max="3326" width="8" style="37" customWidth="1"/>
    <col min="3327" max="3329" width="9" style="37"/>
    <col min="3330" max="3330" width="14.375" style="37" customWidth="1"/>
    <col min="3331" max="3333" width="9" style="37"/>
    <col min="3334" max="3334" width="2.5" style="37" customWidth="1"/>
    <col min="3335" max="3574" width="9" style="37"/>
    <col min="3575" max="3575" width="1.25" style="37" customWidth="1"/>
    <col min="3576" max="3576" width="2.5" style="37" customWidth="1"/>
    <col min="3577" max="3577" width="3.625" style="37" customWidth="1"/>
    <col min="3578" max="3582" width="8" style="37" customWidth="1"/>
    <col min="3583" max="3585" width="9" style="37"/>
    <col min="3586" max="3586" width="14.375" style="37" customWidth="1"/>
    <col min="3587" max="3589" width="9" style="37"/>
    <col min="3590" max="3590" width="2.5" style="37" customWidth="1"/>
    <col min="3591" max="3830" width="9" style="37"/>
    <col min="3831" max="3831" width="1.25" style="37" customWidth="1"/>
    <col min="3832" max="3832" width="2.5" style="37" customWidth="1"/>
    <col min="3833" max="3833" width="3.625" style="37" customWidth="1"/>
    <col min="3834" max="3838" width="8" style="37" customWidth="1"/>
    <col min="3839" max="3841" width="9" style="37"/>
    <col min="3842" max="3842" width="14.375" style="37" customWidth="1"/>
    <col min="3843" max="3845" width="9" style="37"/>
    <col min="3846" max="3846" width="2.5" style="37" customWidth="1"/>
    <col min="3847" max="4086" width="9" style="37"/>
    <col min="4087" max="4087" width="1.25" style="37" customWidth="1"/>
    <col min="4088" max="4088" width="2.5" style="37" customWidth="1"/>
    <col min="4089" max="4089" width="3.625" style="37" customWidth="1"/>
    <col min="4090" max="4094" width="8" style="37" customWidth="1"/>
    <col min="4095" max="4097" width="9" style="37"/>
    <col min="4098" max="4098" width="14.375" style="37" customWidth="1"/>
    <col min="4099" max="4101" width="9" style="37"/>
    <col min="4102" max="4102" width="2.5" style="37" customWidth="1"/>
    <col min="4103" max="4342" width="9" style="37"/>
    <col min="4343" max="4343" width="1.25" style="37" customWidth="1"/>
    <col min="4344" max="4344" width="2.5" style="37" customWidth="1"/>
    <col min="4345" max="4345" width="3.625" style="37" customWidth="1"/>
    <col min="4346" max="4350" width="8" style="37" customWidth="1"/>
    <col min="4351" max="4353" width="9" style="37"/>
    <col min="4354" max="4354" width="14.375" style="37" customWidth="1"/>
    <col min="4355" max="4357" width="9" style="37"/>
    <col min="4358" max="4358" width="2.5" style="37" customWidth="1"/>
    <col min="4359" max="4598" width="9" style="37"/>
    <col min="4599" max="4599" width="1.25" style="37" customWidth="1"/>
    <col min="4600" max="4600" width="2.5" style="37" customWidth="1"/>
    <col min="4601" max="4601" width="3.625" style="37" customWidth="1"/>
    <col min="4602" max="4606" width="8" style="37" customWidth="1"/>
    <col min="4607" max="4609" width="9" style="37"/>
    <col min="4610" max="4610" width="14.375" style="37" customWidth="1"/>
    <col min="4611" max="4613" width="9" style="37"/>
    <col min="4614" max="4614" width="2.5" style="37" customWidth="1"/>
    <col min="4615" max="4854" width="9" style="37"/>
    <col min="4855" max="4855" width="1.25" style="37" customWidth="1"/>
    <col min="4856" max="4856" width="2.5" style="37" customWidth="1"/>
    <col min="4857" max="4857" width="3.625" style="37" customWidth="1"/>
    <col min="4858" max="4862" width="8" style="37" customWidth="1"/>
    <col min="4863" max="4865" width="9" style="37"/>
    <col min="4866" max="4866" width="14.375" style="37" customWidth="1"/>
    <col min="4867" max="4869" width="9" style="37"/>
    <col min="4870" max="4870" width="2.5" style="37" customWidth="1"/>
    <col min="4871" max="5110" width="9" style="37"/>
    <col min="5111" max="5111" width="1.25" style="37" customWidth="1"/>
    <col min="5112" max="5112" width="2.5" style="37" customWidth="1"/>
    <col min="5113" max="5113" width="3.625" style="37" customWidth="1"/>
    <col min="5114" max="5118" width="8" style="37" customWidth="1"/>
    <col min="5119" max="5121" width="9" style="37"/>
    <col min="5122" max="5122" width="14.375" style="37" customWidth="1"/>
    <col min="5123" max="5125" width="9" style="37"/>
    <col min="5126" max="5126" width="2.5" style="37" customWidth="1"/>
    <col min="5127" max="5366" width="9" style="37"/>
    <col min="5367" max="5367" width="1.25" style="37" customWidth="1"/>
    <col min="5368" max="5368" width="2.5" style="37" customWidth="1"/>
    <col min="5369" max="5369" width="3.625" style="37" customWidth="1"/>
    <col min="5370" max="5374" width="8" style="37" customWidth="1"/>
    <col min="5375" max="5377" width="9" style="37"/>
    <col min="5378" max="5378" width="14.375" style="37" customWidth="1"/>
    <col min="5379" max="5381" width="9" style="37"/>
    <col min="5382" max="5382" width="2.5" style="37" customWidth="1"/>
    <col min="5383" max="5622" width="9" style="37"/>
    <col min="5623" max="5623" width="1.25" style="37" customWidth="1"/>
    <col min="5624" max="5624" width="2.5" style="37" customWidth="1"/>
    <col min="5625" max="5625" width="3.625" style="37" customWidth="1"/>
    <col min="5626" max="5630" width="8" style="37" customWidth="1"/>
    <col min="5631" max="5633" width="9" style="37"/>
    <col min="5634" max="5634" width="14.375" style="37" customWidth="1"/>
    <col min="5635" max="5637" width="9" style="37"/>
    <col min="5638" max="5638" width="2.5" style="37" customWidth="1"/>
    <col min="5639" max="5878" width="9" style="37"/>
    <col min="5879" max="5879" width="1.25" style="37" customWidth="1"/>
    <col min="5880" max="5880" width="2.5" style="37" customWidth="1"/>
    <col min="5881" max="5881" width="3.625" style="37" customWidth="1"/>
    <col min="5882" max="5886" width="8" style="37" customWidth="1"/>
    <col min="5887" max="5889" width="9" style="37"/>
    <col min="5890" max="5890" width="14.375" style="37" customWidth="1"/>
    <col min="5891" max="5893" width="9" style="37"/>
    <col min="5894" max="5894" width="2.5" style="37" customWidth="1"/>
    <col min="5895" max="6134" width="9" style="37"/>
    <col min="6135" max="6135" width="1.25" style="37" customWidth="1"/>
    <col min="6136" max="6136" width="2.5" style="37" customWidth="1"/>
    <col min="6137" max="6137" width="3.625" style="37" customWidth="1"/>
    <col min="6138" max="6142" width="8" style="37" customWidth="1"/>
    <col min="6143" max="6145" width="9" style="37"/>
    <col min="6146" max="6146" width="14.375" style="37" customWidth="1"/>
    <col min="6147" max="6149" width="9" style="37"/>
    <col min="6150" max="6150" width="2.5" style="37" customWidth="1"/>
    <col min="6151" max="6390" width="9" style="37"/>
    <col min="6391" max="6391" width="1.25" style="37" customWidth="1"/>
    <col min="6392" max="6392" width="2.5" style="37" customWidth="1"/>
    <col min="6393" max="6393" width="3.625" style="37" customWidth="1"/>
    <col min="6394" max="6398" width="8" style="37" customWidth="1"/>
    <col min="6399" max="6401" width="9" style="37"/>
    <col min="6402" max="6402" width="14.375" style="37" customWidth="1"/>
    <col min="6403" max="6405" width="9" style="37"/>
    <col min="6406" max="6406" width="2.5" style="37" customWidth="1"/>
    <col min="6407" max="6646" width="9" style="37"/>
    <col min="6647" max="6647" width="1.25" style="37" customWidth="1"/>
    <col min="6648" max="6648" width="2.5" style="37" customWidth="1"/>
    <col min="6649" max="6649" width="3.625" style="37" customWidth="1"/>
    <col min="6650" max="6654" width="8" style="37" customWidth="1"/>
    <col min="6655" max="6657" width="9" style="37"/>
    <col min="6658" max="6658" width="14.375" style="37" customWidth="1"/>
    <col min="6659" max="6661" width="9" style="37"/>
    <col min="6662" max="6662" width="2.5" style="37" customWidth="1"/>
    <col min="6663" max="6902" width="9" style="37"/>
    <col min="6903" max="6903" width="1.25" style="37" customWidth="1"/>
    <col min="6904" max="6904" width="2.5" style="37" customWidth="1"/>
    <col min="6905" max="6905" width="3.625" style="37" customWidth="1"/>
    <col min="6906" max="6910" width="8" style="37" customWidth="1"/>
    <col min="6911" max="6913" width="9" style="37"/>
    <col min="6914" max="6914" width="14.375" style="37" customWidth="1"/>
    <col min="6915" max="6917" width="9" style="37"/>
    <col min="6918" max="6918" width="2.5" style="37" customWidth="1"/>
    <col min="6919" max="7158" width="9" style="37"/>
    <col min="7159" max="7159" width="1.25" style="37" customWidth="1"/>
    <col min="7160" max="7160" width="2.5" style="37" customWidth="1"/>
    <col min="7161" max="7161" width="3.625" style="37" customWidth="1"/>
    <col min="7162" max="7166" width="8" style="37" customWidth="1"/>
    <col min="7167" max="7169" width="9" style="37"/>
    <col min="7170" max="7170" width="14.375" style="37" customWidth="1"/>
    <col min="7171" max="7173" width="9" style="37"/>
    <col min="7174" max="7174" width="2.5" style="37" customWidth="1"/>
    <col min="7175" max="7414" width="9" style="37"/>
    <col min="7415" max="7415" width="1.25" style="37" customWidth="1"/>
    <col min="7416" max="7416" width="2.5" style="37" customWidth="1"/>
    <col min="7417" max="7417" width="3.625" style="37" customWidth="1"/>
    <col min="7418" max="7422" width="8" style="37" customWidth="1"/>
    <col min="7423" max="7425" width="9" style="37"/>
    <col min="7426" max="7426" width="14.375" style="37" customWidth="1"/>
    <col min="7427" max="7429" width="9" style="37"/>
    <col min="7430" max="7430" width="2.5" style="37" customWidth="1"/>
    <col min="7431" max="7670" width="9" style="37"/>
    <col min="7671" max="7671" width="1.25" style="37" customWidth="1"/>
    <col min="7672" max="7672" width="2.5" style="37" customWidth="1"/>
    <col min="7673" max="7673" width="3.625" style="37" customWidth="1"/>
    <col min="7674" max="7678" width="8" style="37" customWidth="1"/>
    <col min="7679" max="7681" width="9" style="37"/>
    <col min="7682" max="7682" width="14.375" style="37" customWidth="1"/>
    <col min="7683" max="7685" width="9" style="37"/>
    <col min="7686" max="7686" width="2.5" style="37" customWidth="1"/>
    <col min="7687" max="7926" width="9" style="37"/>
    <col min="7927" max="7927" width="1.25" style="37" customWidth="1"/>
    <col min="7928" max="7928" width="2.5" style="37" customWidth="1"/>
    <col min="7929" max="7929" width="3.625" style="37" customWidth="1"/>
    <col min="7930" max="7934" width="8" style="37" customWidth="1"/>
    <col min="7935" max="7937" width="9" style="37"/>
    <col min="7938" max="7938" width="14.375" style="37" customWidth="1"/>
    <col min="7939" max="7941" width="9" style="37"/>
    <col min="7942" max="7942" width="2.5" style="37" customWidth="1"/>
    <col min="7943" max="8182" width="9" style="37"/>
    <col min="8183" max="8183" width="1.25" style="37" customWidth="1"/>
    <col min="8184" max="8184" width="2.5" style="37" customWidth="1"/>
    <col min="8185" max="8185" width="3.625" style="37" customWidth="1"/>
    <col min="8186" max="8190" width="8" style="37" customWidth="1"/>
    <col min="8191" max="8193" width="9" style="37"/>
    <col min="8194" max="8194" width="14.375" style="37" customWidth="1"/>
    <col min="8195" max="8197" width="9" style="37"/>
    <col min="8198" max="8198" width="2.5" style="37" customWidth="1"/>
    <col min="8199" max="8438" width="9" style="37"/>
    <col min="8439" max="8439" width="1.25" style="37" customWidth="1"/>
    <col min="8440" max="8440" width="2.5" style="37" customWidth="1"/>
    <col min="8441" max="8441" width="3.625" style="37" customWidth="1"/>
    <col min="8442" max="8446" width="8" style="37" customWidth="1"/>
    <col min="8447" max="8449" width="9" style="37"/>
    <col min="8450" max="8450" width="14.375" style="37" customWidth="1"/>
    <col min="8451" max="8453" width="9" style="37"/>
    <col min="8454" max="8454" width="2.5" style="37" customWidth="1"/>
    <col min="8455" max="8694" width="9" style="37"/>
    <col min="8695" max="8695" width="1.25" style="37" customWidth="1"/>
    <col min="8696" max="8696" width="2.5" style="37" customWidth="1"/>
    <col min="8697" max="8697" width="3.625" style="37" customWidth="1"/>
    <col min="8698" max="8702" width="8" style="37" customWidth="1"/>
    <col min="8703" max="8705" width="9" style="37"/>
    <col min="8706" max="8706" width="14.375" style="37" customWidth="1"/>
    <col min="8707" max="8709" width="9" style="37"/>
    <col min="8710" max="8710" width="2.5" style="37" customWidth="1"/>
    <col min="8711" max="8950" width="9" style="37"/>
    <col min="8951" max="8951" width="1.25" style="37" customWidth="1"/>
    <col min="8952" max="8952" width="2.5" style="37" customWidth="1"/>
    <col min="8953" max="8953" width="3.625" style="37" customWidth="1"/>
    <col min="8954" max="8958" width="8" style="37" customWidth="1"/>
    <col min="8959" max="8961" width="9" style="37"/>
    <col min="8962" max="8962" width="14.375" style="37" customWidth="1"/>
    <col min="8963" max="8965" width="9" style="37"/>
    <col min="8966" max="8966" width="2.5" style="37" customWidth="1"/>
    <col min="8967" max="9206" width="9" style="37"/>
    <col min="9207" max="9207" width="1.25" style="37" customWidth="1"/>
    <col min="9208" max="9208" width="2.5" style="37" customWidth="1"/>
    <col min="9209" max="9209" width="3.625" style="37" customWidth="1"/>
    <col min="9210" max="9214" width="8" style="37" customWidth="1"/>
    <col min="9215" max="9217" width="9" style="37"/>
    <col min="9218" max="9218" width="14.375" style="37" customWidth="1"/>
    <col min="9219" max="9221" width="9" style="37"/>
    <col min="9222" max="9222" width="2.5" style="37" customWidth="1"/>
    <col min="9223" max="9462" width="9" style="37"/>
    <col min="9463" max="9463" width="1.25" style="37" customWidth="1"/>
    <col min="9464" max="9464" width="2.5" style="37" customWidth="1"/>
    <col min="9465" max="9465" width="3.625" style="37" customWidth="1"/>
    <col min="9466" max="9470" width="8" style="37" customWidth="1"/>
    <col min="9471" max="9473" width="9" style="37"/>
    <col min="9474" max="9474" width="14.375" style="37" customWidth="1"/>
    <col min="9475" max="9477" width="9" style="37"/>
    <col min="9478" max="9478" width="2.5" style="37" customWidth="1"/>
    <col min="9479" max="9718" width="9" style="37"/>
    <col min="9719" max="9719" width="1.25" style="37" customWidth="1"/>
    <col min="9720" max="9720" width="2.5" style="37" customWidth="1"/>
    <col min="9721" max="9721" width="3.625" style="37" customWidth="1"/>
    <col min="9722" max="9726" width="8" style="37" customWidth="1"/>
    <col min="9727" max="9729" width="9" style="37"/>
    <col min="9730" max="9730" width="14.375" style="37" customWidth="1"/>
    <col min="9731" max="9733" width="9" style="37"/>
    <col min="9734" max="9734" width="2.5" style="37" customWidth="1"/>
    <col min="9735" max="9974" width="9" style="37"/>
    <col min="9975" max="9975" width="1.25" style="37" customWidth="1"/>
    <col min="9976" max="9976" width="2.5" style="37" customWidth="1"/>
    <col min="9977" max="9977" width="3.625" style="37" customWidth="1"/>
    <col min="9978" max="9982" width="8" style="37" customWidth="1"/>
    <col min="9983" max="9985" width="9" style="37"/>
    <col min="9986" max="9986" width="14.375" style="37" customWidth="1"/>
    <col min="9987" max="9989" width="9" style="37"/>
    <col min="9990" max="9990" width="2.5" style="37" customWidth="1"/>
    <col min="9991" max="10230" width="9" style="37"/>
    <col min="10231" max="10231" width="1.25" style="37" customWidth="1"/>
    <col min="10232" max="10232" width="2.5" style="37" customWidth="1"/>
    <col min="10233" max="10233" width="3.625" style="37" customWidth="1"/>
    <col min="10234" max="10238" width="8" style="37" customWidth="1"/>
    <col min="10239" max="10241" width="9" style="37"/>
    <col min="10242" max="10242" width="14.375" style="37" customWidth="1"/>
    <col min="10243" max="10245" width="9" style="37"/>
    <col min="10246" max="10246" width="2.5" style="37" customWidth="1"/>
    <col min="10247" max="10486" width="9" style="37"/>
    <col min="10487" max="10487" width="1.25" style="37" customWidth="1"/>
    <col min="10488" max="10488" width="2.5" style="37" customWidth="1"/>
    <col min="10489" max="10489" width="3.625" style="37" customWidth="1"/>
    <col min="10490" max="10494" width="8" style="37" customWidth="1"/>
    <col min="10495" max="10497" width="9" style="37"/>
    <col min="10498" max="10498" width="14.375" style="37" customWidth="1"/>
    <col min="10499" max="10501" width="9" style="37"/>
    <col min="10502" max="10502" width="2.5" style="37" customWidth="1"/>
    <col min="10503" max="10742" width="9" style="37"/>
    <col min="10743" max="10743" width="1.25" style="37" customWidth="1"/>
    <col min="10744" max="10744" width="2.5" style="37" customWidth="1"/>
    <col min="10745" max="10745" width="3.625" style="37" customWidth="1"/>
    <col min="10746" max="10750" width="8" style="37" customWidth="1"/>
    <col min="10751" max="10753" width="9" style="37"/>
    <col min="10754" max="10754" width="14.375" style="37" customWidth="1"/>
    <col min="10755" max="10757" width="9" style="37"/>
    <col min="10758" max="10758" width="2.5" style="37" customWidth="1"/>
    <col min="10759" max="10998" width="9" style="37"/>
    <col min="10999" max="10999" width="1.25" style="37" customWidth="1"/>
    <col min="11000" max="11000" width="2.5" style="37" customWidth="1"/>
    <col min="11001" max="11001" width="3.625" style="37" customWidth="1"/>
    <col min="11002" max="11006" width="8" style="37" customWidth="1"/>
    <col min="11007" max="11009" width="9" style="37"/>
    <col min="11010" max="11010" width="14.375" style="37" customWidth="1"/>
    <col min="11011" max="11013" width="9" style="37"/>
    <col min="11014" max="11014" width="2.5" style="37" customWidth="1"/>
    <col min="11015" max="11254" width="9" style="37"/>
    <col min="11255" max="11255" width="1.25" style="37" customWidth="1"/>
    <col min="11256" max="11256" width="2.5" style="37" customWidth="1"/>
    <col min="11257" max="11257" width="3.625" style="37" customWidth="1"/>
    <col min="11258" max="11262" width="8" style="37" customWidth="1"/>
    <col min="11263" max="11265" width="9" style="37"/>
    <col min="11266" max="11266" width="14.375" style="37" customWidth="1"/>
    <col min="11267" max="11269" width="9" style="37"/>
    <col min="11270" max="11270" width="2.5" style="37" customWidth="1"/>
    <col min="11271" max="11510" width="9" style="37"/>
    <col min="11511" max="11511" width="1.25" style="37" customWidth="1"/>
    <col min="11512" max="11512" width="2.5" style="37" customWidth="1"/>
    <col min="11513" max="11513" width="3.625" style="37" customWidth="1"/>
    <col min="11514" max="11518" width="8" style="37" customWidth="1"/>
    <col min="11519" max="11521" width="9" style="37"/>
    <col min="11522" max="11522" width="14.375" style="37" customWidth="1"/>
    <col min="11523" max="11525" width="9" style="37"/>
    <col min="11526" max="11526" width="2.5" style="37" customWidth="1"/>
    <col min="11527" max="11766" width="9" style="37"/>
    <col min="11767" max="11767" width="1.25" style="37" customWidth="1"/>
    <col min="11768" max="11768" width="2.5" style="37" customWidth="1"/>
    <col min="11769" max="11769" width="3.625" style="37" customWidth="1"/>
    <col min="11770" max="11774" width="8" style="37" customWidth="1"/>
    <col min="11775" max="11777" width="9" style="37"/>
    <col min="11778" max="11778" width="14.375" style="37" customWidth="1"/>
    <col min="11779" max="11781" width="9" style="37"/>
    <col min="11782" max="11782" width="2.5" style="37" customWidth="1"/>
    <col min="11783" max="12022" width="9" style="37"/>
    <col min="12023" max="12023" width="1.25" style="37" customWidth="1"/>
    <col min="12024" max="12024" width="2.5" style="37" customWidth="1"/>
    <col min="12025" max="12025" width="3.625" style="37" customWidth="1"/>
    <col min="12026" max="12030" width="8" style="37" customWidth="1"/>
    <col min="12031" max="12033" width="9" style="37"/>
    <col min="12034" max="12034" width="14.375" style="37" customWidth="1"/>
    <col min="12035" max="12037" width="9" style="37"/>
    <col min="12038" max="12038" width="2.5" style="37" customWidth="1"/>
    <col min="12039" max="12278" width="9" style="37"/>
    <col min="12279" max="12279" width="1.25" style="37" customWidth="1"/>
    <col min="12280" max="12280" width="2.5" style="37" customWidth="1"/>
    <col min="12281" max="12281" width="3.625" style="37" customWidth="1"/>
    <col min="12282" max="12286" width="8" style="37" customWidth="1"/>
    <col min="12287" max="12289" width="9" style="37"/>
    <col min="12290" max="12290" width="14.375" style="37" customWidth="1"/>
    <col min="12291" max="12293" width="9" style="37"/>
    <col min="12294" max="12294" width="2.5" style="37" customWidth="1"/>
    <col min="12295" max="12534" width="9" style="37"/>
    <col min="12535" max="12535" width="1.25" style="37" customWidth="1"/>
    <col min="12536" max="12536" width="2.5" style="37" customWidth="1"/>
    <col min="12537" max="12537" width="3.625" style="37" customWidth="1"/>
    <col min="12538" max="12542" width="8" style="37" customWidth="1"/>
    <col min="12543" max="12545" width="9" style="37"/>
    <col min="12546" max="12546" width="14.375" style="37" customWidth="1"/>
    <col min="12547" max="12549" width="9" style="37"/>
    <col min="12550" max="12550" width="2.5" style="37" customWidth="1"/>
    <col min="12551" max="12790" width="9" style="37"/>
    <col min="12791" max="12791" width="1.25" style="37" customWidth="1"/>
    <col min="12792" max="12792" width="2.5" style="37" customWidth="1"/>
    <col min="12793" max="12793" width="3.625" style="37" customWidth="1"/>
    <col min="12794" max="12798" width="8" style="37" customWidth="1"/>
    <col min="12799" max="12801" width="9" style="37"/>
    <col min="12802" max="12802" width="14.375" style="37" customWidth="1"/>
    <col min="12803" max="12805" width="9" style="37"/>
    <col min="12806" max="12806" width="2.5" style="37" customWidth="1"/>
    <col min="12807" max="13046" width="9" style="37"/>
    <col min="13047" max="13047" width="1.25" style="37" customWidth="1"/>
    <col min="13048" max="13048" width="2.5" style="37" customWidth="1"/>
    <col min="13049" max="13049" width="3.625" style="37" customWidth="1"/>
    <col min="13050" max="13054" width="8" style="37" customWidth="1"/>
    <col min="13055" max="13057" width="9" style="37"/>
    <col min="13058" max="13058" width="14.375" style="37" customWidth="1"/>
    <col min="13059" max="13061" width="9" style="37"/>
    <col min="13062" max="13062" width="2.5" style="37" customWidth="1"/>
    <col min="13063" max="13302" width="9" style="37"/>
    <col min="13303" max="13303" width="1.25" style="37" customWidth="1"/>
    <col min="13304" max="13304" width="2.5" style="37" customWidth="1"/>
    <col min="13305" max="13305" width="3.625" style="37" customWidth="1"/>
    <col min="13306" max="13310" width="8" style="37" customWidth="1"/>
    <col min="13311" max="13313" width="9" style="37"/>
    <col min="13314" max="13314" width="14.375" style="37" customWidth="1"/>
    <col min="13315" max="13317" width="9" style="37"/>
    <col min="13318" max="13318" width="2.5" style="37" customWidth="1"/>
    <col min="13319" max="13558" width="9" style="37"/>
    <col min="13559" max="13559" width="1.25" style="37" customWidth="1"/>
    <col min="13560" max="13560" width="2.5" style="37" customWidth="1"/>
    <col min="13561" max="13561" width="3.625" style="37" customWidth="1"/>
    <col min="13562" max="13566" width="8" style="37" customWidth="1"/>
    <col min="13567" max="13569" width="9" style="37"/>
    <col min="13570" max="13570" width="14.375" style="37" customWidth="1"/>
    <col min="13571" max="13573" width="9" style="37"/>
    <col min="13574" max="13574" width="2.5" style="37" customWidth="1"/>
    <col min="13575" max="13814" width="9" style="37"/>
    <col min="13815" max="13815" width="1.25" style="37" customWidth="1"/>
    <col min="13816" max="13816" width="2.5" style="37" customWidth="1"/>
    <col min="13817" max="13817" width="3.625" style="37" customWidth="1"/>
    <col min="13818" max="13822" width="8" style="37" customWidth="1"/>
    <col min="13823" max="13825" width="9" style="37"/>
    <col min="13826" max="13826" width="14.375" style="37" customWidth="1"/>
    <col min="13827" max="13829" width="9" style="37"/>
    <col min="13830" max="13830" width="2.5" style="37" customWidth="1"/>
    <col min="13831" max="14070" width="9" style="37"/>
    <col min="14071" max="14071" width="1.25" style="37" customWidth="1"/>
    <col min="14072" max="14072" width="2.5" style="37" customWidth="1"/>
    <col min="14073" max="14073" width="3.625" style="37" customWidth="1"/>
    <col min="14074" max="14078" width="8" style="37" customWidth="1"/>
    <col min="14079" max="14081" width="9" style="37"/>
    <col min="14082" max="14082" width="14.375" style="37" customWidth="1"/>
    <col min="14083" max="14085" width="9" style="37"/>
    <col min="14086" max="14086" width="2.5" style="37" customWidth="1"/>
    <col min="14087" max="14326" width="9" style="37"/>
    <col min="14327" max="14327" width="1.25" style="37" customWidth="1"/>
    <col min="14328" max="14328" width="2.5" style="37" customWidth="1"/>
    <col min="14329" max="14329" width="3.625" style="37" customWidth="1"/>
    <col min="14330" max="14334" width="8" style="37" customWidth="1"/>
    <col min="14335" max="14337" width="9" style="37"/>
    <col min="14338" max="14338" width="14.375" style="37" customWidth="1"/>
    <col min="14339" max="14341" width="9" style="37"/>
    <col min="14342" max="14342" width="2.5" style="37" customWidth="1"/>
    <col min="14343" max="14582" width="9" style="37"/>
    <col min="14583" max="14583" width="1.25" style="37" customWidth="1"/>
    <col min="14584" max="14584" width="2.5" style="37" customWidth="1"/>
    <col min="14585" max="14585" width="3.625" style="37" customWidth="1"/>
    <col min="14586" max="14590" width="8" style="37" customWidth="1"/>
    <col min="14591" max="14593" width="9" style="37"/>
    <col min="14594" max="14594" width="14.375" style="37" customWidth="1"/>
    <col min="14595" max="14597" width="9" style="37"/>
    <col min="14598" max="14598" width="2.5" style="37" customWidth="1"/>
    <col min="14599" max="14838" width="9" style="37"/>
    <col min="14839" max="14839" width="1.25" style="37" customWidth="1"/>
    <col min="14840" max="14840" width="2.5" style="37" customWidth="1"/>
    <col min="14841" max="14841" width="3.625" style="37" customWidth="1"/>
    <col min="14842" max="14846" width="8" style="37" customWidth="1"/>
    <col min="14847" max="14849" width="9" style="37"/>
    <col min="14850" max="14850" width="14.375" style="37" customWidth="1"/>
    <col min="14851" max="14853" width="9" style="37"/>
    <col min="14854" max="14854" width="2.5" style="37" customWidth="1"/>
    <col min="14855" max="15094" width="9" style="37"/>
    <col min="15095" max="15095" width="1.25" style="37" customWidth="1"/>
    <col min="15096" max="15096" width="2.5" style="37" customWidth="1"/>
    <col min="15097" max="15097" width="3.625" style="37" customWidth="1"/>
    <col min="15098" max="15102" width="8" style="37" customWidth="1"/>
    <col min="15103" max="15105" width="9" style="37"/>
    <col min="15106" max="15106" width="14.375" style="37" customWidth="1"/>
    <col min="15107" max="15109" width="9" style="37"/>
    <col min="15110" max="15110" width="2.5" style="37" customWidth="1"/>
    <col min="15111" max="15350" width="9" style="37"/>
    <col min="15351" max="15351" width="1.25" style="37" customWidth="1"/>
    <col min="15352" max="15352" width="2.5" style="37" customWidth="1"/>
    <col min="15353" max="15353" width="3.625" style="37" customWidth="1"/>
    <col min="15354" max="15358" width="8" style="37" customWidth="1"/>
    <col min="15359" max="15361" width="9" style="37"/>
    <col min="15362" max="15362" width="14.375" style="37" customWidth="1"/>
    <col min="15363" max="15365" width="9" style="37"/>
    <col min="15366" max="15366" width="2.5" style="37" customWidth="1"/>
    <col min="15367" max="15606" width="9" style="37"/>
    <col min="15607" max="15607" width="1.25" style="37" customWidth="1"/>
    <col min="15608" max="15608" width="2.5" style="37" customWidth="1"/>
    <col min="15609" max="15609" width="3.625" style="37" customWidth="1"/>
    <col min="15610" max="15614" width="8" style="37" customWidth="1"/>
    <col min="15615" max="15617" width="9" style="37"/>
    <col min="15618" max="15618" width="14.375" style="37" customWidth="1"/>
    <col min="15619" max="15621" width="9" style="37"/>
    <col min="15622" max="15622" width="2.5" style="37" customWidth="1"/>
    <col min="15623" max="15862" width="9" style="37"/>
    <col min="15863" max="15863" width="1.25" style="37" customWidth="1"/>
    <col min="15864" max="15864" width="2.5" style="37" customWidth="1"/>
    <col min="15865" max="15865" width="3.625" style="37" customWidth="1"/>
    <col min="15866" max="15870" width="8" style="37" customWidth="1"/>
    <col min="15871" max="15873" width="9" style="37"/>
    <col min="15874" max="15874" width="14.375" style="37" customWidth="1"/>
    <col min="15875" max="15877" width="9" style="37"/>
    <col min="15878" max="15878" width="2.5" style="37" customWidth="1"/>
    <col min="15879" max="16118" width="9" style="37"/>
    <col min="16119" max="16119" width="1.25" style="37" customWidth="1"/>
    <col min="16120" max="16120" width="2.5" style="37" customWidth="1"/>
    <col min="16121" max="16121" width="3.625" style="37" customWidth="1"/>
    <col min="16122" max="16126" width="8" style="37" customWidth="1"/>
    <col min="16127" max="16129" width="9" style="37"/>
    <col min="16130" max="16130" width="14.375" style="37" customWidth="1"/>
    <col min="16131" max="16133" width="9" style="37"/>
    <col min="16134" max="16134" width="2.5" style="37" customWidth="1"/>
    <col min="16135" max="16384" width="9" style="37"/>
  </cols>
  <sheetData>
    <row r="1" spans="1:21" ht="15" thickBot="1" x14ac:dyDescent="0.25">
      <c r="A1" s="34"/>
      <c r="B1" s="34"/>
      <c r="C1" s="35"/>
      <c r="D1" s="35"/>
      <c r="E1" s="35"/>
      <c r="F1" s="35"/>
      <c r="G1" s="35"/>
      <c r="H1" s="35"/>
      <c r="I1" s="35"/>
      <c r="J1" s="35"/>
      <c r="K1" s="35"/>
      <c r="L1" s="35"/>
      <c r="M1" s="35"/>
      <c r="N1" s="35"/>
      <c r="O1" s="35"/>
      <c r="P1" s="36"/>
      <c r="Q1" s="36"/>
      <c r="R1" s="36"/>
      <c r="S1" s="36"/>
      <c r="T1" s="36"/>
      <c r="U1" s="36"/>
    </row>
    <row r="2" spans="1:21" ht="15" thickTop="1" x14ac:dyDescent="0.2">
      <c r="A2" s="34"/>
      <c r="B2" s="38"/>
      <c r="C2" s="39"/>
      <c r="D2" s="40"/>
      <c r="E2" s="39"/>
      <c r="F2" s="39"/>
      <c r="G2" s="39"/>
      <c r="H2" s="39"/>
      <c r="I2" s="39"/>
      <c r="J2" s="39"/>
      <c r="K2" s="39"/>
      <c r="L2" s="39"/>
      <c r="M2" s="39"/>
      <c r="N2" s="39"/>
      <c r="O2" s="41"/>
      <c r="P2" s="36"/>
      <c r="Q2" s="36"/>
      <c r="R2" s="36"/>
      <c r="S2" s="36"/>
      <c r="T2" s="36"/>
      <c r="U2" s="36"/>
    </row>
    <row r="3" spans="1:21" x14ac:dyDescent="0.2">
      <c r="A3" s="34"/>
      <c r="B3" s="42"/>
      <c r="C3" s="28"/>
      <c r="D3" s="23"/>
      <c r="E3" s="23"/>
      <c r="F3" s="23"/>
      <c r="G3" s="28"/>
      <c r="H3" s="28"/>
      <c r="I3" s="28"/>
      <c r="J3" s="28"/>
      <c r="K3" s="28"/>
      <c r="L3" s="28"/>
      <c r="M3" s="28"/>
      <c r="N3" s="28"/>
      <c r="O3" s="22"/>
      <c r="P3" s="36"/>
      <c r="Q3" s="36"/>
      <c r="R3" s="36"/>
      <c r="S3" s="36"/>
      <c r="T3" s="36"/>
      <c r="U3" s="36"/>
    </row>
    <row r="4" spans="1:21" x14ac:dyDescent="0.2">
      <c r="A4" s="34"/>
      <c r="B4" s="42"/>
      <c r="C4" s="28"/>
      <c r="D4" s="23"/>
      <c r="E4" s="28"/>
      <c r="F4" s="28"/>
      <c r="G4" s="28"/>
      <c r="H4" s="28"/>
      <c r="I4" s="28"/>
      <c r="J4" s="28"/>
      <c r="K4" s="28"/>
      <c r="L4" s="28"/>
      <c r="M4" s="28"/>
      <c r="N4" s="28"/>
      <c r="O4" s="22"/>
      <c r="P4" s="36"/>
      <c r="Q4" s="36"/>
      <c r="R4" s="36"/>
      <c r="S4" s="36"/>
      <c r="T4" s="36"/>
      <c r="U4" s="36"/>
    </row>
    <row r="5" spans="1:21" ht="34.5" x14ac:dyDescent="0.45">
      <c r="A5" s="34"/>
      <c r="B5" s="42"/>
      <c r="C5" s="28"/>
      <c r="D5" s="23"/>
      <c r="E5" s="28"/>
      <c r="F5" s="28"/>
      <c r="G5" s="28"/>
      <c r="H5" s="28"/>
      <c r="I5" s="28"/>
      <c r="J5" s="28"/>
      <c r="K5" s="28"/>
      <c r="L5" s="21" t="s">
        <v>0</v>
      </c>
      <c r="N5" s="21"/>
      <c r="O5" s="22"/>
      <c r="P5" s="36"/>
      <c r="Q5" s="36"/>
      <c r="R5" s="36"/>
      <c r="S5" s="36"/>
      <c r="T5" s="36"/>
      <c r="U5" s="36"/>
    </row>
    <row r="6" spans="1:21" ht="34.5" x14ac:dyDescent="0.45">
      <c r="A6" s="34"/>
      <c r="B6" s="42"/>
      <c r="C6" s="28"/>
      <c r="D6" s="23"/>
      <c r="E6" s="28"/>
      <c r="F6" s="28"/>
      <c r="G6" s="28"/>
      <c r="H6" s="28"/>
      <c r="I6" s="28"/>
      <c r="J6" s="28"/>
      <c r="K6" s="28"/>
      <c r="L6" s="21" t="str">
        <f>Des!C5</f>
        <v>IT</v>
      </c>
      <c r="M6" s="207" t="str">
        <f>L6</f>
        <v>IT</v>
      </c>
      <c r="N6" s="21"/>
      <c r="O6" s="22"/>
      <c r="P6" s="36"/>
      <c r="Q6" s="36"/>
      <c r="R6" s="36"/>
      <c r="S6" s="36"/>
      <c r="T6" s="36"/>
      <c r="U6" s="36"/>
    </row>
    <row r="7" spans="1:21" x14ac:dyDescent="0.2">
      <c r="A7" s="34"/>
      <c r="B7" s="42"/>
      <c r="C7" s="28"/>
      <c r="D7" s="23"/>
      <c r="E7" s="28"/>
      <c r="F7" s="33"/>
      <c r="G7" s="23"/>
      <c r="H7" s="23"/>
      <c r="I7" s="23"/>
      <c r="J7" s="23"/>
      <c r="K7" s="23"/>
      <c r="L7" s="23"/>
      <c r="N7" s="23"/>
      <c r="O7" s="22"/>
      <c r="P7" s="36"/>
      <c r="Q7" s="36"/>
      <c r="R7" s="36"/>
      <c r="S7" s="36"/>
      <c r="T7" s="36"/>
      <c r="U7" s="36"/>
    </row>
    <row r="8" spans="1:21" x14ac:dyDescent="0.2">
      <c r="A8" s="34"/>
      <c r="B8" s="42"/>
      <c r="C8" s="28"/>
      <c r="D8" s="23"/>
      <c r="E8" s="28"/>
      <c r="F8" s="33"/>
      <c r="G8" s="23"/>
      <c r="H8" s="23"/>
      <c r="I8" s="23"/>
      <c r="J8" s="23"/>
      <c r="K8" s="23"/>
      <c r="L8" s="23"/>
      <c r="N8" s="23"/>
      <c r="O8" s="22"/>
      <c r="P8" s="36"/>
      <c r="Q8" s="36"/>
      <c r="R8" s="36"/>
      <c r="S8" s="36"/>
      <c r="T8" s="36"/>
      <c r="U8" s="36"/>
    </row>
    <row r="9" spans="1:21" x14ac:dyDescent="0.3">
      <c r="A9" s="35"/>
      <c r="B9" s="42"/>
      <c r="C9" s="28"/>
      <c r="D9" s="24"/>
      <c r="E9" s="26"/>
      <c r="F9" s="26"/>
      <c r="G9" s="24"/>
      <c r="H9" s="24"/>
      <c r="I9" s="24"/>
      <c r="J9" s="24"/>
      <c r="K9" s="24"/>
      <c r="L9" s="24"/>
      <c r="N9" s="24"/>
      <c r="O9" s="25"/>
      <c r="P9" s="36"/>
      <c r="Q9" s="36"/>
      <c r="R9" s="36"/>
      <c r="S9" s="36"/>
      <c r="T9" s="36"/>
      <c r="U9" s="36"/>
    </row>
    <row r="10" spans="1:21" ht="23.25" x14ac:dyDescent="0.35">
      <c r="A10" s="35"/>
      <c r="B10" s="42"/>
      <c r="C10" s="28"/>
      <c r="D10" s="24"/>
      <c r="E10" s="26"/>
      <c r="F10" s="26"/>
      <c r="G10" s="26"/>
      <c r="H10" s="26"/>
      <c r="I10" s="26"/>
      <c r="J10" s="43"/>
      <c r="K10" s="26"/>
      <c r="L10" s="27" t="s">
        <v>10</v>
      </c>
      <c r="N10" s="26"/>
      <c r="O10" s="25"/>
      <c r="P10" s="36"/>
      <c r="Q10" s="36"/>
      <c r="R10" s="36"/>
      <c r="S10" s="36"/>
      <c r="T10" s="36"/>
      <c r="U10" s="36"/>
    </row>
    <row r="11" spans="1:21" ht="20.25" x14ac:dyDescent="0.3">
      <c r="A11" s="35"/>
      <c r="B11" s="42"/>
      <c r="C11" s="28"/>
      <c r="D11" s="24"/>
      <c r="E11" s="26"/>
      <c r="F11" s="26"/>
      <c r="G11" s="26"/>
      <c r="H11" s="26"/>
      <c r="I11" s="26"/>
      <c r="J11" s="44"/>
      <c r="K11" s="26"/>
      <c r="L11" s="144" t="s">
        <v>96</v>
      </c>
      <c r="N11" s="26"/>
      <c r="O11" s="25"/>
      <c r="P11" s="36"/>
      <c r="Q11" s="36"/>
      <c r="R11" s="36"/>
      <c r="S11" s="36"/>
      <c r="T11" s="36"/>
      <c r="U11" s="36"/>
    </row>
    <row r="12" spans="1:21" ht="18" x14ac:dyDescent="0.3">
      <c r="A12" s="35"/>
      <c r="B12" s="42"/>
      <c r="C12" s="28"/>
      <c r="D12" s="24"/>
      <c r="E12" s="26"/>
      <c r="F12" s="26"/>
      <c r="G12" s="26"/>
      <c r="H12" s="28"/>
      <c r="I12" s="28"/>
      <c r="J12" s="28"/>
      <c r="K12" s="28"/>
      <c r="L12" s="144"/>
      <c r="N12" s="28"/>
      <c r="O12" s="22"/>
      <c r="P12" s="36"/>
      <c r="Q12" s="36"/>
      <c r="R12" s="36"/>
      <c r="S12" s="36"/>
      <c r="T12" s="36"/>
      <c r="U12" s="36"/>
    </row>
    <row r="13" spans="1:21" ht="20.25" x14ac:dyDescent="0.3">
      <c r="A13" s="35"/>
      <c r="B13" s="42"/>
      <c r="C13" s="28"/>
      <c r="D13" s="24"/>
      <c r="E13" s="26"/>
      <c r="F13" s="26"/>
      <c r="G13" s="26"/>
      <c r="H13" s="26"/>
      <c r="I13" s="26"/>
      <c r="J13" s="43"/>
      <c r="K13" s="26"/>
      <c r="L13" s="144"/>
      <c r="N13" s="28"/>
      <c r="O13" s="22"/>
      <c r="P13" s="36"/>
      <c r="Q13" s="36"/>
      <c r="R13" s="36"/>
      <c r="S13" s="36"/>
      <c r="T13" s="36"/>
      <c r="U13" s="36"/>
    </row>
    <row r="14" spans="1:21" x14ac:dyDescent="0.2">
      <c r="A14" s="35"/>
      <c r="B14" s="42"/>
      <c r="C14" s="28"/>
      <c r="D14" s="24"/>
      <c r="E14" s="24"/>
      <c r="F14" s="24"/>
      <c r="G14" s="24"/>
      <c r="H14" s="24"/>
      <c r="I14" s="24"/>
      <c r="J14" s="24"/>
      <c r="K14" s="24"/>
      <c r="L14" s="542"/>
      <c r="M14" s="542"/>
      <c r="N14" s="542"/>
      <c r="O14" s="22"/>
      <c r="P14" s="36"/>
      <c r="Q14" s="36"/>
      <c r="R14" s="36"/>
      <c r="S14" s="36"/>
      <c r="T14" s="36"/>
      <c r="U14" s="36"/>
    </row>
    <row r="15" spans="1:21" x14ac:dyDescent="0.3">
      <c r="A15" s="35"/>
      <c r="B15" s="42"/>
      <c r="C15" s="28"/>
      <c r="D15" s="24"/>
      <c r="E15" s="24"/>
      <c r="F15" s="24"/>
      <c r="G15" s="24"/>
      <c r="H15" s="24"/>
      <c r="I15" s="24"/>
      <c r="J15" s="24"/>
      <c r="K15" s="24"/>
      <c r="L15" s="24"/>
      <c r="M15" s="24"/>
      <c r="N15" s="24"/>
      <c r="O15" s="45"/>
      <c r="P15" s="36"/>
      <c r="Q15" s="36"/>
      <c r="R15" s="36"/>
      <c r="S15" s="36"/>
      <c r="T15" s="36"/>
      <c r="U15" s="36"/>
    </row>
    <row r="16" spans="1:21" x14ac:dyDescent="0.3">
      <c r="A16" s="35"/>
      <c r="B16" s="42"/>
      <c r="C16" s="28"/>
      <c r="D16" s="24"/>
      <c r="E16" s="24"/>
      <c r="F16" s="24"/>
      <c r="G16" s="24"/>
      <c r="H16" s="24"/>
      <c r="I16" s="24"/>
      <c r="J16" s="24"/>
      <c r="K16" s="24"/>
      <c r="L16" s="24"/>
      <c r="M16" s="24"/>
      <c r="N16" s="24"/>
      <c r="O16" s="45"/>
      <c r="P16" s="36"/>
      <c r="Q16" s="36"/>
      <c r="R16" s="36"/>
      <c r="S16" s="36"/>
      <c r="T16" s="36"/>
      <c r="U16" s="36"/>
    </row>
    <row r="17" spans="1:21" x14ac:dyDescent="0.3">
      <c r="A17" s="35"/>
      <c r="B17" s="42"/>
      <c r="C17" s="28"/>
      <c r="D17" s="24"/>
      <c r="E17" s="24"/>
      <c r="F17" s="24"/>
      <c r="G17" s="24"/>
      <c r="H17" s="24"/>
      <c r="I17" s="24"/>
      <c r="J17" s="24"/>
      <c r="K17" s="24"/>
      <c r="L17" s="24"/>
      <c r="M17" s="24"/>
      <c r="N17" s="24"/>
      <c r="O17" s="45"/>
      <c r="P17" s="36"/>
      <c r="Q17" s="36"/>
      <c r="R17" s="36"/>
      <c r="S17" s="36"/>
      <c r="T17" s="36"/>
      <c r="U17" s="36"/>
    </row>
    <row r="18" spans="1:21" x14ac:dyDescent="0.3">
      <c r="A18" s="35"/>
      <c r="B18" s="42"/>
      <c r="C18" s="28"/>
      <c r="D18" s="24"/>
      <c r="E18" s="24"/>
      <c r="F18" s="24"/>
      <c r="G18" s="24"/>
      <c r="H18" s="24"/>
      <c r="I18" s="24"/>
      <c r="J18" s="24"/>
      <c r="K18" s="24"/>
      <c r="L18" s="24"/>
      <c r="M18" s="24"/>
      <c r="N18" s="24"/>
      <c r="O18" s="45"/>
      <c r="P18" s="36"/>
      <c r="Q18" s="36"/>
      <c r="R18" s="36"/>
      <c r="S18" s="36"/>
      <c r="T18" s="36"/>
      <c r="U18" s="36"/>
    </row>
    <row r="19" spans="1:21" x14ac:dyDescent="0.3">
      <c r="A19" s="35"/>
      <c r="B19" s="42"/>
      <c r="C19" s="28"/>
      <c r="D19" s="24"/>
      <c r="E19" s="24"/>
      <c r="F19" s="24"/>
      <c r="G19" s="24"/>
      <c r="H19" s="24"/>
      <c r="I19" s="24"/>
      <c r="J19" s="24"/>
      <c r="K19" s="24"/>
      <c r="L19" s="24"/>
      <c r="M19" s="24"/>
      <c r="N19" s="24"/>
      <c r="O19" s="45"/>
      <c r="P19" s="36"/>
      <c r="Q19" s="36"/>
      <c r="R19" s="36"/>
      <c r="S19" s="36"/>
      <c r="T19" s="36"/>
      <c r="U19" s="36"/>
    </row>
    <row r="20" spans="1:21" x14ac:dyDescent="0.3">
      <c r="A20" s="35"/>
      <c r="B20" s="42"/>
      <c r="C20" s="28"/>
      <c r="D20" s="24"/>
      <c r="E20" s="24"/>
      <c r="F20" s="24"/>
      <c r="G20" s="24"/>
      <c r="H20" s="24"/>
      <c r="I20" s="24"/>
      <c r="J20" s="24"/>
      <c r="K20" s="24"/>
      <c r="L20" s="24"/>
      <c r="M20" s="24"/>
      <c r="N20" s="24"/>
      <c r="O20" s="45"/>
      <c r="P20" s="36"/>
      <c r="Q20" s="36"/>
      <c r="R20" s="36"/>
      <c r="S20" s="36"/>
      <c r="T20" s="36"/>
      <c r="U20" s="36"/>
    </row>
    <row r="21" spans="1:21" ht="15" thickBot="1" x14ac:dyDescent="0.35">
      <c r="A21" s="35"/>
      <c r="B21" s="46"/>
      <c r="C21" s="47"/>
      <c r="D21" s="48"/>
      <c r="E21" s="48"/>
      <c r="F21" s="48"/>
      <c r="G21" s="48"/>
      <c r="H21" s="48"/>
      <c r="I21" s="48"/>
      <c r="J21" s="48"/>
      <c r="K21" s="48"/>
      <c r="L21" s="48"/>
      <c r="M21" s="48"/>
      <c r="N21" s="48"/>
      <c r="O21" s="49"/>
      <c r="P21" s="36"/>
      <c r="Q21" s="36"/>
      <c r="R21" s="36"/>
      <c r="S21" s="36"/>
      <c r="T21" s="36"/>
      <c r="U21" s="36"/>
    </row>
    <row r="22" spans="1:21" ht="15" thickTop="1" x14ac:dyDescent="0.3">
      <c r="A22" s="36"/>
      <c r="B22" s="36"/>
      <c r="C22" s="36"/>
      <c r="D22" s="36"/>
      <c r="E22" s="36"/>
      <c r="F22" s="36"/>
      <c r="G22" s="36"/>
      <c r="H22" s="36"/>
      <c r="I22" s="36"/>
      <c r="J22" s="36"/>
      <c r="K22" s="36"/>
      <c r="L22" s="36"/>
      <c r="M22" s="36"/>
      <c r="N22" s="36"/>
      <c r="O22" s="36"/>
      <c r="P22" s="36"/>
      <c r="Q22" s="36"/>
      <c r="R22" s="36"/>
      <c r="S22" s="36"/>
      <c r="T22" s="36"/>
      <c r="U22" s="36"/>
    </row>
    <row r="23" spans="1:21" x14ac:dyDescent="0.3">
      <c r="A23" s="36"/>
      <c r="B23" s="36"/>
      <c r="C23" s="36"/>
      <c r="D23" s="36"/>
      <c r="E23" s="36"/>
      <c r="F23" s="36"/>
      <c r="G23" s="36"/>
      <c r="H23" s="36"/>
      <c r="I23" s="36"/>
      <c r="J23" s="36"/>
      <c r="K23" s="36"/>
      <c r="L23" s="36"/>
      <c r="M23" s="36"/>
      <c r="N23" s="36"/>
      <c r="O23" s="36"/>
      <c r="P23" s="36"/>
      <c r="Q23" s="36"/>
      <c r="R23" s="36"/>
      <c r="S23" s="36"/>
      <c r="T23" s="36"/>
      <c r="U23" s="36"/>
    </row>
    <row r="24" spans="1:21" x14ac:dyDescent="0.3">
      <c r="A24" s="36"/>
      <c r="B24" s="36"/>
      <c r="C24" s="36"/>
      <c r="D24" s="36"/>
      <c r="E24" s="36"/>
      <c r="F24" s="36"/>
      <c r="G24" s="36"/>
      <c r="H24" s="36"/>
      <c r="I24" s="36"/>
      <c r="J24" s="36"/>
      <c r="K24" s="36"/>
      <c r="L24" s="36"/>
      <c r="M24" s="36"/>
      <c r="N24" s="36"/>
      <c r="O24" s="36"/>
      <c r="P24" s="36"/>
      <c r="Q24" s="36"/>
      <c r="R24" s="36"/>
      <c r="S24" s="36"/>
      <c r="T24" s="36"/>
      <c r="U24" s="36"/>
    </row>
    <row r="25" spans="1:21" x14ac:dyDescent="0.3">
      <c r="A25" s="36"/>
      <c r="B25" s="36"/>
      <c r="C25" s="36"/>
      <c r="D25" s="36"/>
      <c r="E25" s="36"/>
      <c r="F25" s="36"/>
      <c r="G25" s="36"/>
      <c r="H25" s="36"/>
      <c r="I25" s="36"/>
      <c r="J25" s="36"/>
      <c r="K25" s="36"/>
      <c r="L25" s="36"/>
      <c r="M25" s="36"/>
      <c r="N25" s="36"/>
      <c r="O25" s="36"/>
      <c r="P25" s="36"/>
      <c r="Q25" s="36"/>
      <c r="R25" s="36"/>
      <c r="S25" s="36"/>
      <c r="T25" s="36"/>
      <c r="U25" s="36"/>
    </row>
    <row r="26" spans="1:21" x14ac:dyDescent="0.3">
      <c r="A26" s="36"/>
      <c r="B26" s="36"/>
      <c r="C26" s="36"/>
      <c r="D26" s="36"/>
      <c r="E26" s="36"/>
      <c r="F26" s="36"/>
      <c r="G26" s="36"/>
      <c r="H26" s="36"/>
      <c r="I26" s="36"/>
      <c r="J26" s="36"/>
      <c r="K26" s="36"/>
      <c r="L26" s="36"/>
      <c r="M26" s="36"/>
      <c r="N26" s="36"/>
      <c r="O26" s="36"/>
      <c r="P26" s="36"/>
      <c r="Q26" s="36"/>
      <c r="R26" s="36"/>
      <c r="S26" s="36"/>
      <c r="T26" s="36"/>
      <c r="U26" s="36"/>
    </row>
  </sheetData>
  <phoneticPr fontId="1" type="noConversion"/>
  <pageMargins left="0.7" right="0.7" top="0.75" bottom="0.75" header="0.3" footer="0.3"/>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0000"/>
  </sheetPr>
  <dimension ref="A1:G63"/>
  <sheetViews>
    <sheetView showGridLines="0" workbookViewId="0">
      <selection activeCell="C8" sqref="C8"/>
    </sheetView>
  </sheetViews>
  <sheetFormatPr defaultColWidth="9" defaultRowHeight="13.5" x14ac:dyDescent="0.3"/>
  <cols>
    <col min="1" max="1" width="1.625" style="30" customWidth="1"/>
    <col min="2" max="2" width="30.625" style="30" customWidth="1"/>
    <col min="3" max="3" width="79.5" style="30" customWidth="1"/>
    <col min="4" max="4" width="11.625" style="30" customWidth="1"/>
    <col min="5" max="16384" width="9" style="30"/>
  </cols>
  <sheetData>
    <row r="1" spans="1:7" ht="30" customHeight="1" x14ac:dyDescent="0.3">
      <c r="A1" s="29"/>
      <c r="B1" s="57" t="str">
        <f>"Project"&amp;" "&amp;Title!L6</f>
        <v>Project IT</v>
      </c>
      <c r="C1" s="61" t="str">
        <f>$C$12</f>
        <v>DRAFT - For Discussion Purposes Only</v>
      </c>
    </row>
    <row r="2" spans="1:7" ht="20.100000000000001" customHeight="1" x14ac:dyDescent="0.3">
      <c r="A2" s="31"/>
      <c r="B2" s="51" t="s">
        <v>1</v>
      </c>
      <c r="C2" s="60"/>
    </row>
    <row r="3" spans="1:7" ht="15" customHeight="1" x14ac:dyDescent="0.3">
      <c r="A3" s="31"/>
      <c r="B3" s="32"/>
      <c r="C3" s="31"/>
      <c r="D3" s="31"/>
    </row>
    <row r="4" spans="1:7" ht="15" customHeight="1" x14ac:dyDescent="0.3">
      <c r="G4" s="30" t="s">
        <v>146</v>
      </c>
    </row>
    <row r="5" spans="1:7" ht="18" customHeight="1" x14ac:dyDescent="0.3">
      <c r="B5" s="723" t="s">
        <v>2</v>
      </c>
      <c r="C5" s="724" t="s">
        <v>1225</v>
      </c>
      <c r="G5" s="30" t="s">
        <v>152</v>
      </c>
    </row>
    <row r="6" spans="1:7" ht="18" customHeight="1" x14ac:dyDescent="0.3">
      <c r="B6" s="725" t="s">
        <v>3</v>
      </c>
      <c r="C6" s="726" t="s">
        <v>1226</v>
      </c>
    </row>
    <row r="7" spans="1:7" ht="18" customHeight="1" x14ac:dyDescent="0.3">
      <c r="B7" s="725" t="s">
        <v>4</v>
      </c>
      <c r="C7" s="726" t="s">
        <v>1226</v>
      </c>
      <c r="D7" s="348"/>
    </row>
    <row r="8" spans="1:7" ht="18" customHeight="1" x14ac:dyDescent="0.3">
      <c r="B8" s="725" t="s">
        <v>5</v>
      </c>
      <c r="C8" s="727">
        <v>42369</v>
      </c>
    </row>
    <row r="9" spans="1:7" ht="18" customHeight="1" x14ac:dyDescent="0.3">
      <c r="B9" s="725" t="s">
        <v>6</v>
      </c>
      <c r="C9" s="727">
        <f>IF(C8=DATE(YEAR(C8),12,31),DATE(YEAR(C8+1),12,31),DATE(YEAR(C8),12,31))</f>
        <v>42735</v>
      </c>
    </row>
    <row r="10" spans="1:7" ht="18" customHeight="1" x14ac:dyDescent="0.3">
      <c r="B10" s="725" t="s">
        <v>7</v>
      </c>
      <c r="C10" s="728">
        <f>(C9-C8)/365</f>
        <v>1.0027397260273974</v>
      </c>
    </row>
    <row r="11" spans="1:7" ht="18" customHeight="1" x14ac:dyDescent="0.3">
      <c r="B11" s="725" t="s">
        <v>8</v>
      </c>
      <c r="C11" s="726" t="s">
        <v>4562</v>
      </c>
    </row>
    <row r="12" spans="1:7" ht="18" customHeight="1" x14ac:dyDescent="0.3">
      <c r="B12" s="725" t="s">
        <v>13</v>
      </c>
      <c r="C12" s="729" t="s">
        <v>146</v>
      </c>
    </row>
    <row r="13" spans="1:7" ht="18" customHeight="1" x14ac:dyDescent="0.3">
      <c r="B13" s="730" t="s">
        <v>9</v>
      </c>
      <c r="C13" s="731" t="s">
        <v>14</v>
      </c>
    </row>
    <row r="14" spans="1:7" ht="15" customHeight="1" x14ac:dyDescent="0.3"/>
    <row r="15" spans="1:7" ht="15" customHeight="1" x14ac:dyDescent="0.3">
      <c r="B15" s="52" t="s">
        <v>11</v>
      </c>
    </row>
    <row r="16" spans="1:7" ht="15" customHeight="1" x14ac:dyDescent="0.3">
      <c r="B16" s="908"/>
    </row>
    <row r="17" spans="2:3" ht="15" customHeight="1" x14ac:dyDescent="0.3">
      <c r="B17" s="907"/>
    </row>
    <row r="18" spans="2:3" ht="15" customHeight="1" x14ac:dyDescent="0.3">
      <c r="B18" s="906"/>
    </row>
    <row r="19" spans="2:3" ht="15" customHeight="1" x14ac:dyDescent="0.3">
      <c r="B19" s="905"/>
    </row>
    <row r="20" spans="2:3" ht="15" customHeight="1" x14ac:dyDescent="0.3">
      <c r="B20" s="909"/>
    </row>
    <row r="21" spans="2:3" ht="15" customHeight="1" x14ac:dyDescent="0.3"/>
    <row r="22" spans="2:3" ht="15" customHeight="1" x14ac:dyDescent="0.3">
      <c r="B22" s="52" t="s">
        <v>12</v>
      </c>
    </row>
    <row r="23" spans="2:3" ht="15" customHeight="1" x14ac:dyDescent="0.3">
      <c r="B23" s="53"/>
    </row>
    <row r="24" spans="2:3" ht="15" customHeight="1" x14ac:dyDescent="0.3">
      <c r="B24" s="904"/>
      <c r="C24" s="1022"/>
    </row>
    <row r="25" spans="2:3" ht="15" customHeight="1" x14ac:dyDescent="0.3">
      <c r="B25" s="54"/>
    </row>
    <row r="26" spans="2:3" ht="15" customHeight="1" x14ac:dyDescent="0.3">
      <c r="B26" s="55"/>
    </row>
    <row r="27" spans="2:3" ht="15" customHeight="1" x14ac:dyDescent="0.3">
      <c r="B27" s="56"/>
    </row>
    <row r="28" spans="2:3" ht="15" customHeight="1" x14ac:dyDescent="0.3"/>
    <row r="29" spans="2:3" ht="15" customHeight="1" x14ac:dyDescent="0.3"/>
    <row r="30" spans="2:3" ht="15" customHeight="1" x14ac:dyDescent="0.3"/>
    <row r="31" spans="2:3" ht="15" customHeight="1" x14ac:dyDescent="0.3"/>
    <row r="32" spans="2:3"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sheetData>
  <phoneticPr fontId="1" type="noConversion"/>
  <dataValidations count="1">
    <dataValidation type="list" allowBlank="1" showInputMessage="1" showErrorMessage="1" sqref="C12">
      <formula1>$G$4:$G$5</formula1>
    </dataValidation>
  </dataValidations>
  <pageMargins left="0.59055118110236227" right="0.59055118110236227" top="0.59055118110236227" bottom="0.59055118110236227" header="0.31496062992125984" footer="0.31496062992125984"/>
  <pageSetup paperSize="9" scale="9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tint="-0.249977111117893"/>
  </sheetPr>
  <dimension ref="B2:E22"/>
  <sheetViews>
    <sheetView showGridLines="0" workbookViewId="0">
      <selection activeCell="C14" sqref="C14"/>
    </sheetView>
  </sheetViews>
  <sheetFormatPr defaultRowHeight="16.5" x14ac:dyDescent="0.3"/>
  <cols>
    <col min="2" max="2" width="21" customWidth="1"/>
    <col min="3" max="3" width="31.125" customWidth="1"/>
    <col min="4" max="4" width="21" customWidth="1"/>
    <col min="5" max="5" width="31.125" customWidth="1"/>
  </cols>
  <sheetData>
    <row r="2" spans="2:5" x14ac:dyDescent="0.3">
      <c r="B2" s="900" t="s">
        <v>1006</v>
      </c>
      <c r="C2" s="901" t="s">
        <v>1007</v>
      </c>
      <c r="D2" s="900" t="s">
        <v>1008</v>
      </c>
      <c r="E2" s="901" t="s">
        <v>1009</v>
      </c>
    </row>
    <row r="3" spans="2:5" x14ac:dyDescent="0.3">
      <c r="B3" s="900" t="s">
        <v>715</v>
      </c>
      <c r="C3" s="901" t="s">
        <v>1173</v>
      </c>
      <c r="D3" s="900" t="s">
        <v>176</v>
      </c>
      <c r="E3" s="901" t="s">
        <v>1012</v>
      </c>
    </row>
    <row r="4" spans="2:5" x14ac:dyDescent="0.3">
      <c r="B4" s="900" t="s">
        <v>1175</v>
      </c>
      <c r="C4" s="901" t="s">
        <v>1176</v>
      </c>
      <c r="D4" s="900" t="s">
        <v>713</v>
      </c>
      <c r="E4" s="901" t="s">
        <v>1174</v>
      </c>
    </row>
    <row r="5" spans="2:5" x14ac:dyDescent="0.3">
      <c r="B5" s="900" t="s">
        <v>1010</v>
      </c>
      <c r="C5" s="901" t="s">
        <v>1011</v>
      </c>
      <c r="D5" s="900" t="s">
        <v>1015</v>
      </c>
      <c r="E5" s="901" t="s">
        <v>1016</v>
      </c>
    </row>
    <row r="6" spans="2:5" x14ac:dyDescent="0.3">
      <c r="B6" s="900" t="s">
        <v>714</v>
      </c>
      <c r="C6" s="901" t="s">
        <v>1178</v>
      </c>
      <c r="D6" s="900" t="s">
        <v>174</v>
      </c>
      <c r="E6" s="901" t="s">
        <v>1177</v>
      </c>
    </row>
    <row r="7" spans="2:5" x14ac:dyDescent="0.3">
      <c r="B7" s="900" t="s">
        <v>1013</v>
      </c>
      <c r="C7" s="901" t="s">
        <v>1014</v>
      </c>
      <c r="D7" s="900" t="s">
        <v>1179</v>
      </c>
      <c r="E7" s="901" t="s">
        <v>1180</v>
      </c>
    </row>
    <row r="8" spans="2:5" x14ac:dyDescent="0.3">
      <c r="B8" s="900" t="s">
        <v>1017</v>
      </c>
      <c r="C8" s="901" t="s">
        <v>1018</v>
      </c>
      <c r="D8" s="900" t="s">
        <v>175</v>
      </c>
      <c r="E8" s="901" t="s">
        <v>1181</v>
      </c>
    </row>
    <row r="9" spans="2:5" x14ac:dyDescent="0.3">
      <c r="B9" s="900" t="s">
        <v>1020</v>
      </c>
      <c r="C9" s="901" t="s">
        <v>1021</v>
      </c>
      <c r="D9" s="900" t="s">
        <v>1022</v>
      </c>
      <c r="E9" s="901" t="s">
        <v>1023</v>
      </c>
    </row>
    <row r="10" spans="2:5" x14ac:dyDescent="0.3">
      <c r="B10" s="900" t="s">
        <v>1024</v>
      </c>
      <c r="C10" s="901" t="s">
        <v>1025</v>
      </c>
      <c r="D10" s="900" t="s">
        <v>92</v>
      </c>
      <c r="E10" s="901" t="s">
        <v>1026</v>
      </c>
    </row>
    <row r="11" spans="2:5" x14ac:dyDescent="0.3">
      <c r="B11" s="900" t="s">
        <v>998</v>
      </c>
      <c r="C11" s="901" t="s">
        <v>997</v>
      </c>
      <c r="D11" s="900" t="s">
        <v>1027</v>
      </c>
      <c r="E11" s="901" t="s">
        <v>1028</v>
      </c>
    </row>
    <row r="12" spans="2:5" x14ac:dyDescent="0.3">
      <c r="B12" s="900" t="s">
        <v>1120</v>
      </c>
      <c r="C12" s="901" t="s">
        <v>1182</v>
      </c>
      <c r="D12" s="900" t="s">
        <v>177</v>
      </c>
      <c r="E12" s="901" t="s">
        <v>1031</v>
      </c>
    </row>
    <row r="13" spans="2:5" x14ac:dyDescent="0.3">
      <c r="B13" s="900" t="s">
        <v>1029</v>
      </c>
      <c r="C13" s="901" t="s">
        <v>1030</v>
      </c>
      <c r="D13" s="900" t="s">
        <v>1183</v>
      </c>
      <c r="E13" s="901" t="s">
        <v>1184</v>
      </c>
    </row>
    <row r="14" spans="2:5" x14ac:dyDescent="0.3">
      <c r="B14" s="900" t="s">
        <v>179</v>
      </c>
      <c r="C14" s="901" t="s">
        <v>1032</v>
      </c>
      <c r="D14" s="900" t="s">
        <v>1185</v>
      </c>
      <c r="E14" s="901" t="s">
        <v>1186</v>
      </c>
    </row>
    <row r="15" spans="2:5" ht="24" x14ac:dyDescent="0.3">
      <c r="B15" s="900" t="s">
        <v>100</v>
      </c>
      <c r="C15" s="901" t="s">
        <v>1033</v>
      </c>
      <c r="D15" s="900" t="s">
        <v>1036</v>
      </c>
      <c r="E15" s="901" t="s">
        <v>1037</v>
      </c>
    </row>
    <row r="16" spans="2:5" x14ac:dyDescent="0.3">
      <c r="B16" s="900" t="s">
        <v>1034</v>
      </c>
      <c r="C16" s="901" t="s">
        <v>1035</v>
      </c>
      <c r="D16" s="900" t="s">
        <v>43</v>
      </c>
      <c r="E16" s="901" t="s">
        <v>1040</v>
      </c>
    </row>
    <row r="17" spans="2:5" x14ac:dyDescent="0.3">
      <c r="B17" s="900" t="s">
        <v>1187</v>
      </c>
      <c r="C17" s="901" t="s">
        <v>1188</v>
      </c>
      <c r="D17" s="900" t="s">
        <v>1119</v>
      </c>
      <c r="E17" s="901" t="s">
        <v>1189</v>
      </c>
    </row>
    <row r="18" spans="2:5" x14ac:dyDescent="0.3">
      <c r="B18" s="900" t="s">
        <v>1038</v>
      </c>
      <c r="C18" s="901" t="s">
        <v>1039</v>
      </c>
      <c r="D18" s="900" t="s">
        <v>712</v>
      </c>
      <c r="E18" s="901" t="s">
        <v>1043</v>
      </c>
    </row>
    <row r="19" spans="2:5" x14ac:dyDescent="0.3">
      <c r="B19" s="900" t="s">
        <v>1041</v>
      </c>
      <c r="C19" s="901" t="s">
        <v>1042</v>
      </c>
      <c r="D19" s="900" t="s">
        <v>1044</v>
      </c>
      <c r="E19" s="901" t="s">
        <v>33</v>
      </c>
    </row>
    <row r="20" spans="2:5" x14ac:dyDescent="0.3">
      <c r="B20" s="900" t="s">
        <v>1190</v>
      </c>
      <c r="C20" s="901" t="s">
        <v>1191</v>
      </c>
      <c r="D20" s="900" t="s">
        <v>1047</v>
      </c>
      <c r="E20" s="901" t="s">
        <v>1048</v>
      </c>
    </row>
    <row r="21" spans="2:5" x14ac:dyDescent="0.3">
      <c r="B21" s="900" t="s">
        <v>1045</v>
      </c>
      <c r="C21" s="901" t="s">
        <v>1046</v>
      </c>
      <c r="D21" s="900" t="s">
        <v>1192</v>
      </c>
      <c r="E21" s="901" t="s">
        <v>1153</v>
      </c>
    </row>
    <row r="22" spans="2:5" ht="23.25" x14ac:dyDescent="0.3">
      <c r="D22" s="902"/>
      <c r="E22" s="903"/>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B2B2B2"/>
  </sheetPr>
  <dimension ref="B1:H76"/>
  <sheetViews>
    <sheetView showGridLines="0" topLeftCell="A52" zoomScaleNormal="100" workbookViewId="0">
      <selection activeCell="E60" sqref="E60"/>
    </sheetView>
  </sheetViews>
  <sheetFormatPr defaultRowHeight="16.5" x14ac:dyDescent="0.3"/>
  <cols>
    <col min="1" max="1" width="1.625" style="691" customWidth="1"/>
    <col min="2" max="2" width="20.625" style="691" customWidth="1"/>
    <col min="3" max="3" width="22" style="691" customWidth="1"/>
    <col min="4" max="4" width="10.625" style="141" customWidth="1"/>
    <col min="5" max="7" width="22" style="691" customWidth="1"/>
    <col min="8" max="8" width="15.625" style="691" customWidth="1"/>
    <col min="9" max="9" width="10.625" style="691" customWidth="1"/>
    <col min="10" max="16384" width="9" style="691"/>
  </cols>
  <sheetData>
    <row r="1" spans="2:8" ht="30" customHeight="1" x14ac:dyDescent="0.3">
      <c r="B1" s="58" t="str">
        <f>"Project"&amp;" "&amp;Title!L6</f>
        <v>Project IT</v>
      </c>
      <c r="C1" s="59"/>
      <c r="D1" s="158"/>
      <c r="E1" s="59"/>
      <c r="F1" s="59"/>
      <c r="G1" s="59"/>
      <c r="H1" s="61" t="s">
        <v>146</v>
      </c>
    </row>
    <row r="2" spans="2:8" ht="20.100000000000001" customHeight="1" x14ac:dyDescent="0.3">
      <c r="B2" s="138" t="s">
        <v>97</v>
      </c>
      <c r="C2" s="138"/>
      <c r="D2" s="159"/>
      <c r="E2" s="138"/>
      <c r="F2" s="138"/>
      <c r="G2" s="138"/>
      <c r="H2" s="138"/>
    </row>
    <row r="4" spans="2:8" x14ac:dyDescent="0.3">
      <c r="B4" s="13" t="s">
        <v>1196</v>
      </c>
      <c r="C4" s="13" t="s">
        <v>705</v>
      </c>
      <c r="D4" s="13"/>
      <c r="E4" s="13" t="s">
        <v>1197</v>
      </c>
      <c r="F4" s="13" t="s">
        <v>1198</v>
      </c>
      <c r="G4" s="13" t="s">
        <v>1199</v>
      </c>
      <c r="H4" s="13" t="s">
        <v>1200</v>
      </c>
    </row>
    <row r="5" spans="2:8" s="400" customFormat="1" ht="15" customHeight="1" x14ac:dyDescent="0.3">
      <c r="B5" s="3" t="s">
        <v>1201</v>
      </c>
      <c r="C5" s="898"/>
      <c r="D5" s="160"/>
      <c r="E5" s="146"/>
      <c r="F5" s="145"/>
      <c r="G5" s="145"/>
      <c r="H5" s="145"/>
    </row>
    <row r="6" spans="2:8" s="400" customFormat="1" ht="15" customHeight="1" x14ac:dyDescent="0.3">
      <c r="B6" s="2"/>
      <c r="C6" s="898"/>
      <c r="D6" s="160"/>
      <c r="E6" s="146"/>
      <c r="F6" s="145"/>
      <c r="G6" s="145"/>
      <c r="H6" s="145"/>
    </row>
    <row r="7" spans="2:8" s="400" customFormat="1" ht="15" customHeight="1" x14ac:dyDescent="0.3">
      <c r="B7" s="2"/>
      <c r="C7" s="898"/>
      <c r="D7" s="160"/>
      <c r="E7" s="147"/>
      <c r="F7" s="145"/>
      <c r="G7" s="145"/>
      <c r="H7" s="145"/>
    </row>
    <row r="8" spans="2:8" s="400" customFormat="1" ht="15" customHeight="1" x14ac:dyDescent="0.3">
      <c r="B8" s="2"/>
      <c r="C8" s="898"/>
      <c r="D8" s="160"/>
      <c r="E8" s="146"/>
      <c r="F8" s="145"/>
      <c r="G8" s="145"/>
      <c r="H8" s="145"/>
    </row>
    <row r="9" spans="2:8" s="400" customFormat="1" ht="15" customHeight="1" x14ac:dyDescent="0.3">
      <c r="B9" s="2"/>
      <c r="C9" s="898"/>
      <c r="D9" s="160"/>
      <c r="E9" s="147"/>
      <c r="F9" s="145"/>
      <c r="G9" s="145"/>
      <c r="H9" s="145"/>
    </row>
    <row r="10" spans="2:8" s="400" customFormat="1" ht="15" customHeight="1" x14ac:dyDescent="0.3">
      <c r="B10" s="2"/>
      <c r="C10" s="898"/>
      <c r="D10" s="160"/>
      <c r="E10" s="146"/>
      <c r="F10" s="145"/>
      <c r="G10" s="145"/>
      <c r="H10" s="145"/>
    </row>
    <row r="11" spans="2:8" s="400" customFormat="1" ht="15" customHeight="1" x14ac:dyDescent="0.3">
      <c r="B11" s="2"/>
      <c r="C11" s="898"/>
      <c r="D11" s="160"/>
      <c r="E11" s="146"/>
      <c r="F11" s="145"/>
      <c r="G11" s="145"/>
      <c r="H11" s="145"/>
    </row>
    <row r="12" spans="2:8" s="400" customFormat="1" ht="15" customHeight="1" x14ac:dyDescent="0.3">
      <c r="B12" s="2"/>
      <c r="C12" s="898"/>
      <c r="D12" s="160"/>
      <c r="E12" s="147"/>
      <c r="F12" s="145"/>
      <c r="G12" s="145"/>
      <c r="H12" s="145"/>
    </row>
    <row r="13" spans="2:8" s="400" customFormat="1" ht="15" customHeight="1" x14ac:dyDescent="0.3">
      <c r="B13" s="2"/>
      <c r="C13" s="898"/>
      <c r="D13" s="160"/>
      <c r="E13" s="147"/>
      <c r="F13" s="145"/>
      <c r="G13" s="145"/>
      <c r="H13" s="145"/>
    </row>
    <row r="14" spans="2:8" s="400" customFormat="1" ht="15" customHeight="1" x14ac:dyDescent="0.3">
      <c r="B14" s="1"/>
      <c r="C14" s="922"/>
      <c r="D14" s="923"/>
      <c r="E14" s="924"/>
      <c r="F14" s="925"/>
      <c r="G14" s="925"/>
      <c r="H14" s="925"/>
    </row>
    <row r="15" spans="2:8" s="400" customFormat="1" ht="15" customHeight="1" x14ac:dyDescent="0.3">
      <c r="B15" s="157"/>
      <c r="C15" s="149"/>
      <c r="D15" s="161"/>
      <c r="E15" s="150"/>
      <c r="F15" s="149"/>
      <c r="G15" s="149"/>
      <c r="H15" s="151"/>
    </row>
    <row r="16" spans="2:8" s="400" customFormat="1" ht="15" customHeight="1" x14ac:dyDescent="0.3">
      <c r="B16" s="3" t="s">
        <v>1202</v>
      </c>
      <c r="C16" s="152"/>
      <c r="D16" s="926"/>
      <c r="E16" s="153"/>
      <c r="F16" s="152"/>
      <c r="G16" s="152"/>
      <c r="H16" s="152"/>
    </row>
    <row r="17" spans="2:8" s="400" customFormat="1" ht="15" customHeight="1" x14ac:dyDescent="0.3">
      <c r="B17" s="2"/>
      <c r="C17" s="145"/>
      <c r="D17" s="160"/>
      <c r="E17" s="146"/>
      <c r="F17" s="145"/>
      <c r="G17" s="145"/>
      <c r="H17" s="145"/>
    </row>
    <row r="18" spans="2:8" s="400" customFormat="1" ht="15" customHeight="1" x14ac:dyDescent="0.3">
      <c r="B18" s="2"/>
      <c r="C18" s="145"/>
      <c r="D18" s="160"/>
      <c r="E18" s="147"/>
      <c r="F18" s="145"/>
      <c r="G18" s="145"/>
      <c r="H18" s="145"/>
    </row>
    <row r="19" spans="2:8" s="400" customFormat="1" ht="15" customHeight="1" x14ac:dyDescent="0.3">
      <c r="B19" s="2"/>
      <c r="C19" s="145"/>
      <c r="D19" s="160"/>
      <c r="E19" s="146"/>
      <c r="F19" s="145"/>
      <c r="G19" s="145"/>
      <c r="H19" s="145"/>
    </row>
    <row r="20" spans="2:8" s="400" customFormat="1" ht="15" customHeight="1" x14ac:dyDescent="0.3">
      <c r="B20" s="2"/>
      <c r="C20" s="145"/>
      <c r="D20" s="160"/>
      <c r="E20" s="147"/>
      <c r="F20" s="145"/>
      <c r="G20" s="145"/>
      <c r="H20" s="145"/>
    </row>
    <row r="21" spans="2:8" s="400" customFormat="1" ht="15" customHeight="1" x14ac:dyDescent="0.3">
      <c r="B21" s="2"/>
      <c r="C21" s="145"/>
      <c r="D21" s="160"/>
      <c r="E21" s="146"/>
      <c r="F21" s="145"/>
      <c r="G21" s="145"/>
      <c r="H21" s="145"/>
    </row>
    <row r="22" spans="2:8" s="400" customFormat="1" ht="15" customHeight="1" x14ac:dyDescent="0.3">
      <c r="B22" s="2"/>
      <c r="C22" s="145"/>
      <c r="D22" s="160"/>
      <c r="E22" s="146"/>
      <c r="F22" s="145"/>
      <c r="G22" s="145"/>
      <c r="H22" s="145"/>
    </row>
    <row r="23" spans="2:8" s="400" customFormat="1" ht="15" customHeight="1" x14ac:dyDescent="0.3">
      <c r="B23" s="2"/>
      <c r="C23" s="145"/>
      <c r="D23" s="160"/>
      <c r="E23" s="147"/>
      <c r="F23" s="145"/>
      <c r="G23" s="145"/>
      <c r="H23" s="145"/>
    </row>
    <row r="24" spans="2:8" s="400" customFormat="1" ht="15" customHeight="1" x14ac:dyDescent="0.3">
      <c r="B24" s="2"/>
      <c r="C24" s="145"/>
      <c r="D24" s="160"/>
      <c r="E24" s="147"/>
      <c r="F24" s="145"/>
      <c r="G24" s="145"/>
      <c r="H24" s="145"/>
    </row>
    <row r="25" spans="2:8" s="400" customFormat="1" ht="15" customHeight="1" x14ac:dyDescent="0.3">
      <c r="B25" s="1"/>
      <c r="C25" s="154"/>
      <c r="D25" s="927"/>
      <c r="E25" s="928"/>
      <c r="F25" s="145"/>
      <c r="G25" s="145"/>
      <c r="H25" s="145"/>
    </row>
    <row r="26" spans="2:8" s="819" customFormat="1" ht="15" customHeight="1" x14ac:dyDescent="0.3">
      <c r="B26" s="148"/>
      <c r="C26" s="149"/>
      <c r="D26" s="161"/>
      <c r="E26" s="150"/>
      <c r="F26" s="149"/>
      <c r="G26" s="149"/>
      <c r="H26" s="151"/>
    </row>
    <row r="27" spans="2:8" s="819" customFormat="1" ht="15" customHeight="1" x14ac:dyDescent="0.3">
      <c r="B27" s="3" t="s">
        <v>1203</v>
      </c>
      <c r="C27" s="152"/>
      <c r="D27" s="926"/>
      <c r="E27" s="153"/>
      <c r="F27" s="152"/>
      <c r="G27" s="152"/>
      <c r="H27" s="152"/>
    </row>
    <row r="28" spans="2:8" s="819" customFormat="1" ht="15" customHeight="1" x14ac:dyDescent="0.3">
      <c r="B28" s="2"/>
      <c r="C28" s="145"/>
      <c r="D28" s="160"/>
      <c r="E28" s="146"/>
      <c r="F28" s="145"/>
      <c r="G28" s="145"/>
      <c r="H28" s="145"/>
    </row>
    <row r="29" spans="2:8" s="819" customFormat="1" ht="15" customHeight="1" x14ac:dyDescent="0.3">
      <c r="B29" s="2"/>
      <c r="C29" s="145"/>
      <c r="D29" s="160"/>
      <c r="E29" s="147"/>
      <c r="F29" s="145"/>
      <c r="G29" s="145"/>
      <c r="H29" s="145"/>
    </row>
    <row r="30" spans="2:8" s="819" customFormat="1" ht="15" customHeight="1" x14ac:dyDescent="0.3">
      <c r="B30" s="2"/>
      <c r="C30" s="145"/>
      <c r="D30" s="160"/>
      <c r="E30" s="146"/>
      <c r="F30" s="145"/>
      <c r="G30" s="145"/>
      <c r="H30" s="145"/>
    </row>
    <row r="31" spans="2:8" s="819" customFormat="1" ht="15" customHeight="1" x14ac:dyDescent="0.3">
      <c r="B31" s="2"/>
      <c r="C31" s="145"/>
      <c r="D31" s="160"/>
      <c r="E31" s="147"/>
      <c r="F31" s="145"/>
      <c r="G31" s="145"/>
      <c r="H31" s="145"/>
    </row>
    <row r="32" spans="2:8" s="819" customFormat="1" ht="15" customHeight="1" x14ac:dyDescent="0.3">
      <c r="B32" s="2"/>
      <c r="C32" s="145"/>
      <c r="D32" s="160"/>
      <c r="E32" s="146"/>
      <c r="F32" s="145"/>
      <c r="G32" s="145"/>
      <c r="H32" s="145"/>
    </row>
    <row r="33" spans="2:8" s="819" customFormat="1" ht="15" customHeight="1" x14ac:dyDescent="0.3">
      <c r="B33" s="2"/>
      <c r="C33" s="145"/>
      <c r="D33" s="160"/>
      <c r="E33" s="146"/>
      <c r="F33" s="145"/>
      <c r="G33" s="145"/>
      <c r="H33" s="145"/>
    </row>
    <row r="34" spans="2:8" s="819" customFormat="1" ht="15" customHeight="1" x14ac:dyDescent="0.3">
      <c r="B34" s="2"/>
      <c r="C34" s="145"/>
      <c r="D34" s="160"/>
      <c r="E34" s="147"/>
      <c r="F34" s="145"/>
      <c r="G34" s="145"/>
      <c r="H34" s="145"/>
    </row>
    <row r="35" spans="2:8" s="819" customFormat="1" ht="15" customHeight="1" x14ac:dyDescent="0.3">
      <c r="B35" s="2"/>
      <c r="C35" s="145"/>
      <c r="D35" s="160"/>
      <c r="E35" s="147"/>
      <c r="F35" s="145"/>
      <c r="G35" s="145"/>
      <c r="H35" s="145"/>
    </row>
    <row r="36" spans="2:8" s="819" customFormat="1" ht="15" customHeight="1" x14ac:dyDescent="0.3">
      <c r="B36" s="1"/>
      <c r="C36" s="154"/>
      <c r="D36" s="927"/>
      <c r="E36" s="928"/>
      <c r="F36" s="145"/>
      <c r="G36" s="145"/>
      <c r="H36" s="145"/>
    </row>
    <row r="37" spans="2:8" s="819" customFormat="1" ht="15" customHeight="1" x14ac:dyDescent="0.3">
      <c r="B37" s="148"/>
      <c r="C37" s="149"/>
      <c r="D37" s="161"/>
      <c r="E37" s="150"/>
      <c r="F37" s="149"/>
      <c r="G37" s="149"/>
      <c r="H37" s="151"/>
    </row>
    <row r="38" spans="2:8" s="819" customFormat="1" ht="15" customHeight="1" x14ac:dyDescent="0.3">
      <c r="B38" s="3" t="s">
        <v>1204</v>
      </c>
      <c r="C38" s="152"/>
      <c r="D38" s="926"/>
      <c r="E38" s="153"/>
      <c r="F38" s="152"/>
      <c r="G38" s="152"/>
      <c r="H38" s="152"/>
    </row>
    <row r="39" spans="2:8" s="819" customFormat="1" ht="15" customHeight="1" x14ac:dyDescent="0.3">
      <c r="B39" s="2"/>
      <c r="C39" s="145"/>
      <c r="D39" s="160"/>
      <c r="E39" s="146"/>
      <c r="F39" s="145"/>
      <c r="G39" s="145"/>
      <c r="H39" s="145"/>
    </row>
    <row r="40" spans="2:8" s="819" customFormat="1" ht="15" customHeight="1" x14ac:dyDescent="0.3">
      <c r="B40" s="2"/>
      <c r="C40" s="145"/>
      <c r="D40" s="160"/>
      <c r="E40" s="147"/>
      <c r="F40" s="145"/>
      <c r="G40" s="145"/>
      <c r="H40" s="145"/>
    </row>
    <row r="41" spans="2:8" s="819" customFormat="1" ht="15" customHeight="1" x14ac:dyDescent="0.3">
      <c r="B41" s="2"/>
      <c r="C41" s="145"/>
      <c r="D41" s="160"/>
      <c r="E41" s="146"/>
      <c r="F41" s="145"/>
      <c r="G41" s="145"/>
      <c r="H41" s="145"/>
    </row>
    <row r="42" spans="2:8" s="819" customFormat="1" ht="15" customHeight="1" x14ac:dyDescent="0.3">
      <c r="B42" s="2"/>
      <c r="C42" s="145"/>
      <c r="D42" s="160"/>
      <c r="E42" s="147"/>
      <c r="F42" s="145"/>
      <c r="G42" s="145"/>
      <c r="H42" s="145"/>
    </row>
    <row r="43" spans="2:8" s="819" customFormat="1" ht="15" customHeight="1" x14ac:dyDescent="0.3">
      <c r="B43" s="2"/>
      <c r="C43" s="145"/>
      <c r="D43" s="160"/>
      <c r="E43" s="146"/>
      <c r="F43" s="145"/>
      <c r="G43" s="145"/>
      <c r="H43" s="145"/>
    </row>
    <row r="44" spans="2:8" s="819" customFormat="1" ht="15" customHeight="1" x14ac:dyDescent="0.3">
      <c r="B44" s="2"/>
      <c r="C44" s="145"/>
      <c r="D44" s="160"/>
      <c r="E44" s="146"/>
      <c r="F44" s="145"/>
      <c r="G44" s="145"/>
      <c r="H44" s="145"/>
    </row>
    <row r="45" spans="2:8" s="819" customFormat="1" ht="15" customHeight="1" x14ac:dyDescent="0.3">
      <c r="B45" s="2"/>
      <c r="C45" s="145"/>
      <c r="D45" s="160"/>
      <c r="E45" s="147"/>
      <c r="F45" s="145"/>
      <c r="G45" s="145"/>
      <c r="H45" s="145"/>
    </row>
    <row r="46" spans="2:8" s="819" customFormat="1" ht="15" customHeight="1" x14ac:dyDescent="0.3">
      <c r="B46" s="2"/>
      <c r="C46" s="145"/>
      <c r="D46" s="160"/>
      <c r="E46" s="147"/>
      <c r="F46" s="145"/>
      <c r="G46" s="145"/>
      <c r="H46" s="145"/>
    </row>
    <row r="47" spans="2:8" s="819" customFormat="1" ht="15" customHeight="1" x14ac:dyDescent="0.3">
      <c r="B47" s="1"/>
      <c r="C47" s="154"/>
      <c r="D47" s="927"/>
      <c r="E47" s="928"/>
      <c r="F47" s="145"/>
      <c r="G47" s="145"/>
      <c r="H47" s="145"/>
    </row>
    <row r="48" spans="2:8" s="819" customFormat="1" ht="15" customHeight="1" x14ac:dyDescent="0.3">
      <c r="B48" s="148"/>
      <c r="C48" s="149"/>
      <c r="D48" s="161"/>
      <c r="E48" s="150"/>
      <c r="F48" s="149"/>
      <c r="G48" s="149"/>
      <c r="H48" s="151"/>
    </row>
    <row r="49" spans="2:8" s="819" customFormat="1" ht="15" customHeight="1" x14ac:dyDescent="0.3">
      <c r="B49" s="3" t="s">
        <v>1205</v>
      </c>
      <c r="C49" s="152"/>
      <c r="D49" s="926"/>
      <c r="E49" s="153"/>
      <c r="F49" s="152"/>
      <c r="G49" s="152"/>
      <c r="H49" s="152"/>
    </row>
    <row r="50" spans="2:8" s="819" customFormat="1" ht="15" customHeight="1" x14ac:dyDescent="0.3">
      <c r="B50" s="2"/>
      <c r="C50" s="145"/>
      <c r="D50" s="160"/>
      <c r="E50" s="146"/>
      <c r="F50" s="145"/>
      <c r="G50" s="145"/>
      <c r="H50" s="145"/>
    </row>
    <row r="51" spans="2:8" s="819" customFormat="1" ht="15" customHeight="1" x14ac:dyDescent="0.3">
      <c r="B51" s="2"/>
      <c r="C51" s="145"/>
      <c r="D51" s="160"/>
      <c r="E51" s="147"/>
      <c r="F51" s="145"/>
      <c r="G51" s="145"/>
      <c r="H51" s="145"/>
    </row>
    <row r="52" spans="2:8" s="819" customFormat="1" ht="15" customHeight="1" x14ac:dyDescent="0.3">
      <c r="B52" s="2"/>
      <c r="C52" s="145"/>
      <c r="D52" s="160"/>
      <c r="E52" s="146"/>
      <c r="F52" s="145"/>
      <c r="G52" s="145"/>
      <c r="H52" s="145"/>
    </row>
    <row r="53" spans="2:8" s="819" customFormat="1" ht="15" customHeight="1" x14ac:dyDescent="0.3">
      <c r="B53" s="2"/>
      <c r="C53" s="145"/>
      <c r="D53" s="160"/>
      <c r="E53" s="147"/>
      <c r="F53" s="145"/>
      <c r="G53" s="145"/>
      <c r="H53" s="145"/>
    </row>
    <row r="54" spans="2:8" s="819" customFormat="1" ht="15" customHeight="1" x14ac:dyDescent="0.3">
      <c r="B54" s="2"/>
      <c r="C54" s="145"/>
      <c r="D54" s="160"/>
      <c r="E54" s="146"/>
      <c r="F54" s="145"/>
      <c r="G54" s="145"/>
      <c r="H54" s="145"/>
    </row>
    <row r="55" spans="2:8" s="819" customFormat="1" ht="15" customHeight="1" x14ac:dyDescent="0.3">
      <c r="B55" s="2"/>
      <c r="C55" s="145"/>
      <c r="D55" s="160"/>
      <c r="E55" s="146"/>
      <c r="F55" s="145"/>
      <c r="G55" s="145"/>
      <c r="H55" s="145"/>
    </row>
    <row r="56" spans="2:8" s="819" customFormat="1" ht="15" customHeight="1" x14ac:dyDescent="0.3">
      <c r="B56" s="2"/>
      <c r="C56" s="145"/>
      <c r="D56" s="160"/>
      <c r="E56" s="147"/>
      <c r="F56" s="145"/>
      <c r="G56" s="145"/>
      <c r="H56" s="145"/>
    </row>
    <row r="57" spans="2:8" s="819" customFormat="1" ht="15" customHeight="1" x14ac:dyDescent="0.3">
      <c r="B57" s="2"/>
      <c r="C57" s="145"/>
      <c r="D57" s="160"/>
      <c r="E57" s="147"/>
      <c r="F57" s="145"/>
      <c r="G57" s="145"/>
      <c r="H57" s="145"/>
    </row>
    <row r="58" spans="2:8" s="819" customFormat="1" ht="15" customHeight="1" x14ac:dyDescent="0.3">
      <c r="B58" s="1"/>
      <c r="C58" s="154"/>
      <c r="D58" s="927"/>
      <c r="E58" s="928"/>
      <c r="F58" s="145"/>
      <c r="G58" s="145"/>
      <c r="H58" s="145"/>
    </row>
    <row r="59" spans="2:8" s="819" customFormat="1" ht="15" customHeight="1" x14ac:dyDescent="0.3">
      <c r="B59" s="148"/>
      <c r="C59" s="149"/>
      <c r="D59" s="161"/>
      <c r="E59" s="150"/>
      <c r="F59" s="149"/>
      <c r="G59" s="149"/>
      <c r="H59" s="151"/>
    </row>
    <row r="60" spans="2:8" s="819" customFormat="1" ht="15" customHeight="1" x14ac:dyDescent="0.3">
      <c r="B60" s="3" t="s">
        <v>1206</v>
      </c>
      <c r="C60" s="155" t="s">
        <v>1207</v>
      </c>
      <c r="D60" s="162" t="s">
        <v>1208</v>
      </c>
      <c r="E60" s="12">
        <v>0</v>
      </c>
      <c r="F60" s="155"/>
      <c r="G60" s="155"/>
      <c r="H60" s="145"/>
    </row>
    <row r="61" spans="2:8" s="819" customFormat="1" ht="15" customHeight="1" x14ac:dyDescent="0.3">
      <c r="B61" s="3"/>
      <c r="C61" s="156" t="s">
        <v>1209</v>
      </c>
      <c r="D61" s="163" t="s">
        <v>1208</v>
      </c>
      <c r="E61" s="11">
        <v>0.24199999999999999</v>
      </c>
      <c r="F61" s="18"/>
      <c r="G61" s="10"/>
      <c r="H61" s="145"/>
    </row>
    <row r="62" spans="2:8" s="819" customFormat="1" ht="15" customHeight="1" x14ac:dyDescent="0.3">
      <c r="B62" s="2"/>
      <c r="C62" s="1" t="s">
        <v>1210</v>
      </c>
      <c r="D62" s="17" t="s">
        <v>1211</v>
      </c>
      <c r="E62" s="11">
        <v>0.11</v>
      </c>
      <c r="F62" s="1" t="s">
        <v>1212</v>
      </c>
      <c r="G62" s="2061" t="s">
        <v>1213</v>
      </c>
      <c r="H62" s="145"/>
    </row>
    <row r="63" spans="2:8" s="819" customFormat="1" ht="15" customHeight="1" x14ac:dyDescent="0.3">
      <c r="B63" s="2"/>
      <c r="C63" s="2058"/>
      <c r="D63" s="16" t="s">
        <v>1214</v>
      </c>
      <c r="E63" s="8">
        <v>200</v>
      </c>
      <c r="F63" s="2058"/>
      <c r="G63" s="2062"/>
      <c r="H63" s="145"/>
    </row>
    <row r="64" spans="2:8" s="819" customFormat="1" ht="15" customHeight="1" x14ac:dyDescent="0.3">
      <c r="B64" s="2"/>
      <c r="C64" s="2058"/>
      <c r="D64" s="17" t="s">
        <v>1215</v>
      </c>
      <c r="E64" s="7"/>
      <c r="F64" s="2060"/>
      <c r="G64" s="2062"/>
      <c r="H64" s="145"/>
    </row>
    <row r="65" spans="2:8" s="819" customFormat="1" ht="15" customHeight="1" x14ac:dyDescent="0.3">
      <c r="B65" s="2"/>
      <c r="C65" s="2058"/>
      <c r="D65" s="15" t="s">
        <v>1211</v>
      </c>
      <c r="E65" s="6">
        <v>0.22</v>
      </c>
      <c r="F65" s="2064" t="s">
        <v>1216</v>
      </c>
      <c r="G65" s="2062"/>
      <c r="H65" s="145"/>
    </row>
    <row r="66" spans="2:8" s="819" customFormat="1" ht="15" customHeight="1" x14ac:dyDescent="0.3">
      <c r="B66" s="2"/>
      <c r="C66" s="2058"/>
      <c r="D66" s="16" t="s">
        <v>1214</v>
      </c>
      <c r="E66" s="8">
        <v>20000</v>
      </c>
      <c r="F66" s="2065"/>
      <c r="G66" s="2062"/>
      <c r="H66" s="145"/>
    </row>
    <row r="67" spans="2:8" s="819" customFormat="1" ht="15" customHeight="1" x14ac:dyDescent="0.3">
      <c r="B67" s="2"/>
      <c r="C67" s="2058"/>
      <c r="D67" s="14" t="s">
        <v>1215</v>
      </c>
      <c r="E67" s="5">
        <f>200*11%</f>
        <v>22</v>
      </c>
      <c r="F67" s="2066"/>
      <c r="G67" s="2062"/>
      <c r="H67" s="145"/>
    </row>
    <row r="68" spans="2:8" s="819" customFormat="1" ht="15" customHeight="1" x14ac:dyDescent="0.3">
      <c r="B68" s="2"/>
      <c r="C68" s="2058"/>
      <c r="D68" s="17" t="s">
        <v>1217</v>
      </c>
      <c r="E68" s="11">
        <v>0.24199999999999999</v>
      </c>
      <c r="F68" s="2067" t="s">
        <v>1218</v>
      </c>
      <c r="G68" s="2062"/>
      <c r="H68" s="145"/>
    </row>
    <row r="69" spans="2:8" s="819" customFormat="1" ht="15" customHeight="1" x14ac:dyDescent="0.3">
      <c r="B69" s="2"/>
      <c r="C69" s="2058"/>
      <c r="D69" s="16" t="s">
        <v>1219</v>
      </c>
      <c r="E69" s="4"/>
      <c r="F69" s="2058"/>
      <c r="G69" s="2062"/>
      <c r="H69" s="145"/>
    </row>
    <row r="70" spans="2:8" s="819" customFormat="1" ht="15" customHeight="1" x14ac:dyDescent="0.3">
      <c r="B70" s="2"/>
      <c r="C70" s="2059"/>
      <c r="D70" s="17" t="s">
        <v>1220</v>
      </c>
      <c r="E70" s="147">
        <f>39800*11%</f>
        <v>4378</v>
      </c>
      <c r="F70" s="2059"/>
      <c r="G70" s="2063"/>
      <c r="H70" s="145"/>
    </row>
    <row r="71" spans="2:8" s="819" customFormat="1" ht="15" customHeight="1" x14ac:dyDescent="0.3">
      <c r="B71" s="2"/>
      <c r="C71" s="145" t="s">
        <v>102</v>
      </c>
      <c r="D71" s="160"/>
      <c r="E71" s="3">
        <v>42369</v>
      </c>
      <c r="F71" s="145"/>
      <c r="G71" s="152"/>
      <c r="H71" s="145"/>
    </row>
    <row r="72" spans="2:8" s="819" customFormat="1" ht="13.5" x14ac:dyDescent="0.3">
      <c r="B72" s="2"/>
      <c r="C72" s="145"/>
      <c r="D72" s="160"/>
      <c r="E72" s="146"/>
      <c r="F72" s="145"/>
      <c r="G72" s="145"/>
      <c r="H72" s="145"/>
    </row>
    <row r="73" spans="2:8" s="819" customFormat="1" ht="15" customHeight="1" x14ac:dyDescent="0.3">
      <c r="B73" s="2"/>
      <c r="C73" s="145"/>
      <c r="D73" s="160"/>
      <c r="E73" s="146"/>
      <c r="F73" s="145"/>
      <c r="G73" s="145"/>
      <c r="H73" s="145"/>
    </row>
    <row r="74" spans="2:8" s="819" customFormat="1" ht="15" customHeight="1" x14ac:dyDescent="0.3">
      <c r="B74" s="2"/>
      <c r="C74" s="145"/>
      <c r="D74" s="160"/>
      <c r="E74" s="147"/>
      <c r="F74" s="145"/>
      <c r="G74" s="145"/>
      <c r="H74" s="145"/>
    </row>
    <row r="75" spans="2:8" s="819" customFormat="1" ht="15" customHeight="1" x14ac:dyDescent="0.3">
      <c r="B75" s="2"/>
      <c r="C75" s="154"/>
      <c r="D75" s="927"/>
      <c r="E75" s="928"/>
      <c r="F75" s="145"/>
      <c r="G75" s="145"/>
      <c r="H75" s="145"/>
    </row>
    <row r="76" spans="2:8" s="819" customFormat="1" ht="15" customHeight="1" x14ac:dyDescent="0.3">
      <c r="B76" s="2"/>
      <c r="C76" s="154"/>
      <c r="D76" s="927"/>
      <c r="E76" s="928"/>
      <c r="F76" s="145"/>
      <c r="G76" s="145"/>
      <c r="H76" s="145"/>
    </row>
  </sheetData>
  <mergeCells count="11">
    <mergeCell ref="B49:B58"/>
    <mergeCell ref="B5:B14"/>
    <mergeCell ref="B16:B25"/>
    <mergeCell ref="B27:B36"/>
    <mergeCell ref="B38:B47"/>
    <mergeCell ref="B60:B76"/>
    <mergeCell ref="C62:C70"/>
    <mergeCell ref="F62:F64"/>
    <mergeCell ref="G62:G70"/>
    <mergeCell ref="F65:F67"/>
    <mergeCell ref="F68:F70"/>
  </mergeCells>
  <phoneticPr fontId="1" type="noConversion"/>
  <dataValidations count="1">
    <dataValidation type="list" allowBlank="1" showInputMessage="1" showErrorMessage="1" sqref="E60">
      <formula1>"0%,1%,2%,3%"</formula1>
    </dataValidation>
  </dataValidations>
  <hyperlinks>
    <hyperlink ref="B16:B25" location="COGS!B2" display="COGS"/>
    <hyperlink ref="B27:B36" location="'SG&amp;A'!B2" display="SG&amp;A"/>
    <hyperlink ref="B38:B47" location="WC!B2" display="Working Capital"/>
    <hyperlink ref="B49:B58" location="'CapEx&amp;Dep'!B2" display="CapEx &amp; Depreciation"/>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theme="0" tint="-0.249977111117893"/>
  </sheetPr>
  <dimension ref="B1:D131"/>
  <sheetViews>
    <sheetView showGridLines="0" workbookViewId="0">
      <selection activeCell="B2" sqref="B2"/>
    </sheetView>
  </sheetViews>
  <sheetFormatPr defaultRowHeight="16.5" x14ac:dyDescent="0.3"/>
  <cols>
    <col min="1" max="1" width="1.625" style="142" customWidth="1"/>
    <col min="2" max="2" width="15.625" style="142" customWidth="1"/>
    <col min="3" max="3" width="13.25" style="142" customWidth="1"/>
    <col min="4" max="4" width="85.75" style="142" customWidth="1"/>
    <col min="5" max="5" width="10.625" style="142" customWidth="1"/>
    <col min="6" max="16384" width="9" style="142"/>
  </cols>
  <sheetData>
    <row r="1" spans="2:4" ht="25.5" customHeight="1" x14ac:dyDescent="0.3">
      <c r="B1" s="58" t="str">
        <f>가정!B1</f>
        <v>Project IT</v>
      </c>
      <c r="C1" s="59"/>
      <c r="D1" s="61" t="s">
        <v>146</v>
      </c>
    </row>
    <row r="2" spans="2:4" ht="20.25" customHeight="1" x14ac:dyDescent="0.3">
      <c r="B2" s="138" t="s">
        <v>703</v>
      </c>
      <c r="C2" s="138"/>
      <c r="D2" s="138"/>
    </row>
    <row r="4" spans="2:4" x14ac:dyDescent="0.3">
      <c r="B4" s="13" t="s">
        <v>704</v>
      </c>
      <c r="C4" s="2" t="s">
        <v>705</v>
      </c>
      <c r="D4" s="13" t="s">
        <v>706</v>
      </c>
    </row>
    <row r="5" spans="2:4" s="183" customFormat="1" ht="12" x14ac:dyDescent="0.3">
      <c r="B5" s="3" t="s">
        <v>707</v>
      </c>
      <c r="C5" s="211"/>
      <c r="D5" s="154"/>
    </row>
    <row r="6" spans="2:4" s="183" customFormat="1" ht="12" x14ac:dyDescent="0.3">
      <c r="B6" s="2"/>
      <c r="C6" s="211"/>
      <c r="D6" s="154"/>
    </row>
    <row r="7" spans="2:4" s="183" customFormat="1" ht="12" x14ac:dyDescent="0.3">
      <c r="B7" s="2"/>
      <c r="C7" s="211"/>
      <c r="D7" s="154"/>
    </row>
    <row r="8" spans="2:4" s="183" customFormat="1" ht="12" x14ac:dyDescent="0.3">
      <c r="B8" s="2"/>
      <c r="C8" s="211"/>
      <c r="D8" s="154"/>
    </row>
    <row r="9" spans="2:4" s="183" customFormat="1" ht="12" x14ac:dyDescent="0.3">
      <c r="B9" s="2"/>
      <c r="C9" s="211"/>
      <c r="D9" s="154"/>
    </row>
    <row r="10" spans="2:4" s="183" customFormat="1" ht="12" x14ac:dyDescent="0.3">
      <c r="B10" s="2"/>
      <c r="C10" s="212"/>
      <c r="D10" s="154"/>
    </row>
    <row r="11" spans="2:4" s="183" customFormat="1" ht="12" x14ac:dyDescent="0.3">
      <c r="B11" s="2"/>
      <c r="C11" s="211"/>
      <c r="D11" s="154"/>
    </row>
    <row r="12" spans="2:4" s="183" customFormat="1" ht="12" x14ac:dyDescent="0.3">
      <c r="B12" s="2"/>
      <c r="C12" s="211"/>
      <c r="D12" s="154"/>
    </row>
    <row r="13" spans="2:4" s="183" customFormat="1" ht="12" x14ac:dyDescent="0.3">
      <c r="B13" s="2"/>
      <c r="C13" s="211"/>
      <c r="D13" s="154"/>
    </row>
    <row r="14" spans="2:4" s="183" customFormat="1" ht="12" x14ac:dyDescent="0.3">
      <c r="B14" s="2"/>
      <c r="C14" s="205"/>
      <c r="D14" s="213"/>
    </row>
    <row r="15" spans="2:4" s="183" customFormat="1" ht="12" x14ac:dyDescent="0.3">
      <c r="B15" s="2"/>
      <c r="C15" s="205"/>
      <c r="D15" s="213"/>
    </row>
    <row r="16" spans="2:4" s="183" customFormat="1" ht="12" x14ac:dyDescent="0.3">
      <c r="B16" s="2"/>
      <c r="C16" s="205"/>
      <c r="D16" s="213"/>
    </row>
    <row r="17" spans="2:4" s="183" customFormat="1" ht="12" x14ac:dyDescent="0.3">
      <c r="B17" s="2"/>
      <c r="C17" s="205"/>
      <c r="D17" s="213"/>
    </row>
    <row r="18" spans="2:4" s="183" customFormat="1" ht="12" x14ac:dyDescent="0.3">
      <c r="B18" s="2"/>
      <c r="C18" s="205"/>
      <c r="D18" s="213"/>
    </row>
    <row r="19" spans="2:4" s="183" customFormat="1" ht="12" x14ac:dyDescent="0.3">
      <c r="B19" s="2"/>
      <c r="C19" s="205"/>
      <c r="D19" s="213"/>
    </row>
    <row r="20" spans="2:4" s="183" customFormat="1" ht="12.75" customHeight="1" x14ac:dyDescent="0.3">
      <c r="B20" s="2"/>
      <c r="C20" s="205"/>
      <c r="D20" s="213"/>
    </row>
    <row r="21" spans="2:4" s="183" customFormat="1" ht="12.75" customHeight="1" x14ac:dyDescent="0.3">
      <c r="B21" s="2"/>
      <c r="C21" s="205"/>
      <c r="D21" s="213"/>
    </row>
    <row r="22" spans="2:4" s="183" customFormat="1" ht="12.75" customHeight="1" x14ac:dyDescent="0.3">
      <c r="B22" s="2"/>
      <c r="C22" s="205"/>
      <c r="D22" s="213"/>
    </row>
    <row r="23" spans="2:4" s="183" customFormat="1" ht="12" x14ac:dyDescent="0.3">
      <c r="B23" s="2"/>
      <c r="C23" s="205"/>
      <c r="D23" s="213"/>
    </row>
    <row r="24" spans="2:4" s="183" customFormat="1" ht="12" x14ac:dyDescent="0.3">
      <c r="B24" s="2"/>
      <c r="C24" s="205"/>
      <c r="D24" s="213"/>
    </row>
    <row r="25" spans="2:4" s="183" customFormat="1" ht="12" x14ac:dyDescent="0.3">
      <c r="B25" s="2"/>
      <c r="C25" s="205"/>
      <c r="D25" s="213"/>
    </row>
    <row r="26" spans="2:4" s="183" customFormat="1" ht="12" x14ac:dyDescent="0.3">
      <c r="B26" s="1"/>
      <c r="C26" s="205"/>
      <c r="D26" s="213"/>
    </row>
    <row r="27" spans="2:4" s="183" customFormat="1" ht="12" x14ac:dyDescent="0.3">
      <c r="B27" s="157"/>
      <c r="C27" s="214"/>
      <c r="D27" s="215"/>
    </row>
    <row r="28" spans="2:4" s="183" customFormat="1" ht="12" x14ac:dyDescent="0.3">
      <c r="B28" s="3" t="s">
        <v>708</v>
      </c>
      <c r="C28" s="211"/>
      <c r="D28" s="217"/>
    </row>
    <row r="29" spans="2:4" s="183" customFormat="1" ht="12" x14ac:dyDescent="0.3">
      <c r="B29" s="2"/>
      <c r="C29" s="212"/>
      <c r="D29" s="154"/>
    </row>
    <row r="30" spans="2:4" s="183" customFormat="1" ht="12" x14ac:dyDescent="0.3">
      <c r="B30" s="2"/>
      <c r="C30" s="212"/>
      <c r="D30" s="154"/>
    </row>
    <row r="31" spans="2:4" s="183" customFormat="1" ht="12" x14ac:dyDescent="0.3">
      <c r="B31" s="2"/>
      <c r="C31" s="211"/>
      <c r="D31" s="154"/>
    </row>
    <row r="32" spans="2:4" s="183" customFormat="1" ht="12" x14ac:dyDescent="0.3">
      <c r="B32" s="2"/>
      <c r="C32" s="211"/>
      <c r="D32" s="154"/>
    </row>
    <row r="33" spans="2:4" s="183" customFormat="1" ht="12" x14ac:dyDescent="0.3">
      <c r="B33" s="2"/>
      <c r="C33" s="211"/>
      <c r="D33" s="154"/>
    </row>
    <row r="34" spans="2:4" s="183" customFormat="1" ht="12" x14ac:dyDescent="0.3">
      <c r="B34" s="2"/>
      <c r="C34" s="203"/>
      <c r="D34" s="154"/>
    </row>
    <row r="35" spans="2:4" s="183" customFormat="1" ht="12" x14ac:dyDescent="0.3">
      <c r="B35" s="2"/>
      <c r="C35" s="203"/>
      <c r="D35" s="154"/>
    </row>
    <row r="36" spans="2:4" s="183" customFormat="1" ht="12" x14ac:dyDescent="0.3">
      <c r="B36" s="2"/>
      <c r="C36" s="203"/>
      <c r="D36" s="154"/>
    </row>
    <row r="37" spans="2:4" s="183" customFormat="1" ht="12" x14ac:dyDescent="0.3">
      <c r="B37" s="1"/>
      <c r="C37" s="203"/>
      <c r="D37" s="154"/>
    </row>
    <row r="38" spans="2:4" s="206" customFormat="1" ht="13.5" x14ac:dyDescent="0.3">
      <c r="B38" s="148"/>
      <c r="C38" s="214"/>
      <c r="D38" s="215"/>
    </row>
    <row r="39" spans="2:4" s="206" customFormat="1" ht="13.5" x14ac:dyDescent="0.3">
      <c r="B39" s="3" t="s">
        <v>709</v>
      </c>
      <c r="C39" s="216"/>
      <c r="D39" s="217"/>
    </row>
    <row r="40" spans="2:4" s="206" customFormat="1" ht="13.5" x14ac:dyDescent="0.3">
      <c r="B40" s="2"/>
      <c r="C40" s="211"/>
      <c r="D40" s="154"/>
    </row>
    <row r="41" spans="2:4" s="206" customFormat="1" ht="13.5" x14ac:dyDescent="0.3">
      <c r="B41" s="2"/>
      <c r="C41" s="203"/>
      <c r="D41" s="154"/>
    </row>
    <row r="42" spans="2:4" s="206" customFormat="1" ht="13.5" x14ac:dyDescent="0.3">
      <c r="B42" s="2"/>
      <c r="C42" s="203"/>
      <c r="D42" s="154"/>
    </row>
    <row r="43" spans="2:4" s="206" customFormat="1" ht="13.5" x14ac:dyDescent="0.3">
      <c r="B43" s="2"/>
      <c r="C43" s="203"/>
      <c r="D43" s="154"/>
    </row>
    <row r="44" spans="2:4" s="206" customFormat="1" ht="13.5" x14ac:dyDescent="0.3">
      <c r="B44" s="2"/>
      <c r="C44" s="203"/>
      <c r="D44" s="154"/>
    </row>
    <row r="45" spans="2:4" s="206" customFormat="1" ht="13.5" x14ac:dyDescent="0.3">
      <c r="B45" s="2"/>
      <c r="C45" s="203"/>
      <c r="D45" s="154"/>
    </row>
    <row r="46" spans="2:4" s="206" customFormat="1" ht="13.5" x14ac:dyDescent="0.3">
      <c r="B46" s="2"/>
      <c r="C46" s="203"/>
      <c r="D46" s="154"/>
    </row>
    <row r="47" spans="2:4" s="206" customFormat="1" ht="13.5" x14ac:dyDescent="0.3">
      <c r="B47" s="2"/>
      <c r="C47" s="203"/>
      <c r="D47" s="154"/>
    </row>
    <row r="48" spans="2:4" s="206" customFormat="1" ht="13.5" x14ac:dyDescent="0.3">
      <c r="B48" s="1"/>
      <c r="C48" s="203"/>
      <c r="D48" s="145"/>
    </row>
    <row r="49" spans="2:4" s="206" customFormat="1" ht="13.5" x14ac:dyDescent="0.3">
      <c r="B49" s="148"/>
      <c r="C49" s="201"/>
      <c r="D49" s="151"/>
    </row>
    <row r="50" spans="2:4" s="206" customFormat="1" ht="13.5" x14ac:dyDescent="0.3">
      <c r="B50" s="3" t="s">
        <v>710</v>
      </c>
      <c r="C50" s="202"/>
      <c r="D50" s="152"/>
    </row>
    <row r="51" spans="2:4" s="206" customFormat="1" ht="13.5" x14ac:dyDescent="0.3">
      <c r="B51" s="2"/>
      <c r="C51" s="200"/>
      <c r="D51" s="145"/>
    </row>
    <row r="52" spans="2:4" s="206" customFormat="1" ht="13.5" x14ac:dyDescent="0.3">
      <c r="B52" s="2"/>
      <c r="C52" s="200"/>
      <c r="D52" s="145"/>
    </row>
    <row r="53" spans="2:4" s="206" customFormat="1" ht="13.5" x14ac:dyDescent="0.3">
      <c r="B53" s="2"/>
      <c r="C53" s="200"/>
      <c r="D53" s="145"/>
    </row>
    <row r="54" spans="2:4" s="206" customFormat="1" ht="13.5" x14ac:dyDescent="0.3">
      <c r="B54" s="2"/>
      <c r="C54" s="200"/>
      <c r="D54" s="145"/>
    </row>
    <row r="55" spans="2:4" s="206" customFormat="1" ht="13.5" x14ac:dyDescent="0.3">
      <c r="B55" s="2"/>
      <c r="C55" s="200"/>
      <c r="D55" s="145"/>
    </row>
    <row r="56" spans="2:4" s="206" customFormat="1" ht="13.5" x14ac:dyDescent="0.3">
      <c r="B56" s="2"/>
      <c r="C56" s="200"/>
      <c r="D56" s="145"/>
    </row>
    <row r="57" spans="2:4" s="206" customFormat="1" ht="13.5" x14ac:dyDescent="0.3">
      <c r="B57" s="2"/>
      <c r="C57" s="200"/>
      <c r="D57" s="145"/>
    </row>
    <row r="58" spans="2:4" s="206" customFormat="1" ht="13.5" x14ac:dyDescent="0.3">
      <c r="B58" s="2"/>
      <c r="C58" s="200"/>
      <c r="D58" s="145"/>
    </row>
    <row r="59" spans="2:4" s="206" customFormat="1" ht="13.5" x14ac:dyDescent="0.3">
      <c r="B59" s="1"/>
      <c r="C59" s="203"/>
      <c r="D59" s="145"/>
    </row>
    <row r="60" spans="2:4" s="206" customFormat="1" ht="13.5" x14ac:dyDescent="0.3">
      <c r="B60" s="148"/>
      <c r="C60" s="201"/>
      <c r="D60" s="151"/>
    </row>
    <row r="61" spans="2:4" s="206" customFormat="1" ht="13.5" x14ac:dyDescent="0.3">
      <c r="B61" s="2068" t="s">
        <v>711</v>
      </c>
      <c r="C61" s="202"/>
      <c r="D61" s="152"/>
    </row>
    <row r="62" spans="2:4" s="206" customFormat="1" ht="13.5" x14ac:dyDescent="0.3">
      <c r="B62" s="2"/>
      <c r="C62" s="200"/>
      <c r="D62" s="145"/>
    </row>
    <row r="63" spans="2:4" s="206" customFormat="1" ht="13.5" x14ac:dyDescent="0.3">
      <c r="B63" s="2"/>
      <c r="C63" s="202"/>
      <c r="D63" s="145"/>
    </row>
    <row r="64" spans="2:4" s="206" customFormat="1" ht="13.5" x14ac:dyDescent="0.3">
      <c r="B64" s="2"/>
      <c r="C64" s="202"/>
      <c r="D64" s="145"/>
    </row>
    <row r="65" spans="2:4" s="206" customFormat="1" ht="13.5" x14ac:dyDescent="0.3">
      <c r="B65" s="2"/>
      <c r="C65" s="200"/>
      <c r="D65" s="145"/>
    </row>
    <row r="66" spans="2:4" s="206" customFormat="1" ht="13.5" x14ac:dyDescent="0.3">
      <c r="B66" s="2"/>
      <c r="C66" s="200"/>
      <c r="D66" s="145"/>
    </row>
    <row r="67" spans="2:4" s="206" customFormat="1" ht="13.5" x14ac:dyDescent="0.3">
      <c r="B67" s="2"/>
      <c r="C67" s="200"/>
      <c r="D67" s="145"/>
    </row>
    <row r="68" spans="2:4" s="206" customFormat="1" ht="13.5" x14ac:dyDescent="0.3">
      <c r="B68" s="2"/>
      <c r="C68" s="200"/>
      <c r="D68" s="145"/>
    </row>
    <row r="69" spans="2:4" s="206" customFormat="1" ht="13.5" x14ac:dyDescent="0.3">
      <c r="B69" s="2"/>
      <c r="C69" s="200"/>
      <c r="D69" s="145"/>
    </row>
    <row r="70" spans="2:4" s="206" customFormat="1" ht="13.5" x14ac:dyDescent="0.3">
      <c r="B70" s="1"/>
      <c r="C70" s="203"/>
      <c r="D70" s="145"/>
    </row>
    <row r="71" spans="2:4" s="206" customFormat="1" ht="13.5" x14ac:dyDescent="0.3">
      <c r="B71" s="148"/>
      <c r="C71" s="201"/>
      <c r="D71" s="151"/>
    </row>
    <row r="72" spans="2:4" x14ac:dyDescent="0.3">
      <c r="C72" s="204"/>
    </row>
    <row r="73" spans="2:4" x14ac:dyDescent="0.3">
      <c r="C73" s="204"/>
    </row>
    <row r="74" spans="2:4" x14ac:dyDescent="0.3">
      <c r="C74" s="204"/>
    </row>
    <row r="75" spans="2:4" x14ac:dyDescent="0.3">
      <c r="C75" s="204"/>
    </row>
    <row r="76" spans="2:4" x14ac:dyDescent="0.3">
      <c r="C76" s="204"/>
    </row>
    <row r="77" spans="2:4" x14ac:dyDescent="0.3">
      <c r="C77" s="204"/>
    </row>
    <row r="78" spans="2:4" x14ac:dyDescent="0.3">
      <c r="C78" s="204"/>
    </row>
    <row r="79" spans="2:4" x14ac:dyDescent="0.3">
      <c r="C79" s="204"/>
    </row>
    <row r="80" spans="2:4" x14ac:dyDescent="0.3">
      <c r="C80" s="204"/>
    </row>
    <row r="81" spans="3:3" x14ac:dyDescent="0.3">
      <c r="C81" s="204"/>
    </row>
    <row r="82" spans="3:3" x14ac:dyDescent="0.3">
      <c r="C82" s="204"/>
    </row>
    <row r="83" spans="3:3" x14ac:dyDescent="0.3">
      <c r="C83" s="204"/>
    </row>
    <row r="84" spans="3:3" x14ac:dyDescent="0.3">
      <c r="C84" s="204"/>
    </row>
    <row r="85" spans="3:3" x14ac:dyDescent="0.3">
      <c r="C85" s="204"/>
    </row>
    <row r="86" spans="3:3" x14ac:dyDescent="0.3">
      <c r="C86" s="204"/>
    </row>
    <row r="87" spans="3:3" x14ac:dyDescent="0.3">
      <c r="C87" s="204"/>
    </row>
    <row r="88" spans="3:3" x14ac:dyDescent="0.3">
      <c r="C88" s="204"/>
    </row>
    <row r="89" spans="3:3" x14ac:dyDescent="0.3">
      <c r="C89" s="204"/>
    </row>
    <row r="90" spans="3:3" x14ac:dyDescent="0.3">
      <c r="C90" s="204"/>
    </row>
    <row r="91" spans="3:3" x14ac:dyDescent="0.3">
      <c r="C91" s="204"/>
    </row>
    <row r="92" spans="3:3" x14ac:dyDescent="0.3">
      <c r="C92" s="204"/>
    </row>
    <row r="93" spans="3:3" x14ac:dyDescent="0.3">
      <c r="C93" s="204"/>
    </row>
    <row r="94" spans="3:3" x14ac:dyDescent="0.3">
      <c r="C94" s="204"/>
    </row>
    <row r="95" spans="3:3" x14ac:dyDescent="0.3">
      <c r="C95" s="204"/>
    </row>
    <row r="96" spans="3:3" x14ac:dyDescent="0.3">
      <c r="C96" s="204"/>
    </row>
    <row r="97" spans="3:3" x14ac:dyDescent="0.3">
      <c r="C97" s="204"/>
    </row>
    <row r="98" spans="3:3" x14ac:dyDescent="0.3">
      <c r="C98" s="204"/>
    </row>
    <row r="99" spans="3:3" x14ac:dyDescent="0.3">
      <c r="C99" s="204"/>
    </row>
    <row r="100" spans="3:3" x14ac:dyDescent="0.3">
      <c r="C100" s="204"/>
    </row>
    <row r="101" spans="3:3" x14ac:dyDescent="0.3">
      <c r="C101" s="204"/>
    </row>
    <row r="102" spans="3:3" x14ac:dyDescent="0.3">
      <c r="C102" s="204"/>
    </row>
    <row r="103" spans="3:3" x14ac:dyDescent="0.3">
      <c r="C103" s="204"/>
    </row>
    <row r="104" spans="3:3" x14ac:dyDescent="0.3">
      <c r="C104" s="204"/>
    </row>
    <row r="105" spans="3:3" x14ac:dyDescent="0.3">
      <c r="C105" s="204"/>
    </row>
    <row r="106" spans="3:3" x14ac:dyDescent="0.3">
      <c r="C106" s="204"/>
    </row>
    <row r="107" spans="3:3" x14ac:dyDescent="0.3">
      <c r="C107" s="204"/>
    </row>
    <row r="108" spans="3:3" x14ac:dyDescent="0.3">
      <c r="C108" s="204"/>
    </row>
    <row r="109" spans="3:3" x14ac:dyDescent="0.3">
      <c r="C109" s="204"/>
    </row>
    <row r="110" spans="3:3" x14ac:dyDescent="0.3">
      <c r="C110" s="204"/>
    </row>
    <row r="111" spans="3:3" x14ac:dyDescent="0.3">
      <c r="C111" s="204"/>
    </row>
    <row r="112" spans="3:3" x14ac:dyDescent="0.3">
      <c r="C112" s="204"/>
    </row>
    <row r="113" spans="3:3" x14ac:dyDescent="0.3">
      <c r="C113" s="204"/>
    </row>
    <row r="114" spans="3:3" x14ac:dyDescent="0.3">
      <c r="C114" s="204"/>
    </row>
    <row r="115" spans="3:3" x14ac:dyDescent="0.3">
      <c r="C115" s="204"/>
    </row>
    <row r="116" spans="3:3" x14ac:dyDescent="0.3">
      <c r="C116" s="204"/>
    </row>
    <row r="117" spans="3:3" x14ac:dyDescent="0.3">
      <c r="C117" s="204"/>
    </row>
    <row r="118" spans="3:3" x14ac:dyDescent="0.3">
      <c r="C118" s="204"/>
    </row>
    <row r="119" spans="3:3" x14ac:dyDescent="0.3">
      <c r="C119" s="204"/>
    </row>
    <row r="120" spans="3:3" x14ac:dyDescent="0.3">
      <c r="C120" s="204"/>
    </row>
    <row r="121" spans="3:3" x14ac:dyDescent="0.3">
      <c r="C121" s="204"/>
    </row>
    <row r="122" spans="3:3" x14ac:dyDescent="0.3">
      <c r="C122" s="204"/>
    </row>
    <row r="123" spans="3:3" x14ac:dyDescent="0.3">
      <c r="C123" s="204"/>
    </row>
    <row r="124" spans="3:3" x14ac:dyDescent="0.3">
      <c r="C124" s="204"/>
    </row>
    <row r="125" spans="3:3" x14ac:dyDescent="0.3">
      <c r="C125" s="204"/>
    </row>
    <row r="126" spans="3:3" x14ac:dyDescent="0.3">
      <c r="C126" s="204"/>
    </row>
    <row r="127" spans="3:3" x14ac:dyDescent="0.3">
      <c r="C127" s="204"/>
    </row>
    <row r="128" spans="3:3" x14ac:dyDescent="0.3">
      <c r="C128" s="204"/>
    </row>
    <row r="129" spans="3:3" x14ac:dyDescent="0.3">
      <c r="C129" s="204"/>
    </row>
    <row r="130" spans="3:3" x14ac:dyDescent="0.3">
      <c r="C130" s="204"/>
    </row>
    <row r="131" spans="3:3" x14ac:dyDescent="0.3">
      <c r="C131" s="204"/>
    </row>
  </sheetData>
  <mergeCells count="5">
    <mergeCell ref="B5:B26"/>
    <mergeCell ref="B28:B37"/>
    <mergeCell ref="B39:B48"/>
    <mergeCell ref="B50:B59"/>
    <mergeCell ref="B61:B70"/>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theme="1"/>
  </sheetPr>
  <dimension ref="A1"/>
  <sheetViews>
    <sheetView showGridLines="0" zoomScale="115" zoomScaleNormal="115" workbookViewId="0"/>
  </sheetViews>
  <sheetFormatPr defaultRowHeight="16.5" x14ac:dyDescent="0.3"/>
  <cols>
    <col min="1" max="16384" width="9" style="142"/>
  </cols>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E2"/>
  <sheetViews>
    <sheetView workbookViewId="0"/>
  </sheetViews>
  <sheetFormatPr defaultRowHeight="16.5" x14ac:dyDescent="0.3"/>
  <sheetData>
    <row r="1" spans="1:5" x14ac:dyDescent="0.3">
      <c r="A1" s="208" t="s">
        <v>138</v>
      </c>
      <c r="B1" s="208" t="s">
        <v>139</v>
      </c>
      <c r="C1" s="208" t="s">
        <v>140</v>
      </c>
      <c r="D1" s="208" t="s">
        <v>141</v>
      </c>
      <c r="E1" s="208" t="s">
        <v>142</v>
      </c>
    </row>
    <row r="2" spans="1:5" x14ac:dyDescent="0.3">
      <c r="A2">
        <v>7</v>
      </c>
      <c r="B2">
        <v>5</v>
      </c>
      <c r="C2">
        <v>12</v>
      </c>
      <c r="D2">
        <v>7</v>
      </c>
      <c r="E2" t="s">
        <v>1133</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E2"/>
  <sheetViews>
    <sheetView workbookViewId="0"/>
  </sheetViews>
  <sheetFormatPr defaultRowHeight="16.5" x14ac:dyDescent="0.3"/>
  <sheetData>
    <row r="1" spans="1:5" x14ac:dyDescent="0.3">
      <c r="A1" s="208" t="s">
        <v>138</v>
      </c>
      <c r="B1" s="208" t="s">
        <v>139</v>
      </c>
      <c r="C1" s="208" t="s">
        <v>140</v>
      </c>
      <c r="D1" s="208" t="s">
        <v>141</v>
      </c>
      <c r="E1" s="208" t="s">
        <v>142</v>
      </c>
    </row>
    <row r="2" spans="1:5" x14ac:dyDescent="0.3">
      <c r="A2">
        <v>14</v>
      </c>
      <c r="B2">
        <v>17</v>
      </c>
      <c r="C2">
        <v>17</v>
      </c>
      <c r="D2">
        <v>22</v>
      </c>
      <c r="E2" t="s">
        <v>1142</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8" tint="-0.499984740745262"/>
  </sheetPr>
  <dimension ref="A1:R38"/>
  <sheetViews>
    <sheetView showGridLines="0" zoomScaleNormal="100" workbookViewId="0">
      <selection activeCell="C5" sqref="C5"/>
    </sheetView>
  </sheetViews>
  <sheetFormatPr defaultRowHeight="13.5" x14ac:dyDescent="0.3"/>
  <cols>
    <col min="1" max="1" width="1.125" style="206" customWidth="1"/>
    <col min="2" max="2" width="25.625" style="206" customWidth="1"/>
    <col min="3" max="7" width="9.625" style="206" customWidth="1"/>
    <col min="8" max="8" width="19.25" style="206" customWidth="1"/>
    <col min="9" max="13" width="15.25" style="206" customWidth="1"/>
    <col min="14" max="14" width="51.5" style="206" customWidth="1"/>
    <col min="15" max="15" width="21.5" style="206" customWidth="1"/>
    <col min="16" max="16" width="2.125" style="206" customWidth="1"/>
    <col min="17" max="17" width="20.875" style="206" customWidth="1"/>
    <col min="18" max="16384" width="9" style="206"/>
  </cols>
  <sheetData>
    <row r="1" spans="1:18" ht="27" customHeight="1" x14ac:dyDescent="0.3">
      <c r="A1" s="185"/>
      <c r="B1" s="503" t="str">
        <f>WACC!$B$1</f>
        <v>Project IT</v>
      </c>
      <c r="C1" s="504"/>
      <c r="D1" s="504"/>
      <c r="E1" s="504"/>
      <c r="F1" s="504"/>
      <c r="G1" s="504"/>
      <c r="H1" s="504"/>
      <c r="I1" s="504"/>
      <c r="J1" s="504"/>
      <c r="K1" s="504"/>
      <c r="L1" s="504"/>
      <c r="M1" s="504"/>
    </row>
    <row r="2" spans="1:18" ht="21" customHeight="1" x14ac:dyDescent="0.3">
      <c r="A2" s="186"/>
      <c r="B2" s="505" t="s">
        <v>1124</v>
      </c>
      <c r="C2" s="506"/>
      <c r="D2" s="506"/>
      <c r="E2" s="506"/>
      <c r="F2" s="506"/>
      <c r="G2" s="506"/>
      <c r="H2" s="506"/>
      <c r="I2" s="506"/>
      <c r="J2" s="506"/>
      <c r="K2" s="506"/>
      <c r="L2" s="506"/>
      <c r="M2" s="506"/>
    </row>
    <row r="3" spans="1:18" ht="15" customHeight="1" x14ac:dyDescent="0.3">
      <c r="A3" s="186"/>
      <c r="B3" s="187"/>
      <c r="C3" s="186"/>
      <c r="D3" s="186"/>
      <c r="E3" s="186"/>
      <c r="F3" s="186"/>
      <c r="G3" s="186"/>
      <c r="H3" s="186"/>
      <c r="I3" s="186"/>
    </row>
    <row r="4" spans="1:18" ht="27.75" customHeight="1" x14ac:dyDescent="0.3">
      <c r="B4" s="732" t="s">
        <v>1151</v>
      </c>
      <c r="C4" s="733" t="s">
        <v>1137</v>
      </c>
      <c r="D4" s="733"/>
      <c r="E4" s="734" t="s">
        <v>1138</v>
      </c>
      <c r="F4" s="734" t="s">
        <v>1141</v>
      </c>
      <c r="I4" s="525"/>
      <c r="J4" s="525"/>
      <c r="K4" s="525"/>
      <c r="L4" s="525"/>
      <c r="M4" s="525"/>
    </row>
    <row r="5" spans="1:18" ht="15" customHeight="1" x14ac:dyDescent="0.3">
      <c r="B5" s="531" t="s">
        <v>1139</v>
      </c>
      <c r="C5" s="532">
        <f>GTM!R35</f>
        <v>135079.20090135417</v>
      </c>
      <c r="D5" s="532">
        <f>E5-C5</f>
        <v>2226.4228241567616</v>
      </c>
      <c r="E5" s="533">
        <f>GTM!R36</f>
        <v>137305.62372551093</v>
      </c>
      <c r="F5" s="540" t="s">
        <v>92</v>
      </c>
    </row>
    <row r="6" spans="1:18" ht="15" customHeight="1" x14ac:dyDescent="0.3">
      <c r="B6" s="534" t="s">
        <v>1140</v>
      </c>
      <c r="C6" s="535"/>
      <c r="D6" s="535">
        <f t="shared" ref="D6:D7" si="0">E6-C6</f>
        <v>0</v>
      </c>
      <c r="E6" s="536"/>
      <c r="F6" s="541" t="s">
        <v>92</v>
      </c>
      <c r="H6" s="929"/>
      <c r="I6" s="2069"/>
      <c r="J6" s="2069"/>
      <c r="K6" s="2069"/>
      <c r="L6" s="2069"/>
      <c r="M6" s="2069"/>
    </row>
    <row r="7" spans="1:18" ht="15" customHeight="1" x14ac:dyDescent="0.3">
      <c r="B7" s="537" t="s">
        <v>1024</v>
      </c>
      <c r="C7" s="538">
        <f>DCF!D36</f>
        <v>103789.10072598132</v>
      </c>
      <c r="D7" s="538">
        <f t="shared" si="0"/>
        <v>35104.218795243272</v>
      </c>
      <c r="E7" s="539">
        <f>DCF!F36</f>
        <v>138893.31952122459</v>
      </c>
      <c r="F7" s="539"/>
      <c r="H7" s="915"/>
      <c r="I7" s="63"/>
      <c r="J7" s="63"/>
      <c r="K7" s="63"/>
      <c r="L7" s="63"/>
      <c r="M7" s="63"/>
      <c r="N7" s="932"/>
      <c r="O7" s="932"/>
      <c r="P7" s="932"/>
      <c r="Q7" s="932"/>
      <c r="R7" s="932"/>
    </row>
    <row r="8" spans="1:18" ht="15" customHeight="1" x14ac:dyDescent="0.3">
      <c r="H8" s="930"/>
      <c r="I8" s="931"/>
      <c r="J8" s="931"/>
      <c r="K8" s="931"/>
      <c r="L8" s="931"/>
      <c r="M8" s="931"/>
      <c r="N8" s="932"/>
      <c r="O8" s="932"/>
      <c r="P8" s="932"/>
      <c r="Q8" s="932"/>
      <c r="R8" s="932"/>
    </row>
    <row r="9" spans="1:18" ht="15" customHeight="1" x14ac:dyDescent="0.3">
      <c r="H9" s="932"/>
      <c r="I9" s="932"/>
      <c r="J9" s="932"/>
      <c r="K9" s="932"/>
      <c r="L9" s="932"/>
      <c r="M9" s="932"/>
      <c r="N9" s="929"/>
      <c r="O9" s="929"/>
      <c r="P9" s="933"/>
      <c r="Q9" s="929"/>
      <c r="R9" s="932"/>
    </row>
    <row r="10" spans="1:18" ht="15" customHeight="1" x14ac:dyDescent="0.3">
      <c r="K10" s="932"/>
      <c r="L10" s="932"/>
      <c r="M10" s="932"/>
      <c r="N10" s="934"/>
      <c r="O10" s="935"/>
      <c r="P10" s="936"/>
      <c r="Q10" s="937"/>
      <c r="R10" s="932"/>
    </row>
    <row r="11" spans="1:18" ht="15" customHeight="1" x14ac:dyDescent="0.3">
      <c r="K11" s="932"/>
      <c r="L11" s="932"/>
      <c r="M11" s="932"/>
      <c r="N11" s="934"/>
      <c r="O11" s="935"/>
      <c r="P11" s="936"/>
      <c r="Q11" s="937"/>
      <c r="R11" s="932"/>
    </row>
    <row r="12" spans="1:18" ht="15" customHeight="1" x14ac:dyDescent="0.3">
      <c r="K12" s="932"/>
      <c r="L12" s="932"/>
      <c r="M12" s="932"/>
      <c r="N12" s="934"/>
      <c r="O12" s="935"/>
      <c r="P12" s="936"/>
      <c r="Q12" s="937"/>
      <c r="R12" s="932"/>
    </row>
    <row r="13" spans="1:18" ht="15" customHeight="1" x14ac:dyDescent="0.3">
      <c r="K13" s="932"/>
      <c r="L13" s="932"/>
      <c r="M13" s="932"/>
      <c r="N13" s="934"/>
      <c r="O13" s="935"/>
      <c r="P13" s="936"/>
      <c r="Q13" s="937"/>
      <c r="R13" s="932"/>
    </row>
    <row r="14" spans="1:18" ht="15" customHeight="1" x14ac:dyDescent="0.3">
      <c r="K14" s="932"/>
      <c r="L14" s="932"/>
      <c r="M14" s="932"/>
      <c r="N14" s="934"/>
      <c r="O14" s="935"/>
      <c r="P14" s="936"/>
      <c r="Q14" s="937"/>
      <c r="R14" s="932"/>
    </row>
    <row r="15" spans="1:18" ht="15" customHeight="1" x14ac:dyDescent="0.3">
      <c r="K15" s="932"/>
      <c r="L15" s="932"/>
      <c r="M15" s="932"/>
      <c r="N15" s="191"/>
      <c r="O15" s="931"/>
      <c r="P15" s="938"/>
      <c r="Q15" s="939"/>
      <c r="R15" s="932"/>
    </row>
    <row r="16" spans="1:18" ht="15" customHeight="1" x14ac:dyDescent="0.3">
      <c r="K16" s="932"/>
      <c r="L16" s="932"/>
      <c r="M16" s="932"/>
      <c r="N16" s="932"/>
      <c r="O16" s="932"/>
      <c r="P16" s="932"/>
      <c r="Q16" s="932"/>
      <c r="R16" s="932"/>
    </row>
    <row r="17" spans="11:18" ht="12" customHeight="1" x14ac:dyDescent="0.3">
      <c r="K17" s="932"/>
      <c r="L17" s="932"/>
      <c r="M17" s="932"/>
      <c r="N17" s="940"/>
      <c r="O17" s="941"/>
      <c r="P17" s="941"/>
      <c r="Q17" s="941"/>
      <c r="R17" s="932"/>
    </row>
    <row r="18" spans="11:18" ht="12" customHeight="1" x14ac:dyDescent="0.3">
      <c r="N18" s="544"/>
      <c r="O18" s="543"/>
      <c r="P18" s="543"/>
      <c r="Q18" s="543"/>
    </row>
    <row r="19" spans="11:18" ht="12" customHeight="1" x14ac:dyDescent="0.3">
      <c r="N19" s="544"/>
      <c r="O19" s="543"/>
      <c r="P19" s="543"/>
      <c r="Q19" s="543"/>
    </row>
    <row r="20" spans="11:18" ht="12" customHeight="1" x14ac:dyDescent="0.3">
      <c r="N20" s="544"/>
      <c r="O20" s="543"/>
      <c r="P20" s="543"/>
      <c r="Q20" s="543"/>
    </row>
    <row r="21" spans="11:18" ht="12" customHeight="1" x14ac:dyDescent="0.3">
      <c r="N21" s="544"/>
      <c r="O21" s="543"/>
      <c r="P21" s="543"/>
      <c r="Q21" s="543"/>
    </row>
    <row r="22" spans="11:18" ht="12" customHeight="1" x14ac:dyDescent="0.3">
      <c r="N22" s="544"/>
      <c r="O22" s="543"/>
      <c r="P22" s="543"/>
      <c r="Q22" s="543"/>
    </row>
    <row r="23" spans="11:18" ht="15" customHeight="1" x14ac:dyDescent="0.3"/>
    <row r="24" spans="11:18" ht="15" customHeight="1" x14ac:dyDescent="0.3"/>
    <row r="25" spans="11:18" ht="15" customHeight="1" x14ac:dyDescent="0.3"/>
    <row r="26" spans="11:18" ht="15" customHeight="1" x14ac:dyDescent="0.3"/>
    <row r="27" spans="11:18" ht="15" customHeight="1" x14ac:dyDescent="0.3">
      <c r="N27" s="507" t="s">
        <v>1125</v>
      </c>
      <c r="O27" s="508"/>
      <c r="P27" s="508"/>
      <c r="Q27" s="509"/>
    </row>
    <row r="28" spans="11:18" ht="15" customHeight="1" x14ac:dyDescent="0.3">
      <c r="N28" s="510" t="s">
        <v>1126</v>
      </c>
      <c r="O28" s="511"/>
      <c r="P28" s="512"/>
      <c r="Q28" s="513">
        <f>wacc</f>
        <v>9.0999999999999998E-2</v>
      </c>
    </row>
    <row r="29" spans="11:18" ht="15" customHeight="1" x14ac:dyDescent="0.3">
      <c r="N29" s="514" t="s">
        <v>101</v>
      </c>
      <c r="O29" s="515"/>
      <c r="P29" s="516"/>
      <c r="Q29" s="517">
        <f>g</f>
        <v>0</v>
      </c>
    </row>
    <row r="30" spans="11:18" ht="15" customHeight="1" x14ac:dyDescent="0.3">
      <c r="N30" s="510" t="s">
        <v>1127</v>
      </c>
      <c r="O30" s="518">
        <v>1543.0475521946294</v>
      </c>
      <c r="P30" s="512" t="s">
        <v>1128</v>
      </c>
      <c r="Q30" s="519">
        <v>1724.4333688078741</v>
      </c>
    </row>
    <row r="31" spans="11:18" ht="15" customHeight="1" x14ac:dyDescent="0.3">
      <c r="N31" s="510" t="s">
        <v>1129</v>
      </c>
      <c r="O31" s="520"/>
      <c r="P31" s="512"/>
      <c r="Q31" s="519">
        <v>590.36301391500001</v>
      </c>
    </row>
    <row r="32" spans="11:18" ht="15" customHeight="1" x14ac:dyDescent="0.3">
      <c r="N32" s="510" t="s">
        <v>1130</v>
      </c>
      <c r="O32" s="520"/>
      <c r="P32" s="512"/>
      <c r="Q32" s="519">
        <v>59.320331999999993</v>
      </c>
    </row>
    <row r="33" spans="14:17" s="136" customFormat="1" ht="15" customHeight="1" x14ac:dyDescent="0.3">
      <c r="N33" s="521" t="s">
        <v>1131</v>
      </c>
      <c r="O33" s="522">
        <f>O30+Q31-Q32</f>
        <v>2074.0902341096294</v>
      </c>
      <c r="P33" s="523" t="s">
        <v>1128</v>
      </c>
      <c r="Q33" s="524">
        <f>Q30+Q31-Q32</f>
        <v>2255.4760507228743</v>
      </c>
    </row>
    <row r="34" spans="14:17" s="136" customFormat="1" ht="15" customHeight="1" x14ac:dyDescent="0.3"/>
    <row r="35" spans="14:17" s="136" customFormat="1" ht="15" customHeight="1" x14ac:dyDescent="0.3"/>
    <row r="36" spans="14:17" s="136" customFormat="1" x14ac:dyDescent="0.3"/>
    <row r="37" spans="14:17" s="136" customFormat="1" x14ac:dyDescent="0.3"/>
    <row r="38" spans="14:17" s="136" customFormat="1" x14ac:dyDescent="0.3"/>
  </sheetData>
  <mergeCells count="1">
    <mergeCell ref="I6:M6"/>
  </mergeCells>
  <phoneticPr fontId="1" type="noConversion"/>
  <pageMargins left="0.59055118110236227" right="0.59055118110236227" top="0.59055118110236227" bottom="0.59055118110236227" header="0.31496062992125984" footer="0.31496062992125984"/>
  <pageSetup paperSize="9" orientation="landscape"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AN185"/>
  <sheetViews>
    <sheetView showGridLines="0" zoomScaleNormal="100" workbookViewId="0">
      <selection activeCell="S57" sqref="S57"/>
    </sheetView>
  </sheetViews>
  <sheetFormatPr defaultColWidth="9" defaultRowHeight="13.5" customHeight="1" x14ac:dyDescent="0.3"/>
  <cols>
    <col min="1" max="1" width="2.625" style="225" customWidth="1"/>
    <col min="2" max="2" width="14.625" style="117" customWidth="1"/>
    <col min="3" max="4" width="2.625" style="117" customWidth="1"/>
    <col min="5" max="5" width="9.625" style="375" customWidth="1"/>
    <col min="6" max="6" width="2.625" style="117" customWidth="1"/>
    <col min="7" max="8" width="9.875" style="117" customWidth="1"/>
    <col min="9" max="11" width="9.625" style="117" customWidth="1"/>
    <col min="12" max="12" width="1.875" style="117" customWidth="1"/>
    <col min="13" max="13" width="9.625" style="117" customWidth="1"/>
    <col min="14" max="14" width="2.5" style="117" customWidth="1"/>
    <col min="15" max="17" width="9.625" style="117" customWidth="1"/>
    <col min="18" max="18" width="3.625" style="119" customWidth="1"/>
    <col min="19" max="19" width="6.625" style="117" customWidth="1"/>
    <col min="20" max="20" width="7.625" style="117" customWidth="1"/>
    <col min="21" max="22" width="9.125" style="117" customWidth="1"/>
    <col min="23" max="23" width="9.875" style="117" bestFit="1" customWidth="1"/>
    <col min="24" max="25" width="9" style="117"/>
    <col min="26" max="26" width="10.375" style="117" bestFit="1" customWidth="1"/>
    <col min="27" max="16384" width="9" style="117"/>
  </cols>
  <sheetData>
    <row r="1" spans="1:22" s="50" customFormat="1" ht="31.5" x14ac:dyDescent="0.3">
      <c r="A1" s="222"/>
      <c r="B1" s="58" t="str">
        <f>"Project"&amp;" "&amp;Title!L6</f>
        <v>Project IT</v>
      </c>
      <c r="C1" s="103"/>
      <c r="D1" s="103"/>
      <c r="E1" s="103"/>
      <c r="F1" s="103"/>
      <c r="G1" s="103"/>
      <c r="H1" s="103"/>
      <c r="I1" s="104"/>
      <c r="J1" s="104"/>
      <c r="K1" s="104"/>
      <c r="L1" s="104"/>
      <c r="M1" s="104"/>
      <c r="N1" s="104"/>
      <c r="O1" s="104"/>
      <c r="P1" s="104"/>
      <c r="Q1" s="61" t="str">
        <f>Des!$C$12</f>
        <v>DRAFT - For Discussion Purposes Only</v>
      </c>
      <c r="R1" s="105"/>
      <c r="S1" s="106" t="s">
        <v>65</v>
      </c>
    </row>
    <row r="2" spans="1:22" s="50" customFormat="1" ht="26.25" x14ac:dyDescent="0.3">
      <c r="A2" s="223"/>
      <c r="B2" s="139" t="s">
        <v>33</v>
      </c>
      <c r="C2" s="140"/>
      <c r="D2" s="140"/>
      <c r="E2" s="140"/>
      <c r="F2" s="140"/>
      <c r="G2" s="140"/>
      <c r="H2" s="140"/>
      <c r="I2" s="140"/>
      <c r="J2" s="140"/>
      <c r="K2" s="140"/>
      <c r="L2" s="140"/>
      <c r="M2" s="140"/>
      <c r="N2" s="140"/>
      <c r="O2" s="140"/>
      <c r="P2" s="140"/>
      <c r="Q2" s="140"/>
      <c r="R2" s="105"/>
      <c r="S2" s="419" t="s">
        <v>66</v>
      </c>
      <c r="T2" s="420"/>
      <c r="U2" s="421">
        <v>0.24199999999999999</v>
      </c>
    </row>
    <row r="3" spans="1:22" s="112" customFormat="1" x14ac:dyDescent="0.3">
      <c r="A3" s="224"/>
      <c r="B3" s="107"/>
      <c r="E3" s="108"/>
      <c r="G3" s="108"/>
      <c r="H3" s="108"/>
      <c r="I3" s="109"/>
      <c r="J3" s="109"/>
      <c r="R3" s="110"/>
      <c r="S3" s="422" t="s">
        <v>67</v>
      </c>
      <c r="T3" s="423"/>
      <c r="U3" s="424">
        <f>U2</f>
        <v>0.24199999999999999</v>
      </c>
      <c r="V3" s="111" t="s">
        <v>68</v>
      </c>
    </row>
    <row r="4" spans="1:22" ht="13.5" customHeight="1" x14ac:dyDescent="0.3">
      <c r="B4" s="2093" t="s">
        <v>34</v>
      </c>
      <c r="C4" s="2085"/>
      <c r="D4" s="2083"/>
      <c r="E4" s="2083" t="s">
        <v>99</v>
      </c>
      <c r="F4" s="2083"/>
      <c r="G4" s="414" t="s">
        <v>35</v>
      </c>
      <c r="H4" s="2089" t="s">
        <v>1060</v>
      </c>
      <c r="I4" s="2083" t="s">
        <v>1061</v>
      </c>
      <c r="J4" s="2083" t="s">
        <v>36</v>
      </c>
      <c r="K4" s="414" t="s">
        <v>37</v>
      </c>
      <c r="L4" s="2083"/>
      <c r="M4" s="414" t="s">
        <v>38</v>
      </c>
      <c r="N4" s="276"/>
      <c r="O4" s="2085" t="s">
        <v>1062</v>
      </c>
      <c r="P4" s="2085" t="s">
        <v>39</v>
      </c>
      <c r="Q4" s="2087" t="s">
        <v>40</v>
      </c>
      <c r="T4" s="113"/>
      <c r="U4" s="113"/>
    </row>
    <row r="5" spans="1:22" ht="13.5" customHeight="1" x14ac:dyDescent="0.3">
      <c r="B5" s="2094"/>
      <c r="C5" s="2086"/>
      <c r="D5" s="2084"/>
      <c r="E5" s="2084"/>
      <c r="F5" s="2084"/>
      <c r="G5" s="415" t="s">
        <v>41</v>
      </c>
      <c r="H5" s="2090"/>
      <c r="I5" s="2084"/>
      <c r="J5" s="2084"/>
      <c r="K5" s="415" t="s">
        <v>42</v>
      </c>
      <c r="L5" s="2084"/>
      <c r="M5" s="415" t="s">
        <v>43</v>
      </c>
      <c r="N5" s="277"/>
      <c r="O5" s="2086"/>
      <c r="P5" s="2086"/>
      <c r="Q5" s="2088"/>
      <c r="R5" s="117"/>
    </row>
    <row r="6" spans="1:22" s="115" customFormat="1" ht="13.5" customHeight="1" x14ac:dyDescent="0.3">
      <c r="A6" s="497"/>
      <c r="B6" s="278" t="s">
        <v>2070</v>
      </c>
      <c r="C6" s="425"/>
      <c r="D6" s="426"/>
      <c r="E6" s="64" t="s">
        <v>2045</v>
      </c>
      <c r="F6" s="426"/>
      <c r="G6" s="241">
        <f>CHOOSE($X$34,G74,H74,I74)</f>
        <v>1.245976</v>
      </c>
      <c r="H6" s="241" t="s">
        <v>174</v>
      </c>
      <c r="I6" s="221">
        <f>CHOOSE($X$47,G102,H102,I102,J102,K102)+J131</f>
        <v>20173497.85414286</v>
      </c>
      <c r="J6" s="221">
        <f>G131</f>
        <v>14363.156931</v>
      </c>
      <c r="K6" s="219">
        <f t="shared" ref="K6:K8" si="0">J6/I6</f>
        <v>7.1198148357055294E-4</v>
      </c>
      <c r="L6" s="219"/>
      <c r="M6" s="219">
        <f t="shared" ref="M6:M8" si="1">J6/(I6+J6)</f>
        <v>7.1147492659679129E-4</v>
      </c>
      <c r="N6" s="129"/>
      <c r="O6" s="220">
        <v>0.24199999999999999</v>
      </c>
      <c r="P6" s="218">
        <f t="shared" ref="P6:P8" si="2">IF(G6="NA","NA",G6/(1+K6*(1-O6)))</f>
        <v>1.2453039319275598</v>
      </c>
      <c r="Q6" s="279">
        <f t="shared" ref="Q6:Q11" si="3">P6*(1+($M$47/$M$48)*$E$47)</f>
        <v>1.2453039319275598</v>
      </c>
    </row>
    <row r="7" spans="1:22" s="115" customFormat="1" ht="13.5" customHeight="1" x14ac:dyDescent="0.3">
      <c r="A7" s="497"/>
      <c r="B7" s="278" t="s">
        <v>2071</v>
      </c>
      <c r="C7" s="62"/>
      <c r="D7" s="63"/>
      <c r="E7" s="64" t="s">
        <v>2045</v>
      </c>
      <c r="F7" s="64"/>
      <c r="G7" s="241">
        <f t="shared" ref="G7:G11" si="4">CHOOSE($X$34,G75,H75,I75)</f>
        <v>0.61232299999999995</v>
      </c>
      <c r="H7" s="241" t="s">
        <v>174</v>
      </c>
      <c r="I7" s="221">
        <f t="shared" ref="I7:I11" si="5">CHOOSE($X$47,G103,H103,I103,J103,K103)+J132</f>
        <v>749314.02152380964</v>
      </c>
      <c r="J7" s="221">
        <f t="shared" ref="J7:J11" si="6">G132</f>
        <v>40486.303609000002</v>
      </c>
      <c r="K7" s="219">
        <f t="shared" si="0"/>
        <v>5.4031157093079353E-2</v>
      </c>
      <c r="L7" s="219"/>
      <c r="M7" s="219">
        <f t="shared" si="1"/>
        <v>5.1261442064096371E-2</v>
      </c>
      <c r="N7" s="129"/>
      <c r="O7" s="220">
        <v>0.24199999999999999</v>
      </c>
      <c r="P7" s="218">
        <f t="shared" si="2"/>
        <v>0.58823161137231117</v>
      </c>
      <c r="Q7" s="279">
        <f t="shared" si="3"/>
        <v>0.58823161137231117</v>
      </c>
    </row>
    <row r="8" spans="1:22" s="115" customFormat="1" ht="13.5" customHeight="1" x14ac:dyDescent="0.3">
      <c r="A8" s="497"/>
      <c r="B8" s="278" t="s">
        <v>2072</v>
      </c>
      <c r="C8" s="62"/>
      <c r="D8" s="63"/>
      <c r="E8" s="64" t="s">
        <v>2045</v>
      </c>
      <c r="F8" s="64"/>
      <c r="G8" s="241">
        <f t="shared" si="4"/>
        <v>1.0504979999999999</v>
      </c>
      <c r="H8" s="241" t="s">
        <v>174</v>
      </c>
      <c r="I8" s="221">
        <f t="shared" si="5"/>
        <v>89137.820828571421</v>
      </c>
      <c r="J8" s="221">
        <f t="shared" si="6"/>
        <v>59995.437982999996</v>
      </c>
      <c r="K8" s="219">
        <f t="shared" si="0"/>
        <v>0.67306377276579787</v>
      </c>
      <c r="L8" s="219"/>
      <c r="M8" s="219">
        <f t="shared" si="1"/>
        <v>0.40229415263300672</v>
      </c>
      <c r="N8" s="129"/>
      <c r="O8" s="220">
        <v>0.24199999999999999</v>
      </c>
      <c r="P8" s="218">
        <f t="shared" si="2"/>
        <v>0.69561004147975836</v>
      </c>
      <c r="Q8" s="279">
        <f t="shared" si="3"/>
        <v>0.69561004147975836</v>
      </c>
    </row>
    <row r="9" spans="1:22" s="115" customFormat="1" ht="13.5" customHeight="1" x14ac:dyDescent="0.3">
      <c r="A9" s="497"/>
      <c r="B9" s="278" t="s">
        <v>2073</v>
      </c>
      <c r="C9" s="62"/>
      <c r="D9" s="63"/>
      <c r="E9" s="64" t="s">
        <v>2045</v>
      </c>
      <c r="F9" s="64"/>
      <c r="G9" s="241">
        <f t="shared" si="4"/>
        <v>0.88442390000000004</v>
      </c>
      <c r="H9" s="241" t="s">
        <v>174</v>
      </c>
      <c r="I9" s="221">
        <f t="shared" si="5"/>
        <v>168289.71708571431</v>
      </c>
      <c r="J9" s="221">
        <f t="shared" si="6"/>
        <v>0</v>
      </c>
      <c r="K9" s="219">
        <f t="shared" ref="K9:K11" si="7">J9/I9</f>
        <v>0</v>
      </c>
      <c r="L9" s="219"/>
      <c r="M9" s="219">
        <f t="shared" ref="M9:M11" si="8">J9/(I9+J9)</f>
        <v>0</v>
      </c>
      <c r="N9" s="129"/>
      <c r="O9" s="220">
        <v>0.24199999999999999</v>
      </c>
      <c r="P9" s="218">
        <f t="shared" ref="P9:P11" si="9">IF(G9="NA","NA",G9/(1+K9*(1-O9)))</f>
        <v>0.88442390000000004</v>
      </c>
      <c r="Q9" s="279">
        <f t="shared" si="3"/>
        <v>0.88442390000000004</v>
      </c>
    </row>
    <row r="10" spans="1:22" s="115" customFormat="1" ht="13.5" customHeight="1" x14ac:dyDescent="0.3">
      <c r="A10" s="497"/>
      <c r="B10" s="278" t="s">
        <v>2074</v>
      </c>
      <c r="E10" s="64" t="s">
        <v>2045</v>
      </c>
      <c r="F10" s="63"/>
      <c r="G10" s="241">
        <f t="shared" si="4"/>
        <v>0.26086209999999999</v>
      </c>
      <c r="H10" s="241" t="s">
        <v>174</v>
      </c>
      <c r="I10" s="221">
        <f t="shared" si="5"/>
        <v>116521.65489523808</v>
      </c>
      <c r="J10" s="221">
        <f t="shared" si="6"/>
        <v>71570.720409999994</v>
      </c>
      <c r="K10" s="219">
        <f t="shared" si="7"/>
        <v>0.61422677591000208</v>
      </c>
      <c r="L10" s="219"/>
      <c r="M10" s="219">
        <f t="shared" si="8"/>
        <v>0.38050835550273826</v>
      </c>
      <c r="N10" s="129"/>
      <c r="O10" s="220">
        <v>0.24199999999999999</v>
      </c>
      <c r="P10" s="218">
        <f t="shared" si="9"/>
        <v>0.1779919257349154</v>
      </c>
      <c r="Q10" s="279">
        <f t="shared" si="3"/>
        <v>0.1779919257349154</v>
      </c>
      <c r="S10" s="392"/>
    </row>
    <row r="11" spans="1:22" s="115" customFormat="1" ht="13.5" customHeight="1" x14ac:dyDescent="0.3">
      <c r="A11" s="497"/>
      <c r="B11" s="278" t="s">
        <v>2075</v>
      </c>
      <c r="C11" s="62"/>
      <c r="D11" s="63"/>
      <c r="E11" s="64" t="s">
        <v>2045</v>
      </c>
      <c r="F11" s="64"/>
      <c r="G11" s="241">
        <f t="shared" si="4"/>
        <v>0.70775719999999998</v>
      </c>
      <c r="H11" s="241" t="s">
        <v>174</v>
      </c>
      <c r="I11" s="221">
        <f t="shared" si="5"/>
        <v>34610.334699999999</v>
      </c>
      <c r="J11" s="221">
        <f t="shared" si="6"/>
        <v>500</v>
      </c>
      <c r="K11" s="219">
        <f t="shared" si="7"/>
        <v>1.4446552000550287E-2</v>
      </c>
      <c r="L11" s="219"/>
      <c r="M11" s="219">
        <f t="shared" si="8"/>
        <v>1.424082123603339E-2</v>
      </c>
      <c r="N11" s="129"/>
      <c r="O11" s="220">
        <v>0.24199999999999999</v>
      </c>
      <c r="P11" s="218">
        <f t="shared" si="9"/>
        <v>0.70009086449805624</v>
      </c>
      <c r="Q11" s="279">
        <f t="shared" si="3"/>
        <v>0.70009086449805624</v>
      </c>
    </row>
    <row r="12" spans="1:22" s="115" customFormat="1" ht="13.5" hidden="1" customHeight="1" x14ac:dyDescent="0.3">
      <c r="A12" s="497"/>
      <c r="B12" s="278"/>
      <c r="E12" s="64"/>
      <c r="F12" s="63"/>
      <c r="G12" s="241"/>
      <c r="H12" s="241"/>
      <c r="I12" s="221"/>
      <c r="J12" s="221"/>
      <c r="K12" s="219"/>
      <c r="L12" s="219"/>
      <c r="M12" s="219"/>
      <c r="N12" s="129"/>
      <c r="O12" s="220"/>
      <c r="P12" s="218"/>
      <c r="Q12" s="279"/>
      <c r="S12" s="392"/>
    </row>
    <row r="13" spans="1:22" s="115" customFormat="1" ht="13.5" hidden="1" customHeight="1" x14ac:dyDescent="0.3">
      <c r="A13" s="497"/>
      <c r="B13" s="278"/>
      <c r="E13" s="64"/>
      <c r="F13" s="63"/>
      <c r="G13" s="241"/>
      <c r="H13" s="241"/>
      <c r="I13" s="221"/>
      <c r="J13" s="221"/>
      <c r="K13" s="219"/>
      <c r="L13" s="219"/>
      <c r="M13" s="219"/>
      <c r="N13" s="129"/>
      <c r="O13" s="220"/>
      <c r="P13" s="218"/>
      <c r="Q13" s="279"/>
      <c r="S13" s="392"/>
    </row>
    <row r="14" spans="1:22" s="115" customFormat="1" ht="13.5" hidden="1" customHeight="1" x14ac:dyDescent="0.3">
      <c r="A14" s="497"/>
      <c r="B14" s="278"/>
      <c r="E14" s="64"/>
      <c r="F14" s="63"/>
      <c r="G14" s="241"/>
      <c r="H14" s="241"/>
      <c r="I14" s="221"/>
      <c r="J14" s="221"/>
      <c r="K14" s="219"/>
      <c r="L14" s="219"/>
      <c r="M14" s="219"/>
      <c r="N14" s="129"/>
      <c r="O14" s="220"/>
      <c r="P14" s="218"/>
      <c r="Q14" s="279"/>
      <c r="S14" s="392"/>
    </row>
    <row r="15" spans="1:22" s="115" customFormat="1" ht="13.5" hidden="1" customHeight="1" x14ac:dyDescent="0.3">
      <c r="A15" s="497"/>
      <c r="B15" s="278"/>
      <c r="E15" s="64"/>
      <c r="F15" s="63"/>
      <c r="G15" s="241"/>
      <c r="H15" s="241"/>
      <c r="I15" s="221"/>
      <c r="J15" s="221"/>
      <c r="K15" s="219"/>
      <c r="L15" s="219"/>
      <c r="M15" s="219"/>
      <c r="N15" s="129"/>
      <c r="O15" s="220"/>
      <c r="P15" s="218"/>
      <c r="Q15" s="279"/>
      <c r="S15" s="392"/>
    </row>
    <row r="16" spans="1:22" s="115" customFormat="1" ht="13.5" hidden="1" customHeight="1" x14ac:dyDescent="0.3">
      <c r="A16" s="497"/>
      <c r="B16" s="278"/>
      <c r="E16" s="64"/>
      <c r="F16" s="63"/>
      <c r="G16" s="241"/>
      <c r="H16" s="241"/>
      <c r="I16" s="221"/>
      <c r="J16" s="221"/>
      <c r="K16" s="219"/>
      <c r="L16" s="219"/>
      <c r="M16" s="219"/>
      <c r="N16" s="129"/>
      <c r="O16" s="220"/>
      <c r="P16" s="218"/>
      <c r="Q16" s="279"/>
      <c r="S16" s="392"/>
    </row>
    <row r="17" spans="1:26" s="115" customFormat="1" ht="13.5" hidden="1" customHeight="1" x14ac:dyDescent="0.3">
      <c r="A17" s="497"/>
      <c r="B17" s="278"/>
      <c r="E17" s="64"/>
      <c r="F17" s="63"/>
      <c r="G17" s="241"/>
      <c r="H17" s="241"/>
      <c r="I17" s="221"/>
      <c r="J17" s="221"/>
      <c r="K17" s="219"/>
      <c r="L17" s="219"/>
      <c r="M17" s="219"/>
      <c r="N17" s="129"/>
      <c r="O17" s="220"/>
      <c r="P17" s="218"/>
      <c r="Q17" s="279"/>
      <c r="S17" s="392"/>
    </row>
    <row r="18" spans="1:26" s="115" customFormat="1" ht="13.5" hidden="1" customHeight="1" x14ac:dyDescent="0.3">
      <c r="A18" s="497"/>
      <c r="B18" s="278"/>
      <c r="E18" s="64"/>
      <c r="F18" s="63"/>
      <c r="G18" s="241"/>
      <c r="H18" s="241"/>
      <c r="I18" s="221"/>
      <c r="J18" s="221"/>
      <c r="K18" s="219"/>
      <c r="L18" s="219"/>
      <c r="M18" s="219"/>
      <c r="N18" s="129"/>
      <c r="O18" s="220"/>
      <c r="P18" s="218"/>
      <c r="Q18" s="279"/>
      <c r="S18" s="392"/>
    </row>
    <row r="19" spans="1:26" s="115" customFormat="1" ht="13.5" hidden="1" customHeight="1" x14ac:dyDescent="0.3">
      <c r="A19" s="497"/>
      <c r="B19" s="278"/>
      <c r="E19" s="64"/>
      <c r="F19" s="63"/>
      <c r="G19" s="241"/>
      <c r="H19" s="241"/>
      <c r="I19" s="221"/>
      <c r="J19" s="221"/>
      <c r="K19" s="219"/>
      <c r="L19" s="219"/>
      <c r="M19" s="219"/>
      <c r="N19" s="129"/>
      <c r="O19" s="220"/>
      <c r="P19" s="218"/>
      <c r="Q19" s="279"/>
      <c r="S19" s="392"/>
    </row>
    <row r="20" spans="1:26" s="115" customFormat="1" ht="13.5" hidden="1" customHeight="1" x14ac:dyDescent="0.3">
      <c r="A20" s="497"/>
      <c r="B20" s="278"/>
      <c r="C20" s="62"/>
      <c r="D20" s="63"/>
      <c r="E20" s="64"/>
      <c r="F20" s="64"/>
      <c r="G20" s="241"/>
      <c r="H20" s="241"/>
      <c r="I20" s="221"/>
      <c r="J20" s="221"/>
      <c r="K20" s="219"/>
      <c r="L20" s="219"/>
      <c r="M20" s="219"/>
      <c r="N20" s="129"/>
      <c r="O20" s="220"/>
      <c r="P20" s="218"/>
      <c r="Q20" s="279"/>
      <c r="S20" s="392"/>
    </row>
    <row r="21" spans="1:26" s="115" customFormat="1" ht="13.5" hidden="1" customHeight="1" x14ac:dyDescent="0.3">
      <c r="A21" s="497"/>
      <c r="B21" s="278"/>
      <c r="C21" s="62"/>
      <c r="D21" s="63"/>
      <c r="E21" s="64"/>
      <c r="F21" s="64"/>
      <c r="G21" s="241"/>
      <c r="H21" s="241"/>
      <c r="I21" s="221"/>
      <c r="J21" s="221"/>
      <c r="K21" s="219"/>
      <c r="L21" s="219"/>
      <c r="M21" s="219"/>
      <c r="N21" s="129"/>
      <c r="O21" s="220"/>
      <c r="P21" s="218"/>
      <c r="Q21" s="279"/>
      <c r="S21" s="392"/>
    </row>
    <row r="22" spans="1:26" s="115" customFormat="1" ht="13.5" hidden="1" customHeight="1" x14ac:dyDescent="0.3">
      <c r="A22" s="497"/>
      <c r="B22" s="278"/>
      <c r="C22" s="62"/>
      <c r="D22" s="63"/>
      <c r="E22" s="64"/>
      <c r="F22" s="64"/>
      <c r="G22" s="241"/>
      <c r="H22" s="241"/>
      <c r="I22" s="221"/>
      <c r="J22" s="221"/>
      <c r="K22" s="219"/>
      <c r="L22" s="219"/>
      <c r="M22" s="219"/>
      <c r="N22" s="129"/>
      <c r="O22" s="220"/>
      <c r="P22" s="218"/>
      <c r="Q22" s="279"/>
      <c r="S22" s="392"/>
    </row>
    <row r="23" spans="1:26" s="115" customFormat="1" ht="13.5" hidden="1" customHeight="1" x14ac:dyDescent="0.3">
      <c r="A23" s="497"/>
      <c r="B23" s="278"/>
      <c r="C23" s="62"/>
      <c r="D23" s="63"/>
      <c r="E23" s="64"/>
      <c r="F23" s="64"/>
      <c r="G23" s="241"/>
      <c r="H23" s="241"/>
      <c r="I23" s="221"/>
      <c r="J23" s="221"/>
      <c r="K23" s="219"/>
      <c r="L23" s="219"/>
      <c r="M23" s="219"/>
      <c r="N23" s="129"/>
      <c r="O23" s="220"/>
      <c r="P23" s="218"/>
      <c r="Q23" s="279"/>
      <c r="S23" s="392"/>
    </row>
    <row r="24" spans="1:26" s="115" customFormat="1" ht="13.5" hidden="1" customHeight="1" x14ac:dyDescent="0.3">
      <c r="A24" s="497"/>
      <c r="B24" s="278"/>
      <c r="C24" s="62"/>
      <c r="D24" s="63"/>
      <c r="E24" s="64"/>
      <c r="F24" s="64"/>
      <c r="G24" s="241"/>
      <c r="H24" s="241"/>
      <c r="I24" s="221"/>
      <c r="J24" s="221"/>
      <c r="K24" s="219"/>
      <c r="L24" s="219"/>
      <c r="M24" s="219"/>
      <c r="N24" s="129"/>
      <c r="O24" s="220"/>
      <c r="P24" s="218"/>
      <c r="Q24" s="279"/>
      <c r="S24" s="392"/>
    </row>
    <row r="25" spans="1:26" s="115" customFormat="1" ht="13.5" hidden="1" customHeight="1" x14ac:dyDescent="0.3">
      <c r="A25" s="497"/>
      <c r="B25" s="278"/>
      <c r="C25" s="425"/>
      <c r="D25" s="426"/>
      <c r="E25" s="64"/>
      <c r="F25" s="426"/>
      <c r="G25" s="241"/>
      <c r="H25" s="241"/>
      <c r="I25" s="221"/>
      <c r="J25" s="221"/>
      <c r="K25" s="219"/>
      <c r="L25" s="219"/>
      <c r="M25" s="219"/>
      <c r="N25" s="129"/>
      <c r="O25" s="220"/>
      <c r="P25" s="218"/>
      <c r="Q25" s="279"/>
      <c r="S25" s="392"/>
    </row>
    <row r="26" spans="1:26" s="115" customFormat="1" ht="13.5" hidden="1" customHeight="1" x14ac:dyDescent="0.3">
      <c r="A26" s="497"/>
      <c r="B26" s="278"/>
      <c r="C26" s="62"/>
      <c r="D26" s="63"/>
      <c r="E26" s="64"/>
      <c r="F26" s="64"/>
      <c r="G26" s="241"/>
      <c r="H26" s="241"/>
      <c r="I26" s="221"/>
      <c r="J26" s="221"/>
      <c r="K26" s="219"/>
      <c r="L26" s="219"/>
      <c r="M26" s="219"/>
      <c r="N26" s="129"/>
      <c r="O26" s="220"/>
      <c r="P26" s="218"/>
      <c r="Q26" s="279"/>
      <c r="S26" s="392"/>
    </row>
    <row r="27" spans="1:26" s="115" customFormat="1" ht="13.5" hidden="1" customHeight="1" x14ac:dyDescent="0.3">
      <c r="A27" s="497"/>
      <c r="B27" s="278"/>
      <c r="C27" s="62"/>
      <c r="D27" s="63"/>
      <c r="E27" s="64"/>
      <c r="F27" s="64"/>
      <c r="G27" s="241"/>
      <c r="H27" s="241"/>
      <c r="I27" s="221"/>
      <c r="J27" s="221"/>
      <c r="K27" s="219"/>
      <c r="L27" s="219"/>
      <c r="M27" s="219"/>
      <c r="N27" s="129"/>
      <c r="O27" s="220"/>
      <c r="P27" s="218"/>
      <c r="Q27" s="279"/>
      <c r="S27" s="392"/>
    </row>
    <row r="28" spans="1:26" s="115" customFormat="1" ht="13.5" hidden="1" customHeight="1" x14ac:dyDescent="0.3">
      <c r="A28" s="497"/>
      <c r="B28" s="278"/>
      <c r="C28" s="62"/>
      <c r="D28" s="63"/>
      <c r="E28" s="64"/>
      <c r="F28" s="64"/>
      <c r="G28" s="241"/>
      <c r="H28" s="241"/>
      <c r="I28" s="221"/>
      <c r="J28" s="221"/>
      <c r="K28" s="219"/>
      <c r="L28" s="219"/>
      <c r="M28" s="219"/>
      <c r="N28" s="129"/>
      <c r="O28" s="220"/>
      <c r="P28" s="218"/>
      <c r="Q28" s="279"/>
      <c r="S28" s="392"/>
    </row>
    <row r="29" spans="1:26" s="115" customFormat="1" ht="13.5" hidden="1" customHeight="1" x14ac:dyDescent="0.3">
      <c r="A29" s="497"/>
      <c r="B29" s="278"/>
      <c r="C29" s="62"/>
      <c r="D29" s="63"/>
      <c r="E29" s="64"/>
      <c r="F29" s="64"/>
      <c r="G29" s="241"/>
      <c r="H29" s="241"/>
      <c r="I29" s="221"/>
      <c r="J29" s="221"/>
      <c r="K29" s="219"/>
      <c r="L29" s="219"/>
      <c r="M29" s="219"/>
      <c r="N29" s="129"/>
      <c r="O29" s="220"/>
      <c r="P29" s="218"/>
      <c r="Q29" s="279"/>
      <c r="S29" s="392"/>
    </row>
    <row r="30" spans="1:26" s="115" customFormat="1" ht="13.5" hidden="1" customHeight="1" x14ac:dyDescent="0.3">
      <c r="A30" s="497"/>
      <c r="B30" s="964"/>
      <c r="C30" s="965"/>
      <c r="D30" s="966"/>
      <c r="E30" s="967"/>
      <c r="F30" s="967"/>
      <c r="G30" s="968"/>
      <c r="H30" s="968"/>
      <c r="I30" s="969"/>
      <c r="J30" s="969"/>
      <c r="K30" s="970"/>
      <c r="L30" s="970"/>
      <c r="M30" s="970"/>
      <c r="N30" s="971"/>
      <c r="O30" s="972"/>
      <c r="P30" s="973"/>
      <c r="Q30" s="974"/>
      <c r="S30" s="392"/>
    </row>
    <row r="31" spans="1:26" s="115" customFormat="1" ht="4.5" customHeight="1" x14ac:dyDescent="0.3">
      <c r="A31" s="483"/>
      <c r="B31" s="278"/>
      <c r="C31" s="62"/>
      <c r="D31" s="63"/>
      <c r="E31" s="64"/>
      <c r="F31" s="64"/>
      <c r="G31" s="241"/>
      <c r="H31" s="241"/>
      <c r="I31" s="221"/>
      <c r="J31" s="221"/>
      <c r="K31" s="219"/>
      <c r="L31" s="219"/>
      <c r="M31" s="219"/>
      <c r="N31" s="129"/>
      <c r="O31" s="220"/>
      <c r="P31" s="218"/>
      <c r="Q31" s="279"/>
      <c r="Z31" s="62"/>
    </row>
    <row r="32" spans="1:26" s="115" customFormat="1" ht="13.5" customHeight="1" x14ac:dyDescent="0.3">
      <c r="A32" s="483"/>
      <c r="B32" s="280" t="s">
        <v>1063</v>
      </c>
      <c r="C32" s="65"/>
      <c r="D32" s="65"/>
      <c r="E32" s="67"/>
      <c r="F32" s="66"/>
      <c r="G32" s="166">
        <f>MAX(G6:G14)</f>
        <v>1.245976</v>
      </c>
      <c r="H32" s="166"/>
      <c r="I32" s="9"/>
      <c r="J32" s="9"/>
      <c r="K32" s="167">
        <f>MAX(K6:K14)</f>
        <v>0.67306377276579787</v>
      </c>
      <c r="L32" s="167"/>
      <c r="M32" s="427">
        <f>MAX(M6:M14)</f>
        <v>0.40229415263300672</v>
      </c>
      <c r="N32" s="67"/>
      <c r="O32" s="67"/>
      <c r="P32" s="166">
        <f>MAX(P6:P14)</f>
        <v>1.2453039319275598</v>
      </c>
      <c r="Q32" s="281">
        <f>MAX(Q6:Q14)</f>
        <v>1.2453039319275598</v>
      </c>
      <c r="R32" s="245"/>
      <c r="U32" s="233"/>
      <c r="Z32" s="227"/>
    </row>
    <row r="33" spans="1:27" s="115" customFormat="1" ht="13.5" customHeight="1" x14ac:dyDescent="0.3">
      <c r="A33" s="483"/>
      <c r="B33" s="280" t="s">
        <v>44</v>
      </c>
      <c r="C33" s="68"/>
      <c r="D33" s="68"/>
      <c r="E33" s="67"/>
      <c r="F33" s="66"/>
      <c r="G33" s="166">
        <f>AVERAGE(G6:G14)</f>
        <v>0.79364003333333322</v>
      </c>
      <c r="H33" s="166"/>
      <c r="I33" s="9"/>
      <c r="J33" s="9"/>
      <c r="K33" s="167">
        <f>AVERAGE(K6:K14)</f>
        <v>0.22608003987550004</v>
      </c>
      <c r="L33" s="167"/>
      <c r="M33" s="427">
        <f>AVERAGE(M6:M14)</f>
        <v>0.1415027077270786</v>
      </c>
      <c r="N33" s="67"/>
      <c r="O33" s="67"/>
      <c r="P33" s="166">
        <f>AVERAGE(P6:P14)</f>
        <v>0.71527537916876682</v>
      </c>
      <c r="Q33" s="281">
        <f>AVERAGE(Q6:Q14)</f>
        <v>0.71527537916876682</v>
      </c>
      <c r="R33" s="119"/>
      <c r="U33" s="234"/>
      <c r="Z33" s="227"/>
    </row>
    <row r="34" spans="1:27" s="115" customFormat="1" ht="13.5" customHeight="1" x14ac:dyDescent="0.3">
      <c r="A34" s="483"/>
      <c r="B34" s="280" t="s">
        <v>45</v>
      </c>
      <c r="C34" s="68"/>
      <c r="D34" s="68"/>
      <c r="E34" s="67"/>
      <c r="F34" s="66"/>
      <c r="G34" s="166">
        <f>MEDIAN(G6:G14)</f>
        <v>0.79609054999999995</v>
      </c>
      <c r="H34" s="166"/>
      <c r="I34" s="9"/>
      <c r="J34" s="9"/>
      <c r="K34" s="167">
        <f>MEDIAN(K6:K14)</f>
        <v>3.4238854546814815E-2</v>
      </c>
      <c r="L34" s="167"/>
      <c r="M34" s="427">
        <f>MEDIAN(M6:M14)</f>
        <v>3.275113165006488E-2</v>
      </c>
      <c r="N34" s="67"/>
      <c r="O34" s="67"/>
      <c r="P34" s="166">
        <f>MEDIAN(P6:P14)</f>
        <v>0.69785045298890735</v>
      </c>
      <c r="Q34" s="281">
        <f>MEDIAN(Q6:Q14)</f>
        <v>0.69785045298890735</v>
      </c>
      <c r="R34" s="245"/>
      <c r="U34" s="233" t="s">
        <v>1064</v>
      </c>
      <c r="W34" s="117"/>
      <c r="X34" s="188">
        <v>3</v>
      </c>
      <c r="Y34" s="117"/>
    </row>
    <row r="35" spans="1:27" s="115" customFormat="1" ht="13.5" customHeight="1" x14ac:dyDescent="0.2">
      <c r="A35" s="483"/>
      <c r="B35" s="282" t="s">
        <v>46</v>
      </c>
      <c r="C35" s="283"/>
      <c r="D35" s="283"/>
      <c r="E35" s="284"/>
      <c r="F35" s="285"/>
      <c r="G35" s="286">
        <f>MIN(G6:G14)</f>
        <v>0.26086209999999999</v>
      </c>
      <c r="H35" s="286"/>
      <c r="I35" s="287"/>
      <c r="J35" s="287"/>
      <c r="K35" s="288">
        <f>MIN(K6:K14)</f>
        <v>0</v>
      </c>
      <c r="L35" s="288"/>
      <c r="M35" s="428">
        <f>MIN(M6:M14)</f>
        <v>0</v>
      </c>
      <c r="N35" s="284"/>
      <c r="O35" s="284"/>
      <c r="P35" s="286">
        <f>MIN(P6:P14)</f>
        <v>0.1779919257349154</v>
      </c>
      <c r="Q35" s="289">
        <f>MIN(Q6:Q14)</f>
        <v>0.1779919257349154</v>
      </c>
      <c r="R35" s="114"/>
      <c r="U35" s="235"/>
      <c r="V35" s="117"/>
      <c r="X35" s="429"/>
    </row>
    <row r="36" spans="1:27" ht="13.5" customHeight="1" x14ac:dyDescent="0.2">
      <c r="R36" s="114"/>
      <c r="S36" s="115"/>
      <c r="T36" s="115"/>
      <c r="U36" s="234"/>
      <c r="V36" s="115"/>
      <c r="W36" s="115"/>
      <c r="X36" s="115"/>
      <c r="Y36" s="115"/>
      <c r="Z36" s="115"/>
      <c r="AA36" s="115"/>
    </row>
    <row r="37" spans="1:27" ht="13.5" customHeight="1" x14ac:dyDescent="0.2">
      <c r="B37" s="69" t="s">
        <v>1065</v>
      </c>
      <c r="C37" s="70"/>
      <c r="D37" s="71"/>
      <c r="E37" s="72"/>
      <c r="F37" s="73"/>
      <c r="G37" s="73"/>
      <c r="H37" s="73"/>
      <c r="I37" s="73"/>
      <c r="J37" s="73"/>
      <c r="K37" s="74"/>
      <c r="L37" s="74"/>
      <c r="M37" s="168">
        <f>CHOOSE($X$53,M33,M34,0)</f>
        <v>0</v>
      </c>
      <c r="N37" s="75"/>
      <c r="O37" s="76"/>
      <c r="P37" s="169">
        <f>CHOOSE($X$53,P33,P34,P33)</f>
        <v>0.71527537916876682</v>
      </c>
      <c r="Q37" s="77">
        <f>P37*(1+($M$47/$M$48)*$E$47)</f>
        <v>0.71527537916876682</v>
      </c>
      <c r="R37" s="114"/>
      <c r="S37" s="115"/>
      <c r="U37" s="235"/>
      <c r="W37" s="115"/>
      <c r="X37" s="429"/>
      <c r="Y37" s="115"/>
      <c r="Z37" s="115"/>
      <c r="AA37" s="115"/>
    </row>
    <row r="38" spans="1:27" ht="13.5" customHeight="1" x14ac:dyDescent="0.3">
      <c r="E38" s="117"/>
      <c r="R38" s="245"/>
      <c r="S38" s="115"/>
      <c r="T38" s="115"/>
      <c r="U38" s="236"/>
      <c r="V38" s="115"/>
      <c r="W38" s="115"/>
      <c r="X38" s="115">
        <v>3</v>
      </c>
      <c r="Y38" s="115"/>
      <c r="Z38" s="430" t="s">
        <v>1066</v>
      </c>
      <c r="AA38" s="115"/>
    </row>
    <row r="39" spans="1:27" ht="13.5" customHeight="1" x14ac:dyDescent="0.2">
      <c r="B39" s="82" t="s">
        <v>47</v>
      </c>
      <c r="C39" s="82"/>
      <c r="F39" s="79"/>
      <c r="G39" s="79"/>
      <c r="H39" s="79"/>
      <c r="I39" s="79"/>
      <c r="J39" s="79"/>
      <c r="K39" s="79"/>
      <c r="L39" s="79"/>
      <c r="M39" s="79"/>
      <c r="N39" s="80"/>
      <c r="O39" s="80"/>
      <c r="Q39" s="81"/>
      <c r="R39" s="114"/>
      <c r="S39" s="115"/>
      <c r="T39" s="115"/>
      <c r="U39" s="234"/>
      <c r="V39" s="115"/>
      <c r="W39" s="115"/>
      <c r="X39" s="115"/>
      <c r="Y39" s="115"/>
      <c r="Z39" s="431" t="s">
        <v>1067</v>
      </c>
      <c r="AA39" s="115"/>
    </row>
    <row r="40" spans="1:27" ht="13.5" customHeight="1" x14ac:dyDescent="0.3">
      <c r="E40" s="78"/>
      <c r="F40" s="79"/>
      <c r="G40" s="79"/>
      <c r="H40" s="79"/>
      <c r="I40" s="79"/>
      <c r="J40" s="79"/>
      <c r="K40" s="79"/>
      <c r="L40" s="79"/>
      <c r="M40" s="79"/>
      <c r="N40" s="80"/>
      <c r="O40" s="80"/>
      <c r="R40" s="245"/>
      <c r="S40" s="115"/>
      <c r="U40" s="236" t="s">
        <v>1068</v>
      </c>
      <c r="W40" s="115"/>
      <c r="X40" s="429">
        <v>2</v>
      </c>
      <c r="Y40" s="115"/>
      <c r="Z40" s="432" t="s">
        <v>1069</v>
      </c>
      <c r="AA40" s="115"/>
    </row>
    <row r="41" spans="1:27" ht="27" customHeight="1" x14ac:dyDescent="0.2">
      <c r="B41" s="2091" t="s">
        <v>48</v>
      </c>
      <c r="C41" s="2092"/>
      <c r="D41" s="133" t="s">
        <v>49</v>
      </c>
      <c r="E41" s="417" t="s">
        <v>50</v>
      </c>
      <c r="F41" s="133" t="s">
        <v>51</v>
      </c>
      <c r="G41" s="172" t="s">
        <v>1122</v>
      </c>
      <c r="H41" s="172"/>
      <c r="I41" s="240" t="s">
        <v>49</v>
      </c>
      <c r="J41" s="417" t="s">
        <v>1123</v>
      </c>
      <c r="K41" s="134" t="s">
        <v>49</v>
      </c>
      <c r="L41" s="134"/>
      <c r="M41" s="134" t="s">
        <v>1070</v>
      </c>
      <c r="N41" s="134"/>
      <c r="O41" s="417"/>
      <c r="P41" s="134" t="s">
        <v>52</v>
      </c>
      <c r="Q41" s="135" t="s">
        <v>53</v>
      </c>
      <c r="R41" s="114"/>
      <c r="S41" s="115"/>
      <c r="U41" s="237"/>
      <c r="W41" s="115"/>
      <c r="X41" s="115"/>
      <c r="Y41" s="115"/>
      <c r="Z41" s="115"/>
      <c r="AA41" s="115"/>
    </row>
    <row r="42" spans="1:27" ht="13.5" customHeight="1" x14ac:dyDescent="0.3">
      <c r="B42" s="2076">
        <f>CHOOSE($X$42,G159,G160,G161,G162,G163)</f>
        <v>2.0650000000000002E-2</v>
      </c>
      <c r="C42" s="2077"/>
      <c r="D42" s="83"/>
      <c r="E42" s="199">
        <f>Q37</f>
        <v>0.71527537916876682</v>
      </c>
      <c r="F42" s="84"/>
      <c r="G42" s="173">
        <f>CHOOSE($X$40,H159,H160,H161,H162,H163)</f>
        <v>9.8446666666666668E-2</v>
      </c>
      <c r="H42" s="173"/>
      <c r="I42" s="85"/>
      <c r="J42" s="171">
        <v>0</v>
      </c>
      <c r="K42" s="85"/>
      <c r="L42" s="85"/>
      <c r="M42" s="171">
        <v>0</v>
      </c>
      <c r="N42" s="86"/>
      <c r="O42" s="171"/>
      <c r="P42" s="83"/>
      <c r="Q42" s="170">
        <f>SUM(B42,(E42*G42),J42,M42,O42)</f>
        <v>9.1066476827901199E-2</v>
      </c>
      <c r="R42" s="245"/>
      <c r="S42" s="115"/>
      <c r="U42" s="236" t="s">
        <v>1071</v>
      </c>
      <c r="W42" s="115"/>
      <c r="X42" s="429">
        <v>1</v>
      </c>
      <c r="Y42" s="115"/>
      <c r="Z42" s="115"/>
      <c r="AA42" s="115"/>
    </row>
    <row r="43" spans="1:27" ht="13.5" customHeight="1" x14ac:dyDescent="0.2">
      <c r="B43" s="80"/>
      <c r="C43" s="80"/>
      <c r="D43" s="80"/>
      <c r="E43" s="87"/>
      <c r="F43" s="88"/>
      <c r="G43" s="88"/>
      <c r="H43" s="88"/>
      <c r="I43" s="88"/>
      <c r="J43" s="88"/>
      <c r="K43" s="88"/>
      <c r="L43" s="88"/>
      <c r="M43" s="88"/>
      <c r="N43" s="80"/>
      <c r="O43" s="80"/>
      <c r="P43" s="80"/>
      <c r="Q43" s="80"/>
      <c r="R43" s="114"/>
      <c r="S43" s="115"/>
      <c r="U43" s="236"/>
      <c r="W43" s="115"/>
      <c r="X43" s="115"/>
      <c r="Y43" s="115"/>
      <c r="Z43" s="115"/>
      <c r="AA43" s="115"/>
    </row>
    <row r="44" spans="1:27" ht="13.5" customHeight="1" x14ac:dyDescent="0.2">
      <c r="B44" s="89" t="s">
        <v>54</v>
      </c>
      <c r="C44" s="89"/>
      <c r="D44" s="80"/>
      <c r="E44" s="87"/>
      <c r="F44" s="88"/>
      <c r="G44" s="88"/>
      <c r="H44" s="88"/>
      <c r="I44" s="88"/>
      <c r="J44" s="88"/>
      <c r="K44" s="80"/>
      <c r="L44" s="80"/>
      <c r="M44" s="89" t="s">
        <v>33</v>
      </c>
      <c r="N44" s="80"/>
      <c r="O44" s="80"/>
      <c r="P44" s="80"/>
      <c r="Q44" s="80"/>
      <c r="R44" s="114"/>
      <c r="S44" s="115"/>
      <c r="U44" s="236"/>
      <c r="W44" s="115"/>
      <c r="X44" s="429">
        <v>1</v>
      </c>
      <c r="Y44" s="115"/>
      <c r="Z44" s="115" t="s">
        <v>1072</v>
      </c>
      <c r="AA44" s="433">
        <v>0</v>
      </c>
    </row>
    <row r="45" spans="1:27" ht="13.5" customHeight="1" x14ac:dyDescent="0.2">
      <c r="B45" s="80"/>
      <c r="C45" s="80"/>
      <c r="D45" s="80"/>
      <c r="E45" s="87"/>
      <c r="F45" s="88"/>
      <c r="G45" s="88"/>
      <c r="H45" s="88"/>
      <c r="I45" s="88"/>
      <c r="J45" s="88"/>
      <c r="K45" s="80"/>
      <c r="L45" s="80"/>
      <c r="M45" s="80"/>
      <c r="N45" s="80"/>
      <c r="O45" s="80"/>
      <c r="P45" s="80"/>
      <c r="Q45" s="80"/>
      <c r="R45" s="114"/>
      <c r="S45" s="115"/>
      <c r="U45" s="236"/>
      <c r="W45" s="115"/>
      <c r="X45" s="115"/>
      <c r="Y45" s="115"/>
      <c r="Z45" s="115" t="s">
        <v>1073</v>
      </c>
      <c r="AA45" s="434"/>
    </row>
    <row r="46" spans="1:27" ht="27" customHeight="1" x14ac:dyDescent="0.2">
      <c r="B46" s="2078" t="s">
        <v>1074</v>
      </c>
      <c r="C46" s="2079"/>
      <c r="D46" s="416" t="s">
        <v>51</v>
      </c>
      <c r="E46" s="416" t="s">
        <v>55</v>
      </c>
      <c r="F46" s="416" t="s">
        <v>52</v>
      </c>
      <c r="G46" s="132" t="s">
        <v>56</v>
      </c>
      <c r="H46" s="239"/>
      <c r="I46" s="80"/>
      <c r="J46" s="92"/>
      <c r="K46" s="80"/>
      <c r="L46" s="80"/>
      <c r="M46" s="93" t="s">
        <v>1075</v>
      </c>
      <c r="N46" s="94" t="s">
        <v>51</v>
      </c>
      <c r="O46" s="90" t="s">
        <v>57</v>
      </c>
      <c r="P46" s="95" t="s">
        <v>52</v>
      </c>
      <c r="Q46" s="91" t="s">
        <v>58</v>
      </c>
      <c r="R46" s="114"/>
      <c r="S46" s="115"/>
      <c r="T46" s="115"/>
      <c r="U46" s="236"/>
      <c r="V46" s="115"/>
      <c r="W46" s="115"/>
      <c r="X46" s="115"/>
      <c r="Y46" s="115"/>
      <c r="Z46" s="115" t="s">
        <v>1076</v>
      </c>
      <c r="AA46" s="435"/>
    </row>
    <row r="47" spans="1:27" ht="13.5" customHeight="1" x14ac:dyDescent="0.3">
      <c r="B47" s="2080">
        <f>CHOOSE($X$50,$G$180,,$G$182)</f>
        <v>3.9209999999999995E-2</v>
      </c>
      <c r="C47" s="2081"/>
      <c r="D47" s="96"/>
      <c r="E47" s="174">
        <f>1-U3</f>
        <v>0.75800000000000001</v>
      </c>
      <c r="F47" s="97"/>
      <c r="G47" s="175">
        <f>(B47*E47)</f>
        <v>2.9721179999999996E-2</v>
      </c>
      <c r="H47" s="239"/>
      <c r="I47" s="80"/>
      <c r="J47" s="80"/>
      <c r="K47" s="98" t="s">
        <v>37</v>
      </c>
      <c r="L47" s="98"/>
      <c r="M47" s="176">
        <f>M37</f>
        <v>0</v>
      </c>
      <c r="N47" s="80"/>
      <c r="O47" s="178">
        <f>G47</f>
        <v>2.9721179999999996E-2</v>
      </c>
      <c r="P47" s="80"/>
      <c r="Q47" s="180">
        <f>O47*M47</f>
        <v>0</v>
      </c>
      <c r="R47" s="245"/>
      <c r="S47" s="115"/>
      <c r="U47" s="236" t="s">
        <v>1077</v>
      </c>
      <c r="V47" s="115"/>
      <c r="W47" s="115"/>
      <c r="X47" s="189">
        <v>2</v>
      </c>
      <c r="Y47" s="189">
        <f>X47</f>
        <v>2</v>
      </c>
      <c r="Z47" s="115"/>
      <c r="AA47" s="115"/>
    </row>
    <row r="48" spans="1:27" ht="13.5" customHeight="1" x14ac:dyDescent="0.3">
      <c r="B48" s="131"/>
      <c r="C48" s="165"/>
      <c r="E48" s="117"/>
      <c r="J48" s="80"/>
      <c r="K48" s="99" t="s">
        <v>42</v>
      </c>
      <c r="L48" s="99"/>
      <c r="M48" s="177">
        <f>(1-M47)</f>
        <v>1</v>
      </c>
      <c r="N48" s="100"/>
      <c r="O48" s="179">
        <f>Q42</f>
        <v>9.1066476827901199E-2</v>
      </c>
      <c r="P48" s="100"/>
      <c r="Q48" s="181">
        <f>O48*M48</f>
        <v>9.1066476827901199E-2</v>
      </c>
      <c r="R48" s="117"/>
      <c r="S48" s="115"/>
      <c r="U48" s="236"/>
      <c r="V48" s="115"/>
      <c r="W48" s="115"/>
      <c r="X48" s="189"/>
      <c r="Y48" s="189"/>
      <c r="Z48" s="115"/>
      <c r="AA48" s="115"/>
    </row>
    <row r="49" spans="1:40" ht="13.5" customHeight="1" x14ac:dyDescent="0.2">
      <c r="E49" s="117"/>
      <c r="O49" s="80"/>
      <c r="P49" s="80"/>
      <c r="Q49" s="80"/>
      <c r="R49" s="114"/>
      <c r="S49" s="115"/>
      <c r="U49" s="237"/>
      <c r="W49" s="115"/>
      <c r="X49" s="115"/>
      <c r="Y49" s="115"/>
      <c r="Z49" s="115"/>
      <c r="AA49" s="115"/>
      <c r="AM49" s="115"/>
      <c r="AN49" s="115"/>
    </row>
    <row r="50" spans="1:40" ht="13.5" customHeight="1" x14ac:dyDescent="0.2">
      <c r="E50" s="117"/>
      <c r="O50" s="436" t="s">
        <v>59</v>
      </c>
      <c r="P50" s="437" t="s">
        <v>52</v>
      </c>
      <c r="Q50" s="438">
        <f>ROUND(Q47+Q48,3)</f>
        <v>9.0999999999999998E-2</v>
      </c>
      <c r="R50" s="114"/>
      <c r="S50" s="115"/>
      <c r="U50" s="236" t="s">
        <v>1078</v>
      </c>
      <c r="V50" s="115"/>
      <c r="W50" s="115"/>
      <c r="X50" s="115">
        <v>3</v>
      </c>
      <c r="Y50" s="115"/>
      <c r="Z50" s="230" t="s">
        <v>161</v>
      </c>
      <c r="AM50" s="115"/>
      <c r="AN50" s="115"/>
    </row>
    <row r="51" spans="1:40" ht="13.5" customHeight="1" x14ac:dyDescent="0.2">
      <c r="A51" s="226"/>
      <c r="B51" s="439" t="s">
        <v>60</v>
      </c>
      <c r="C51" s="439"/>
      <c r="D51" s="440"/>
      <c r="E51" s="441"/>
      <c r="F51" s="439"/>
      <c r="G51" s="439"/>
      <c r="H51" s="439"/>
      <c r="I51" s="439"/>
      <c r="J51" s="439"/>
      <c r="K51" s="440"/>
      <c r="L51" s="440"/>
      <c r="M51" s="440"/>
      <c r="N51" s="442"/>
      <c r="O51" s="440"/>
      <c r="P51" s="440"/>
      <c r="Q51" s="529"/>
      <c r="R51" s="114"/>
      <c r="U51" s="237"/>
      <c r="Z51" s="231" t="s">
        <v>159</v>
      </c>
    </row>
    <row r="52" spans="1:40" ht="13.5" customHeight="1" x14ac:dyDescent="0.2">
      <c r="B52" s="102" t="s">
        <v>61</v>
      </c>
      <c r="C52" s="2082" t="s">
        <v>130</v>
      </c>
      <c r="D52" s="2082"/>
      <c r="E52" s="2082"/>
      <c r="F52" s="2082"/>
      <c r="G52" s="2082"/>
      <c r="H52" s="2082"/>
      <c r="I52" s="2082"/>
      <c r="J52" s="2082"/>
      <c r="K52" s="2082"/>
      <c r="L52" s="2082"/>
      <c r="M52" s="2082"/>
      <c r="N52" s="2082"/>
      <c r="O52" s="2082"/>
      <c r="P52" s="2082"/>
      <c r="Q52" s="2082"/>
      <c r="R52" s="116"/>
      <c r="U52" s="237"/>
      <c r="Y52" s="189"/>
      <c r="Z52" s="232" t="s">
        <v>160</v>
      </c>
    </row>
    <row r="53" spans="1:40" ht="13.5" customHeight="1" x14ac:dyDescent="0.3">
      <c r="B53" s="102" t="s">
        <v>62</v>
      </c>
      <c r="C53" s="2082" t="str">
        <f>"2015년 12월 31일 기준, "&amp;CHOOSE($X$34,"5년 Weekly adjusted Beta 적용","5년 Monthly adjusted Beta 적용","2년 Weekly adjusted Beta 적용")</f>
        <v>2015년 12월 31일 기준, 2년 Weekly adjusted Beta 적용</v>
      </c>
      <c r="D53" s="2082"/>
      <c r="E53" s="2082"/>
      <c r="F53" s="2082"/>
      <c r="G53" s="2082"/>
      <c r="H53" s="2082"/>
      <c r="I53" s="2082"/>
      <c r="J53" s="2082"/>
      <c r="K53" s="2082"/>
      <c r="L53" s="2082"/>
      <c r="M53" s="2082"/>
      <c r="N53" s="2082"/>
      <c r="O53" s="2082"/>
      <c r="P53" s="2082"/>
      <c r="Q53" s="2082"/>
      <c r="S53" s="115"/>
      <c r="U53" s="236" t="s">
        <v>1079</v>
      </c>
      <c r="V53" s="115"/>
      <c r="W53" s="115"/>
      <c r="X53" s="189">
        <v>3</v>
      </c>
      <c r="Z53" s="230" t="s">
        <v>44</v>
      </c>
    </row>
    <row r="54" spans="1:40" ht="13.5" customHeight="1" x14ac:dyDescent="0.3">
      <c r="B54" s="102" t="s">
        <v>63</v>
      </c>
      <c r="C54" s="2082" t="str">
        <f>"2015년 12월 31일 기준, "&amp;CHOOSE($X$47,"사용","과거 1개월 평균 시가총액 적용","과거 3개월 평균 시가총액 적용","과거 6개월 평균 시가총액 적용","과거 12개월 평균 시가총액 적용")</f>
        <v>2015년 12월 31일 기준, 과거 1개월 평균 시가총액 적용</v>
      </c>
      <c r="D54" s="2082"/>
      <c r="E54" s="2082"/>
      <c r="F54" s="2082"/>
      <c r="G54" s="2082"/>
      <c r="H54" s="2082"/>
      <c r="I54" s="2082"/>
      <c r="J54" s="2082"/>
      <c r="K54" s="2082"/>
      <c r="L54" s="2082"/>
      <c r="M54" s="2082"/>
      <c r="N54" s="2082"/>
      <c r="O54" s="2082"/>
      <c r="P54" s="2082"/>
      <c r="Q54" s="2082"/>
      <c r="Z54" s="231" t="s">
        <v>45</v>
      </c>
    </row>
    <row r="55" spans="1:40" ht="13.5" customHeight="1" x14ac:dyDescent="0.3">
      <c r="B55" s="102" t="s">
        <v>64</v>
      </c>
      <c r="C55" s="2082" t="s">
        <v>2173</v>
      </c>
      <c r="D55" s="2082"/>
      <c r="E55" s="2082"/>
      <c r="F55" s="2082"/>
      <c r="G55" s="2082"/>
      <c r="H55" s="2082"/>
      <c r="I55" s="2082"/>
      <c r="J55" s="2082"/>
      <c r="K55" s="2082"/>
      <c r="L55" s="2082"/>
      <c r="M55" s="2082"/>
      <c r="N55" s="2082"/>
      <c r="O55" s="2082"/>
      <c r="P55" s="2082"/>
      <c r="Q55" s="2082"/>
      <c r="Z55" s="232" t="s">
        <v>1080</v>
      </c>
    </row>
    <row r="56" spans="1:40" ht="13.5" customHeight="1" x14ac:dyDescent="0.3">
      <c r="B56" s="102" t="s">
        <v>1081</v>
      </c>
      <c r="C56" s="2082" t="s">
        <v>2827</v>
      </c>
      <c r="D56" s="2082"/>
      <c r="E56" s="2082"/>
      <c r="F56" s="2082"/>
      <c r="G56" s="2082"/>
      <c r="H56" s="2082"/>
      <c r="I56" s="2082"/>
      <c r="J56" s="2082"/>
      <c r="K56" s="2082"/>
      <c r="L56" s="2082"/>
      <c r="M56" s="2082"/>
      <c r="N56" s="2082"/>
      <c r="O56" s="2082"/>
      <c r="P56" s="2082"/>
      <c r="Q56" s="2082"/>
      <c r="T56" s="118"/>
    </row>
    <row r="57" spans="1:40" ht="13.5" customHeight="1" x14ac:dyDescent="0.3">
      <c r="B57" s="102" t="s">
        <v>1082</v>
      </c>
      <c r="C57" s="2082" t="str">
        <f>"2015년 12월 31일 기준, "&amp;CHOOSE($X$40,"사용","과거 1개월 평균 Equity Risk Premium 적용","과거 3개월 평균 Equity Risk Premium 적용","과거 6개월 평균 Equity Risk Premium 적용","과거 12개월 평균 Equity Risk Premium 적용")</f>
        <v>2015년 12월 31일 기준, 과거 1개월 평균 Equity Risk Premium 적용</v>
      </c>
      <c r="D57" s="2082"/>
      <c r="E57" s="2082"/>
      <c r="F57" s="2082"/>
      <c r="G57" s="2082"/>
      <c r="H57" s="2082"/>
      <c r="I57" s="2082"/>
      <c r="J57" s="2082"/>
      <c r="K57" s="2082"/>
      <c r="L57" s="2082"/>
      <c r="M57" s="2082"/>
      <c r="N57" s="2082"/>
      <c r="O57" s="2082"/>
      <c r="P57" s="2082"/>
      <c r="Q57" s="2082"/>
      <c r="T57" s="118"/>
    </row>
    <row r="58" spans="1:40" ht="13.5" customHeight="1" x14ac:dyDescent="0.3">
      <c r="B58" s="102" t="s">
        <v>1083</v>
      </c>
      <c r="C58" s="2082" t="s">
        <v>2828</v>
      </c>
      <c r="D58" s="2082"/>
      <c r="E58" s="2082"/>
      <c r="F58" s="2082"/>
      <c r="G58" s="2082"/>
      <c r="H58" s="2082"/>
      <c r="I58" s="2082"/>
      <c r="J58" s="2082"/>
      <c r="K58" s="2082"/>
      <c r="L58" s="2082"/>
      <c r="M58" s="2082"/>
      <c r="N58" s="2082"/>
      <c r="O58" s="2082"/>
      <c r="P58" s="2082"/>
      <c r="Q58" s="2082"/>
      <c r="R58" s="117"/>
    </row>
    <row r="59" spans="1:40" s="80" customFormat="1" ht="13.5" customHeight="1" x14ac:dyDescent="0.3">
      <c r="A59" s="226"/>
      <c r="B59" s="102" t="s">
        <v>1084</v>
      </c>
      <c r="C59" s="2082" t="s">
        <v>1152</v>
      </c>
      <c r="D59" s="2082"/>
      <c r="E59" s="2082"/>
      <c r="F59" s="2082"/>
      <c r="G59" s="2082"/>
      <c r="H59" s="2082"/>
      <c r="I59" s="2082"/>
      <c r="J59" s="2082"/>
      <c r="K59" s="2082"/>
      <c r="L59" s="2082"/>
      <c r="M59" s="2082"/>
      <c r="N59" s="2082"/>
      <c r="O59" s="2082"/>
      <c r="P59" s="2082"/>
      <c r="Q59" s="2082"/>
    </row>
    <row r="60" spans="1:40" ht="13.5" customHeight="1" x14ac:dyDescent="0.3">
      <c r="B60" s="443" t="s">
        <v>1085</v>
      </c>
      <c r="C60" s="2075" t="s">
        <v>1157</v>
      </c>
      <c r="D60" s="2075"/>
      <c r="E60" s="2075"/>
      <c r="F60" s="2075"/>
      <c r="G60" s="2075"/>
      <c r="H60" s="2075"/>
      <c r="I60" s="2075"/>
      <c r="J60" s="2075"/>
      <c r="K60" s="2075"/>
      <c r="L60" s="2075"/>
      <c r="M60" s="2075"/>
      <c r="N60" s="2075"/>
      <c r="O60" s="2075"/>
      <c r="P60" s="2075"/>
      <c r="Q60" s="2075"/>
      <c r="R60" s="117"/>
    </row>
    <row r="61" spans="1:40" ht="13.5" customHeight="1" x14ac:dyDescent="0.3">
      <c r="B61" s="120"/>
      <c r="C61" s="2070"/>
      <c r="D61" s="2070"/>
      <c r="E61" s="2070"/>
      <c r="F61" s="2070"/>
      <c r="G61" s="2070"/>
      <c r="H61" s="2070"/>
      <c r="I61" s="2070"/>
      <c r="J61" s="2070"/>
      <c r="K61" s="2070"/>
      <c r="L61" s="2070"/>
      <c r="M61" s="2070"/>
      <c r="N61" s="2070"/>
      <c r="O61" s="2070"/>
      <c r="P61" s="2070"/>
      <c r="Q61" s="2070"/>
      <c r="R61" s="117"/>
    </row>
    <row r="62" spans="1:40" ht="13.5" customHeight="1" x14ac:dyDescent="0.3">
      <c r="B62" s="120"/>
      <c r="C62" s="244"/>
      <c r="D62" s="244"/>
      <c r="E62" s="244"/>
      <c r="F62" s="244"/>
      <c r="G62" s="244"/>
      <c r="H62" s="244"/>
      <c r="I62" s="244"/>
      <c r="J62" s="244"/>
      <c r="K62" s="244"/>
      <c r="L62" s="244"/>
      <c r="M62" s="244"/>
      <c r="N62" s="244"/>
      <c r="O62" s="244"/>
      <c r="P62" s="244"/>
      <c r="Q62" s="244"/>
      <c r="R62" s="117"/>
    </row>
    <row r="63" spans="1:40" ht="13.5" customHeight="1" x14ac:dyDescent="0.3">
      <c r="B63" s="120"/>
      <c r="C63" s="244"/>
      <c r="D63" s="244"/>
      <c r="E63" s="244"/>
      <c r="F63" s="244"/>
      <c r="G63" s="244"/>
      <c r="H63" s="244"/>
      <c r="I63" s="244"/>
      <c r="J63" s="244"/>
      <c r="K63" s="244"/>
      <c r="L63" s="244"/>
      <c r="M63" s="244"/>
      <c r="N63" s="244"/>
      <c r="O63" s="244"/>
      <c r="P63" s="244"/>
      <c r="Q63" s="244"/>
      <c r="R63" s="117"/>
    </row>
    <row r="64" spans="1:40" ht="13.5" customHeight="1" x14ac:dyDescent="0.3">
      <c r="B64" s="406" t="s">
        <v>1086</v>
      </c>
      <c r="E64" s="117"/>
      <c r="G64" s="393"/>
      <c r="H64" s="393"/>
      <c r="I64" s="393"/>
      <c r="J64" s="418"/>
      <c r="K64" s="393"/>
      <c r="L64" s="393"/>
      <c r="M64" s="393"/>
      <c r="N64" s="393"/>
      <c r="O64" s="393"/>
      <c r="P64" s="393"/>
      <c r="Q64" s="393"/>
      <c r="R64" s="117"/>
    </row>
    <row r="65" spans="1:24" s="62" customFormat="1" ht="13.5" customHeight="1" x14ac:dyDescent="0.3">
      <c r="A65" s="227"/>
      <c r="B65" s="482"/>
      <c r="G65" s="393"/>
      <c r="H65" s="393"/>
      <c r="I65" s="484"/>
      <c r="J65" s="418"/>
      <c r="K65" s="393"/>
      <c r="L65" s="393"/>
      <c r="M65" s="393"/>
      <c r="N65" s="393"/>
      <c r="O65" s="393"/>
      <c r="P65" s="393"/>
      <c r="Q65" s="393"/>
    </row>
    <row r="66" spans="1:24" s="62" customFormat="1" ht="13.5" customHeight="1" x14ac:dyDescent="0.3">
      <c r="A66" s="227"/>
      <c r="B66" s="482" t="s">
        <v>1087</v>
      </c>
      <c r="G66" s="393"/>
      <c r="H66" s="393"/>
      <c r="I66" s="393"/>
      <c r="J66" s="418"/>
      <c r="K66" s="393"/>
      <c r="L66" s="393"/>
      <c r="M66" s="393"/>
      <c r="N66" s="393"/>
      <c r="O66" s="393"/>
      <c r="P66" s="393"/>
      <c r="Q66" s="393"/>
    </row>
    <row r="67" spans="1:24" s="62" customFormat="1" ht="13.5" customHeight="1" x14ac:dyDescent="0.3">
      <c r="A67" s="227"/>
      <c r="B67" s="474" t="s">
        <v>2076</v>
      </c>
      <c r="G67" s="393"/>
      <c r="H67" s="393"/>
      <c r="I67" s="393"/>
      <c r="J67" s="418"/>
      <c r="K67" s="393"/>
      <c r="L67" s="393"/>
      <c r="M67" s="393"/>
      <c r="N67" s="393"/>
      <c r="O67" s="393"/>
      <c r="P67" s="393"/>
      <c r="Q67" s="393"/>
    </row>
    <row r="68" spans="1:24" s="62" customFormat="1" ht="13.5" customHeight="1" x14ac:dyDescent="0.3">
      <c r="A68" s="227"/>
      <c r="B68" s="474" t="s">
        <v>2077</v>
      </c>
      <c r="G68" s="393"/>
      <c r="H68" s="393"/>
      <c r="I68" s="393"/>
      <c r="J68" s="418"/>
      <c r="K68" s="393"/>
      <c r="L68" s="393"/>
      <c r="M68" s="393"/>
      <c r="N68" s="393"/>
      <c r="O68" s="393"/>
      <c r="P68" s="393"/>
      <c r="Q68" s="393"/>
      <c r="R68" s="393"/>
      <c r="S68" s="393"/>
      <c r="T68" s="393"/>
      <c r="U68" s="393"/>
      <c r="V68" s="393"/>
      <c r="W68" s="393"/>
      <c r="X68" s="393"/>
    </row>
    <row r="69" spans="1:24" s="62" customFormat="1" ht="13.5" customHeight="1" x14ac:dyDescent="0.3">
      <c r="A69" s="227"/>
      <c r="B69" s="481" t="s">
        <v>2078</v>
      </c>
      <c r="G69" s="393"/>
      <c r="H69" s="393"/>
      <c r="I69" s="393"/>
      <c r="J69" s="418"/>
      <c r="K69" s="393"/>
      <c r="L69" s="393"/>
      <c r="M69" s="393"/>
      <c r="N69" s="393"/>
      <c r="O69" s="393"/>
      <c r="P69" s="393"/>
      <c r="Q69" s="393"/>
      <c r="R69" s="393"/>
      <c r="S69" s="393"/>
      <c r="T69" s="393"/>
      <c r="U69" s="393"/>
      <c r="V69" s="393"/>
      <c r="W69" s="393"/>
      <c r="X69" s="393"/>
    </row>
    <row r="70" spans="1:24" s="62" customFormat="1" ht="13.5" customHeight="1" x14ac:dyDescent="0.3">
      <c r="A70" s="227"/>
      <c r="B70" s="400"/>
      <c r="G70" s="393"/>
      <c r="H70" s="393"/>
      <c r="I70" s="393"/>
      <c r="J70" s="418"/>
      <c r="K70" s="393"/>
      <c r="L70" s="393"/>
      <c r="M70" s="393"/>
      <c r="N70" s="393"/>
      <c r="O70" s="393"/>
      <c r="P70" s="393"/>
      <c r="Q70" s="393"/>
      <c r="R70" s="393"/>
      <c r="S70" s="393"/>
      <c r="T70" s="393"/>
      <c r="U70" s="393"/>
      <c r="V70" s="393"/>
      <c r="W70" s="393"/>
      <c r="X70" s="393"/>
    </row>
    <row r="71" spans="1:24" ht="13.5" customHeight="1" x14ac:dyDescent="0.3">
      <c r="B71" s="350"/>
      <c r="C71" s="244"/>
      <c r="D71" s="244"/>
      <c r="E71" s="244"/>
      <c r="F71" s="244"/>
      <c r="G71" s="244"/>
      <c r="H71" s="244"/>
      <c r="I71" s="244"/>
      <c r="J71" s="244"/>
      <c r="K71" s="244"/>
      <c r="L71" s="244"/>
      <c r="N71" s="244"/>
      <c r="O71" s="244"/>
      <c r="P71" s="244"/>
      <c r="Q71" s="244"/>
      <c r="T71" s="115"/>
      <c r="U71" s="115"/>
    </row>
    <row r="72" spans="1:24" s="115" customFormat="1" ht="13.5" customHeight="1" x14ac:dyDescent="0.3">
      <c r="A72" s="228"/>
      <c r="B72" s="485" t="s">
        <v>1088</v>
      </c>
      <c r="C72" s="80"/>
      <c r="D72" s="92"/>
      <c r="E72" s="92"/>
      <c r="F72" s="92"/>
      <c r="G72" s="444" t="str">
        <f>IF(X32=1,"Raw","Adjusted")</f>
        <v>Adjusted</v>
      </c>
      <c r="H72" s="445"/>
      <c r="I72" s="446"/>
      <c r="J72" s="62"/>
      <c r="K72" s="244"/>
      <c r="M72" s="193" t="s">
        <v>1089</v>
      </c>
      <c r="N72" s="244"/>
      <c r="O72" s="244"/>
      <c r="P72" s="244"/>
      <c r="Q72" s="244"/>
    </row>
    <row r="73" spans="1:24" s="115" customFormat="1" ht="24" x14ac:dyDescent="0.2">
      <c r="A73" s="228"/>
      <c r="B73" s="447"/>
      <c r="C73" s="448"/>
      <c r="D73" s="448"/>
      <c r="E73" s="448"/>
      <c r="F73" s="449"/>
      <c r="G73" s="450" t="s">
        <v>1090</v>
      </c>
      <c r="H73" s="451" t="s">
        <v>1091</v>
      </c>
      <c r="I73" s="451" t="s">
        <v>1092</v>
      </c>
      <c r="J73" s="452"/>
      <c r="K73" s="244"/>
      <c r="M73" s="191" t="s">
        <v>1093</v>
      </c>
      <c r="N73" s="244"/>
      <c r="O73" s="244"/>
      <c r="P73" s="244"/>
      <c r="Q73" s="244"/>
    </row>
    <row r="74" spans="1:24" s="115" customFormat="1" ht="13.5" customHeight="1" x14ac:dyDescent="0.2">
      <c r="A74" s="960">
        <v>1</v>
      </c>
      <c r="B74" s="942" t="str">
        <f>$B6</f>
        <v>SAMSUNG SDS CO LTD</v>
      </c>
      <c r="C74" s="943"/>
      <c r="D74" s="944"/>
      <c r="E74" s="945"/>
      <c r="F74" s="946"/>
      <c r="G74" s="947">
        <v>1.245976</v>
      </c>
      <c r="H74" s="945">
        <v>0.63341060000000005</v>
      </c>
      <c r="I74" s="948">
        <v>1.245976</v>
      </c>
      <c r="J74" s="453"/>
      <c r="K74" s="244"/>
      <c r="M74" s="191" t="s">
        <v>1094</v>
      </c>
      <c r="N74" s="244"/>
      <c r="O74" s="244"/>
      <c r="P74" s="244"/>
      <c r="Q74" s="244"/>
    </row>
    <row r="75" spans="1:24" s="115" customFormat="1" ht="13.5" customHeight="1" x14ac:dyDescent="0.2">
      <c r="A75" s="960">
        <v>2</v>
      </c>
      <c r="B75" s="469" t="str">
        <f t="shared" ref="B75:B79" si="10">$B7</f>
        <v>POSCO ICT CO LTD</v>
      </c>
      <c r="C75" s="122"/>
      <c r="D75" s="949"/>
      <c r="E75" s="950"/>
      <c r="F75" s="951"/>
      <c r="G75" s="952">
        <v>0.82423480000000005</v>
      </c>
      <c r="H75" s="950">
        <v>1.0696060000000001</v>
      </c>
      <c r="I75" s="953">
        <v>0.61232299999999995</v>
      </c>
      <c r="J75" s="454"/>
      <c r="K75" s="244"/>
      <c r="M75" s="191" t="s">
        <v>1095</v>
      </c>
      <c r="N75" s="244"/>
      <c r="O75" s="244"/>
      <c r="P75" s="244"/>
      <c r="Q75" s="244"/>
    </row>
    <row r="76" spans="1:24" s="115" customFormat="1" ht="13.5" customHeight="1" x14ac:dyDescent="0.2">
      <c r="A76" s="960">
        <v>3</v>
      </c>
      <c r="B76" s="469" t="str">
        <f t="shared" si="10"/>
        <v>DONGBU CO LTD</v>
      </c>
      <c r="C76" s="122"/>
      <c r="D76" s="949"/>
      <c r="E76" s="950"/>
      <c r="F76" s="951"/>
      <c r="G76" s="952">
        <v>0.88404799999999994</v>
      </c>
      <c r="H76" s="950">
        <v>1.185187</v>
      </c>
      <c r="I76" s="953">
        <v>1.0504979999999999</v>
      </c>
      <c r="J76" s="454"/>
      <c r="K76" s="244"/>
      <c r="L76" s="244"/>
      <c r="N76" s="244"/>
      <c r="O76" s="244"/>
      <c r="P76" s="244"/>
      <c r="Q76" s="244"/>
    </row>
    <row r="77" spans="1:24" s="115" customFormat="1" ht="13.5" customHeight="1" x14ac:dyDescent="0.2">
      <c r="A77" s="960">
        <v>4</v>
      </c>
      <c r="B77" s="469" t="str">
        <f t="shared" si="10"/>
        <v>SHINSEGAE INFORMATION &amp; COMM</v>
      </c>
      <c r="C77" s="122"/>
      <c r="D77" s="949"/>
      <c r="E77" s="950"/>
      <c r="F77" s="951"/>
      <c r="G77" s="952">
        <v>0.63095630000000003</v>
      </c>
      <c r="H77" s="950">
        <v>0.73746719999999999</v>
      </c>
      <c r="I77" s="953">
        <v>0.88442390000000004</v>
      </c>
      <c r="J77" s="454"/>
      <c r="K77" s="244"/>
      <c r="L77" s="244"/>
      <c r="N77" s="244"/>
      <c r="O77" s="244"/>
      <c r="P77" s="244"/>
      <c r="Q77" s="244"/>
    </row>
    <row r="78" spans="1:24" s="115" customFormat="1" ht="13.5" customHeight="1" x14ac:dyDescent="0.2">
      <c r="A78" s="960">
        <v>5</v>
      </c>
      <c r="B78" s="469" t="str">
        <f t="shared" si="10"/>
        <v>HYUNDAI INFORMATION TECH</v>
      </c>
      <c r="C78" s="122"/>
      <c r="D78" s="949"/>
      <c r="E78" s="950"/>
      <c r="F78" s="951"/>
      <c r="G78" s="952">
        <v>0.42055100000000001</v>
      </c>
      <c r="H78" s="950">
        <v>0.75563769999999997</v>
      </c>
      <c r="I78" s="953">
        <v>0.26086209999999999</v>
      </c>
      <c r="J78" s="454"/>
      <c r="K78" s="244"/>
      <c r="L78" s="244"/>
      <c r="N78" s="244"/>
      <c r="O78" s="244"/>
      <c r="P78" s="244"/>
      <c r="Q78" s="244"/>
    </row>
    <row r="79" spans="1:24" s="115" customFormat="1" ht="13.5" customHeight="1" x14ac:dyDescent="0.2">
      <c r="A79" s="960">
        <v>6</v>
      </c>
      <c r="B79" s="469" t="str">
        <f t="shared" si="10"/>
        <v>HANIL NETWORKS CO LTD</v>
      </c>
      <c r="C79" s="122"/>
      <c r="D79" s="949"/>
      <c r="E79" s="950"/>
      <c r="F79" s="951"/>
      <c r="G79" s="952">
        <v>0.66079679999999996</v>
      </c>
      <c r="H79" s="950">
        <v>1.56227</v>
      </c>
      <c r="I79" s="953">
        <v>0.70775719999999998</v>
      </c>
      <c r="J79" s="454"/>
      <c r="K79" s="244"/>
      <c r="L79" s="244"/>
      <c r="N79" s="244"/>
      <c r="O79" s="244"/>
      <c r="P79" s="244"/>
      <c r="Q79" s="244"/>
    </row>
    <row r="80" spans="1:24" s="115" customFormat="1" ht="13.5" customHeight="1" x14ac:dyDescent="0.2">
      <c r="A80" s="960">
        <v>7</v>
      </c>
      <c r="B80" s="469"/>
      <c r="C80" s="122"/>
      <c r="D80" s="949"/>
      <c r="E80" s="950"/>
      <c r="F80" s="951"/>
      <c r="G80" s="952"/>
      <c r="H80" s="950"/>
      <c r="I80" s="953"/>
      <c r="J80" s="454"/>
      <c r="K80" s="244"/>
      <c r="L80" s="244"/>
      <c r="N80" s="244"/>
      <c r="O80" s="244"/>
      <c r="P80" s="244"/>
      <c r="Q80" s="244"/>
    </row>
    <row r="81" spans="1:17" s="115" customFormat="1" ht="13.5" customHeight="1" x14ac:dyDescent="0.2">
      <c r="A81" s="960">
        <v>8</v>
      </c>
      <c r="B81" s="469"/>
      <c r="C81" s="122"/>
      <c r="D81" s="949"/>
      <c r="E81" s="950"/>
      <c r="F81" s="951"/>
      <c r="G81" s="952"/>
      <c r="H81" s="950"/>
      <c r="I81" s="953"/>
      <c r="J81" s="454"/>
      <c r="K81" s="244"/>
      <c r="L81" s="244"/>
      <c r="N81" s="244"/>
      <c r="O81" s="244"/>
      <c r="P81" s="244"/>
      <c r="Q81" s="244"/>
    </row>
    <row r="82" spans="1:17" s="115" customFormat="1" ht="13.5" customHeight="1" x14ac:dyDescent="0.2">
      <c r="A82" s="960">
        <v>9</v>
      </c>
      <c r="B82" s="469"/>
      <c r="C82" s="122"/>
      <c r="D82" s="949"/>
      <c r="E82" s="950"/>
      <c r="F82" s="951"/>
      <c r="G82" s="952"/>
      <c r="H82" s="950"/>
      <c r="I82" s="953"/>
      <c r="J82" s="454"/>
      <c r="K82" s="244"/>
      <c r="L82" s="244"/>
      <c r="N82" s="244"/>
      <c r="O82" s="244"/>
      <c r="P82" s="244"/>
      <c r="Q82" s="244"/>
    </row>
    <row r="83" spans="1:17" s="115" customFormat="1" ht="13.5" customHeight="1" x14ac:dyDescent="0.2">
      <c r="A83" s="960">
        <v>10</v>
      </c>
      <c r="B83" s="469"/>
      <c r="C83" s="122"/>
      <c r="D83" s="949"/>
      <c r="E83" s="950"/>
      <c r="F83" s="951"/>
      <c r="G83" s="952"/>
      <c r="H83" s="950"/>
      <c r="I83" s="953"/>
      <c r="J83" s="454"/>
      <c r="K83" s="244"/>
      <c r="L83" s="244"/>
      <c r="N83" s="244"/>
      <c r="O83" s="244"/>
      <c r="P83" s="244"/>
      <c r="Q83" s="244"/>
    </row>
    <row r="84" spans="1:17" s="115" customFormat="1" ht="13.5" customHeight="1" x14ac:dyDescent="0.2">
      <c r="A84" s="960">
        <v>11</v>
      </c>
      <c r="B84" s="469"/>
      <c r="C84" s="122"/>
      <c r="D84" s="949"/>
      <c r="E84" s="950"/>
      <c r="F84" s="951"/>
      <c r="G84" s="952"/>
      <c r="H84" s="950"/>
      <c r="I84" s="953"/>
      <c r="J84" s="454"/>
      <c r="K84" s="244"/>
      <c r="L84" s="244"/>
      <c r="N84" s="244"/>
      <c r="O84" s="244"/>
      <c r="P84" s="244"/>
      <c r="Q84" s="244"/>
    </row>
    <row r="85" spans="1:17" s="115" customFormat="1" ht="13.5" customHeight="1" x14ac:dyDescent="0.2">
      <c r="A85" s="960">
        <v>12</v>
      </c>
      <c r="B85" s="469"/>
      <c r="C85" s="122"/>
      <c r="D85" s="949"/>
      <c r="E85" s="950"/>
      <c r="F85" s="951"/>
      <c r="G85" s="952"/>
      <c r="H85" s="950"/>
      <c r="I85" s="953"/>
      <c r="J85" s="454"/>
      <c r="K85" s="244"/>
      <c r="L85" s="244"/>
      <c r="N85" s="244"/>
      <c r="O85" s="244"/>
      <c r="P85" s="244"/>
      <c r="Q85" s="244"/>
    </row>
    <row r="86" spans="1:17" s="115" customFormat="1" ht="13.5" customHeight="1" x14ac:dyDescent="0.2">
      <c r="A86" s="960">
        <v>13</v>
      </c>
      <c r="B86" s="469"/>
      <c r="C86" s="122"/>
      <c r="D86" s="949"/>
      <c r="E86" s="950"/>
      <c r="F86" s="951"/>
      <c r="G86" s="952"/>
      <c r="H86" s="950"/>
      <c r="I86" s="953"/>
      <c r="J86" s="454"/>
      <c r="K86" s="244"/>
      <c r="L86" s="244"/>
      <c r="N86" s="244"/>
      <c r="O86" s="244"/>
      <c r="P86" s="244"/>
      <c r="Q86" s="244"/>
    </row>
    <row r="87" spans="1:17" s="115" customFormat="1" ht="13.5" customHeight="1" x14ac:dyDescent="0.2">
      <c r="A87" s="961">
        <v>14</v>
      </c>
      <c r="B87" s="954"/>
      <c r="C87" s="122"/>
      <c r="D87" s="949"/>
      <c r="E87" s="950"/>
      <c r="F87" s="951"/>
      <c r="G87" s="952"/>
      <c r="H87" s="950"/>
      <c r="I87" s="953"/>
      <c r="J87" s="454"/>
      <c r="K87" s="244"/>
      <c r="L87" s="244"/>
      <c r="N87" s="244"/>
      <c r="O87" s="244"/>
      <c r="P87" s="244"/>
      <c r="Q87" s="244"/>
    </row>
    <row r="88" spans="1:17" s="115" customFormat="1" ht="13.5" customHeight="1" x14ac:dyDescent="0.2">
      <c r="A88" s="961">
        <v>15</v>
      </c>
      <c r="B88" s="962"/>
      <c r="C88" s="122"/>
      <c r="D88" s="949"/>
      <c r="E88" s="950"/>
      <c r="F88" s="955"/>
      <c r="G88" s="950"/>
      <c r="H88" s="950"/>
      <c r="I88" s="956"/>
      <c r="J88" s="963"/>
      <c r="K88" s="242"/>
      <c r="L88" s="242"/>
      <c r="M88" s="62"/>
      <c r="N88" s="244"/>
      <c r="O88" s="244"/>
      <c r="P88" s="244"/>
      <c r="Q88" s="244"/>
    </row>
    <row r="89" spans="1:17" s="115" customFormat="1" ht="13.5" customHeight="1" x14ac:dyDescent="0.2">
      <c r="A89" s="961">
        <v>16</v>
      </c>
      <c r="B89" s="962"/>
      <c r="C89" s="122"/>
      <c r="D89" s="949"/>
      <c r="E89" s="950"/>
      <c r="F89" s="955"/>
      <c r="G89" s="950"/>
      <c r="H89" s="950"/>
      <c r="I89" s="956"/>
      <c r="J89" s="455"/>
      <c r="K89" s="242"/>
      <c r="L89" s="242"/>
      <c r="M89" s="62"/>
      <c r="N89" s="244"/>
      <c r="O89" s="244"/>
      <c r="P89" s="244"/>
      <c r="Q89" s="244"/>
    </row>
    <row r="90" spans="1:17" s="115" customFormat="1" ht="13.5" customHeight="1" x14ac:dyDescent="0.2">
      <c r="A90" s="961">
        <v>17</v>
      </c>
      <c r="B90" s="962"/>
      <c r="C90" s="122"/>
      <c r="D90" s="949"/>
      <c r="E90" s="950"/>
      <c r="F90" s="955"/>
      <c r="G90" s="950"/>
      <c r="H90" s="950"/>
      <c r="I90" s="956"/>
      <c r="J90" s="455"/>
      <c r="K90" s="242"/>
      <c r="L90" s="242"/>
      <c r="M90" s="62"/>
      <c r="N90" s="244"/>
      <c r="O90" s="244"/>
      <c r="P90" s="244"/>
      <c r="Q90" s="244"/>
    </row>
    <row r="91" spans="1:17" s="115" customFormat="1" ht="13.5" customHeight="1" x14ac:dyDescent="0.2">
      <c r="A91" s="961">
        <v>18</v>
      </c>
      <c r="B91" s="962"/>
      <c r="C91" s="122"/>
      <c r="D91" s="949"/>
      <c r="E91" s="950"/>
      <c r="F91" s="955"/>
      <c r="G91" s="950"/>
      <c r="H91" s="950"/>
      <c r="I91" s="956"/>
      <c r="J91" s="455"/>
      <c r="K91" s="242"/>
      <c r="L91" s="242"/>
      <c r="M91" s="62"/>
      <c r="N91" s="244"/>
      <c r="O91" s="244"/>
      <c r="P91" s="244"/>
      <c r="Q91" s="244"/>
    </row>
    <row r="92" spans="1:17" s="115" customFormat="1" ht="13.5" customHeight="1" x14ac:dyDescent="0.2">
      <c r="A92" s="961">
        <v>19</v>
      </c>
      <c r="B92" s="962"/>
      <c r="C92" s="122"/>
      <c r="D92" s="949"/>
      <c r="E92" s="950"/>
      <c r="F92" s="955"/>
      <c r="G92" s="950"/>
      <c r="H92" s="950"/>
      <c r="I92" s="956"/>
      <c r="J92" s="455"/>
      <c r="K92" s="242"/>
      <c r="L92" s="242"/>
      <c r="M92" s="62"/>
      <c r="N92" s="244"/>
      <c r="O92" s="244"/>
      <c r="P92" s="244"/>
      <c r="Q92" s="244"/>
    </row>
    <row r="93" spans="1:17" s="115" customFormat="1" ht="13.5" customHeight="1" x14ac:dyDescent="0.2">
      <c r="A93" s="961">
        <v>20</v>
      </c>
      <c r="B93" s="954"/>
      <c r="C93" s="122"/>
      <c r="D93" s="949"/>
      <c r="E93" s="950"/>
      <c r="F93" s="955"/>
      <c r="G93" s="950"/>
      <c r="H93" s="950"/>
      <c r="I93" s="956"/>
      <c r="J93" s="455"/>
      <c r="K93" s="242"/>
      <c r="L93" s="242"/>
      <c r="M93" s="62"/>
      <c r="N93" s="244"/>
      <c r="O93" s="244"/>
      <c r="P93" s="244"/>
      <c r="Q93" s="244"/>
    </row>
    <row r="94" spans="1:17" s="115" customFormat="1" ht="13.5" customHeight="1" x14ac:dyDescent="0.2">
      <c r="A94" s="961">
        <v>21</v>
      </c>
      <c r="B94" s="954"/>
      <c r="C94" s="122"/>
      <c r="D94" s="949"/>
      <c r="E94" s="950"/>
      <c r="F94" s="955"/>
      <c r="G94" s="950"/>
      <c r="H94" s="950"/>
      <c r="I94" s="956"/>
      <c r="J94" s="455"/>
      <c r="K94" s="242"/>
      <c r="L94" s="242"/>
      <c r="M94" s="62"/>
      <c r="N94" s="244"/>
      <c r="O94" s="244"/>
      <c r="P94" s="244"/>
      <c r="Q94" s="244"/>
    </row>
    <row r="95" spans="1:17" s="115" customFormat="1" ht="13.5" customHeight="1" x14ac:dyDescent="0.2">
      <c r="A95" s="961">
        <v>22</v>
      </c>
      <c r="B95" s="954"/>
      <c r="C95" s="122"/>
      <c r="D95" s="949"/>
      <c r="E95" s="950"/>
      <c r="F95" s="955"/>
      <c r="G95" s="950"/>
      <c r="H95" s="950"/>
      <c r="I95" s="956"/>
      <c r="J95" s="455"/>
      <c r="K95" s="242"/>
      <c r="L95" s="242"/>
      <c r="M95" s="62"/>
      <c r="N95" s="244"/>
      <c r="O95" s="244"/>
      <c r="P95" s="244"/>
      <c r="Q95" s="244"/>
    </row>
    <row r="96" spans="1:17" s="115" customFormat="1" ht="13.5" customHeight="1" x14ac:dyDescent="0.2">
      <c r="A96" s="961">
        <v>23</v>
      </c>
      <c r="B96" s="954"/>
      <c r="C96" s="122"/>
      <c r="D96" s="949"/>
      <c r="E96" s="950"/>
      <c r="F96" s="955"/>
      <c r="G96" s="950"/>
      <c r="H96" s="950"/>
      <c r="I96" s="956"/>
      <c r="J96" s="455"/>
      <c r="K96" s="242"/>
      <c r="L96" s="242"/>
      <c r="M96" s="62"/>
      <c r="N96" s="244"/>
      <c r="O96" s="244"/>
      <c r="P96" s="244"/>
      <c r="Q96" s="244"/>
    </row>
    <row r="97" spans="1:18" s="115" customFormat="1" ht="13.5" customHeight="1" x14ac:dyDescent="0.2">
      <c r="A97" s="961">
        <v>24</v>
      </c>
      <c r="B97" s="954"/>
      <c r="C97" s="122"/>
      <c r="D97" s="949"/>
      <c r="E97" s="950"/>
      <c r="F97" s="955"/>
      <c r="G97" s="950"/>
      <c r="H97" s="950"/>
      <c r="I97" s="956"/>
      <c r="J97" s="455"/>
      <c r="K97" s="242"/>
      <c r="L97" s="242"/>
      <c r="M97" s="62"/>
      <c r="N97" s="244"/>
      <c r="O97" s="244"/>
      <c r="P97" s="244"/>
      <c r="Q97" s="244"/>
    </row>
    <row r="98" spans="1:18" s="115" customFormat="1" ht="13.5" customHeight="1" x14ac:dyDescent="0.2">
      <c r="A98" s="961">
        <v>25</v>
      </c>
      <c r="B98" s="957"/>
      <c r="C98" s="122"/>
      <c r="D98" s="949"/>
      <c r="E98" s="950"/>
      <c r="F98" s="958"/>
      <c r="G98" s="950"/>
      <c r="H98" s="950"/>
      <c r="I98" s="959"/>
      <c r="J98" s="456"/>
      <c r="K98" s="242"/>
      <c r="L98" s="242"/>
      <c r="M98" s="62"/>
      <c r="N98" s="244"/>
      <c r="O98" s="244"/>
      <c r="P98" s="244"/>
      <c r="Q98" s="244"/>
    </row>
    <row r="99" spans="1:18" ht="13.5" customHeight="1" x14ac:dyDescent="0.3">
      <c r="B99" s="350"/>
      <c r="C99" s="457"/>
      <c r="D99" s="457"/>
      <c r="E99" s="457"/>
      <c r="F99" s="457"/>
      <c r="G99" s="458"/>
      <c r="H99" s="458"/>
      <c r="I99" s="458"/>
      <c r="J99" s="458"/>
      <c r="K99" s="243"/>
      <c r="L99" s="242"/>
      <c r="M99" s="80"/>
    </row>
    <row r="100" spans="1:18" ht="13.5" customHeight="1" x14ac:dyDescent="0.3">
      <c r="B100" s="485" t="s">
        <v>1096</v>
      </c>
      <c r="N100" s="80"/>
      <c r="P100" s="80"/>
    </row>
    <row r="101" spans="1:18" s="196" customFormat="1" ht="13.5" customHeight="1" x14ac:dyDescent="0.2">
      <c r="A101" s="229"/>
      <c r="B101" s="459"/>
      <c r="C101" s="460"/>
      <c r="D101" s="461"/>
      <c r="E101" s="461"/>
      <c r="F101" s="462"/>
      <c r="G101" s="461">
        <f>M102</f>
        <v>42369</v>
      </c>
      <c r="H101" s="460" t="s">
        <v>69</v>
      </c>
      <c r="I101" s="460" t="s">
        <v>1097</v>
      </c>
      <c r="J101" s="460" t="s">
        <v>1098</v>
      </c>
      <c r="K101" s="463" t="s">
        <v>1099</v>
      </c>
      <c r="M101" s="193" t="s">
        <v>1100</v>
      </c>
      <c r="N101" s="192"/>
      <c r="P101" s="92"/>
      <c r="R101" s="190"/>
    </row>
    <row r="102" spans="1:18" ht="13.5" customHeight="1" x14ac:dyDescent="0.2">
      <c r="A102" s="483">
        <v>1</v>
      </c>
      <c r="B102" s="942" t="str">
        <f>$B6</f>
        <v>SAMSUNG SDS CO LTD</v>
      </c>
      <c r="C102" s="943"/>
      <c r="D102" s="990"/>
      <c r="E102" s="991"/>
      <c r="F102" s="992"/>
      <c r="G102" s="993">
        <v>19653961.197000001</v>
      </c>
      <c r="H102" s="994">
        <v>20173497.85414286</v>
      </c>
      <c r="I102" s="995">
        <v>20771640.530095231</v>
      </c>
      <c r="J102" s="995">
        <v>20833051.48251589</v>
      </c>
      <c r="K102" s="996">
        <v>20807140.022633053</v>
      </c>
      <c r="M102" s="194">
        <f>Des!C8</f>
        <v>42369</v>
      </c>
      <c r="N102" s="123"/>
      <c r="P102" s="80"/>
    </row>
    <row r="103" spans="1:18" ht="13.5" customHeight="1" x14ac:dyDescent="0.2">
      <c r="A103" s="483">
        <v>2</v>
      </c>
      <c r="B103" s="469" t="str">
        <f t="shared" ref="B103:B107" si="11">$B7</f>
        <v>POSCO ICT CO LTD</v>
      </c>
      <c r="C103" s="122"/>
      <c r="D103" s="127"/>
      <c r="E103" s="976"/>
      <c r="F103" s="977"/>
      <c r="G103" s="978">
        <v>770816.076</v>
      </c>
      <c r="H103" s="975">
        <v>749314.02152380964</v>
      </c>
      <c r="I103" s="975">
        <v>761500.93233968248</v>
      </c>
      <c r="J103" s="975">
        <v>779105.58865555574</v>
      </c>
      <c r="K103" s="979">
        <v>807672.23697137157</v>
      </c>
      <c r="M103" s="194" t="s">
        <v>1101</v>
      </c>
      <c r="N103" s="127"/>
      <c r="P103" s="80"/>
    </row>
    <row r="104" spans="1:18" ht="13.5" customHeight="1" x14ac:dyDescent="0.2">
      <c r="A104" s="483">
        <v>3</v>
      </c>
      <c r="B104" s="469" t="str">
        <f t="shared" si="11"/>
        <v>DONGBU CO LTD</v>
      </c>
      <c r="C104" s="122"/>
      <c r="D104" s="127"/>
      <c r="E104" s="976"/>
      <c r="F104" s="977"/>
      <c r="G104" s="978">
        <v>90243.587700000004</v>
      </c>
      <c r="H104" s="975">
        <v>89137.820828571421</v>
      </c>
      <c r="I104" s="975">
        <v>98524.553141269877</v>
      </c>
      <c r="J104" s="975">
        <v>109180.38785714284</v>
      </c>
      <c r="K104" s="979">
        <v>88413.512035887165</v>
      </c>
      <c r="M104" s="194" t="s">
        <v>1102</v>
      </c>
      <c r="N104" s="137"/>
      <c r="P104" s="80"/>
    </row>
    <row r="105" spans="1:18" ht="13.5" customHeight="1" x14ac:dyDescent="0.2">
      <c r="A105" s="483">
        <v>4</v>
      </c>
      <c r="B105" s="469" t="str">
        <f t="shared" si="11"/>
        <v>SHINSEGAE INFORMATION &amp; COMM</v>
      </c>
      <c r="C105" s="122"/>
      <c r="D105" s="127"/>
      <c r="E105" s="976"/>
      <c r="F105" s="977"/>
      <c r="G105" s="978">
        <v>169076.00279999999</v>
      </c>
      <c r="H105" s="975">
        <v>168289.71708571431</v>
      </c>
      <c r="I105" s="975">
        <v>196221.97151428575</v>
      </c>
      <c r="J105" s="975">
        <v>234946.5435833332</v>
      </c>
      <c r="K105" s="979">
        <v>223545.21339072596</v>
      </c>
      <c r="M105" s="194" t="s">
        <v>1103</v>
      </c>
      <c r="N105" s="137"/>
      <c r="P105" s="80"/>
    </row>
    <row r="106" spans="1:18" ht="13.5" customHeight="1" x14ac:dyDescent="0.2">
      <c r="A106" s="483">
        <v>5</v>
      </c>
      <c r="B106" s="469" t="str">
        <f t="shared" si="11"/>
        <v>HYUNDAI INFORMATION TECH</v>
      </c>
      <c r="C106" s="122"/>
      <c r="D106" s="127"/>
      <c r="E106" s="976"/>
      <c r="F106" s="977"/>
      <c r="G106" s="978">
        <v>112243.322</v>
      </c>
      <c r="H106" s="975">
        <v>116521.65489523808</v>
      </c>
      <c r="I106" s="975">
        <v>118263.34783650794</v>
      </c>
      <c r="J106" s="975">
        <v>101034.16968571433</v>
      </c>
      <c r="K106" s="979">
        <v>89829.76914677411</v>
      </c>
      <c r="M106" s="195" t="s">
        <v>1104</v>
      </c>
      <c r="N106" s="137"/>
      <c r="O106" s="164"/>
      <c r="P106" s="80"/>
    </row>
    <row r="107" spans="1:18" ht="13.5" customHeight="1" x14ac:dyDescent="0.2">
      <c r="A107" s="483">
        <v>6</v>
      </c>
      <c r="B107" s="469" t="str">
        <f t="shared" si="11"/>
        <v>HANIL NETWORKS CO LTD</v>
      </c>
      <c r="C107" s="122"/>
      <c r="D107" s="127"/>
      <c r="E107" s="976"/>
      <c r="F107" s="977"/>
      <c r="G107" s="978">
        <v>38731.696900000003</v>
      </c>
      <c r="H107" s="975">
        <v>34610.334699999999</v>
      </c>
      <c r="I107" s="975">
        <v>34499.331168253964</v>
      </c>
      <c r="J107" s="975">
        <v>33664.432741269855</v>
      </c>
      <c r="K107" s="979">
        <v>29612.260273387084</v>
      </c>
      <c r="N107" s="137"/>
      <c r="O107" s="164"/>
      <c r="P107" s="80"/>
    </row>
    <row r="108" spans="1:18" ht="13.5" customHeight="1" x14ac:dyDescent="0.2">
      <c r="A108" s="483">
        <v>7</v>
      </c>
      <c r="B108" s="469"/>
      <c r="C108" s="122"/>
      <c r="D108" s="127"/>
      <c r="E108" s="976"/>
      <c r="F108" s="977"/>
      <c r="G108" s="978"/>
      <c r="H108" s="975"/>
      <c r="I108" s="975"/>
      <c r="J108" s="975"/>
      <c r="K108" s="979"/>
      <c r="N108" s="127"/>
      <c r="O108" s="164"/>
      <c r="P108" s="80"/>
    </row>
    <row r="109" spans="1:18" ht="13.5" customHeight="1" x14ac:dyDescent="0.2">
      <c r="A109" s="483">
        <v>8</v>
      </c>
      <c r="B109" s="469"/>
      <c r="C109" s="122"/>
      <c r="D109" s="127"/>
      <c r="E109" s="976"/>
      <c r="F109" s="977"/>
      <c r="G109" s="978"/>
      <c r="H109" s="975"/>
      <c r="I109" s="975"/>
      <c r="J109" s="975"/>
      <c r="K109" s="979"/>
      <c r="N109" s="127"/>
      <c r="O109" s="164"/>
      <c r="P109" s="80"/>
    </row>
    <row r="110" spans="1:18" ht="13.5" customHeight="1" x14ac:dyDescent="0.2">
      <c r="A110" s="483">
        <v>9</v>
      </c>
      <c r="B110" s="469"/>
      <c r="C110" s="122"/>
      <c r="D110" s="127"/>
      <c r="E110" s="976"/>
      <c r="F110" s="977"/>
      <c r="G110" s="978"/>
      <c r="H110" s="975"/>
      <c r="I110" s="975"/>
      <c r="J110" s="975"/>
      <c r="K110" s="979"/>
      <c r="N110" s="127"/>
      <c r="O110" s="164"/>
      <c r="P110" s="80"/>
    </row>
    <row r="111" spans="1:18" ht="13.5" customHeight="1" x14ac:dyDescent="0.2">
      <c r="A111" s="483">
        <v>10</v>
      </c>
      <c r="B111" s="469"/>
      <c r="C111" s="122"/>
      <c r="D111" s="127"/>
      <c r="E111" s="976"/>
      <c r="F111" s="977"/>
      <c r="G111" s="978"/>
      <c r="H111" s="975"/>
      <c r="I111" s="975"/>
      <c r="J111" s="975"/>
      <c r="K111" s="979"/>
      <c r="N111" s="127"/>
      <c r="O111" s="164"/>
      <c r="P111" s="80"/>
    </row>
    <row r="112" spans="1:18" ht="13.5" customHeight="1" x14ac:dyDescent="0.2">
      <c r="A112" s="483">
        <v>11</v>
      </c>
      <c r="B112" s="469"/>
      <c r="C112" s="122"/>
      <c r="D112" s="127"/>
      <c r="E112" s="976"/>
      <c r="F112" s="977"/>
      <c r="G112" s="978"/>
      <c r="H112" s="975"/>
      <c r="I112" s="975"/>
      <c r="J112" s="975"/>
      <c r="K112" s="979"/>
      <c r="N112" s="127"/>
      <c r="O112" s="164"/>
      <c r="P112" s="80"/>
    </row>
    <row r="113" spans="1:16" ht="13.5" customHeight="1" x14ac:dyDescent="0.2">
      <c r="A113" s="483">
        <v>12</v>
      </c>
      <c r="B113" s="469"/>
      <c r="C113" s="122"/>
      <c r="D113" s="127"/>
      <c r="E113" s="976"/>
      <c r="F113" s="977"/>
      <c r="G113" s="978"/>
      <c r="H113" s="975"/>
      <c r="I113" s="975"/>
      <c r="J113" s="975"/>
      <c r="K113" s="979"/>
      <c r="N113" s="127"/>
      <c r="O113" s="164"/>
      <c r="P113" s="80"/>
    </row>
    <row r="114" spans="1:16" ht="13.5" customHeight="1" x14ac:dyDescent="0.2">
      <c r="A114" s="483">
        <v>13</v>
      </c>
      <c r="B114" s="469"/>
      <c r="C114" s="122"/>
      <c r="D114" s="127"/>
      <c r="E114" s="976"/>
      <c r="F114" s="977"/>
      <c r="G114" s="978"/>
      <c r="H114" s="975"/>
      <c r="I114" s="975"/>
      <c r="J114" s="975"/>
      <c r="K114" s="979"/>
      <c r="N114" s="127"/>
      <c r="O114" s="164"/>
      <c r="P114" s="80"/>
    </row>
    <row r="115" spans="1:16" ht="13.5" customHeight="1" x14ac:dyDescent="0.2">
      <c r="A115" s="483">
        <v>14</v>
      </c>
      <c r="B115" s="469"/>
      <c r="C115" s="122"/>
      <c r="D115" s="127"/>
      <c r="E115" s="976"/>
      <c r="F115" s="977"/>
      <c r="G115" s="978"/>
      <c r="H115" s="975"/>
      <c r="I115" s="975"/>
      <c r="J115" s="975"/>
      <c r="K115" s="979"/>
      <c r="N115" s="127"/>
      <c r="O115" s="164"/>
      <c r="P115" s="80"/>
    </row>
    <row r="116" spans="1:16" ht="13.5" customHeight="1" x14ac:dyDescent="0.2">
      <c r="A116" s="483">
        <v>15</v>
      </c>
      <c r="B116" s="469"/>
      <c r="C116" s="122"/>
      <c r="D116" s="127"/>
      <c r="E116" s="976"/>
      <c r="F116" s="977"/>
      <c r="G116" s="978"/>
      <c r="H116" s="975"/>
      <c r="I116" s="975"/>
      <c r="J116" s="975"/>
      <c r="K116" s="979"/>
      <c r="L116" s="80"/>
      <c r="M116" s="80"/>
      <c r="N116" s="127"/>
      <c r="O116" s="164"/>
      <c r="P116" s="80"/>
    </row>
    <row r="117" spans="1:16" ht="13.5" customHeight="1" x14ac:dyDescent="0.2">
      <c r="A117" s="486">
        <v>16</v>
      </c>
      <c r="B117" s="954"/>
      <c r="C117" s="122"/>
      <c r="D117" s="127"/>
      <c r="E117" s="976"/>
      <c r="F117" s="981"/>
      <c r="G117" s="980"/>
      <c r="H117" s="975"/>
      <c r="I117" s="975"/>
      <c r="J117" s="975"/>
      <c r="K117" s="982"/>
      <c r="L117" s="250"/>
      <c r="M117" s="250"/>
      <c r="N117" s="127"/>
      <c r="O117" s="164"/>
      <c r="P117" s="80"/>
    </row>
    <row r="118" spans="1:16" ht="13.5" customHeight="1" x14ac:dyDescent="0.2">
      <c r="A118" s="486">
        <v>17</v>
      </c>
      <c r="B118" s="962"/>
      <c r="C118" s="122"/>
      <c r="D118" s="127"/>
      <c r="E118" s="976"/>
      <c r="F118" s="981"/>
      <c r="G118" s="980"/>
      <c r="H118" s="975"/>
      <c r="I118" s="975"/>
      <c r="J118" s="975"/>
      <c r="K118" s="982"/>
      <c r="L118" s="250"/>
      <c r="M118" s="250"/>
      <c r="N118" s="127"/>
      <c r="O118" s="164"/>
      <c r="P118" s="80"/>
    </row>
    <row r="119" spans="1:16" ht="13.5" customHeight="1" x14ac:dyDescent="0.2">
      <c r="A119" s="486">
        <v>18</v>
      </c>
      <c r="B119" s="954"/>
      <c r="C119" s="122"/>
      <c r="D119" s="127"/>
      <c r="E119" s="976"/>
      <c r="F119" s="981"/>
      <c r="G119" s="980"/>
      <c r="H119" s="975"/>
      <c r="I119" s="975"/>
      <c r="J119" s="975"/>
      <c r="K119" s="982"/>
      <c r="L119" s="250"/>
      <c r="M119" s="250"/>
      <c r="N119" s="127"/>
      <c r="O119" s="164"/>
      <c r="P119" s="80"/>
    </row>
    <row r="120" spans="1:16" ht="13.5" customHeight="1" x14ac:dyDescent="0.2">
      <c r="A120" s="486">
        <v>19</v>
      </c>
      <c r="B120" s="954"/>
      <c r="C120" s="122"/>
      <c r="D120" s="127"/>
      <c r="E120" s="976"/>
      <c r="F120" s="981"/>
      <c r="G120" s="980"/>
      <c r="H120" s="975"/>
      <c r="I120" s="975"/>
      <c r="J120" s="975"/>
      <c r="K120" s="982"/>
      <c r="L120" s="250"/>
      <c r="M120" s="250"/>
      <c r="N120" s="127"/>
      <c r="O120" s="164"/>
      <c r="P120" s="80"/>
    </row>
    <row r="121" spans="1:16" ht="13.5" customHeight="1" x14ac:dyDescent="0.2">
      <c r="A121" s="486">
        <v>20</v>
      </c>
      <c r="B121" s="954"/>
      <c r="C121" s="122"/>
      <c r="D121" s="127"/>
      <c r="E121" s="976"/>
      <c r="F121" s="981"/>
      <c r="G121" s="980"/>
      <c r="H121" s="975"/>
      <c r="I121" s="975"/>
      <c r="J121" s="975"/>
      <c r="K121" s="982"/>
      <c r="L121" s="250"/>
      <c r="M121" s="250"/>
      <c r="N121" s="127"/>
      <c r="O121" s="164"/>
      <c r="P121" s="80"/>
    </row>
    <row r="122" spans="1:16" ht="13.5" customHeight="1" x14ac:dyDescent="0.2">
      <c r="A122" s="486">
        <v>21</v>
      </c>
      <c r="B122" s="954"/>
      <c r="C122" s="122"/>
      <c r="D122" s="127"/>
      <c r="E122" s="976"/>
      <c r="F122" s="981"/>
      <c r="G122" s="980"/>
      <c r="H122" s="975"/>
      <c r="I122" s="975"/>
      <c r="J122" s="975"/>
      <c r="K122" s="982"/>
      <c r="L122" s="250"/>
      <c r="M122" s="250"/>
      <c r="N122" s="127"/>
      <c r="O122" s="164"/>
      <c r="P122" s="80"/>
    </row>
    <row r="123" spans="1:16" ht="13.5" customHeight="1" x14ac:dyDescent="0.2">
      <c r="A123" s="486">
        <v>22</v>
      </c>
      <c r="B123" s="954"/>
      <c r="C123" s="122"/>
      <c r="D123" s="127"/>
      <c r="E123" s="976"/>
      <c r="F123" s="981"/>
      <c r="G123" s="980"/>
      <c r="H123" s="975"/>
      <c r="I123" s="975"/>
      <c r="J123" s="975"/>
      <c r="K123" s="982"/>
      <c r="L123" s="250"/>
      <c r="M123" s="250"/>
      <c r="N123" s="127"/>
      <c r="O123" s="164"/>
      <c r="P123" s="80"/>
    </row>
    <row r="124" spans="1:16" ht="13.5" customHeight="1" x14ac:dyDescent="0.2">
      <c r="A124" s="486">
        <v>23</v>
      </c>
      <c r="B124" s="954"/>
      <c r="C124" s="122"/>
      <c r="D124" s="127"/>
      <c r="E124" s="976"/>
      <c r="F124" s="981"/>
      <c r="G124" s="980"/>
      <c r="H124" s="975"/>
      <c r="I124" s="975"/>
      <c r="J124" s="975"/>
      <c r="K124" s="982"/>
      <c r="L124" s="250"/>
      <c r="M124" s="250"/>
      <c r="N124" s="127"/>
      <c r="O124" s="164"/>
      <c r="P124" s="80"/>
    </row>
    <row r="125" spans="1:16" ht="13.5" customHeight="1" x14ac:dyDescent="0.2">
      <c r="A125" s="486">
        <v>24</v>
      </c>
      <c r="B125" s="954"/>
      <c r="C125" s="122"/>
      <c r="D125" s="127"/>
      <c r="E125" s="976"/>
      <c r="F125" s="981"/>
      <c r="G125" s="980"/>
      <c r="H125" s="975"/>
      <c r="I125" s="975"/>
      <c r="J125" s="975"/>
      <c r="K125" s="982"/>
      <c r="L125" s="250"/>
      <c r="M125" s="250"/>
      <c r="N125" s="127"/>
      <c r="O125" s="164"/>
      <c r="P125" s="80"/>
    </row>
    <row r="126" spans="1:16" ht="13.5" customHeight="1" x14ac:dyDescent="0.2">
      <c r="A126" s="486">
        <v>25</v>
      </c>
      <c r="B126" s="957"/>
      <c r="C126" s="983"/>
      <c r="D126" s="984"/>
      <c r="E126" s="985"/>
      <c r="F126" s="986"/>
      <c r="G126" s="987"/>
      <c r="H126" s="988"/>
      <c r="I126" s="988"/>
      <c r="J126" s="988"/>
      <c r="K126" s="989"/>
      <c r="L126" s="250"/>
      <c r="M126" s="250"/>
      <c r="N126" s="127"/>
      <c r="O126" s="164"/>
      <c r="P126" s="80"/>
    </row>
    <row r="127" spans="1:16" ht="13.5" customHeight="1" x14ac:dyDescent="0.3">
      <c r="B127" s="350"/>
      <c r="C127" s="62"/>
      <c r="D127" s="62"/>
      <c r="E127" s="62"/>
      <c r="F127" s="62"/>
      <c r="G127" s="62"/>
      <c r="H127" s="62"/>
      <c r="I127" s="62"/>
      <c r="J127" s="62"/>
      <c r="K127" s="62"/>
      <c r="L127" s="62"/>
      <c r="M127" s="62"/>
      <c r="N127" s="62"/>
      <c r="O127" s="164"/>
      <c r="P127" s="80"/>
    </row>
    <row r="128" spans="1:16" ht="13.5" customHeight="1" x14ac:dyDescent="0.3">
      <c r="B128" s="485" t="s">
        <v>1105</v>
      </c>
    </row>
    <row r="129" spans="1:18" s="196" customFormat="1" ht="13.5" customHeight="1" x14ac:dyDescent="0.2">
      <c r="A129" s="229"/>
      <c r="B129" s="464"/>
      <c r="C129" s="465"/>
      <c r="D129" s="466"/>
      <c r="E129" s="466"/>
      <c r="F129" s="466"/>
      <c r="G129" s="2071" t="s">
        <v>1106</v>
      </c>
      <c r="H129" s="2071" t="s">
        <v>103</v>
      </c>
      <c r="I129" s="2073" t="s">
        <v>1107</v>
      </c>
      <c r="J129" s="2073" t="s">
        <v>1108</v>
      </c>
      <c r="K129" s="117"/>
      <c r="L129" s="117"/>
      <c r="M129" s="117"/>
      <c r="N129" s="117"/>
      <c r="O129" s="117"/>
      <c r="P129" s="117"/>
    </row>
    <row r="130" spans="1:18" s="196" customFormat="1" ht="13.5" customHeight="1" x14ac:dyDescent="0.2">
      <c r="A130" s="229"/>
      <c r="B130" s="464"/>
      <c r="C130" s="465"/>
      <c r="D130" s="466"/>
      <c r="E130" s="466"/>
      <c r="F130" s="466"/>
      <c r="G130" s="2072"/>
      <c r="H130" s="2072"/>
      <c r="I130" s="2074"/>
      <c r="J130" s="2074"/>
      <c r="K130" s="117"/>
      <c r="L130" s="117"/>
      <c r="M130" s="117"/>
      <c r="N130" s="117"/>
      <c r="O130" s="117"/>
      <c r="P130" s="117"/>
    </row>
    <row r="131" spans="1:18" ht="13.5" customHeight="1" x14ac:dyDescent="0.2">
      <c r="A131" s="483">
        <v>1</v>
      </c>
      <c r="B131" s="997" t="str">
        <f>$B6</f>
        <v>SAMSUNG SDS CO LTD</v>
      </c>
      <c r="C131" s="998"/>
      <c r="D131" s="999"/>
      <c r="E131" s="1000"/>
      <c r="F131" s="1001"/>
      <c r="G131" s="1002">
        <v>14363.156931</v>
      </c>
      <c r="H131" s="1003" t="s">
        <v>2080</v>
      </c>
      <c r="I131" s="1002">
        <v>1794921.3658090001</v>
      </c>
      <c r="J131" s="1004"/>
      <c r="K131" s="165"/>
      <c r="L131" s="165"/>
      <c r="M131" s="165"/>
      <c r="R131" s="117"/>
    </row>
    <row r="132" spans="1:18" ht="13.5" customHeight="1" x14ac:dyDescent="0.2">
      <c r="A132" s="483">
        <v>2</v>
      </c>
      <c r="B132" s="469" t="str">
        <f t="shared" ref="B132:B136" si="12">$B7</f>
        <v>POSCO ICT CO LTD</v>
      </c>
      <c r="C132" s="1005"/>
      <c r="D132" s="127"/>
      <c r="E132" s="976"/>
      <c r="F132" s="981"/>
      <c r="G132" s="1006">
        <v>40486.303609000002</v>
      </c>
      <c r="H132" s="1007" t="s">
        <v>2079</v>
      </c>
      <c r="I132" s="1006">
        <v>67864.48109500001</v>
      </c>
      <c r="J132" s="1008"/>
      <c r="K132" s="165"/>
      <c r="L132" s="165"/>
      <c r="M132" s="165"/>
      <c r="R132" s="117"/>
    </row>
    <row r="133" spans="1:18" ht="13.5" customHeight="1" x14ac:dyDescent="0.2">
      <c r="A133" s="483">
        <v>3</v>
      </c>
      <c r="B133" s="469" t="str">
        <f t="shared" si="12"/>
        <v>DONGBU CO LTD</v>
      </c>
      <c r="C133" s="1005"/>
      <c r="D133" s="127"/>
      <c r="E133" s="976"/>
      <c r="F133" s="981"/>
      <c r="G133" s="1006">
        <v>59995.437982999996</v>
      </c>
      <c r="H133" s="1007" t="s">
        <v>2079</v>
      </c>
      <c r="I133" s="1006">
        <v>27856.767346000001</v>
      </c>
      <c r="J133" s="1008"/>
      <c r="K133" s="165"/>
      <c r="L133" s="165"/>
      <c r="M133" s="165"/>
      <c r="R133" s="117"/>
    </row>
    <row r="134" spans="1:18" ht="13.5" customHeight="1" x14ac:dyDescent="0.2">
      <c r="A134" s="483">
        <v>4</v>
      </c>
      <c r="B134" s="469" t="str">
        <f t="shared" si="12"/>
        <v>SHINSEGAE INFORMATION &amp; COMM</v>
      </c>
      <c r="C134" s="1005"/>
      <c r="D134" s="127"/>
      <c r="E134" s="976"/>
      <c r="F134" s="981"/>
      <c r="G134" s="1006">
        <v>0</v>
      </c>
      <c r="H134" s="1007" t="s">
        <v>2079</v>
      </c>
      <c r="I134" s="1006">
        <v>94207.520118</v>
      </c>
      <c r="J134" s="1008"/>
      <c r="K134" s="165"/>
      <c r="L134" s="165"/>
      <c r="M134" s="165"/>
      <c r="R134" s="117"/>
    </row>
    <row r="135" spans="1:18" ht="13.5" customHeight="1" x14ac:dyDescent="0.2">
      <c r="A135" s="483">
        <v>5</v>
      </c>
      <c r="B135" s="469" t="str">
        <f t="shared" si="12"/>
        <v>HYUNDAI INFORMATION TECH</v>
      </c>
      <c r="C135" s="1005"/>
      <c r="D135" s="127"/>
      <c r="E135" s="976"/>
      <c r="F135" s="981"/>
      <c r="G135" s="1006">
        <v>71570.720409999994</v>
      </c>
      <c r="H135" s="1007" t="s">
        <v>2079</v>
      </c>
      <c r="I135" s="1006">
        <v>3539.3462159999999</v>
      </c>
      <c r="J135" s="1008"/>
      <c r="K135" s="165"/>
      <c r="L135" s="165"/>
      <c r="M135" s="165"/>
      <c r="R135" s="117"/>
    </row>
    <row r="136" spans="1:18" ht="13.5" customHeight="1" x14ac:dyDescent="0.2">
      <c r="A136" s="483">
        <v>6</v>
      </c>
      <c r="B136" s="469" t="str">
        <f t="shared" si="12"/>
        <v>HANIL NETWORKS CO LTD</v>
      </c>
      <c r="C136" s="1005"/>
      <c r="D136" s="127"/>
      <c r="E136" s="976"/>
      <c r="F136" s="981"/>
      <c r="G136" s="1006">
        <v>500</v>
      </c>
      <c r="H136" s="1007" t="s">
        <v>2079</v>
      </c>
      <c r="I136" s="1006">
        <v>9287.8654409999999</v>
      </c>
      <c r="J136" s="1008"/>
      <c r="K136" s="165"/>
      <c r="L136" s="165"/>
      <c r="M136" s="165"/>
      <c r="R136" s="117"/>
    </row>
    <row r="137" spans="1:18" ht="13.5" customHeight="1" x14ac:dyDescent="0.2">
      <c r="A137" s="483">
        <v>7</v>
      </c>
      <c r="B137" s="469"/>
      <c r="C137" s="1005"/>
      <c r="D137" s="127"/>
      <c r="E137" s="976"/>
      <c r="F137" s="981"/>
      <c r="G137" s="1006"/>
      <c r="H137" s="1007"/>
      <c r="I137" s="1006"/>
      <c r="J137" s="1008"/>
      <c r="K137" s="165"/>
      <c r="L137" s="165"/>
      <c r="M137" s="165"/>
      <c r="R137" s="117"/>
    </row>
    <row r="138" spans="1:18" ht="13.5" customHeight="1" x14ac:dyDescent="0.2">
      <c r="A138" s="483">
        <v>8</v>
      </c>
      <c r="B138" s="469"/>
      <c r="C138" s="1005"/>
      <c r="D138" s="127"/>
      <c r="E138" s="976"/>
      <c r="F138" s="981"/>
      <c r="G138" s="1006"/>
      <c r="H138" s="1007"/>
      <c r="I138" s="1006"/>
      <c r="J138" s="1008"/>
      <c r="K138" s="165"/>
      <c r="L138" s="165"/>
      <c r="M138" s="165"/>
      <c r="R138" s="117"/>
    </row>
    <row r="139" spans="1:18" ht="13.5" customHeight="1" x14ac:dyDescent="0.2">
      <c r="A139" s="483">
        <v>9</v>
      </c>
      <c r="B139" s="469"/>
      <c r="C139" s="1005"/>
      <c r="D139" s="127"/>
      <c r="E139" s="976"/>
      <c r="F139" s="981"/>
      <c r="G139" s="1006"/>
      <c r="H139" s="1007"/>
      <c r="I139" s="1006"/>
      <c r="J139" s="1008"/>
      <c r="K139" s="165"/>
      <c r="L139" s="165"/>
      <c r="M139" s="165"/>
      <c r="R139" s="117"/>
    </row>
    <row r="140" spans="1:18" ht="13.5" customHeight="1" x14ac:dyDescent="0.2">
      <c r="A140" s="483">
        <v>10</v>
      </c>
      <c r="B140" s="469"/>
      <c r="C140" s="1005"/>
      <c r="D140" s="127"/>
      <c r="E140" s="976"/>
      <c r="F140" s="981"/>
      <c r="G140" s="1006"/>
      <c r="H140" s="1007"/>
      <c r="I140" s="1006"/>
      <c r="J140" s="1008"/>
      <c r="K140" s="165"/>
      <c r="L140" s="165"/>
      <c r="M140" s="165"/>
      <c r="R140" s="117"/>
    </row>
    <row r="141" spans="1:18" ht="13.5" customHeight="1" x14ac:dyDescent="0.2">
      <c r="A141" s="483">
        <v>11</v>
      </c>
      <c r="B141" s="469"/>
      <c r="C141" s="1005"/>
      <c r="D141" s="127"/>
      <c r="E141" s="976"/>
      <c r="F141" s="981"/>
      <c r="G141" s="1006"/>
      <c r="H141" s="1007"/>
      <c r="I141" s="1006"/>
      <c r="J141" s="1008"/>
      <c r="K141" s="165"/>
      <c r="L141" s="165"/>
      <c r="M141" s="165"/>
      <c r="R141" s="117"/>
    </row>
    <row r="142" spans="1:18" ht="13.5" customHeight="1" x14ac:dyDescent="0.2">
      <c r="A142" s="483">
        <v>12</v>
      </c>
      <c r="B142" s="469"/>
      <c r="C142" s="1005"/>
      <c r="D142" s="127"/>
      <c r="E142" s="976"/>
      <c r="F142" s="981"/>
      <c r="G142" s="1006"/>
      <c r="H142" s="1007"/>
      <c r="I142" s="1006"/>
      <c r="J142" s="1008"/>
      <c r="K142" s="165"/>
      <c r="L142" s="165"/>
      <c r="M142" s="165"/>
      <c r="R142" s="117"/>
    </row>
    <row r="143" spans="1:18" ht="13.5" customHeight="1" x14ac:dyDescent="0.2">
      <c r="A143" s="483">
        <v>13</v>
      </c>
      <c r="B143" s="469"/>
      <c r="C143" s="1005"/>
      <c r="D143" s="127"/>
      <c r="E143" s="976"/>
      <c r="F143" s="981"/>
      <c r="G143" s="1006"/>
      <c r="H143" s="1007"/>
      <c r="I143" s="1006"/>
      <c r="J143" s="1008"/>
      <c r="K143" s="165"/>
      <c r="L143" s="165"/>
      <c r="M143" s="165"/>
      <c r="R143" s="117"/>
    </row>
    <row r="144" spans="1:18" ht="13.5" customHeight="1" x14ac:dyDescent="0.2">
      <c r="A144" s="483">
        <v>14</v>
      </c>
      <c r="B144" s="469"/>
      <c r="C144" s="1005"/>
      <c r="D144" s="127"/>
      <c r="E144" s="976"/>
      <c r="F144" s="981"/>
      <c r="G144" s="1006"/>
      <c r="H144" s="1007"/>
      <c r="I144" s="1006"/>
      <c r="J144" s="1008"/>
      <c r="K144" s="165"/>
      <c r="L144" s="165"/>
      <c r="M144" s="165"/>
      <c r="R144" s="117"/>
    </row>
    <row r="145" spans="1:20" ht="13.5" customHeight="1" x14ac:dyDescent="0.2">
      <c r="A145" s="483">
        <v>15</v>
      </c>
      <c r="B145" s="469"/>
      <c r="C145" s="1005"/>
      <c r="D145" s="127"/>
      <c r="E145" s="976"/>
      <c r="F145" s="981"/>
      <c r="G145" s="1006"/>
      <c r="H145" s="1007"/>
      <c r="I145" s="1006"/>
      <c r="J145" s="1008"/>
      <c r="K145" s="250"/>
      <c r="L145" s="165"/>
      <c r="M145" s="165"/>
      <c r="R145" s="117"/>
    </row>
    <row r="146" spans="1:20" ht="13.5" customHeight="1" x14ac:dyDescent="0.2">
      <c r="A146" s="486">
        <v>16</v>
      </c>
      <c r="B146" s="954"/>
      <c r="C146" s="1005"/>
      <c r="D146" s="127"/>
      <c r="E146" s="976"/>
      <c r="F146" s="981"/>
      <c r="G146" s="1006"/>
      <c r="H146" s="1007"/>
      <c r="I146" s="1009"/>
      <c r="J146" s="1009"/>
      <c r="K146" s="250"/>
      <c r="L146" s="250"/>
      <c r="M146" s="250"/>
      <c r="R146" s="117"/>
    </row>
    <row r="147" spans="1:20" ht="13.5" customHeight="1" x14ac:dyDescent="0.2">
      <c r="A147" s="486">
        <v>17</v>
      </c>
      <c r="B147" s="954"/>
      <c r="C147" s="1005"/>
      <c r="D147" s="127"/>
      <c r="E147" s="976"/>
      <c r="F147" s="981"/>
      <c r="G147" s="1006"/>
      <c r="H147" s="1007"/>
      <c r="I147" s="1009"/>
      <c r="J147" s="1009"/>
      <c r="K147" s="250"/>
      <c r="L147" s="250"/>
      <c r="M147" s="250"/>
      <c r="R147" s="117"/>
    </row>
    <row r="148" spans="1:20" ht="13.5" customHeight="1" x14ac:dyDescent="0.2">
      <c r="A148" s="486">
        <v>18</v>
      </c>
      <c r="B148" s="954"/>
      <c r="C148" s="1005"/>
      <c r="D148" s="127"/>
      <c r="E148" s="976"/>
      <c r="F148" s="981"/>
      <c r="G148" s="1006"/>
      <c r="H148" s="1007"/>
      <c r="I148" s="1009"/>
      <c r="J148" s="1009"/>
      <c r="K148" s="250"/>
      <c r="L148" s="250"/>
      <c r="M148" s="250"/>
      <c r="R148" s="117"/>
    </row>
    <row r="149" spans="1:20" ht="13.5" customHeight="1" x14ac:dyDescent="0.2">
      <c r="A149" s="486">
        <v>19</v>
      </c>
      <c r="B149" s="954"/>
      <c r="C149" s="1005"/>
      <c r="D149" s="127"/>
      <c r="E149" s="976"/>
      <c r="F149" s="981"/>
      <c r="G149" s="1006"/>
      <c r="H149" s="1007"/>
      <c r="I149" s="1009"/>
      <c r="J149" s="1009"/>
      <c r="K149" s="250"/>
      <c r="L149" s="250"/>
      <c r="M149" s="250"/>
      <c r="R149" s="117"/>
    </row>
    <row r="150" spans="1:20" ht="13.5" customHeight="1" x14ac:dyDescent="0.2">
      <c r="A150" s="486">
        <v>20</v>
      </c>
      <c r="B150" s="954"/>
      <c r="C150" s="1005"/>
      <c r="D150" s="127"/>
      <c r="E150" s="976"/>
      <c r="F150" s="981"/>
      <c r="G150" s="1006"/>
      <c r="H150" s="1007"/>
      <c r="I150" s="1009"/>
      <c r="J150" s="1009"/>
      <c r="K150" s="250"/>
      <c r="L150" s="250"/>
      <c r="M150" s="250"/>
      <c r="R150" s="117"/>
    </row>
    <row r="151" spans="1:20" ht="13.5" customHeight="1" x14ac:dyDescent="0.2">
      <c r="A151" s="486">
        <v>21</v>
      </c>
      <c r="B151" s="954"/>
      <c r="C151" s="1005"/>
      <c r="D151" s="127"/>
      <c r="E151" s="976"/>
      <c r="F151" s="981"/>
      <c r="G151" s="1006"/>
      <c r="H151" s="1007"/>
      <c r="I151" s="1009"/>
      <c r="J151" s="1009"/>
      <c r="K151" s="250"/>
      <c r="L151" s="250"/>
      <c r="M151" s="250"/>
      <c r="R151" s="117"/>
    </row>
    <row r="152" spans="1:20" ht="13.5" customHeight="1" x14ac:dyDescent="0.2">
      <c r="A152" s="486">
        <v>22</v>
      </c>
      <c r="B152" s="954"/>
      <c r="C152" s="1005"/>
      <c r="D152" s="127"/>
      <c r="E152" s="976"/>
      <c r="F152" s="981"/>
      <c r="G152" s="1006"/>
      <c r="H152" s="1007"/>
      <c r="I152" s="1009"/>
      <c r="J152" s="1009"/>
      <c r="K152" s="250"/>
      <c r="L152" s="250"/>
      <c r="M152" s="250"/>
      <c r="R152" s="117"/>
    </row>
    <row r="153" spans="1:20" ht="13.5" customHeight="1" x14ac:dyDescent="0.2">
      <c r="A153" s="486">
        <v>23</v>
      </c>
      <c r="B153" s="954"/>
      <c r="C153" s="1005"/>
      <c r="D153" s="127"/>
      <c r="E153" s="976"/>
      <c r="F153" s="981"/>
      <c r="G153" s="1006"/>
      <c r="H153" s="1007"/>
      <c r="I153" s="1009"/>
      <c r="J153" s="1009"/>
      <c r="K153" s="250"/>
      <c r="L153" s="165"/>
      <c r="M153" s="165"/>
      <c r="R153" s="117"/>
    </row>
    <row r="154" spans="1:20" ht="13.5" customHeight="1" x14ac:dyDescent="0.2">
      <c r="A154" s="486">
        <v>24</v>
      </c>
      <c r="B154" s="954"/>
      <c r="C154" s="1005"/>
      <c r="D154" s="127"/>
      <c r="E154" s="976"/>
      <c r="F154" s="981"/>
      <c r="G154" s="1006"/>
      <c r="H154" s="1007"/>
      <c r="I154" s="1009"/>
      <c r="J154" s="1009"/>
      <c r="K154" s="250"/>
      <c r="L154" s="165"/>
      <c r="M154" s="165"/>
      <c r="R154" s="117"/>
    </row>
    <row r="155" spans="1:20" ht="13.5" customHeight="1" x14ac:dyDescent="0.2">
      <c r="A155" s="486">
        <v>25</v>
      </c>
      <c r="B155" s="957"/>
      <c r="C155" s="1010"/>
      <c r="D155" s="984"/>
      <c r="E155" s="985"/>
      <c r="F155" s="986"/>
      <c r="G155" s="1011"/>
      <c r="H155" s="1012"/>
      <c r="I155" s="1013"/>
      <c r="J155" s="1013"/>
      <c r="K155" s="250"/>
      <c r="L155" s="165"/>
      <c r="M155" s="165"/>
      <c r="R155" s="117"/>
    </row>
    <row r="156" spans="1:20" ht="13.5" customHeight="1" x14ac:dyDescent="0.3">
      <c r="B156" s="80"/>
      <c r="C156" s="80"/>
      <c r="D156" s="101"/>
      <c r="E156" s="80"/>
      <c r="F156" s="80"/>
      <c r="G156" s="80"/>
      <c r="H156" s="80"/>
      <c r="I156" s="80"/>
      <c r="J156" s="80"/>
      <c r="K156" s="198"/>
      <c r="T156" s="115"/>
    </row>
    <row r="157" spans="1:20" ht="13.5" customHeight="1" x14ac:dyDescent="0.3">
      <c r="B157" s="485" t="s">
        <v>1109</v>
      </c>
      <c r="H157" s="487"/>
    </row>
    <row r="158" spans="1:20" ht="13.5" customHeight="1" x14ac:dyDescent="0.2">
      <c r="B158" s="464"/>
      <c r="C158" s="465"/>
      <c r="D158" s="466"/>
      <c r="E158" s="466"/>
      <c r="F158" s="466"/>
      <c r="G158" s="467" t="s">
        <v>79</v>
      </c>
      <c r="H158" s="467" t="s">
        <v>1110</v>
      </c>
    </row>
    <row r="159" spans="1:20" ht="13.5" customHeight="1" x14ac:dyDescent="0.2">
      <c r="B159" s="468">
        <f>M$102</f>
        <v>42369</v>
      </c>
      <c r="C159" s="121"/>
      <c r="D159" s="137"/>
      <c r="E159" s="137"/>
      <c r="F159" s="137"/>
      <c r="G159" s="238">
        <v>2.0650000000000002E-2</v>
      </c>
      <c r="H159" s="238">
        <v>9.8589999999999997E-2</v>
      </c>
    </row>
    <row r="160" spans="1:20" ht="13.5" customHeight="1" x14ac:dyDescent="0.2">
      <c r="B160" s="469" t="s">
        <v>2081</v>
      </c>
      <c r="C160" s="122"/>
      <c r="D160" s="127"/>
      <c r="E160" s="127"/>
      <c r="F160" s="127"/>
      <c r="G160" s="470">
        <v>2.2189047619047619E-2</v>
      </c>
      <c r="H160" s="238">
        <v>9.8446666666666668E-2</v>
      </c>
    </row>
    <row r="161" spans="1:18" ht="13.5" customHeight="1" x14ac:dyDescent="0.2">
      <c r="B161" s="469" t="s">
        <v>2082</v>
      </c>
      <c r="C161" s="122"/>
      <c r="D161" s="127"/>
      <c r="E161" s="127"/>
      <c r="F161" s="127"/>
      <c r="G161" s="470">
        <v>2.3301111111111116E-2</v>
      </c>
      <c r="H161" s="470">
        <v>9.435825396825398E-2</v>
      </c>
    </row>
    <row r="162" spans="1:18" ht="13.5" customHeight="1" x14ac:dyDescent="0.2">
      <c r="B162" s="469" t="s">
        <v>2083</v>
      </c>
      <c r="C162" s="122"/>
      <c r="D162" s="123"/>
      <c r="E162" s="123"/>
      <c r="F162" s="123"/>
      <c r="G162" s="471">
        <v>2.3490634920634915E-2</v>
      </c>
      <c r="H162" s="471">
        <v>9.3836825396825377E-2</v>
      </c>
    </row>
    <row r="163" spans="1:18" ht="13.5" customHeight="1" x14ac:dyDescent="0.2">
      <c r="B163" s="469" t="s">
        <v>2084</v>
      </c>
      <c r="C163" s="122"/>
      <c r="D163" s="123"/>
      <c r="E163" s="123"/>
      <c r="F163" s="123"/>
      <c r="G163" s="471">
        <v>2.4405465587044536E-2</v>
      </c>
      <c r="H163" s="471">
        <v>9.6635263157894724E-2</v>
      </c>
    </row>
    <row r="164" spans="1:18" ht="13.5" customHeight="1" thickBot="1" x14ac:dyDescent="0.35">
      <c r="B164" s="124" t="s">
        <v>2085</v>
      </c>
      <c r="C164" s="125"/>
      <c r="D164" s="125"/>
      <c r="E164" s="125"/>
      <c r="F164" s="125"/>
      <c r="G164" s="128">
        <v>2.9175731707317073E-2</v>
      </c>
      <c r="H164" s="128">
        <v>9.5044105691056924E-2</v>
      </c>
    </row>
    <row r="165" spans="1:18" s="196" customFormat="1" ht="13.5" customHeight="1" x14ac:dyDescent="0.3">
      <c r="A165" s="229"/>
      <c r="B165" s="117"/>
      <c r="C165" s="117"/>
      <c r="D165" s="117"/>
      <c r="E165" s="117"/>
      <c r="F165" s="117"/>
      <c r="G165" s="117"/>
      <c r="H165" s="117"/>
      <c r="I165" s="117"/>
      <c r="J165" s="117"/>
      <c r="K165" s="117"/>
      <c r="L165" s="117"/>
      <c r="M165" s="117"/>
      <c r="R165" s="190"/>
    </row>
    <row r="166" spans="1:18" ht="13.5" customHeight="1" x14ac:dyDescent="0.3">
      <c r="B166" s="485" t="s">
        <v>1111</v>
      </c>
      <c r="I166" s="488"/>
      <c r="J166" s="488"/>
    </row>
    <row r="167" spans="1:18" ht="13.5" customHeight="1" x14ac:dyDescent="0.2">
      <c r="B167" s="464" t="s">
        <v>1112</v>
      </c>
      <c r="C167" s="465"/>
      <c r="D167" s="466"/>
      <c r="E167" s="466"/>
      <c r="F167" s="466"/>
      <c r="G167" s="472"/>
      <c r="H167" s="107"/>
      <c r="I167" s="488"/>
      <c r="J167" s="488"/>
    </row>
    <row r="168" spans="1:18" s="80" customFormat="1" ht="13.5" customHeight="1" x14ac:dyDescent="0.2">
      <c r="A168" s="226"/>
      <c r="B168" s="255"/>
      <c r="C168" s="121"/>
      <c r="D168" s="256"/>
      <c r="E168" s="256"/>
      <c r="F168" s="137"/>
      <c r="G168" s="257"/>
      <c r="I168" s="489"/>
      <c r="J168" s="489"/>
      <c r="R168" s="490"/>
    </row>
    <row r="169" spans="1:18" ht="13.5" customHeight="1" x14ac:dyDescent="0.2">
      <c r="B169" s="464" t="s">
        <v>1113</v>
      </c>
      <c r="C169" s="465"/>
      <c r="D169" s="466"/>
      <c r="E169" s="466"/>
      <c r="F169" s="466"/>
      <c r="G169" s="472" t="str">
        <f>G170</f>
        <v>A+</v>
      </c>
      <c r="I169" s="488"/>
      <c r="J169" s="488"/>
    </row>
    <row r="170" spans="1:18" ht="13.5" customHeight="1" x14ac:dyDescent="0.2">
      <c r="B170" s="468" t="s">
        <v>1114</v>
      </c>
      <c r="C170" s="121"/>
      <c r="D170" s="256"/>
      <c r="E170" s="256"/>
      <c r="F170" s="137"/>
      <c r="G170" s="1198" t="s">
        <v>1115</v>
      </c>
      <c r="I170" s="488"/>
      <c r="J170" s="488"/>
    </row>
    <row r="171" spans="1:18" ht="13.5" customHeight="1" x14ac:dyDescent="0.2">
      <c r="B171" s="468" t="s">
        <v>1116</v>
      </c>
      <c r="C171" s="121"/>
      <c r="D171" s="256"/>
      <c r="E171" s="256"/>
      <c r="F171" s="137"/>
      <c r="G171" s="1198"/>
      <c r="I171" s="488"/>
      <c r="J171" s="488"/>
    </row>
    <row r="172" spans="1:18" ht="13.5" customHeight="1" x14ac:dyDescent="0.2">
      <c r="B172" s="251" t="s">
        <v>2087</v>
      </c>
      <c r="C172" s="252"/>
      <c r="D172" s="253"/>
      <c r="E172" s="253"/>
      <c r="F172" s="254"/>
      <c r="G172" s="1199" t="s">
        <v>2086</v>
      </c>
      <c r="I172" s="488"/>
      <c r="J172" s="488"/>
    </row>
    <row r="173" spans="1:18" ht="13.5" customHeight="1" x14ac:dyDescent="0.2">
      <c r="B173" s="255"/>
      <c r="C173" s="121"/>
      <c r="D173" s="256"/>
      <c r="E173" s="256"/>
      <c r="F173" s="137"/>
      <c r="G173" s="257"/>
    </row>
    <row r="174" spans="1:18" ht="13.5" customHeight="1" x14ac:dyDescent="0.3">
      <c r="B174" s="485"/>
      <c r="G174" s="258">
        <f>M102</f>
        <v>42369</v>
      </c>
    </row>
    <row r="175" spans="1:18" ht="13.5" customHeight="1" x14ac:dyDescent="0.2">
      <c r="B175" s="464" t="s">
        <v>1117</v>
      </c>
      <c r="C175" s="465"/>
      <c r="D175" s="466"/>
      <c r="E175" s="466"/>
      <c r="F175" s="466"/>
      <c r="G175" s="473" t="s">
        <v>1118</v>
      </c>
    </row>
    <row r="176" spans="1:18" ht="13.5" customHeight="1" x14ac:dyDescent="0.2">
      <c r="B176" s="468" t="s">
        <v>80</v>
      </c>
      <c r="C176" s="121"/>
      <c r="D176" s="137"/>
      <c r="E176" s="137"/>
      <c r="F176" s="137"/>
      <c r="G176" s="238">
        <f>Bond!M11/100</f>
        <v>2.1309999999999999E-2</v>
      </c>
    </row>
    <row r="177" spans="2:7" ht="13.5" customHeight="1" x14ac:dyDescent="0.2">
      <c r="B177" s="468" t="s">
        <v>81</v>
      </c>
      <c r="C177" s="121"/>
      <c r="D177" s="137"/>
      <c r="E177" s="137"/>
      <c r="F177" s="137"/>
      <c r="G177" s="238">
        <f>Bond!M12/100</f>
        <v>2.3119999999999998E-2</v>
      </c>
    </row>
    <row r="178" spans="2:7" ht="13.5" customHeight="1" x14ac:dyDescent="0.2">
      <c r="B178" s="468" t="s">
        <v>82</v>
      </c>
      <c r="C178" s="121"/>
      <c r="D178" s="137"/>
      <c r="E178" s="137"/>
      <c r="F178" s="137"/>
      <c r="G178" s="238">
        <f>Bond!M13/100</f>
        <v>2.392E-2</v>
      </c>
    </row>
    <row r="179" spans="2:7" ht="13.5" customHeight="1" x14ac:dyDescent="0.2">
      <c r="B179" s="468" t="s">
        <v>83</v>
      </c>
      <c r="C179" s="121"/>
      <c r="D179" s="137"/>
      <c r="E179" s="137"/>
      <c r="F179" s="137"/>
      <c r="G179" s="238">
        <f>Bond!M14/100</f>
        <v>2.5019999999999997E-2</v>
      </c>
    </row>
    <row r="180" spans="2:7" ht="13.5" customHeight="1" x14ac:dyDescent="0.2">
      <c r="B180" s="468" t="s">
        <v>84</v>
      </c>
      <c r="C180" s="121"/>
      <c r="D180" s="137"/>
      <c r="E180" s="137"/>
      <c r="F180" s="137"/>
      <c r="G180" s="238">
        <f>Bond!M15/100</f>
        <v>3.0059999999999996E-2</v>
      </c>
    </row>
    <row r="181" spans="2:7" ht="13.5" customHeight="1" x14ac:dyDescent="0.2">
      <c r="B181" s="468" t="s">
        <v>85</v>
      </c>
      <c r="C181" s="121"/>
      <c r="D181" s="137"/>
      <c r="E181" s="137"/>
      <c r="F181" s="137"/>
      <c r="G181" s="238">
        <f>Bond!M16/100</f>
        <v>3.4009999999999999E-2</v>
      </c>
    </row>
    <row r="182" spans="2:7" ht="13.5" customHeight="1" x14ac:dyDescent="0.2">
      <c r="B182" s="468" t="s">
        <v>86</v>
      </c>
      <c r="C182" s="121"/>
      <c r="D182" s="137"/>
      <c r="E182" s="137"/>
      <c r="F182" s="137"/>
      <c r="G182" s="378">
        <f>Bond!M17/100</f>
        <v>3.9209999999999995E-2</v>
      </c>
    </row>
    <row r="183" spans="2:7" ht="13.5" customHeight="1" x14ac:dyDescent="0.2">
      <c r="B183" s="468" t="s">
        <v>87</v>
      </c>
      <c r="C183" s="121"/>
      <c r="D183" s="137"/>
      <c r="E183" s="137"/>
      <c r="F183" s="137"/>
      <c r="G183" s="238">
        <f>Bond!M18/100</f>
        <v>5.9989999999999995E-2</v>
      </c>
    </row>
    <row r="184" spans="2:7" ht="13.5" customHeight="1" x14ac:dyDescent="0.2">
      <c r="B184" s="468" t="s">
        <v>88</v>
      </c>
      <c r="C184" s="121"/>
      <c r="D184" s="137"/>
      <c r="E184" s="137"/>
      <c r="F184" s="137"/>
      <c r="G184" s="238">
        <f>Bond!M19/100</f>
        <v>7.0489999999999997E-2</v>
      </c>
    </row>
    <row r="185" spans="2:7" ht="13.5" customHeight="1" x14ac:dyDescent="0.3">
      <c r="B185" s="491" t="s">
        <v>89</v>
      </c>
      <c r="C185" s="492"/>
      <c r="D185" s="492"/>
      <c r="E185" s="493"/>
      <c r="F185" s="492"/>
      <c r="G185" s="494">
        <f>Bond!M20/100</f>
        <v>8.4689999999999988E-2</v>
      </c>
    </row>
  </sheetData>
  <mergeCells count="29">
    <mergeCell ref="H4:H5"/>
    <mergeCell ref="I4:I5"/>
    <mergeCell ref="B41:C41"/>
    <mergeCell ref="B4:C5"/>
    <mergeCell ref="D4:D5"/>
    <mergeCell ref="E4:E5"/>
    <mergeCell ref="F4:F5"/>
    <mergeCell ref="J4:J5"/>
    <mergeCell ref="L4:L5"/>
    <mergeCell ref="O4:O5"/>
    <mergeCell ref="P4:P5"/>
    <mergeCell ref="Q4:Q5"/>
    <mergeCell ref="C60:Q60"/>
    <mergeCell ref="B42:C42"/>
    <mergeCell ref="B46:C46"/>
    <mergeCell ref="B47:C47"/>
    <mergeCell ref="C52:Q52"/>
    <mergeCell ref="C53:Q53"/>
    <mergeCell ref="C54:Q54"/>
    <mergeCell ref="C55:Q55"/>
    <mergeCell ref="C56:Q56"/>
    <mergeCell ref="C57:Q57"/>
    <mergeCell ref="C58:Q58"/>
    <mergeCell ref="C59:Q59"/>
    <mergeCell ref="C61:Q61"/>
    <mergeCell ref="G129:G130"/>
    <mergeCell ref="H129:H130"/>
    <mergeCell ref="I129:I130"/>
    <mergeCell ref="J129:J130"/>
  </mergeCells>
  <phoneticPr fontId="1" type="noConversion"/>
  <conditionalFormatting sqref="Q37 G25:Q25 B25 E25 B31:I31 B26:Q26 B24:Q24 B20:Q20 B21:I23 K21:Q23 B29:J30 B27:I28 C11:D11 G6:Q6 B6 E6 K27:Q31 B7:Q9 B10:B19 E10:I19 K10:Q19">
    <cfRule type="expression" dxfId="3" priority="2">
      <formula>#REF!=2</formula>
    </cfRule>
  </conditionalFormatting>
  <conditionalFormatting sqref="Q37 O6:O31">
    <cfRule type="expression" dxfId="2" priority="1">
      <formula>#REF!=1</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10625" r:id="rId4" name="Drop Down 1">
              <controlPr defaultSize="0" autoLine="0" autoPict="0">
                <anchor moveWithCells="1">
                  <from>
                    <xdr:col>18</xdr:col>
                    <xdr:colOff>9525</xdr:colOff>
                    <xdr:row>33</xdr:row>
                    <xdr:rowOff>0</xdr:rowOff>
                  </from>
                  <to>
                    <xdr:col>20</xdr:col>
                    <xdr:colOff>0</xdr:colOff>
                    <xdr:row>34</xdr:row>
                    <xdr:rowOff>19050</xdr:rowOff>
                  </to>
                </anchor>
              </controlPr>
            </control>
          </mc:Choice>
        </mc:AlternateContent>
        <mc:AlternateContent xmlns:mc="http://schemas.openxmlformats.org/markup-compatibility/2006">
          <mc:Choice Requires="x14">
            <control shapeId="410626" r:id="rId5" name="Drop Down 2">
              <controlPr defaultSize="0" autoLine="0" autoPict="0">
                <anchor moveWithCells="1">
                  <from>
                    <xdr:col>18</xdr:col>
                    <xdr:colOff>19050</xdr:colOff>
                    <xdr:row>46</xdr:row>
                    <xdr:rowOff>9525</xdr:rowOff>
                  </from>
                  <to>
                    <xdr:col>20</xdr:col>
                    <xdr:colOff>9525</xdr:colOff>
                    <xdr:row>47</xdr:row>
                    <xdr:rowOff>28575</xdr:rowOff>
                  </to>
                </anchor>
              </controlPr>
            </control>
          </mc:Choice>
        </mc:AlternateContent>
        <mc:AlternateContent xmlns:mc="http://schemas.openxmlformats.org/markup-compatibility/2006">
          <mc:Choice Requires="x14">
            <control shapeId="410627" r:id="rId6" name="Drop Down 3">
              <controlPr defaultSize="0" autoLine="0" autoPict="0">
                <anchor moveWithCells="1">
                  <from>
                    <xdr:col>18</xdr:col>
                    <xdr:colOff>9525</xdr:colOff>
                    <xdr:row>38</xdr:row>
                    <xdr:rowOff>161925</xdr:rowOff>
                  </from>
                  <to>
                    <xdr:col>20</xdr:col>
                    <xdr:colOff>0</xdr:colOff>
                    <xdr:row>40</xdr:row>
                    <xdr:rowOff>9525</xdr:rowOff>
                  </to>
                </anchor>
              </controlPr>
            </control>
          </mc:Choice>
        </mc:AlternateContent>
        <mc:AlternateContent xmlns:mc="http://schemas.openxmlformats.org/markup-compatibility/2006">
          <mc:Choice Requires="x14">
            <control shapeId="410628" r:id="rId7" name="Drop Down 4">
              <controlPr defaultSize="0" autoLine="0" autoPict="0">
                <anchor moveWithCells="1">
                  <from>
                    <xdr:col>18</xdr:col>
                    <xdr:colOff>9525</xdr:colOff>
                    <xdr:row>48</xdr:row>
                    <xdr:rowOff>161925</xdr:rowOff>
                  </from>
                  <to>
                    <xdr:col>20</xdr:col>
                    <xdr:colOff>0</xdr:colOff>
                    <xdr:row>50</xdr:row>
                    <xdr:rowOff>9525</xdr:rowOff>
                  </to>
                </anchor>
              </controlPr>
            </control>
          </mc:Choice>
        </mc:AlternateContent>
        <mc:AlternateContent xmlns:mc="http://schemas.openxmlformats.org/markup-compatibility/2006">
          <mc:Choice Requires="x14">
            <control shapeId="410629" r:id="rId8" name="Drop Down 5">
              <controlPr defaultSize="0" autoLine="0" autoPict="0">
                <anchor moveWithCells="1">
                  <from>
                    <xdr:col>18</xdr:col>
                    <xdr:colOff>9525</xdr:colOff>
                    <xdr:row>51</xdr:row>
                    <xdr:rowOff>161925</xdr:rowOff>
                  </from>
                  <to>
                    <xdr:col>20</xdr:col>
                    <xdr:colOff>0</xdr:colOff>
                    <xdr:row>53</xdr:row>
                    <xdr:rowOff>9525</xdr:rowOff>
                  </to>
                </anchor>
              </controlPr>
            </control>
          </mc:Choice>
        </mc:AlternateContent>
        <mc:AlternateContent xmlns:mc="http://schemas.openxmlformats.org/markup-compatibility/2006">
          <mc:Choice Requires="x14">
            <control shapeId="410630" r:id="rId9" name="Drop Down 6">
              <controlPr defaultSize="0" autoLine="0" autoPict="0">
                <anchor moveWithCells="1">
                  <from>
                    <xdr:col>18</xdr:col>
                    <xdr:colOff>0</xdr:colOff>
                    <xdr:row>40</xdr:row>
                    <xdr:rowOff>438150</xdr:rowOff>
                  </from>
                  <to>
                    <xdr:col>19</xdr:col>
                    <xdr:colOff>571500</xdr:colOff>
                    <xdr:row>42</xdr:row>
                    <xdr:rowOff>19050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tabColor theme="8" tint="-0.499984740745262"/>
  </sheetPr>
  <dimension ref="A1:AL62"/>
  <sheetViews>
    <sheetView showGridLines="0" topLeftCell="A13" workbookViewId="0">
      <selection activeCell="R38" sqref="R38"/>
    </sheetView>
  </sheetViews>
  <sheetFormatPr defaultColWidth="9" defaultRowHeight="13.5" customHeight="1" outlineLevelRow="1" x14ac:dyDescent="0.3"/>
  <cols>
    <col min="1" max="1" width="2.625" style="225" customWidth="1"/>
    <col min="2" max="2" width="17.75" style="117" customWidth="1"/>
    <col min="3" max="3" width="1.5" style="117" customWidth="1"/>
    <col min="4" max="4" width="7.125" style="375" customWidth="1"/>
    <col min="5" max="5" width="1.5" style="117" customWidth="1"/>
    <col min="6" max="6" width="10.125" style="117" customWidth="1"/>
    <col min="7" max="7" width="7.75" style="117" customWidth="1"/>
    <col min="8" max="8" width="9.75" style="117" bestFit="1" customWidth="1"/>
    <col min="9" max="9" width="8.25" style="117" customWidth="1"/>
    <col min="10" max="10" width="6" style="117" customWidth="1"/>
    <col min="11" max="11" width="8.375" style="117" customWidth="1"/>
    <col min="12" max="12" width="1.125" style="117" customWidth="1"/>
    <col min="13" max="13" width="6.75" style="117" customWidth="1"/>
    <col min="14" max="14" width="8.5" style="117" customWidth="1"/>
    <col min="15" max="15" width="9.75" style="117" customWidth="1"/>
    <col min="16" max="16" width="3.625" style="119" customWidth="1"/>
    <col min="17" max="17" width="6.625" style="117" customWidth="1"/>
    <col min="18" max="18" width="7.625" style="117" customWidth="1"/>
    <col min="19" max="20" width="9.125" style="117" customWidth="1"/>
    <col min="21" max="21" width="9.875" style="117" bestFit="1" customWidth="1"/>
    <col min="22" max="23" width="9" style="117"/>
    <col min="24" max="24" width="10.375" style="117" bestFit="1" customWidth="1"/>
    <col min="25" max="16384" width="9" style="117"/>
  </cols>
  <sheetData>
    <row r="1" spans="1:20" s="50" customFormat="1" ht="31.5" x14ac:dyDescent="0.3">
      <c r="A1" s="222"/>
      <c r="B1" s="58" t="str">
        <f>"Project"&amp;" "&amp;Title!L6</f>
        <v>Project IT</v>
      </c>
      <c r="C1" s="103"/>
      <c r="D1" s="103"/>
      <c r="E1" s="103"/>
      <c r="F1" s="103"/>
      <c r="G1" s="103"/>
      <c r="H1" s="104"/>
      <c r="I1" s="104"/>
      <c r="J1" s="104"/>
      <c r="K1" s="104"/>
      <c r="L1" s="104"/>
      <c r="M1" s="104"/>
      <c r="N1" s="104"/>
      <c r="O1" s="61" t="str">
        <f>Des!$C$12</f>
        <v>DRAFT - For Discussion Purposes Only</v>
      </c>
      <c r="P1" s="105"/>
      <c r="Q1" s="106" t="s">
        <v>65</v>
      </c>
    </row>
    <row r="2" spans="1:20" s="50" customFormat="1" ht="26.25" x14ac:dyDescent="0.3">
      <c r="A2" s="223"/>
      <c r="B2" s="139" t="s">
        <v>33</v>
      </c>
      <c r="C2" s="140"/>
      <c r="D2" s="140"/>
      <c r="E2" s="140"/>
      <c r="F2" s="140"/>
      <c r="G2" s="140"/>
      <c r="H2" s="140"/>
      <c r="I2" s="140"/>
      <c r="J2" s="140"/>
      <c r="K2" s="140"/>
      <c r="L2" s="140"/>
      <c r="M2" s="140"/>
      <c r="N2" s="140"/>
      <c r="O2" s="140"/>
      <c r="P2" s="105"/>
      <c r="Q2" s="419" t="s">
        <v>66</v>
      </c>
      <c r="R2" s="420"/>
      <c r="S2" s="421">
        <v>0.24199999999999999</v>
      </c>
    </row>
    <row r="3" spans="1:20" s="112" customFormat="1" x14ac:dyDescent="0.3">
      <c r="A3" s="224"/>
      <c r="B3" s="107"/>
      <c r="D3" s="108"/>
      <c r="F3" s="108"/>
      <c r="G3" s="108"/>
      <c r="H3" s="109"/>
      <c r="I3" s="109"/>
      <c r="P3" s="110"/>
      <c r="Q3" s="422" t="s">
        <v>67</v>
      </c>
      <c r="R3" s="423"/>
      <c r="S3" s="424">
        <f>S2</f>
        <v>0.24199999999999999</v>
      </c>
      <c r="T3" s="899" t="s">
        <v>68</v>
      </c>
    </row>
    <row r="4" spans="1:20" ht="13.5" customHeight="1" x14ac:dyDescent="0.3">
      <c r="B4" s="2095" t="s">
        <v>34</v>
      </c>
      <c r="C4" s="2097"/>
      <c r="D4" s="2097" t="s">
        <v>99</v>
      </c>
      <c r="E4" s="2097"/>
      <c r="F4" s="547" t="s">
        <v>35</v>
      </c>
      <c r="G4" s="2099" t="s">
        <v>1060</v>
      </c>
      <c r="H4" s="2097" t="s">
        <v>1054</v>
      </c>
      <c r="I4" s="2097" t="s">
        <v>36</v>
      </c>
      <c r="J4" s="845" t="s">
        <v>37</v>
      </c>
      <c r="K4" s="845" t="s">
        <v>38</v>
      </c>
      <c r="L4" s="548"/>
      <c r="M4" s="2103" t="s">
        <v>1143</v>
      </c>
      <c r="N4" s="2103" t="s">
        <v>39</v>
      </c>
      <c r="O4" s="2105" t="s">
        <v>40</v>
      </c>
      <c r="R4" s="1"/>
      <c r="S4" s="1"/>
    </row>
    <row r="5" spans="1:20" ht="13.5" customHeight="1" x14ac:dyDescent="0.3">
      <c r="B5" s="2096"/>
      <c r="C5" s="2098"/>
      <c r="D5" s="2098"/>
      <c r="E5" s="2098"/>
      <c r="F5" s="551" t="s">
        <v>41</v>
      </c>
      <c r="G5" s="2100"/>
      <c r="H5" s="2098"/>
      <c r="I5" s="2098"/>
      <c r="J5" s="551" t="s">
        <v>42</v>
      </c>
      <c r="K5" s="551" t="s">
        <v>43</v>
      </c>
      <c r="L5" s="552"/>
      <c r="M5" s="2104"/>
      <c r="N5" s="2104"/>
      <c r="O5" s="2106"/>
      <c r="P5" s="117"/>
    </row>
    <row r="6" spans="1:20" ht="12" customHeight="1" x14ac:dyDescent="0.3">
      <c r="A6" s="496"/>
      <c r="B6" s="549" t="str">
        <f>WACC!B6</f>
        <v>SAMSUNG SDS CO LTD</v>
      </c>
      <c r="C6" s="426"/>
      <c r="D6" s="792" t="str">
        <f>WACC!E6</f>
        <v>SOUTH KOREA</v>
      </c>
      <c r="E6" s="426"/>
      <c r="F6" s="241">
        <f>WACC!G6</f>
        <v>1.245976</v>
      </c>
      <c r="G6" s="241" t="str">
        <f>WACC!H6</f>
        <v>KRW</v>
      </c>
      <c r="H6" s="221">
        <f>WACC!I6</f>
        <v>20173497.85414286</v>
      </c>
      <c r="I6" s="221">
        <f>WACC!J6</f>
        <v>14363.156931</v>
      </c>
      <c r="J6" s="219">
        <f>WACC!K6</f>
        <v>7.1198148357055294E-4</v>
      </c>
      <c r="K6" s="219">
        <f>WACC!M6</f>
        <v>7.1147492659679129E-4</v>
      </c>
      <c r="L6" s="129"/>
      <c r="M6" s="546">
        <f>WACC!O6</f>
        <v>0.24199999999999999</v>
      </c>
      <c r="N6" s="218">
        <f>WACC!P6</f>
        <v>1.2453039319275598</v>
      </c>
      <c r="O6" s="550">
        <f>WACC!Q6</f>
        <v>1.2453039319275598</v>
      </c>
      <c r="P6" s="117"/>
    </row>
    <row r="7" spans="1:20" s="115" customFormat="1" ht="12" customHeight="1" x14ac:dyDescent="0.3">
      <c r="A7" s="496"/>
      <c r="B7" s="549" t="str">
        <f>WACC!B7</f>
        <v>POSCO ICT CO LTD</v>
      </c>
      <c r="C7" s="63"/>
      <c r="D7" s="792" t="str">
        <f>WACC!E7</f>
        <v>SOUTH KOREA</v>
      </c>
      <c r="E7" s="64"/>
      <c r="F7" s="241">
        <f>WACC!G7</f>
        <v>0.61232299999999995</v>
      </c>
      <c r="G7" s="241" t="str">
        <f>WACC!H7</f>
        <v>KRW</v>
      </c>
      <c r="H7" s="221">
        <f>WACC!I7</f>
        <v>749314.02152380964</v>
      </c>
      <c r="I7" s="221">
        <f>WACC!J7</f>
        <v>40486.303609000002</v>
      </c>
      <c r="J7" s="219">
        <f>WACC!K7</f>
        <v>5.4031157093079353E-2</v>
      </c>
      <c r="K7" s="219">
        <f>WACC!M7</f>
        <v>5.1261442064096371E-2</v>
      </c>
      <c r="L7" s="129"/>
      <c r="M7" s="546">
        <f>WACC!O7</f>
        <v>0.24199999999999999</v>
      </c>
      <c r="N7" s="218">
        <f>WACC!P7</f>
        <v>0.58823161137231117</v>
      </c>
      <c r="O7" s="550">
        <f>WACC!Q7</f>
        <v>0.58823161137231117</v>
      </c>
    </row>
    <row r="8" spans="1:20" s="115" customFormat="1" ht="12" customHeight="1" x14ac:dyDescent="0.3">
      <c r="A8" s="496"/>
      <c r="B8" s="549" t="str">
        <f>WACC!B8</f>
        <v>DONGBU CO LTD</v>
      </c>
      <c r="C8" s="63"/>
      <c r="D8" s="792" t="str">
        <f>WACC!E8</f>
        <v>SOUTH KOREA</v>
      </c>
      <c r="E8" s="64"/>
      <c r="F8" s="241">
        <f>WACC!G8</f>
        <v>1.0504979999999999</v>
      </c>
      <c r="G8" s="241" t="str">
        <f>WACC!H8</f>
        <v>KRW</v>
      </c>
      <c r="H8" s="221">
        <f>WACC!I8</f>
        <v>89137.820828571421</v>
      </c>
      <c r="I8" s="221">
        <f>WACC!J8</f>
        <v>59995.437982999996</v>
      </c>
      <c r="J8" s="219">
        <f>WACC!K8</f>
        <v>0.67306377276579787</v>
      </c>
      <c r="K8" s="219">
        <f>WACC!M8</f>
        <v>0.40229415263300672</v>
      </c>
      <c r="L8" s="129"/>
      <c r="M8" s="546">
        <f>WACC!O8</f>
        <v>0.24199999999999999</v>
      </c>
      <c r="N8" s="218">
        <f>WACC!P8</f>
        <v>0.69561004147975836</v>
      </c>
      <c r="O8" s="550">
        <f>WACC!Q8</f>
        <v>0.69561004147975836</v>
      </c>
    </row>
    <row r="9" spans="1:20" s="115" customFormat="1" ht="12" customHeight="1" x14ac:dyDescent="0.3">
      <c r="A9" s="496"/>
      <c r="B9" s="549" t="str">
        <f>WACC!B9</f>
        <v>SHINSEGAE INFORMATION &amp; COMM</v>
      </c>
      <c r="C9" s="63"/>
      <c r="D9" s="792" t="str">
        <f>WACC!E9</f>
        <v>SOUTH KOREA</v>
      </c>
      <c r="E9" s="64"/>
      <c r="F9" s="241">
        <f>WACC!G9</f>
        <v>0.88442390000000004</v>
      </c>
      <c r="G9" s="241" t="str">
        <f>WACC!H9</f>
        <v>KRW</v>
      </c>
      <c r="H9" s="221">
        <f>WACC!I9</f>
        <v>168289.71708571431</v>
      </c>
      <c r="I9" s="221">
        <f>WACC!J9</f>
        <v>0</v>
      </c>
      <c r="J9" s="219">
        <f>WACC!K9</f>
        <v>0</v>
      </c>
      <c r="K9" s="219">
        <f>WACC!M9</f>
        <v>0</v>
      </c>
      <c r="L9" s="129"/>
      <c r="M9" s="546">
        <f>WACC!O9</f>
        <v>0.24199999999999999</v>
      </c>
      <c r="N9" s="218">
        <f>WACC!P9</f>
        <v>0.88442390000000004</v>
      </c>
      <c r="O9" s="550">
        <f>WACC!Q9</f>
        <v>0.88442390000000004</v>
      </c>
    </row>
    <row r="10" spans="1:20" s="115" customFormat="1" ht="12" customHeight="1" x14ac:dyDescent="0.3">
      <c r="A10" s="496"/>
      <c r="B10" s="549" t="str">
        <f>WACC!B10</f>
        <v>HYUNDAI INFORMATION TECH</v>
      </c>
      <c r="C10" s="62"/>
      <c r="D10" s="792" t="str">
        <f>WACC!E10</f>
        <v>SOUTH KOREA</v>
      </c>
      <c r="E10" s="63"/>
      <c r="F10" s="241">
        <f>WACC!G10</f>
        <v>0.26086209999999999</v>
      </c>
      <c r="G10" s="241" t="str">
        <f>WACC!H10</f>
        <v>KRW</v>
      </c>
      <c r="H10" s="221">
        <f>WACC!I10</f>
        <v>116521.65489523808</v>
      </c>
      <c r="I10" s="221">
        <f>WACC!J10</f>
        <v>71570.720409999994</v>
      </c>
      <c r="J10" s="219">
        <f>WACC!K10</f>
        <v>0.61422677591000208</v>
      </c>
      <c r="K10" s="219">
        <f>WACC!M10</f>
        <v>0.38050835550273826</v>
      </c>
      <c r="L10" s="129"/>
      <c r="M10" s="546">
        <f>WACC!O10</f>
        <v>0.24199999999999999</v>
      </c>
      <c r="N10" s="218">
        <f>WACC!P10</f>
        <v>0.1779919257349154</v>
      </c>
      <c r="O10" s="550">
        <f>WACC!Q10</f>
        <v>0.1779919257349154</v>
      </c>
      <c r="Q10" s="392"/>
    </row>
    <row r="11" spans="1:20" s="115" customFormat="1" ht="12" customHeight="1" x14ac:dyDescent="0.3">
      <c r="A11" s="496"/>
      <c r="B11" s="549" t="str">
        <f>WACC!B11</f>
        <v>HANIL NETWORKS CO LTD</v>
      </c>
      <c r="C11" s="63"/>
      <c r="D11" s="792" t="str">
        <f>WACC!E11</f>
        <v>SOUTH KOREA</v>
      </c>
      <c r="E11" s="64"/>
      <c r="F11" s="241">
        <f>WACC!G11</f>
        <v>0.70775719999999998</v>
      </c>
      <c r="G11" s="241" t="str">
        <f>WACC!H11</f>
        <v>KRW</v>
      </c>
      <c r="H11" s="221">
        <f>WACC!I11</f>
        <v>34610.334699999999</v>
      </c>
      <c r="I11" s="221">
        <f>WACC!J11</f>
        <v>500</v>
      </c>
      <c r="J11" s="219">
        <f>WACC!K11</f>
        <v>1.4446552000550287E-2</v>
      </c>
      <c r="K11" s="219">
        <f>WACC!M11</f>
        <v>1.424082123603339E-2</v>
      </c>
      <c r="L11" s="129"/>
      <c r="M11" s="546">
        <f>WACC!O11</f>
        <v>0.24199999999999999</v>
      </c>
      <c r="N11" s="218">
        <f>WACC!P11</f>
        <v>0.70009086449805624</v>
      </c>
      <c r="O11" s="550">
        <f>WACC!Q11</f>
        <v>0.70009086449805624</v>
      </c>
    </row>
    <row r="12" spans="1:20" s="115" customFormat="1" ht="12" customHeight="1" x14ac:dyDescent="0.3">
      <c r="A12" s="496"/>
      <c r="B12" s="549">
        <f>WACC!B12</f>
        <v>0</v>
      </c>
      <c r="C12" s="62"/>
      <c r="D12" s="792">
        <f>WACC!E12</f>
        <v>0</v>
      </c>
      <c r="E12" s="63"/>
      <c r="F12" s="241">
        <f>WACC!G12</f>
        <v>0</v>
      </c>
      <c r="G12" s="241">
        <f>WACC!H12</f>
        <v>0</v>
      </c>
      <c r="H12" s="221">
        <f>WACC!I12</f>
        <v>0</v>
      </c>
      <c r="I12" s="221">
        <f>WACC!J12</f>
        <v>0</v>
      </c>
      <c r="J12" s="219">
        <f>WACC!K12</f>
        <v>0</v>
      </c>
      <c r="K12" s="219">
        <f>WACC!M12</f>
        <v>0</v>
      </c>
      <c r="L12" s="129"/>
      <c r="M12" s="546">
        <f>WACC!O12</f>
        <v>0</v>
      </c>
      <c r="N12" s="218">
        <f>WACC!P12</f>
        <v>0</v>
      </c>
      <c r="O12" s="550">
        <f>WACC!Q12</f>
        <v>0</v>
      </c>
      <c r="Q12" s="392"/>
    </row>
    <row r="13" spans="1:20" s="115" customFormat="1" ht="12" customHeight="1" x14ac:dyDescent="0.3">
      <c r="A13" s="496"/>
      <c r="B13" s="549">
        <f>WACC!B13</f>
        <v>0</v>
      </c>
      <c r="C13" s="62"/>
      <c r="D13" s="792">
        <f>WACC!E13</f>
        <v>0</v>
      </c>
      <c r="E13" s="63"/>
      <c r="F13" s="241">
        <f>WACC!G13</f>
        <v>0</v>
      </c>
      <c r="G13" s="241">
        <f>WACC!H13</f>
        <v>0</v>
      </c>
      <c r="H13" s="221">
        <f>WACC!I13</f>
        <v>0</v>
      </c>
      <c r="I13" s="221">
        <f>WACC!J13</f>
        <v>0</v>
      </c>
      <c r="J13" s="219">
        <f>WACC!K13</f>
        <v>0</v>
      </c>
      <c r="K13" s="219">
        <f>WACC!M13</f>
        <v>0</v>
      </c>
      <c r="L13" s="129"/>
      <c r="M13" s="546">
        <f>WACC!O13</f>
        <v>0</v>
      </c>
      <c r="N13" s="218">
        <f>WACC!P13</f>
        <v>0</v>
      </c>
      <c r="O13" s="550">
        <f>WACC!Q13</f>
        <v>0</v>
      </c>
      <c r="Q13" s="392"/>
    </row>
    <row r="14" spans="1:20" s="115" customFormat="1" ht="12" customHeight="1" x14ac:dyDescent="0.3">
      <c r="A14" s="496"/>
      <c r="B14" s="549">
        <f>WACC!B14</f>
        <v>0</v>
      </c>
      <c r="C14" s="62"/>
      <c r="D14" s="792">
        <f>WACC!E14</f>
        <v>0</v>
      </c>
      <c r="E14" s="63"/>
      <c r="F14" s="241">
        <f>WACC!G14</f>
        <v>0</v>
      </c>
      <c r="G14" s="241">
        <f>WACC!H14</f>
        <v>0</v>
      </c>
      <c r="H14" s="221">
        <f>WACC!I14</f>
        <v>0</v>
      </c>
      <c r="I14" s="221">
        <f>WACC!J14</f>
        <v>0</v>
      </c>
      <c r="J14" s="219">
        <f>WACC!K14</f>
        <v>0</v>
      </c>
      <c r="K14" s="219">
        <f>WACC!M14</f>
        <v>0</v>
      </c>
      <c r="L14" s="129"/>
      <c r="M14" s="546">
        <f>WACC!O14</f>
        <v>0</v>
      </c>
      <c r="N14" s="218">
        <f>WACC!P14</f>
        <v>0</v>
      </c>
      <c r="O14" s="550">
        <f>WACC!Q14</f>
        <v>0</v>
      </c>
      <c r="Q14" s="392"/>
    </row>
    <row r="15" spans="1:20" s="115" customFormat="1" ht="12" customHeight="1" outlineLevel="1" x14ac:dyDescent="0.3">
      <c r="A15" s="496"/>
      <c r="B15" s="549">
        <f>WACC!B15</f>
        <v>0</v>
      </c>
      <c r="C15" s="62"/>
      <c r="D15" s="64">
        <f>WACC!E15</f>
        <v>0</v>
      </c>
      <c r="E15" s="63"/>
      <c r="F15" s="241">
        <f>WACC!G15</f>
        <v>0</v>
      </c>
      <c r="G15" s="241">
        <f>WACC!H15</f>
        <v>0</v>
      </c>
      <c r="H15" s="221">
        <f>WACC!I15</f>
        <v>0</v>
      </c>
      <c r="I15" s="221">
        <f>WACC!J15</f>
        <v>0</v>
      </c>
      <c r="J15" s="219">
        <f>WACC!K15</f>
        <v>0</v>
      </c>
      <c r="K15" s="219">
        <f>WACC!M15</f>
        <v>0</v>
      </c>
      <c r="L15" s="129"/>
      <c r="M15" s="220">
        <f>WACC!O15</f>
        <v>0</v>
      </c>
      <c r="N15" s="218">
        <f>WACC!P15</f>
        <v>0</v>
      </c>
      <c r="O15" s="550">
        <f>WACC!Q15</f>
        <v>0</v>
      </c>
      <c r="Q15" s="392"/>
    </row>
    <row r="16" spans="1:20" s="115" customFormat="1" ht="12" customHeight="1" outlineLevel="1" x14ac:dyDescent="0.3">
      <c r="A16" s="496"/>
      <c r="B16" s="549">
        <f>WACC!B16</f>
        <v>0</v>
      </c>
      <c r="C16" s="62"/>
      <c r="D16" s="64">
        <f>WACC!E16</f>
        <v>0</v>
      </c>
      <c r="E16" s="63"/>
      <c r="F16" s="241">
        <f>WACC!G16</f>
        <v>0</v>
      </c>
      <c r="G16" s="241">
        <f>WACC!H16</f>
        <v>0</v>
      </c>
      <c r="H16" s="221">
        <f>WACC!I16</f>
        <v>0</v>
      </c>
      <c r="I16" s="221">
        <f>WACC!J16</f>
        <v>0</v>
      </c>
      <c r="J16" s="219">
        <f>WACC!K16</f>
        <v>0</v>
      </c>
      <c r="K16" s="219">
        <f>WACC!M16</f>
        <v>0</v>
      </c>
      <c r="L16" s="129"/>
      <c r="M16" s="220">
        <f>WACC!O16</f>
        <v>0</v>
      </c>
      <c r="N16" s="218">
        <f>WACC!P16</f>
        <v>0</v>
      </c>
      <c r="O16" s="550">
        <f>WACC!Q16</f>
        <v>0</v>
      </c>
      <c r="Q16" s="392"/>
    </row>
    <row r="17" spans="1:24" s="115" customFormat="1" ht="12" customHeight="1" outlineLevel="1" x14ac:dyDescent="0.3">
      <c r="A17" s="496"/>
      <c r="B17" s="549">
        <f>WACC!B17</f>
        <v>0</v>
      </c>
      <c r="C17" s="62"/>
      <c r="D17" s="64">
        <f>WACC!E17</f>
        <v>0</v>
      </c>
      <c r="E17" s="63"/>
      <c r="F17" s="241">
        <f>WACC!G17</f>
        <v>0</v>
      </c>
      <c r="G17" s="241">
        <f>WACC!H17</f>
        <v>0</v>
      </c>
      <c r="H17" s="221">
        <f>WACC!I17</f>
        <v>0</v>
      </c>
      <c r="I17" s="221">
        <f>WACC!J17</f>
        <v>0</v>
      </c>
      <c r="J17" s="219">
        <f>WACC!K17</f>
        <v>0</v>
      </c>
      <c r="K17" s="219">
        <f>WACC!M17</f>
        <v>0</v>
      </c>
      <c r="L17" s="129"/>
      <c r="M17" s="220">
        <f>WACC!O17</f>
        <v>0</v>
      </c>
      <c r="N17" s="218">
        <f>WACC!P17</f>
        <v>0</v>
      </c>
      <c r="O17" s="550">
        <f>WACC!Q17</f>
        <v>0</v>
      </c>
      <c r="Q17" s="392"/>
    </row>
    <row r="18" spans="1:24" s="115" customFormat="1" ht="12" customHeight="1" outlineLevel="1" x14ac:dyDescent="0.3">
      <c r="A18" s="496"/>
      <c r="B18" s="549">
        <f>WACC!B18</f>
        <v>0</v>
      </c>
      <c r="C18" s="62"/>
      <c r="D18" s="64">
        <f>WACC!E18</f>
        <v>0</v>
      </c>
      <c r="E18" s="63"/>
      <c r="F18" s="241">
        <f>WACC!G18</f>
        <v>0</v>
      </c>
      <c r="G18" s="241">
        <f>WACC!H18</f>
        <v>0</v>
      </c>
      <c r="H18" s="221">
        <f>WACC!I18</f>
        <v>0</v>
      </c>
      <c r="I18" s="221">
        <f>WACC!J18</f>
        <v>0</v>
      </c>
      <c r="J18" s="219">
        <f>WACC!K18</f>
        <v>0</v>
      </c>
      <c r="K18" s="219">
        <f>WACC!M18</f>
        <v>0</v>
      </c>
      <c r="L18" s="129"/>
      <c r="M18" s="220">
        <f>WACC!O18</f>
        <v>0</v>
      </c>
      <c r="N18" s="218">
        <f>WACC!P18</f>
        <v>0</v>
      </c>
      <c r="O18" s="550">
        <f>WACC!Q18</f>
        <v>0</v>
      </c>
      <c r="Q18" s="392"/>
    </row>
    <row r="19" spans="1:24" s="115" customFormat="1" ht="12" customHeight="1" outlineLevel="1" x14ac:dyDescent="0.3">
      <c r="A19" s="496"/>
      <c r="B19" s="549">
        <f>WACC!B19</f>
        <v>0</v>
      </c>
      <c r="C19" s="62"/>
      <c r="D19" s="64">
        <f>WACC!E19</f>
        <v>0</v>
      </c>
      <c r="E19" s="63"/>
      <c r="F19" s="241">
        <f>WACC!G19</f>
        <v>0</v>
      </c>
      <c r="G19" s="241">
        <f>WACC!H19</f>
        <v>0</v>
      </c>
      <c r="H19" s="221">
        <f>WACC!I19</f>
        <v>0</v>
      </c>
      <c r="I19" s="221">
        <f>WACC!J19</f>
        <v>0</v>
      </c>
      <c r="J19" s="219">
        <f>WACC!K19</f>
        <v>0</v>
      </c>
      <c r="K19" s="219">
        <f>WACC!M19</f>
        <v>0</v>
      </c>
      <c r="L19" s="129"/>
      <c r="M19" s="220">
        <f>WACC!O19</f>
        <v>0</v>
      </c>
      <c r="N19" s="218">
        <f>WACC!P19</f>
        <v>0</v>
      </c>
      <c r="O19" s="550">
        <f>WACC!Q19</f>
        <v>0</v>
      </c>
      <c r="Q19" s="392"/>
    </row>
    <row r="20" spans="1:24" s="115" customFormat="1" ht="12" customHeight="1" outlineLevel="1" x14ac:dyDescent="0.3">
      <c r="A20" s="497"/>
      <c r="B20" s="549">
        <f>WACC!B20</f>
        <v>0</v>
      </c>
      <c r="C20" s="63"/>
      <c r="D20" s="64">
        <f>WACC!E20</f>
        <v>0</v>
      </c>
      <c r="E20" s="64"/>
      <c r="F20" s="241">
        <f>WACC!G20</f>
        <v>0</v>
      </c>
      <c r="G20" s="241">
        <f>WACC!H20</f>
        <v>0</v>
      </c>
      <c r="H20" s="221">
        <f>WACC!I20</f>
        <v>0</v>
      </c>
      <c r="I20" s="221">
        <f>WACC!J20</f>
        <v>0</v>
      </c>
      <c r="J20" s="219">
        <f>WACC!K20</f>
        <v>0</v>
      </c>
      <c r="K20" s="219">
        <f>WACC!M20</f>
        <v>0</v>
      </c>
      <c r="L20" s="129"/>
      <c r="M20" s="220">
        <f>WACC!O20</f>
        <v>0</v>
      </c>
      <c r="N20" s="218">
        <f>WACC!P20</f>
        <v>0</v>
      </c>
      <c r="O20" s="550">
        <f>WACC!Q20</f>
        <v>0</v>
      </c>
      <c r="Q20" s="392"/>
    </row>
    <row r="21" spans="1:24" s="115" customFormat="1" ht="12" customHeight="1" outlineLevel="1" x14ac:dyDescent="0.3">
      <c r="A21" s="496"/>
      <c r="B21" s="549">
        <f>WACC!B21</f>
        <v>0</v>
      </c>
      <c r="C21" s="63"/>
      <c r="D21" s="64">
        <f>WACC!E21</f>
        <v>0</v>
      </c>
      <c r="E21" s="64"/>
      <c r="F21" s="241">
        <f>WACC!G21</f>
        <v>0</v>
      </c>
      <c r="G21" s="241">
        <f>WACC!H21</f>
        <v>0</v>
      </c>
      <c r="H21" s="221">
        <f>WACC!I21</f>
        <v>0</v>
      </c>
      <c r="I21" s="221">
        <f>WACC!J21</f>
        <v>0</v>
      </c>
      <c r="J21" s="219">
        <f>WACC!K21</f>
        <v>0</v>
      </c>
      <c r="K21" s="219">
        <f>WACC!M21</f>
        <v>0</v>
      </c>
      <c r="L21" s="129"/>
      <c r="M21" s="220">
        <f>WACC!O21</f>
        <v>0</v>
      </c>
      <c r="N21" s="218">
        <f>WACC!P21</f>
        <v>0</v>
      </c>
      <c r="O21" s="550">
        <f>WACC!Q21</f>
        <v>0</v>
      </c>
      <c r="Q21" s="392"/>
    </row>
    <row r="22" spans="1:24" s="115" customFormat="1" ht="12" customHeight="1" outlineLevel="1" x14ac:dyDescent="0.3">
      <c r="A22" s="496"/>
      <c r="B22" s="549">
        <f>WACC!B22</f>
        <v>0</v>
      </c>
      <c r="C22" s="63"/>
      <c r="D22" s="64">
        <f>WACC!E22</f>
        <v>0</v>
      </c>
      <c r="E22" s="64"/>
      <c r="F22" s="241">
        <f>WACC!G22</f>
        <v>0</v>
      </c>
      <c r="G22" s="241">
        <f>WACC!H22</f>
        <v>0</v>
      </c>
      <c r="H22" s="221">
        <f>WACC!I22</f>
        <v>0</v>
      </c>
      <c r="I22" s="221">
        <f>WACC!J22</f>
        <v>0</v>
      </c>
      <c r="J22" s="219">
        <f>WACC!K22</f>
        <v>0</v>
      </c>
      <c r="K22" s="219">
        <f>WACC!M22</f>
        <v>0</v>
      </c>
      <c r="L22" s="129"/>
      <c r="M22" s="220">
        <f>WACC!O22</f>
        <v>0</v>
      </c>
      <c r="N22" s="218">
        <f>WACC!P22</f>
        <v>0</v>
      </c>
      <c r="O22" s="550">
        <f>WACC!Q22</f>
        <v>0</v>
      </c>
      <c r="Q22" s="392"/>
    </row>
    <row r="23" spans="1:24" s="115" customFormat="1" ht="12" customHeight="1" outlineLevel="1" x14ac:dyDescent="0.3">
      <c r="A23" s="496"/>
      <c r="B23" s="549">
        <f>WACC!B23</f>
        <v>0</v>
      </c>
      <c r="C23" s="63"/>
      <c r="D23" s="64">
        <f>WACC!E23</f>
        <v>0</v>
      </c>
      <c r="E23" s="64"/>
      <c r="F23" s="241">
        <f>WACC!G23</f>
        <v>0</v>
      </c>
      <c r="G23" s="241">
        <f>WACC!H23</f>
        <v>0</v>
      </c>
      <c r="H23" s="221">
        <f>WACC!I23</f>
        <v>0</v>
      </c>
      <c r="I23" s="221">
        <f>WACC!J23</f>
        <v>0</v>
      </c>
      <c r="J23" s="219">
        <f>WACC!K23</f>
        <v>0</v>
      </c>
      <c r="K23" s="219">
        <f>WACC!M23</f>
        <v>0</v>
      </c>
      <c r="L23" s="129"/>
      <c r="M23" s="220">
        <f>WACC!O23</f>
        <v>0</v>
      </c>
      <c r="N23" s="218">
        <f>WACC!P23</f>
        <v>0</v>
      </c>
      <c r="O23" s="550">
        <f>WACC!Q23</f>
        <v>0</v>
      </c>
      <c r="Q23" s="392"/>
    </row>
    <row r="24" spans="1:24" s="115" customFormat="1" ht="12" customHeight="1" outlineLevel="1" x14ac:dyDescent="0.3">
      <c r="A24" s="496"/>
      <c r="B24" s="549">
        <f>WACC!B24</f>
        <v>0</v>
      </c>
      <c r="C24" s="63"/>
      <c r="D24" s="64">
        <f>WACC!E24</f>
        <v>0</v>
      </c>
      <c r="E24" s="64"/>
      <c r="F24" s="241">
        <f>WACC!G24</f>
        <v>0</v>
      </c>
      <c r="G24" s="241">
        <f>WACC!H24</f>
        <v>0</v>
      </c>
      <c r="H24" s="221">
        <f>WACC!I24</f>
        <v>0</v>
      </c>
      <c r="I24" s="221">
        <f>WACC!J24</f>
        <v>0</v>
      </c>
      <c r="J24" s="219">
        <f>WACC!K24</f>
        <v>0</v>
      </c>
      <c r="K24" s="219">
        <f>WACC!M24</f>
        <v>0</v>
      </c>
      <c r="L24" s="129"/>
      <c r="M24" s="220">
        <f>WACC!O24</f>
        <v>0</v>
      </c>
      <c r="N24" s="218">
        <f>WACC!P24</f>
        <v>0</v>
      </c>
      <c r="O24" s="550">
        <f>WACC!Q24</f>
        <v>0</v>
      </c>
      <c r="Q24" s="392"/>
    </row>
    <row r="25" spans="1:24" ht="12" customHeight="1" outlineLevel="1" x14ac:dyDescent="0.3">
      <c r="A25" s="496"/>
      <c r="B25" s="549">
        <f>WACC!B25</f>
        <v>0</v>
      </c>
      <c r="C25" s="426"/>
      <c r="D25" s="64">
        <f>WACC!E25</f>
        <v>0</v>
      </c>
      <c r="E25" s="426"/>
      <c r="F25" s="241">
        <f>WACC!G25</f>
        <v>0</v>
      </c>
      <c r="G25" s="241">
        <f>WACC!H25</f>
        <v>0</v>
      </c>
      <c r="H25" s="221">
        <f>WACC!I25</f>
        <v>0</v>
      </c>
      <c r="I25" s="221">
        <f>WACC!J25</f>
        <v>0</v>
      </c>
      <c r="J25" s="219">
        <f>WACC!K25</f>
        <v>0</v>
      </c>
      <c r="K25" s="219">
        <f>WACC!M25</f>
        <v>0</v>
      </c>
      <c r="L25" s="129"/>
      <c r="M25" s="220">
        <f>WACC!O25</f>
        <v>0</v>
      </c>
      <c r="N25" s="218">
        <f>WACC!P25</f>
        <v>0</v>
      </c>
      <c r="O25" s="550">
        <f>WACC!Q25</f>
        <v>0</v>
      </c>
      <c r="P25" s="117"/>
      <c r="Q25" s="107"/>
    </row>
    <row r="26" spans="1:24" s="115" customFormat="1" ht="12" customHeight="1" outlineLevel="1" x14ac:dyDescent="0.3">
      <c r="A26" s="496"/>
      <c r="B26" s="549">
        <f>WACC!B26</f>
        <v>0</v>
      </c>
      <c r="C26" s="63"/>
      <c r="D26" s="64">
        <f>WACC!E26</f>
        <v>0</v>
      </c>
      <c r="E26" s="64"/>
      <c r="F26" s="241">
        <f>WACC!G26</f>
        <v>0</v>
      </c>
      <c r="G26" s="241">
        <f>WACC!H26</f>
        <v>0</v>
      </c>
      <c r="H26" s="221">
        <f>WACC!I26</f>
        <v>0</v>
      </c>
      <c r="I26" s="221">
        <f>WACC!J26</f>
        <v>0</v>
      </c>
      <c r="J26" s="219">
        <f>WACC!K26</f>
        <v>0</v>
      </c>
      <c r="K26" s="219">
        <f>WACC!M26</f>
        <v>0</v>
      </c>
      <c r="L26" s="129"/>
      <c r="M26" s="220">
        <f>WACC!O26</f>
        <v>0</v>
      </c>
      <c r="N26" s="218">
        <f>WACC!P26</f>
        <v>0</v>
      </c>
      <c r="O26" s="550">
        <f>WACC!Q26</f>
        <v>0</v>
      </c>
      <c r="Q26" s="392"/>
    </row>
    <row r="27" spans="1:24" s="115" customFormat="1" ht="12" customHeight="1" outlineLevel="1" x14ac:dyDescent="0.3">
      <c r="A27" s="496"/>
      <c r="B27" s="549">
        <f>WACC!B27</f>
        <v>0</v>
      </c>
      <c r="C27" s="63"/>
      <c r="D27" s="64">
        <f>WACC!E27</f>
        <v>0</v>
      </c>
      <c r="E27" s="64"/>
      <c r="F27" s="241">
        <f>WACC!G27</f>
        <v>0</v>
      </c>
      <c r="G27" s="241">
        <f>WACC!H27</f>
        <v>0</v>
      </c>
      <c r="H27" s="221">
        <f>WACC!I27</f>
        <v>0</v>
      </c>
      <c r="I27" s="221">
        <f>WACC!J27</f>
        <v>0</v>
      </c>
      <c r="J27" s="219">
        <f>WACC!K27</f>
        <v>0</v>
      </c>
      <c r="K27" s="219">
        <f>WACC!M27</f>
        <v>0</v>
      </c>
      <c r="L27" s="129"/>
      <c r="M27" s="220">
        <f>WACC!O27</f>
        <v>0</v>
      </c>
      <c r="N27" s="218">
        <f>WACC!P27</f>
        <v>0</v>
      </c>
      <c r="O27" s="550">
        <f>WACC!Q27</f>
        <v>0</v>
      </c>
      <c r="Q27" s="392"/>
    </row>
    <row r="28" spans="1:24" s="115" customFormat="1" ht="12" customHeight="1" outlineLevel="1" x14ac:dyDescent="0.3">
      <c r="A28" s="496"/>
      <c r="B28" s="549">
        <f>WACC!B28</f>
        <v>0</v>
      </c>
      <c r="C28" s="63"/>
      <c r="D28" s="64">
        <f>WACC!E28</f>
        <v>0</v>
      </c>
      <c r="E28" s="64"/>
      <c r="F28" s="241">
        <f>WACC!G28</f>
        <v>0</v>
      </c>
      <c r="G28" s="241">
        <f>WACC!H28</f>
        <v>0</v>
      </c>
      <c r="H28" s="221">
        <f>WACC!I28</f>
        <v>0</v>
      </c>
      <c r="I28" s="221">
        <f>WACC!J28</f>
        <v>0</v>
      </c>
      <c r="J28" s="219">
        <f>WACC!K28</f>
        <v>0</v>
      </c>
      <c r="K28" s="219">
        <f>WACC!M28</f>
        <v>0</v>
      </c>
      <c r="L28" s="129"/>
      <c r="M28" s="220">
        <f>WACC!O28</f>
        <v>0</v>
      </c>
      <c r="N28" s="218">
        <f>WACC!P28</f>
        <v>0</v>
      </c>
      <c r="O28" s="550">
        <f>WACC!Q28</f>
        <v>0</v>
      </c>
      <c r="Q28" s="107"/>
    </row>
    <row r="29" spans="1:24" s="115" customFormat="1" ht="12" customHeight="1" outlineLevel="1" x14ac:dyDescent="0.3">
      <c r="A29" s="496"/>
      <c r="B29" s="549">
        <f>WACC!B29</f>
        <v>0</v>
      </c>
      <c r="C29" s="63"/>
      <c r="D29" s="64">
        <f>WACC!E29</f>
        <v>0</v>
      </c>
      <c r="E29" s="64"/>
      <c r="F29" s="241">
        <f>WACC!G29</f>
        <v>0</v>
      </c>
      <c r="G29" s="241">
        <f>WACC!H29</f>
        <v>0</v>
      </c>
      <c r="H29" s="221">
        <f>WACC!I29</f>
        <v>0</v>
      </c>
      <c r="I29" s="221">
        <f>WACC!J29</f>
        <v>0</v>
      </c>
      <c r="J29" s="219">
        <f>WACC!K29</f>
        <v>0</v>
      </c>
      <c r="K29" s="219">
        <f>WACC!M29</f>
        <v>0</v>
      </c>
      <c r="L29" s="129"/>
      <c r="M29" s="220">
        <f>WACC!O29</f>
        <v>0</v>
      </c>
      <c r="N29" s="218">
        <f>WACC!P29</f>
        <v>0</v>
      </c>
      <c r="O29" s="550">
        <f>WACC!Q29</f>
        <v>0</v>
      </c>
      <c r="Q29" s="107"/>
    </row>
    <row r="30" spans="1:24" s="115" customFormat="1" ht="12" customHeight="1" outlineLevel="1" x14ac:dyDescent="0.3">
      <c r="A30" s="496"/>
      <c r="B30" s="549">
        <f>WACC!B30</f>
        <v>0</v>
      </c>
      <c r="C30" s="63"/>
      <c r="D30" s="64">
        <f>WACC!E30</f>
        <v>0</v>
      </c>
      <c r="E30" s="64"/>
      <c r="F30" s="241">
        <f>WACC!G30</f>
        <v>0</v>
      </c>
      <c r="G30" s="241">
        <f>WACC!H30</f>
        <v>0</v>
      </c>
      <c r="H30" s="221">
        <f>WACC!I30</f>
        <v>0</v>
      </c>
      <c r="I30" s="221">
        <f>WACC!J30</f>
        <v>0</v>
      </c>
      <c r="J30" s="219">
        <f>WACC!K30</f>
        <v>0</v>
      </c>
      <c r="K30" s="219">
        <f>WACC!M30</f>
        <v>0</v>
      </c>
      <c r="L30" s="129"/>
      <c r="M30" s="220">
        <f>WACC!O30</f>
        <v>0</v>
      </c>
      <c r="N30" s="218">
        <f>WACC!P30</f>
        <v>0</v>
      </c>
      <c r="O30" s="550">
        <f>WACC!Q30</f>
        <v>0</v>
      </c>
      <c r="Q30" s="392"/>
    </row>
    <row r="31" spans="1:24" s="115" customFormat="1" ht="12" customHeight="1" outlineLevel="1" collapsed="1" x14ac:dyDescent="0.3">
      <c r="A31" s="483"/>
      <c r="B31" s="603"/>
      <c r="C31" s="604"/>
      <c r="D31" s="605"/>
      <c r="E31" s="605"/>
      <c r="F31" s="606"/>
      <c r="G31" s="606"/>
      <c r="H31" s="607"/>
      <c r="I31" s="607"/>
      <c r="J31" s="608"/>
      <c r="K31" s="608"/>
      <c r="L31" s="609"/>
      <c r="M31" s="610"/>
      <c r="N31" s="611"/>
      <c r="O31" s="612"/>
      <c r="X31" s="62"/>
    </row>
    <row r="32" spans="1:24" s="115" customFormat="1" ht="12" customHeight="1" x14ac:dyDescent="0.3">
      <c r="A32" s="483"/>
      <c r="B32" s="584" t="s">
        <v>1050</v>
      </c>
      <c r="C32" s="585"/>
      <c r="D32" s="586"/>
      <c r="E32" s="587"/>
      <c r="F32" s="588">
        <f>MAX(F6:F14)</f>
        <v>1.245976</v>
      </c>
      <c r="G32" s="588"/>
      <c r="H32" s="589"/>
      <c r="I32" s="589"/>
      <c r="J32" s="590">
        <f>MAX(J6:J14)</f>
        <v>0.67306377276579787</v>
      </c>
      <c r="K32" s="591">
        <f>MAX(K6:K14)</f>
        <v>0.40229415263300672</v>
      </c>
      <c r="L32" s="586"/>
      <c r="M32" s="586"/>
      <c r="N32" s="588">
        <f>MAX(N6:N14)</f>
        <v>1.2453039319275598</v>
      </c>
      <c r="O32" s="592">
        <f>MAX(O6:O14)</f>
        <v>1.2453039319275598</v>
      </c>
      <c r="P32" s="245"/>
      <c r="S32" s="233"/>
      <c r="X32" s="227"/>
    </row>
    <row r="33" spans="1:25" s="115" customFormat="1" ht="12" customHeight="1" x14ac:dyDescent="0.3">
      <c r="A33" s="483"/>
      <c r="B33" s="584" t="s">
        <v>44</v>
      </c>
      <c r="C33" s="593"/>
      <c r="D33" s="586"/>
      <c r="E33" s="587"/>
      <c r="F33" s="588">
        <f>AVERAGE(F6:F14)</f>
        <v>0.52909335555555548</v>
      </c>
      <c r="G33" s="588"/>
      <c r="H33" s="589"/>
      <c r="I33" s="589"/>
      <c r="J33" s="590">
        <f>AVERAGE(J6:J14)</f>
        <v>0.15072002658366668</v>
      </c>
      <c r="K33" s="591">
        <f>AVERAGE(K6:K14)</f>
        <v>9.4335138484719055E-2</v>
      </c>
      <c r="L33" s="586"/>
      <c r="M33" s="586"/>
      <c r="N33" s="588">
        <f>AVERAGE(N6:N14)</f>
        <v>0.47685025277917792</v>
      </c>
      <c r="O33" s="592">
        <f>AVERAGE(O6:O14)</f>
        <v>0.47685025277917792</v>
      </c>
      <c r="P33" s="119"/>
      <c r="S33" s="234"/>
      <c r="X33" s="227"/>
    </row>
    <row r="34" spans="1:25" s="115" customFormat="1" ht="12" customHeight="1" x14ac:dyDescent="0.3">
      <c r="A34" s="483"/>
      <c r="B34" s="584" t="s">
        <v>45</v>
      </c>
      <c r="C34" s="593"/>
      <c r="D34" s="586"/>
      <c r="E34" s="587"/>
      <c r="F34" s="588">
        <f>MEDIAN(F6:F14)</f>
        <v>0.61232299999999995</v>
      </c>
      <c r="G34" s="588"/>
      <c r="H34" s="589"/>
      <c r="I34" s="589"/>
      <c r="J34" s="590">
        <f>MEDIAN(J6:J14)</f>
        <v>7.1198148357055294E-4</v>
      </c>
      <c r="K34" s="591">
        <f>MEDIAN(K6:K14)</f>
        <v>7.1147492659679129E-4</v>
      </c>
      <c r="L34" s="586"/>
      <c r="M34" s="586"/>
      <c r="N34" s="588">
        <f>MEDIAN(N6:N14)</f>
        <v>0.58823161137231117</v>
      </c>
      <c r="O34" s="592">
        <f>MEDIAN(O6:O14)</f>
        <v>0.58823161137231117</v>
      </c>
      <c r="P34" s="245"/>
      <c r="S34" s="233" t="s">
        <v>1064</v>
      </c>
      <c r="U34" s="117"/>
      <c r="V34" s="188">
        <v>0</v>
      </c>
      <c r="W34" s="117"/>
    </row>
    <row r="35" spans="1:25" s="115" customFormat="1" ht="12" customHeight="1" x14ac:dyDescent="0.2">
      <c r="A35" s="483"/>
      <c r="B35" s="594" t="s">
        <v>46</v>
      </c>
      <c r="C35" s="595"/>
      <c r="D35" s="596"/>
      <c r="E35" s="597"/>
      <c r="F35" s="598">
        <f>MIN(F6:F14)</f>
        <v>0</v>
      </c>
      <c r="G35" s="598"/>
      <c r="H35" s="599"/>
      <c r="I35" s="599"/>
      <c r="J35" s="600">
        <f>MIN(J6:J14)</f>
        <v>0</v>
      </c>
      <c r="K35" s="601">
        <f>MIN(K6:K14)</f>
        <v>0</v>
      </c>
      <c r="L35" s="596"/>
      <c r="M35" s="596"/>
      <c r="N35" s="598">
        <f>MIN(N6:N14)</f>
        <v>0</v>
      </c>
      <c r="O35" s="602">
        <f>MIN(O6:O14)</f>
        <v>0</v>
      </c>
      <c r="P35" s="114"/>
      <c r="S35" s="235"/>
      <c r="T35" s="117"/>
      <c r="V35" s="429"/>
    </row>
    <row r="36" spans="1:25" ht="4.5" customHeight="1" x14ac:dyDescent="0.2">
      <c r="P36" s="114"/>
      <c r="Q36" s="115"/>
      <c r="R36" s="115"/>
      <c r="S36" s="234"/>
      <c r="T36" s="115"/>
      <c r="U36" s="115"/>
      <c r="V36" s="115"/>
      <c r="W36" s="115"/>
      <c r="X36" s="115"/>
      <c r="Y36" s="115"/>
    </row>
    <row r="37" spans="1:25" ht="12" customHeight="1" x14ac:dyDescent="0.2">
      <c r="B37" s="563" t="s">
        <v>1193</v>
      </c>
      <c r="C37" s="564"/>
      <c r="D37" s="565"/>
      <c r="E37" s="566"/>
      <c r="F37" s="566"/>
      <c r="G37" s="566"/>
      <c r="H37" s="566"/>
      <c r="I37" s="566"/>
      <c r="J37" s="567"/>
      <c r="K37" s="613">
        <f>CHOOSE($V$54,K33,K34,0)</f>
        <v>7.1147492659679129E-4</v>
      </c>
      <c r="L37" s="568"/>
      <c r="M37" s="569"/>
      <c r="N37" s="614">
        <f>CHOOSE($V$54,N33,N34,0)</f>
        <v>0.58823161137231117</v>
      </c>
      <c r="O37" s="570">
        <f>N37*(1+($K$47/$K$48)*$D$47)</f>
        <v>0.58823161137231117</v>
      </c>
      <c r="P37" s="114"/>
      <c r="Q37" s="115"/>
      <c r="S37" s="235"/>
      <c r="U37" s="115"/>
      <c r="V37" s="429"/>
      <c r="W37" s="115"/>
      <c r="X37" s="115"/>
      <c r="Y37" s="115"/>
    </row>
    <row r="38" spans="1:25" ht="4.5" customHeight="1" x14ac:dyDescent="0.3">
      <c r="D38" s="117"/>
      <c r="P38" s="245"/>
      <c r="Q38" s="115"/>
      <c r="R38" s="115"/>
      <c r="S38" s="236"/>
      <c r="T38" s="115"/>
      <c r="U38" s="115"/>
      <c r="V38" s="115">
        <v>3</v>
      </c>
      <c r="W38" s="115"/>
      <c r="X38" s="430" t="s">
        <v>1066</v>
      </c>
      <c r="Y38" s="115"/>
    </row>
    <row r="39" spans="1:25" ht="13.5" customHeight="1" x14ac:dyDescent="0.2">
      <c r="B39" s="82" t="s">
        <v>47</v>
      </c>
      <c r="E39" s="79"/>
      <c r="F39" s="79"/>
      <c r="G39" s="79"/>
      <c r="H39" s="79"/>
      <c r="I39" s="79"/>
      <c r="J39" s="79"/>
      <c r="K39" s="79"/>
      <c r="L39" s="80"/>
      <c r="M39" s="80"/>
      <c r="O39" s="81"/>
      <c r="P39" s="114"/>
      <c r="Q39" s="115"/>
      <c r="R39" s="115"/>
      <c r="S39" s="234"/>
      <c r="T39" s="115"/>
      <c r="U39" s="115"/>
      <c r="V39" s="115"/>
      <c r="W39" s="115"/>
      <c r="X39" s="431" t="s">
        <v>1067</v>
      </c>
      <c r="Y39" s="115"/>
    </row>
    <row r="40" spans="1:25" ht="4.5" customHeight="1" x14ac:dyDescent="0.3">
      <c r="D40" s="78"/>
      <c r="E40" s="79"/>
      <c r="F40" s="79"/>
      <c r="G40" s="79"/>
      <c r="H40" s="79"/>
      <c r="I40" s="79"/>
      <c r="J40" s="79"/>
      <c r="K40" s="79"/>
      <c r="L40" s="80"/>
      <c r="M40" s="80"/>
      <c r="P40" s="245"/>
      <c r="Q40" s="115"/>
      <c r="S40" s="236" t="s">
        <v>1068</v>
      </c>
      <c r="U40" s="115"/>
      <c r="V40" s="429">
        <v>0</v>
      </c>
      <c r="W40" s="115"/>
      <c r="X40" s="432" t="s">
        <v>1069</v>
      </c>
      <c r="Y40" s="115"/>
    </row>
    <row r="41" spans="1:25" ht="27" customHeight="1" x14ac:dyDescent="0.2">
      <c r="B41" s="553" t="s">
        <v>1144</v>
      </c>
      <c r="C41" s="554"/>
      <c r="D41" s="554" t="s">
        <v>49</v>
      </c>
      <c r="E41" s="554"/>
      <c r="F41" s="2109" t="s">
        <v>50</v>
      </c>
      <c r="G41" s="2109"/>
      <c r="H41" s="554" t="s">
        <v>51</v>
      </c>
      <c r="I41" s="818"/>
      <c r="J41" s="2107" t="s">
        <v>1145</v>
      </c>
      <c r="K41" s="2107"/>
      <c r="L41" s="555"/>
      <c r="M41" s="818"/>
      <c r="N41" s="555" t="s">
        <v>52</v>
      </c>
      <c r="O41" s="556" t="s">
        <v>1146</v>
      </c>
      <c r="P41" s="114"/>
      <c r="Q41" s="115"/>
      <c r="S41" s="237"/>
      <c r="U41" s="115"/>
      <c r="V41" s="115"/>
      <c r="W41" s="115"/>
      <c r="X41" s="115"/>
      <c r="Y41" s="115"/>
    </row>
    <row r="42" spans="1:25" ht="12" customHeight="1" x14ac:dyDescent="0.3">
      <c r="B42" s="557">
        <f>WACC!$B$42</f>
        <v>2.0650000000000002E-2</v>
      </c>
      <c r="C42" s="558"/>
      <c r="D42" s="558"/>
      <c r="E42" s="558"/>
      <c r="F42" s="2110">
        <f>WACC!$E$42</f>
        <v>0.71527537916876682</v>
      </c>
      <c r="G42" s="2110"/>
      <c r="H42" s="559"/>
      <c r="I42" s="560"/>
      <c r="J42" s="2108">
        <f>WACC!$G$42</f>
        <v>9.8446666666666668E-2</v>
      </c>
      <c r="K42" s="2108"/>
      <c r="L42" s="561"/>
      <c r="M42" s="560"/>
      <c r="N42" s="558"/>
      <c r="O42" s="562">
        <f>WACC!$Q$42</f>
        <v>9.1066476827901199E-2</v>
      </c>
      <c r="P42" s="245"/>
      <c r="Q42" s="115"/>
      <c r="S42" s="236" t="s">
        <v>1071</v>
      </c>
      <c r="U42" s="115"/>
      <c r="V42" s="429">
        <v>0</v>
      </c>
      <c r="W42" s="115"/>
      <c r="X42" s="115"/>
      <c r="Y42" s="115"/>
    </row>
    <row r="43" spans="1:25" ht="4.5" customHeight="1" x14ac:dyDescent="0.2">
      <c r="B43" s="80"/>
      <c r="C43" s="80"/>
      <c r="D43" s="87"/>
      <c r="E43" s="88"/>
      <c r="F43" s="88"/>
      <c r="G43" s="88"/>
      <c r="H43" s="88"/>
      <c r="I43" s="88"/>
      <c r="J43" s="88"/>
      <c r="K43" s="88"/>
      <c r="L43" s="80"/>
      <c r="M43" s="80"/>
      <c r="N43" s="80"/>
      <c r="O43" s="80"/>
      <c r="P43" s="114"/>
      <c r="Q43" s="115"/>
      <c r="S43" s="236"/>
      <c r="U43" s="115"/>
      <c r="V43" s="115"/>
      <c r="W43" s="115"/>
      <c r="X43" s="115"/>
      <c r="Y43" s="115"/>
    </row>
    <row r="44" spans="1:25" ht="13.5" customHeight="1" x14ac:dyDescent="0.2">
      <c r="B44" s="89" t="s">
        <v>54</v>
      </c>
      <c r="C44" s="80"/>
      <c r="D44" s="87"/>
      <c r="E44" s="88"/>
      <c r="F44" s="88"/>
      <c r="G44" s="88"/>
      <c r="H44" s="88"/>
      <c r="I44" s="88"/>
      <c r="J44" s="80"/>
      <c r="K44" s="89" t="s">
        <v>33</v>
      </c>
      <c r="L44" s="80"/>
      <c r="M44" s="80"/>
      <c r="N44" s="80"/>
      <c r="O44" s="80"/>
      <c r="P44" s="114"/>
      <c r="Q44" s="115"/>
      <c r="S44" s="236"/>
      <c r="U44" s="115"/>
      <c r="V44" s="429">
        <v>1</v>
      </c>
      <c r="W44" s="115"/>
      <c r="X44" s="115" t="s">
        <v>1072</v>
      </c>
      <c r="Y44" s="433">
        <v>0</v>
      </c>
    </row>
    <row r="45" spans="1:25" ht="4.5" customHeight="1" x14ac:dyDescent="0.2">
      <c r="B45" s="80"/>
      <c r="C45" s="80"/>
      <c r="D45" s="87"/>
      <c r="E45" s="88"/>
      <c r="F45" s="88"/>
      <c r="G45" s="88"/>
      <c r="H45" s="88"/>
      <c r="I45" s="88"/>
      <c r="J45" s="80"/>
      <c r="K45" s="80"/>
      <c r="L45" s="80"/>
      <c r="M45" s="80"/>
      <c r="N45" s="80"/>
      <c r="O45" s="80"/>
      <c r="P45" s="114"/>
      <c r="Q45" s="115"/>
      <c r="S45" s="236"/>
      <c r="U45" s="115"/>
      <c r="V45" s="115"/>
      <c r="W45" s="115"/>
      <c r="X45" s="115" t="s">
        <v>1073</v>
      </c>
      <c r="Y45" s="434"/>
    </row>
    <row r="46" spans="1:25" ht="27" customHeight="1" x14ac:dyDescent="0.2">
      <c r="B46" s="553" t="s">
        <v>1147</v>
      </c>
      <c r="C46" s="818" t="s">
        <v>51</v>
      </c>
      <c r="D46" s="818" t="s">
        <v>55</v>
      </c>
      <c r="E46" s="818" t="s">
        <v>52</v>
      </c>
      <c r="F46" s="556" t="s">
        <v>56</v>
      </c>
      <c r="G46" s="239"/>
      <c r="H46" s="80"/>
      <c r="I46" s="92"/>
      <c r="J46" s="80"/>
      <c r="K46" s="553" t="s">
        <v>1075</v>
      </c>
      <c r="L46" s="554" t="s">
        <v>51</v>
      </c>
      <c r="M46" s="818" t="s">
        <v>57</v>
      </c>
      <c r="N46" s="555" t="s">
        <v>52</v>
      </c>
      <c r="O46" s="556" t="s">
        <v>58</v>
      </c>
      <c r="P46" s="114"/>
      <c r="Q46" s="115"/>
      <c r="R46" s="115"/>
      <c r="S46" s="236"/>
      <c r="T46" s="115"/>
      <c r="U46" s="115"/>
      <c r="V46" s="115"/>
      <c r="W46" s="115"/>
      <c r="X46" s="115" t="s">
        <v>1076</v>
      </c>
      <c r="Y46" s="435"/>
    </row>
    <row r="47" spans="1:25" ht="12" customHeight="1" x14ac:dyDescent="0.3">
      <c r="B47" s="557">
        <f>WACC!$B$47</f>
        <v>3.9209999999999995E-2</v>
      </c>
      <c r="C47" s="571"/>
      <c r="D47" s="572">
        <f>WACC!$E$47</f>
        <v>0.75800000000000001</v>
      </c>
      <c r="E47" s="573"/>
      <c r="F47" s="562">
        <f>WACC!$G$47</f>
        <v>2.9721179999999996E-2</v>
      </c>
      <c r="G47" s="239"/>
      <c r="H47" s="80"/>
      <c r="I47" s="80"/>
      <c r="J47" s="580" t="s">
        <v>37</v>
      </c>
      <c r="K47" s="574">
        <f>WACC!M47</f>
        <v>0</v>
      </c>
      <c r="L47" s="80"/>
      <c r="M47" s="178">
        <f>WACC!O47</f>
        <v>2.9721179999999996E-2</v>
      </c>
      <c r="N47" s="80"/>
      <c r="O47" s="575">
        <f>WACC!Q47</f>
        <v>0</v>
      </c>
      <c r="P47" s="245"/>
      <c r="Q47" s="115"/>
      <c r="S47" s="236" t="s">
        <v>1077</v>
      </c>
      <c r="T47" s="115"/>
      <c r="U47" s="115"/>
      <c r="V47" s="189">
        <v>0</v>
      </c>
      <c r="W47" s="189"/>
      <c r="X47" s="115"/>
      <c r="Y47" s="115"/>
    </row>
    <row r="48" spans="1:25" ht="12" customHeight="1" x14ac:dyDescent="0.3">
      <c r="B48" s="131"/>
      <c r="D48" s="117"/>
      <c r="I48" s="80"/>
      <c r="J48" s="581" t="s">
        <v>42</v>
      </c>
      <c r="K48" s="576">
        <f>WACC!M48</f>
        <v>1</v>
      </c>
      <c r="L48" s="577"/>
      <c r="M48" s="578">
        <f>WACC!O48</f>
        <v>9.1066476827901199E-2</v>
      </c>
      <c r="N48" s="577"/>
      <c r="O48" s="579">
        <f>WACC!Q48</f>
        <v>9.1066476827901199E-2</v>
      </c>
      <c r="P48" s="117"/>
      <c r="Q48" s="115"/>
      <c r="S48" s="236"/>
      <c r="T48" s="115"/>
      <c r="U48" s="115"/>
      <c r="V48" s="189"/>
      <c r="W48" s="189"/>
      <c r="X48" s="115"/>
      <c r="Y48" s="115"/>
    </row>
    <row r="49" spans="1:38" ht="4.5" customHeight="1" thickBot="1" x14ac:dyDescent="0.25">
      <c r="D49" s="117"/>
      <c r="M49" s="80"/>
      <c r="N49" s="80"/>
      <c r="O49" s="80"/>
      <c r="P49" s="114"/>
      <c r="Q49" s="115"/>
      <c r="S49" s="237"/>
      <c r="U49" s="115"/>
      <c r="V49" s="115"/>
      <c r="W49" s="115"/>
      <c r="X49" s="115"/>
      <c r="Y49" s="115"/>
      <c r="AK49" s="115"/>
      <c r="AL49" s="115"/>
    </row>
    <row r="50" spans="1:38" ht="12" customHeight="1" thickBot="1" x14ac:dyDescent="0.25">
      <c r="D50" s="117"/>
      <c r="M50" s="793" t="s">
        <v>59</v>
      </c>
      <c r="N50" s="794" t="s">
        <v>52</v>
      </c>
      <c r="O50" s="795">
        <f>wacc</f>
        <v>9.0999999999999998E-2</v>
      </c>
      <c r="P50" s="114"/>
      <c r="Q50" s="115"/>
      <c r="S50" s="236" t="s">
        <v>1078</v>
      </c>
      <c r="T50" s="115"/>
      <c r="U50" s="115"/>
      <c r="V50" s="189">
        <v>1</v>
      </c>
      <c r="W50" s="115"/>
      <c r="X50" s="230" t="s">
        <v>161</v>
      </c>
      <c r="AK50" s="115"/>
      <c r="AL50" s="115"/>
    </row>
    <row r="51" spans="1:38" ht="13.5" customHeight="1" x14ac:dyDescent="0.2">
      <c r="D51" s="117"/>
      <c r="M51" s="580"/>
      <c r="N51" s="580"/>
      <c r="O51" s="582"/>
      <c r="P51" s="114"/>
      <c r="Q51" s="115"/>
      <c r="S51" s="236"/>
      <c r="T51" s="115"/>
      <c r="U51" s="115"/>
      <c r="V51" s="189"/>
      <c r="W51" s="115"/>
      <c r="X51" s="583"/>
      <c r="AK51" s="115"/>
      <c r="AL51" s="115"/>
    </row>
    <row r="52" spans="1:38" ht="13.5" customHeight="1" x14ac:dyDescent="0.2">
      <c r="A52" s="226"/>
      <c r="B52" s="439" t="s">
        <v>60</v>
      </c>
      <c r="C52" s="440"/>
      <c r="D52" s="441"/>
      <c r="E52" s="439"/>
      <c r="F52" s="439"/>
      <c r="G52" s="439"/>
      <c r="H52" s="439"/>
      <c r="I52" s="439"/>
      <c r="J52" s="440"/>
      <c r="K52" s="440"/>
      <c r="L52" s="442"/>
      <c r="M52" s="440"/>
      <c r="N52" s="440"/>
      <c r="O52" s="677"/>
      <c r="P52" s="114"/>
      <c r="S52" s="237"/>
      <c r="X52" s="231" t="s">
        <v>159</v>
      </c>
    </row>
    <row r="53" spans="1:38" ht="13.5" customHeight="1" x14ac:dyDescent="0.3">
      <c r="B53" s="102" t="s">
        <v>61</v>
      </c>
      <c r="C53" s="2101" t="str">
        <f>WACC!C52</f>
        <v>대상회사와 유사한 사업을 영위하고 있는 회사를 선정</v>
      </c>
      <c r="D53" s="2101"/>
      <c r="E53" s="2101"/>
      <c r="F53" s="2101"/>
      <c r="G53" s="2101"/>
      <c r="H53" s="2101"/>
      <c r="I53" s="2101"/>
      <c r="J53" s="2101"/>
      <c r="K53" s="2101"/>
      <c r="L53" s="2101"/>
      <c r="M53" s="2101"/>
      <c r="N53" s="2101"/>
      <c r="O53" s="2101"/>
      <c r="P53" s="545"/>
      <c r="Q53" s="545"/>
      <c r="S53" s="237"/>
      <c r="W53" s="189"/>
      <c r="X53" s="232" t="s">
        <v>160</v>
      </c>
    </row>
    <row r="54" spans="1:38" ht="13.5" customHeight="1" x14ac:dyDescent="0.3">
      <c r="B54" s="102" t="s">
        <v>62</v>
      </c>
      <c r="C54" s="2102" t="str">
        <f>WACC!C53</f>
        <v>2015년 12월 31일 기준, 2년 Weekly adjusted Beta 적용</v>
      </c>
      <c r="D54" s="2102"/>
      <c r="E54" s="2102"/>
      <c r="F54" s="2102"/>
      <c r="G54" s="2102"/>
      <c r="H54" s="2102"/>
      <c r="I54" s="2102"/>
      <c r="J54" s="2102"/>
      <c r="K54" s="2102"/>
      <c r="L54" s="2102"/>
      <c r="M54" s="2102"/>
      <c r="N54" s="2102"/>
      <c r="O54" s="2102"/>
      <c r="P54" s="545"/>
      <c r="Q54" s="545"/>
      <c r="S54" s="236" t="s">
        <v>1079</v>
      </c>
      <c r="T54" s="115"/>
      <c r="U54" s="115"/>
      <c r="V54" s="189">
        <v>2</v>
      </c>
      <c r="X54" s="230" t="s">
        <v>44</v>
      </c>
    </row>
    <row r="55" spans="1:38" ht="13.5" customHeight="1" x14ac:dyDescent="0.3">
      <c r="B55" s="102" t="s">
        <v>63</v>
      </c>
      <c r="C55" s="2102" t="str">
        <f>WACC!C54</f>
        <v>2015년 12월 31일 기준, 과거 1개월 평균 시가총액 적용</v>
      </c>
      <c r="D55" s="2102"/>
      <c r="E55" s="2102"/>
      <c r="F55" s="2102"/>
      <c r="G55" s="2102"/>
      <c r="H55" s="2102"/>
      <c r="I55" s="2102"/>
      <c r="J55" s="2102"/>
      <c r="K55" s="2102"/>
      <c r="L55" s="2102"/>
      <c r="M55" s="2102"/>
      <c r="N55" s="2102"/>
      <c r="O55" s="2102"/>
      <c r="P55" s="545"/>
      <c r="Q55" s="545"/>
      <c r="X55" s="231" t="s">
        <v>45</v>
      </c>
    </row>
    <row r="56" spans="1:38" ht="13.5" customHeight="1" x14ac:dyDescent="0.3">
      <c r="B56" s="102" t="s">
        <v>64</v>
      </c>
      <c r="C56" s="2102" t="str">
        <f>WACC!C55</f>
        <v>2015년 9월 30일 기준 이자발생부채 적용</v>
      </c>
      <c r="D56" s="2102"/>
      <c r="E56" s="2102"/>
      <c r="F56" s="2102"/>
      <c r="G56" s="2102"/>
      <c r="H56" s="2102"/>
      <c r="I56" s="2102"/>
      <c r="J56" s="2102"/>
      <c r="K56" s="2102"/>
      <c r="L56" s="2102"/>
      <c r="M56" s="2102"/>
      <c r="N56" s="2102"/>
      <c r="O56" s="2102"/>
      <c r="P56" s="545"/>
      <c r="Q56" s="545"/>
      <c r="X56" s="232" t="s">
        <v>1080</v>
      </c>
    </row>
    <row r="57" spans="1:38" ht="13.5" customHeight="1" x14ac:dyDescent="0.3">
      <c r="B57" s="102" t="s">
        <v>1081</v>
      </c>
      <c r="C57" s="2102" t="str">
        <f>WACC!C56</f>
        <v>2015년 12월 31일 기준, 과거 1개월 평균 10년 만기 국공채 이자율 적용 (Source: Bloomberg)</v>
      </c>
      <c r="D57" s="2102"/>
      <c r="E57" s="2102"/>
      <c r="F57" s="2102"/>
      <c r="G57" s="2102"/>
      <c r="H57" s="2102"/>
      <c r="I57" s="2102"/>
      <c r="J57" s="2102"/>
      <c r="K57" s="2102"/>
      <c r="L57" s="2102"/>
      <c r="M57" s="2102"/>
      <c r="N57" s="2102"/>
      <c r="O57" s="2102"/>
      <c r="P57" s="545"/>
      <c r="Q57" s="545"/>
      <c r="R57" s="118"/>
    </row>
    <row r="58" spans="1:38" ht="13.5" customHeight="1" x14ac:dyDescent="0.3">
      <c r="B58" s="102" t="s">
        <v>1082</v>
      </c>
      <c r="C58" s="2102" t="str">
        <f>WACC!C57</f>
        <v>2015년 12월 31일 기준, 과거 1개월 평균 Equity Risk Premium 적용</v>
      </c>
      <c r="D58" s="2102"/>
      <c r="E58" s="2102"/>
      <c r="F58" s="2102"/>
      <c r="G58" s="2102"/>
      <c r="H58" s="2102"/>
      <c r="I58" s="2102"/>
      <c r="J58" s="2102"/>
      <c r="K58" s="2102"/>
      <c r="L58" s="2102"/>
      <c r="M58" s="2102"/>
      <c r="N58" s="2102"/>
      <c r="O58" s="2102"/>
      <c r="P58" s="545"/>
      <c r="Q58" s="545"/>
      <c r="R58" s="118"/>
    </row>
    <row r="59" spans="1:38" ht="13.5" customHeight="1" x14ac:dyDescent="0.3">
      <c r="B59" s="102" t="s">
        <v>1083</v>
      </c>
      <c r="C59" s="2082" t="str">
        <f>WACC!C58</f>
        <v>2015년 12월 31일 기준, 대상회사의 신용등급 A+를 고려한 5년 만기 무보증 공모사채 이자율을 적용(Source: KOFIA BIS)</v>
      </c>
      <c r="D59" s="2082"/>
      <c r="E59" s="2082"/>
      <c r="F59" s="2082"/>
      <c r="G59" s="2082"/>
      <c r="H59" s="2082"/>
      <c r="I59" s="2082"/>
      <c r="J59" s="2082"/>
      <c r="K59" s="2082"/>
      <c r="L59" s="2082"/>
      <c r="M59" s="2082"/>
      <c r="N59" s="2082"/>
      <c r="O59" s="2082"/>
      <c r="P59" s="545"/>
      <c r="Q59" s="545"/>
    </row>
    <row r="60" spans="1:38" s="80" customFormat="1" ht="13.5" customHeight="1" x14ac:dyDescent="0.3">
      <c r="A60" s="226"/>
      <c r="B60" s="102" t="s">
        <v>1084</v>
      </c>
      <c r="C60" s="2082" t="str">
        <f>WACC!C59</f>
        <v>대한민국의 한계 법인세율 24.2%를 적용</v>
      </c>
      <c r="D60" s="2111"/>
      <c r="E60" s="2111"/>
      <c r="F60" s="2111"/>
      <c r="G60" s="2111"/>
      <c r="H60" s="2111"/>
      <c r="I60" s="2111"/>
      <c r="J60" s="2111"/>
      <c r="K60" s="2111"/>
      <c r="L60" s="2111"/>
      <c r="M60" s="2111"/>
      <c r="N60" s="2111"/>
      <c r="O60" s="2111"/>
      <c r="P60" s="545"/>
      <c r="Q60" s="545"/>
    </row>
    <row r="61" spans="1:38" ht="13.5" customHeight="1" x14ac:dyDescent="0.3">
      <c r="B61" s="443" t="s">
        <v>1085</v>
      </c>
      <c r="C61" s="2112" t="str">
        <f>WACC!C60</f>
        <v>유사상장회사의 시장가치기준 평균 자본구조 적용</v>
      </c>
      <c r="D61" s="2112"/>
      <c r="E61" s="2112"/>
      <c r="F61" s="2112"/>
      <c r="G61" s="2112"/>
      <c r="H61" s="2112"/>
      <c r="I61" s="2112"/>
      <c r="J61" s="2112"/>
      <c r="K61" s="2112"/>
      <c r="L61" s="2112"/>
      <c r="M61" s="2112"/>
      <c r="N61" s="2112"/>
      <c r="O61" s="2112"/>
      <c r="P61" s="545"/>
      <c r="Q61" s="545"/>
    </row>
    <row r="62" spans="1:38" ht="13.5" customHeight="1" x14ac:dyDescent="0.3">
      <c r="B62" s="120"/>
      <c r="C62" s="2070"/>
      <c r="D62" s="2070"/>
      <c r="E62" s="2070"/>
      <c r="F62" s="2070"/>
      <c r="G62" s="2070"/>
      <c r="H62" s="2070"/>
      <c r="I62" s="2070"/>
      <c r="J62" s="2070"/>
      <c r="K62" s="2070"/>
      <c r="L62" s="2070"/>
      <c r="M62" s="2070"/>
      <c r="N62" s="2070"/>
      <c r="O62" s="2070"/>
      <c r="P62" s="80"/>
      <c r="Q62" s="80"/>
    </row>
  </sheetData>
  <mergeCells count="24">
    <mergeCell ref="C60:O60"/>
    <mergeCell ref="C62:O62"/>
    <mergeCell ref="C61:O61"/>
    <mergeCell ref="C55:O55"/>
    <mergeCell ref="C56:O56"/>
    <mergeCell ref="C57:O57"/>
    <mergeCell ref="C58:O58"/>
    <mergeCell ref="C59:O59"/>
    <mergeCell ref="C53:O53"/>
    <mergeCell ref="C54:O54"/>
    <mergeCell ref="I4:I5"/>
    <mergeCell ref="M4:M5"/>
    <mergeCell ref="N4:N5"/>
    <mergeCell ref="O4:O5"/>
    <mergeCell ref="H4:H5"/>
    <mergeCell ref="J41:K41"/>
    <mergeCell ref="J42:K42"/>
    <mergeCell ref="F41:G41"/>
    <mergeCell ref="F42:G42"/>
    <mergeCell ref="B4:B5"/>
    <mergeCell ref="C4:C5"/>
    <mergeCell ref="D4:D5"/>
    <mergeCell ref="E4:E5"/>
    <mergeCell ref="G4:G5"/>
  </mergeCells>
  <phoneticPr fontId="1" type="noConversion"/>
  <conditionalFormatting sqref="O37 B25 D25 B6 D6 B10:B19 D10:H19 B31:H31 B21:H23 B29:I30 B27:H28 C11 F25:O25 J21:O23 F6:O6 J27:O31 J10:O19 B26:O26 B24:O24 B20:O20 B7:O9">
    <cfRule type="expression" dxfId="1" priority="2">
      <formula>#REF!=2</formula>
    </cfRule>
  </conditionalFormatting>
  <conditionalFormatting sqref="O37 M6:M31">
    <cfRule type="expression" dxfId="0" priority="1">
      <formula>#REF!=1</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61153" r:id="rId4" name="Drop Down 1">
              <controlPr defaultSize="0" autoLine="0" autoPict="0">
                <anchor moveWithCells="1">
                  <from>
                    <xdr:col>16</xdr:col>
                    <xdr:colOff>9525</xdr:colOff>
                    <xdr:row>33</xdr:row>
                    <xdr:rowOff>0</xdr:rowOff>
                  </from>
                  <to>
                    <xdr:col>18</xdr:col>
                    <xdr:colOff>0</xdr:colOff>
                    <xdr:row>34</xdr:row>
                    <xdr:rowOff>38100</xdr:rowOff>
                  </to>
                </anchor>
              </controlPr>
            </control>
          </mc:Choice>
        </mc:AlternateContent>
        <mc:AlternateContent xmlns:mc="http://schemas.openxmlformats.org/markup-compatibility/2006">
          <mc:Choice Requires="x14">
            <control shapeId="561154" r:id="rId5" name="Drop Down 2">
              <controlPr defaultSize="0" autoLine="0" autoPict="0">
                <anchor moveWithCells="1">
                  <from>
                    <xdr:col>16</xdr:col>
                    <xdr:colOff>19050</xdr:colOff>
                    <xdr:row>46</xdr:row>
                    <xdr:rowOff>9525</xdr:rowOff>
                  </from>
                  <to>
                    <xdr:col>18</xdr:col>
                    <xdr:colOff>9525</xdr:colOff>
                    <xdr:row>47</xdr:row>
                    <xdr:rowOff>47625</xdr:rowOff>
                  </to>
                </anchor>
              </controlPr>
            </control>
          </mc:Choice>
        </mc:AlternateContent>
        <mc:AlternateContent xmlns:mc="http://schemas.openxmlformats.org/markup-compatibility/2006">
          <mc:Choice Requires="x14">
            <control shapeId="561155" r:id="rId6" name="Drop Down 3">
              <controlPr defaultSize="0" autoLine="0" autoPict="0">
                <anchor moveWithCells="1">
                  <from>
                    <xdr:col>16</xdr:col>
                    <xdr:colOff>9525</xdr:colOff>
                    <xdr:row>38</xdr:row>
                    <xdr:rowOff>161925</xdr:rowOff>
                  </from>
                  <to>
                    <xdr:col>18</xdr:col>
                    <xdr:colOff>0</xdr:colOff>
                    <xdr:row>40</xdr:row>
                    <xdr:rowOff>123825</xdr:rowOff>
                  </to>
                </anchor>
              </controlPr>
            </control>
          </mc:Choice>
        </mc:AlternateContent>
        <mc:AlternateContent xmlns:mc="http://schemas.openxmlformats.org/markup-compatibility/2006">
          <mc:Choice Requires="x14">
            <control shapeId="561156" r:id="rId7" name="Drop Down 4">
              <controlPr defaultSize="0" autoLine="0" autoPict="0">
                <anchor moveWithCells="1">
                  <from>
                    <xdr:col>16</xdr:col>
                    <xdr:colOff>9525</xdr:colOff>
                    <xdr:row>48</xdr:row>
                    <xdr:rowOff>161925</xdr:rowOff>
                  </from>
                  <to>
                    <xdr:col>18</xdr:col>
                    <xdr:colOff>0</xdr:colOff>
                    <xdr:row>50</xdr:row>
                    <xdr:rowOff>38100</xdr:rowOff>
                  </to>
                </anchor>
              </controlPr>
            </control>
          </mc:Choice>
        </mc:AlternateContent>
        <mc:AlternateContent xmlns:mc="http://schemas.openxmlformats.org/markup-compatibility/2006">
          <mc:Choice Requires="x14">
            <control shapeId="561157" r:id="rId8" name="Drop Down 5">
              <controlPr defaultSize="0" autoLine="0" autoPict="0">
                <anchor moveWithCells="1">
                  <from>
                    <xdr:col>16</xdr:col>
                    <xdr:colOff>9525</xdr:colOff>
                    <xdr:row>52</xdr:row>
                    <xdr:rowOff>161925</xdr:rowOff>
                  </from>
                  <to>
                    <xdr:col>18</xdr:col>
                    <xdr:colOff>0</xdr:colOff>
                    <xdr:row>54</xdr:row>
                    <xdr:rowOff>9525</xdr:rowOff>
                  </to>
                </anchor>
              </controlPr>
            </control>
          </mc:Choice>
        </mc:AlternateContent>
        <mc:AlternateContent xmlns:mc="http://schemas.openxmlformats.org/markup-compatibility/2006">
          <mc:Choice Requires="x14">
            <control shapeId="561158" r:id="rId9" name="Drop Down 6">
              <controlPr defaultSize="0" autoLine="0" autoPict="0">
                <anchor moveWithCells="1">
                  <from>
                    <xdr:col>16</xdr:col>
                    <xdr:colOff>0</xdr:colOff>
                    <xdr:row>40</xdr:row>
                    <xdr:rowOff>438150</xdr:rowOff>
                  </from>
                  <to>
                    <xdr:col>17</xdr:col>
                    <xdr:colOff>571500</xdr:colOff>
                    <xdr:row>42</xdr:row>
                    <xdr:rowOff>38100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8" tint="-0.249977111117893"/>
  </sheetPr>
  <dimension ref="A1:E2"/>
  <sheetViews>
    <sheetView workbookViewId="0"/>
  </sheetViews>
  <sheetFormatPr defaultRowHeight="16.5" x14ac:dyDescent="0.3"/>
  <sheetData>
    <row r="1" spans="1:5" x14ac:dyDescent="0.3">
      <c r="A1" s="208" t="s">
        <v>138</v>
      </c>
      <c r="B1" s="208" t="s">
        <v>139</v>
      </c>
      <c r="C1" s="208" t="s">
        <v>140</v>
      </c>
      <c r="D1" s="208" t="s">
        <v>141</v>
      </c>
      <c r="E1" s="208" t="s">
        <v>142</v>
      </c>
    </row>
    <row r="2" spans="1:5" x14ac:dyDescent="0.3">
      <c r="A2">
        <v>2</v>
      </c>
      <c r="B2">
        <v>101</v>
      </c>
      <c r="C2">
        <v>7</v>
      </c>
      <c r="D2">
        <v>292</v>
      </c>
      <c r="E2" s="142" t="s">
        <v>144</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theme="4" tint="0.39997558519241921"/>
  </sheetPr>
  <dimension ref="A1:E2"/>
  <sheetViews>
    <sheetView workbookViewId="0"/>
  </sheetViews>
  <sheetFormatPr defaultRowHeight="16.5" x14ac:dyDescent="0.3"/>
  <sheetData>
    <row r="1" spans="1:5" x14ac:dyDescent="0.3">
      <c r="A1" s="208" t="s">
        <v>138</v>
      </c>
      <c r="B1" s="208" t="s">
        <v>139</v>
      </c>
      <c r="C1" s="208" t="s">
        <v>140</v>
      </c>
      <c r="D1" s="208" t="s">
        <v>141</v>
      </c>
      <c r="E1" s="208" t="s">
        <v>142</v>
      </c>
    </row>
    <row r="2" spans="1:5" x14ac:dyDescent="0.3">
      <c r="A2">
        <v>2</v>
      </c>
      <c r="B2">
        <v>24</v>
      </c>
      <c r="C2">
        <v>14</v>
      </c>
      <c r="D2">
        <v>24</v>
      </c>
      <c r="E2" t="s">
        <v>999</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R52"/>
  <sheetViews>
    <sheetView showGridLines="0" zoomScale="85" zoomScaleNormal="85" workbookViewId="0">
      <selection activeCell="M31" sqref="M31"/>
    </sheetView>
  </sheetViews>
  <sheetFormatPr defaultRowHeight="13.5" outlineLevelRow="1" x14ac:dyDescent="0.3"/>
  <cols>
    <col min="1" max="1" width="1.625" style="819" customWidth="1"/>
    <col min="2" max="2" width="10.125" style="819" customWidth="1"/>
    <col min="3" max="4" width="17.125" style="819" customWidth="1"/>
    <col min="5" max="5" width="14.125" style="819" customWidth="1"/>
    <col min="6" max="6" width="16.125" style="819" customWidth="1"/>
    <col min="7" max="9" width="10.125" style="819" customWidth="1"/>
    <col min="10" max="10" width="12.125" style="819" customWidth="1"/>
    <col min="11" max="12" width="8.5" style="819" customWidth="1"/>
    <col min="13" max="13" width="10.75" style="819" customWidth="1"/>
    <col min="14" max="14" width="6.25" style="819" customWidth="1"/>
    <col min="15" max="15" width="11" style="819" customWidth="1"/>
    <col min="16" max="17" width="9.625" style="819" customWidth="1"/>
    <col min="18" max="18" width="12.125" style="819" customWidth="1"/>
    <col min="19" max="16384" width="9" style="819"/>
  </cols>
  <sheetData>
    <row r="1" spans="1:17" ht="30" customHeight="1" x14ac:dyDescent="0.3">
      <c r="A1" s="185"/>
      <c r="B1" s="58" t="str">
        <f>"Project"&amp;" "&amp;Title!L6</f>
        <v>Project IT</v>
      </c>
      <c r="C1" s="61"/>
      <c r="D1" s="61"/>
      <c r="E1" s="61"/>
      <c r="F1" s="61"/>
      <c r="G1" s="61"/>
      <c r="H1" s="61"/>
      <c r="I1" s="61"/>
      <c r="J1" s="61"/>
      <c r="K1" s="61"/>
      <c r="L1" s="61"/>
      <c r="M1" s="61" t="s">
        <v>146</v>
      </c>
      <c r="N1" s="185"/>
      <c r="O1" s="185"/>
      <c r="P1" s="185"/>
      <c r="Q1" s="185"/>
    </row>
    <row r="2" spans="1:17" ht="20.100000000000001" customHeight="1" x14ac:dyDescent="0.3">
      <c r="A2" s="186"/>
      <c r="B2" s="138" t="s">
        <v>4455</v>
      </c>
      <c r="C2" s="138"/>
      <c r="D2" s="138"/>
      <c r="E2" s="138"/>
      <c r="F2" s="138"/>
      <c r="G2" s="138"/>
      <c r="H2" s="138"/>
      <c r="I2" s="138"/>
      <c r="J2" s="138"/>
      <c r="K2" s="138"/>
      <c r="L2" s="138"/>
      <c r="M2" s="138"/>
      <c r="N2" s="186"/>
      <c r="O2" s="186"/>
      <c r="P2" s="186"/>
      <c r="Q2" s="186"/>
    </row>
    <row r="3" spans="1:17" ht="14.1" customHeight="1" x14ac:dyDescent="0.3">
      <c r="A3" s="186"/>
      <c r="B3" s="187"/>
      <c r="C3" s="186"/>
      <c r="D3" s="186"/>
      <c r="E3" s="186"/>
      <c r="F3" s="186"/>
      <c r="G3" s="186"/>
      <c r="H3" s="186"/>
      <c r="I3" s="186"/>
      <c r="J3" s="186"/>
    </row>
    <row r="4" spans="1:17" ht="14.1" customHeight="1" x14ac:dyDescent="0.3">
      <c r="B4" s="2117" t="s">
        <v>4456</v>
      </c>
      <c r="C4" s="2119" t="s">
        <v>1160</v>
      </c>
      <c r="D4" s="2119" t="s">
        <v>1161</v>
      </c>
      <c r="E4" s="2119" t="s">
        <v>1162</v>
      </c>
      <c r="F4" s="2113" t="s">
        <v>4457</v>
      </c>
      <c r="G4" s="2113" t="s">
        <v>4458</v>
      </c>
      <c r="H4" s="2113" t="s">
        <v>4459</v>
      </c>
      <c r="I4" s="2113" t="s">
        <v>4460</v>
      </c>
      <c r="J4" s="2113" t="s">
        <v>4461</v>
      </c>
      <c r="K4" s="2115" t="s">
        <v>4462</v>
      </c>
      <c r="L4" s="1878" t="s">
        <v>4463</v>
      </c>
      <c r="M4" s="1878" t="s">
        <v>4463</v>
      </c>
      <c r="N4" s="1590"/>
    </row>
    <row r="5" spans="1:17" ht="14.1" customHeight="1" x14ac:dyDescent="0.3">
      <c r="B5" s="2118"/>
      <c r="C5" s="2114"/>
      <c r="D5" s="2114"/>
      <c r="E5" s="2114"/>
      <c r="F5" s="2114"/>
      <c r="G5" s="2114" t="s">
        <v>4464</v>
      </c>
      <c r="H5" s="2114" t="s">
        <v>4465</v>
      </c>
      <c r="I5" s="2114" t="s">
        <v>4465</v>
      </c>
      <c r="J5" s="2114" t="s">
        <v>4466</v>
      </c>
      <c r="K5" s="2116" t="s">
        <v>4467</v>
      </c>
      <c r="L5" s="1879" t="s">
        <v>4468</v>
      </c>
      <c r="M5" s="1880" t="s">
        <v>4469</v>
      </c>
      <c r="N5" s="1590"/>
    </row>
    <row r="6" spans="1:17" ht="12.95" customHeight="1" x14ac:dyDescent="0.3">
      <c r="B6" s="1881" t="s">
        <v>4494</v>
      </c>
      <c r="C6" s="1882" t="s">
        <v>4470</v>
      </c>
      <c r="D6" s="1883" t="s">
        <v>4471</v>
      </c>
      <c r="E6" s="1884" t="s">
        <v>4472</v>
      </c>
      <c r="F6" s="1885">
        <v>15000</v>
      </c>
      <c r="G6" s="1886">
        <v>0.38119999999999998</v>
      </c>
      <c r="H6" s="1885">
        <v>37885.916636131165</v>
      </c>
      <c r="I6" s="1885">
        <v>39349.422875131168</v>
      </c>
      <c r="J6" s="1885">
        <v>1237.5474839999997</v>
      </c>
      <c r="K6" s="1887">
        <v>-389.07776900000005</v>
      </c>
      <c r="L6" s="1888">
        <f>I6/J6</f>
        <v>31.796293381766656</v>
      </c>
      <c r="M6" s="1889" t="str">
        <f>IF(OR(ISERROR(H6/K6),H6/K6&lt;0),"n.a.",H6/K6)</f>
        <v>n.a.</v>
      </c>
    </row>
    <row r="7" spans="1:17" ht="12.95" customHeight="1" x14ac:dyDescent="0.3">
      <c r="B7" s="1890" t="s">
        <v>4473</v>
      </c>
      <c r="C7" s="1891" t="s">
        <v>4474</v>
      </c>
      <c r="D7" s="1892" t="s">
        <v>4475</v>
      </c>
      <c r="E7" s="1884"/>
      <c r="F7" s="1893">
        <v>4432.5366329999997</v>
      </c>
      <c r="G7" s="1894">
        <v>0.10270000000000001</v>
      </c>
      <c r="H7" s="1893">
        <v>83274.661219976624</v>
      </c>
      <c r="I7" s="1893">
        <v>43160.045111976622</v>
      </c>
      <c r="J7" s="1893">
        <v>2371.6499050000002</v>
      </c>
      <c r="K7" s="1895">
        <v>7095.7919389999997</v>
      </c>
      <c r="L7" s="1896">
        <f>I7/J7</f>
        <v>18.198320511381134</v>
      </c>
      <c r="M7" s="1897">
        <f>IF(OR(ISERROR(H7/K7),H7/K7&lt;0),"n.a.",H7/K7)</f>
        <v>11.735781141253756</v>
      </c>
    </row>
    <row r="8" spans="1:17" ht="12.95" customHeight="1" x14ac:dyDescent="0.3">
      <c r="B8" s="1890" t="s">
        <v>4495</v>
      </c>
      <c r="C8" s="1891" t="s">
        <v>4474</v>
      </c>
      <c r="D8" s="1892" t="s">
        <v>4475</v>
      </c>
      <c r="E8" s="1884"/>
      <c r="F8" s="1893">
        <v>20120</v>
      </c>
      <c r="G8" s="1894">
        <v>0.54420000000000002</v>
      </c>
      <c r="H8" s="1893">
        <v>77086.317688301351</v>
      </c>
      <c r="I8" s="1893">
        <v>36971.701580301356</v>
      </c>
      <c r="J8" s="1893">
        <v>2371.6499050000002</v>
      </c>
      <c r="K8" s="1895">
        <v>7095.7919389999997</v>
      </c>
      <c r="L8" s="1896">
        <f>I8/J8</f>
        <v>15.589021593092744</v>
      </c>
      <c r="M8" s="1897">
        <f>IF(OR(ISERROR(H8/K8),H8/K8&lt;0),"n.a.",H8/K8)</f>
        <v>10.863666571819611</v>
      </c>
    </row>
    <row r="9" spans="1:17" ht="12.95" customHeight="1" x14ac:dyDescent="0.3">
      <c r="B9" s="1890" t="s">
        <v>4496</v>
      </c>
      <c r="C9" s="1891" t="s">
        <v>4476</v>
      </c>
      <c r="D9" s="1892" t="s">
        <v>4477</v>
      </c>
      <c r="E9" s="1884"/>
      <c r="F9" s="1893">
        <v>129866.836281</v>
      </c>
      <c r="G9" s="1894">
        <v>1</v>
      </c>
      <c r="H9" s="1893">
        <v>229248.167629</v>
      </c>
      <c r="I9" s="1893">
        <v>129866.836281</v>
      </c>
      <c r="J9" s="1893">
        <v>15706.013707</v>
      </c>
      <c r="K9" s="1895">
        <v>22336.820357000001</v>
      </c>
      <c r="L9" s="1896">
        <f>I9/J9</f>
        <v>8.2686058158168905</v>
      </c>
      <c r="M9" s="1897">
        <f t="shared" ref="M9:M10" si="0">IF(OR(ISERROR(H9/K9),H9/K9&lt;0),"n.a.",H9/K9)</f>
        <v>10.263240871575409</v>
      </c>
    </row>
    <row r="10" spans="1:17" ht="12.95" customHeight="1" x14ac:dyDescent="0.3">
      <c r="B10" s="1898" t="s">
        <v>4497</v>
      </c>
      <c r="C10" s="1899" t="s">
        <v>4478</v>
      </c>
      <c r="D10" s="1900" t="s">
        <v>4479</v>
      </c>
      <c r="E10" s="1901"/>
      <c r="F10" s="1902">
        <v>113666.74830000001</v>
      </c>
      <c r="G10" s="1903">
        <v>1</v>
      </c>
      <c r="H10" s="1902">
        <v>359674.80634900002</v>
      </c>
      <c r="I10" s="1902">
        <v>113666.74830000001</v>
      </c>
      <c r="J10" s="1902">
        <v>16261.359006999999</v>
      </c>
      <c r="K10" s="1904">
        <v>27272.191200000001</v>
      </c>
      <c r="L10" s="1905">
        <f>I10/J10</f>
        <v>6.9899907044097658</v>
      </c>
      <c r="M10" s="1906">
        <f t="shared" si="0"/>
        <v>13.188335462718522</v>
      </c>
      <c r="P10" s="1907"/>
    </row>
    <row r="11" spans="1:17" x14ac:dyDescent="0.3">
      <c r="F11" s="1908"/>
    </row>
    <row r="12" spans="1:17" ht="14.1" customHeight="1" x14ac:dyDescent="0.3">
      <c r="B12" s="1909"/>
      <c r="G12" s="1910" t="s">
        <v>4480</v>
      </c>
      <c r="H12" s="1911"/>
      <c r="I12" s="1911"/>
      <c r="J12" s="1911"/>
      <c r="K12" s="1911"/>
      <c r="L12" s="1911"/>
      <c r="M12" s="1912"/>
      <c r="N12" s="1590"/>
    </row>
    <row r="13" spans="1:17" x14ac:dyDescent="0.3">
      <c r="G13" s="1913" t="s">
        <v>4481</v>
      </c>
      <c r="H13" s="1914"/>
      <c r="I13" s="1914"/>
      <c r="J13" s="1914"/>
      <c r="K13" s="1914"/>
      <c r="L13" s="1914"/>
      <c r="M13" s="1915" t="s">
        <v>4482</v>
      </c>
      <c r="N13" s="1590"/>
    </row>
    <row r="14" spans="1:17" ht="12" customHeight="1" x14ac:dyDescent="0.3">
      <c r="G14" s="1916" t="s">
        <v>1052</v>
      </c>
      <c r="H14" s="932"/>
      <c r="I14" s="932"/>
      <c r="J14" s="932"/>
      <c r="K14" s="932"/>
      <c r="L14" s="932"/>
      <c r="M14" s="1917">
        <f>MEDIAN(M$6:M$10)</f>
        <v>11.299723856536684</v>
      </c>
      <c r="N14" s="1590"/>
    </row>
    <row r="15" spans="1:17" ht="12" customHeight="1" x14ac:dyDescent="0.3">
      <c r="G15" s="1918" t="s">
        <v>4483</v>
      </c>
      <c r="H15" s="1919"/>
      <c r="I15" s="1919"/>
      <c r="J15" s="1919"/>
      <c r="K15" s="1919"/>
      <c r="L15" s="1919"/>
      <c r="M15" s="1920">
        <f>AVERAGE(M$6:M$10)</f>
        <v>11.512756011841825</v>
      </c>
      <c r="N15" s="1590"/>
    </row>
    <row r="16" spans="1:17" ht="4.5" customHeight="1" x14ac:dyDescent="0.3">
      <c r="H16" s="1590"/>
      <c r="I16" s="1590"/>
      <c r="J16" s="1590"/>
      <c r="K16" s="1590"/>
      <c r="L16" s="1590"/>
    </row>
    <row r="17" spans="7:18" outlineLevel="1" x14ac:dyDescent="0.3">
      <c r="G17" s="1921" t="s">
        <v>4484</v>
      </c>
      <c r="H17" s="1922"/>
      <c r="I17" s="1922"/>
      <c r="J17" s="1922"/>
      <c r="K17" s="1922"/>
      <c r="L17" s="1922"/>
      <c r="M17" s="1923"/>
      <c r="N17" s="1590"/>
    </row>
    <row r="18" spans="7:18" outlineLevel="1" x14ac:dyDescent="0.3">
      <c r="G18" s="1924" t="s">
        <v>4485</v>
      </c>
      <c r="H18" s="1925"/>
      <c r="I18" s="1925"/>
      <c r="J18" s="1925"/>
      <c r="K18" s="1925"/>
      <c r="L18" s="1925"/>
      <c r="M18" s="1926" t="s">
        <v>4482</v>
      </c>
      <c r="N18" s="1590"/>
    </row>
    <row r="19" spans="7:18" outlineLevel="1" x14ac:dyDescent="0.3">
      <c r="G19" s="1927" t="s">
        <v>1053</v>
      </c>
      <c r="H19" s="932"/>
      <c r="I19" s="932"/>
      <c r="J19" s="932"/>
      <c r="K19" s="932"/>
      <c r="L19" s="932"/>
      <c r="M19" s="1917">
        <f>MIN(M6:M10)</f>
        <v>10.263240871575409</v>
      </c>
      <c r="N19" s="1590"/>
    </row>
    <row r="20" spans="7:18" outlineLevel="1" x14ac:dyDescent="0.3">
      <c r="G20" s="1928" t="s">
        <v>4486</v>
      </c>
      <c r="H20" s="1919"/>
      <c r="I20" s="1919"/>
      <c r="J20" s="1919"/>
      <c r="K20" s="1919"/>
      <c r="L20" s="1919"/>
      <c r="M20" s="1920">
        <f>MAX(M6:M10)</f>
        <v>13.188335462718522</v>
      </c>
      <c r="N20" s="1590"/>
    </row>
    <row r="21" spans="7:18" outlineLevel="1" x14ac:dyDescent="0.3">
      <c r="H21" s="1590"/>
      <c r="I21" s="1590"/>
      <c r="J21" s="1590"/>
      <c r="K21" s="1590"/>
      <c r="L21" s="1590"/>
    </row>
    <row r="22" spans="7:18" x14ac:dyDescent="0.3">
      <c r="G22" s="1929" t="s">
        <v>4487</v>
      </c>
      <c r="H22" s="1930"/>
      <c r="I22" s="1930"/>
      <c r="J22" s="1930"/>
      <c r="K22" s="1930"/>
      <c r="L22" s="1930"/>
      <c r="M22" s="1931" t="s">
        <v>4488</v>
      </c>
      <c r="N22" s="1590"/>
    </row>
    <row r="23" spans="7:18" ht="12" customHeight="1" x14ac:dyDescent="0.3">
      <c r="G23" s="1932" t="s">
        <v>1222</v>
      </c>
      <c r="H23" s="1933"/>
      <c r="I23" s="1933"/>
      <c r="J23" s="1933"/>
      <c r="K23" s="1933"/>
      <c r="L23" s="1933"/>
      <c r="M23" s="1934">
        <f>'GPCM '!S30</f>
        <v>10451.111575000001</v>
      </c>
      <c r="N23" s="1590"/>
    </row>
    <row r="24" spans="7:18" ht="5.0999999999999996" customHeight="1" x14ac:dyDescent="0.3">
      <c r="H24" s="1590"/>
      <c r="I24" s="1590"/>
      <c r="J24" s="1590"/>
      <c r="K24" s="1590"/>
      <c r="L24" s="1590"/>
    </row>
    <row r="25" spans="7:18" x14ac:dyDescent="0.3">
      <c r="G25" s="1935" t="s">
        <v>4489</v>
      </c>
      <c r="H25" s="1936"/>
      <c r="I25" s="1936"/>
      <c r="J25" s="1936"/>
      <c r="K25" s="1936"/>
      <c r="L25" s="1936"/>
      <c r="M25" s="1937"/>
      <c r="N25" s="1590"/>
      <c r="O25" s="1938" t="s">
        <v>4489</v>
      </c>
      <c r="P25" s="1936"/>
      <c r="Q25" s="1936"/>
      <c r="R25" s="1939"/>
    </row>
    <row r="26" spans="7:18" ht="12" customHeight="1" x14ac:dyDescent="0.3">
      <c r="G26" s="1927" t="str">
        <f>G19</f>
        <v>Minimum</v>
      </c>
      <c r="H26" s="932"/>
      <c r="I26" s="932"/>
      <c r="J26" s="932"/>
      <c r="K26" s="932"/>
      <c r="L26" s="932"/>
      <c r="M26" s="1940">
        <f>M19*M23</f>
        <v>107262.27546993486</v>
      </c>
      <c r="N26" s="1590"/>
      <c r="O26" s="1916" t="s">
        <v>45</v>
      </c>
      <c r="P26" s="932"/>
      <c r="Q26" s="932"/>
      <c r="R26" s="1941">
        <f>M14*$M$23</f>
        <v>118094.67479135418</v>
      </c>
    </row>
    <row r="27" spans="7:18" ht="12" customHeight="1" x14ac:dyDescent="0.3">
      <c r="G27" s="1928" t="str">
        <f>G20</f>
        <v>Maxamum</v>
      </c>
      <c r="H27" s="1919"/>
      <c r="I27" s="1919"/>
      <c r="J27" s="1919"/>
      <c r="K27" s="1919"/>
      <c r="L27" s="1919"/>
      <c r="M27" s="1942">
        <f>M23*M20</f>
        <v>137832.76540940054</v>
      </c>
      <c r="N27" s="1590"/>
      <c r="O27" s="1918" t="s">
        <v>4490</v>
      </c>
      <c r="P27" s="1919"/>
      <c r="Q27" s="1919"/>
      <c r="R27" s="1943">
        <f>M15*$M$23</f>
        <v>120321.09761551094</v>
      </c>
    </row>
    <row r="28" spans="7:18" ht="5.0999999999999996" customHeight="1" outlineLevel="1" x14ac:dyDescent="0.3">
      <c r="G28" s="932"/>
      <c r="H28" s="932"/>
      <c r="I28" s="932"/>
      <c r="J28" s="932"/>
      <c r="K28" s="932"/>
      <c r="L28" s="932"/>
      <c r="M28" s="1917"/>
    </row>
    <row r="29" spans="7:18" ht="5.0999999999999996" customHeight="1" x14ac:dyDescent="0.3">
      <c r="G29" s="932"/>
      <c r="H29" s="932"/>
      <c r="I29" s="932"/>
      <c r="J29" s="932"/>
      <c r="K29" s="932"/>
      <c r="L29" s="932"/>
      <c r="M29" s="1917"/>
    </row>
    <row r="30" spans="7:18" ht="5.0999999999999996" customHeight="1" x14ac:dyDescent="0.3">
      <c r="G30" s="932"/>
      <c r="H30" s="932"/>
      <c r="I30" s="932"/>
      <c r="J30" s="932"/>
      <c r="K30" s="932"/>
      <c r="L30" s="932"/>
      <c r="M30" s="1944"/>
      <c r="N30" s="1308"/>
      <c r="O30" s="1308"/>
    </row>
    <row r="31" spans="7:18" ht="12" customHeight="1" x14ac:dyDescent="0.3">
      <c r="G31" s="1945" t="s">
        <v>4491</v>
      </c>
      <c r="H31" s="1946"/>
      <c r="I31" s="1946"/>
      <c r="J31" s="1946"/>
      <c r="K31" s="1946"/>
      <c r="L31" s="1946"/>
      <c r="M31" s="1947">
        <f>'GPCM '!S40</f>
        <v>-16984.526109999999</v>
      </c>
      <c r="N31" s="1948"/>
      <c r="O31" s="1945" t="s">
        <v>4491</v>
      </c>
      <c r="P31" s="1946"/>
      <c r="Q31" s="1946"/>
      <c r="R31" s="1965">
        <f>M31</f>
        <v>-16984.526109999999</v>
      </c>
    </row>
    <row r="32" spans="7:18" ht="5.0999999999999996" customHeight="1" x14ac:dyDescent="0.3">
      <c r="H32" s="1590"/>
      <c r="I32" s="1590"/>
      <c r="J32" s="1590"/>
      <c r="K32" s="1590"/>
      <c r="L32" s="1590"/>
      <c r="M32" s="1308"/>
      <c r="N32" s="1308"/>
      <c r="O32" s="1308"/>
    </row>
    <row r="33" spans="7:18" ht="5.0999999999999996" customHeight="1" x14ac:dyDescent="0.3">
      <c r="H33" s="1590"/>
      <c r="I33" s="1590"/>
      <c r="J33" s="1590"/>
      <c r="K33" s="1590"/>
      <c r="L33" s="1590"/>
      <c r="M33" s="1308"/>
      <c r="N33" s="1308"/>
      <c r="O33" s="1308"/>
    </row>
    <row r="34" spans="7:18" x14ac:dyDescent="0.3">
      <c r="G34" s="1949" t="s">
        <v>4492</v>
      </c>
      <c r="H34" s="1950"/>
      <c r="I34" s="1950"/>
      <c r="J34" s="1950"/>
      <c r="K34" s="1950"/>
      <c r="L34" s="1950"/>
      <c r="M34" s="1951" t="s">
        <v>14</v>
      </c>
      <c r="N34" s="1590"/>
      <c r="O34" s="1949" t="s">
        <v>4492</v>
      </c>
      <c r="P34" s="1950"/>
      <c r="Q34" s="1950"/>
      <c r="R34" s="1951" t="s">
        <v>14</v>
      </c>
    </row>
    <row r="35" spans="7:18" ht="12" customHeight="1" x14ac:dyDescent="0.3">
      <c r="G35" s="1952" t="str">
        <f>G26</f>
        <v>Minimum</v>
      </c>
      <c r="H35" s="1953"/>
      <c r="I35" s="1953"/>
      <c r="J35" s="1953"/>
      <c r="K35" s="1953"/>
      <c r="L35" s="1953"/>
      <c r="M35" s="1954">
        <f>M26-$M$31</f>
        <v>124246.80157993487</v>
      </c>
      <c r="N35" s="1590"/>
      <c r="O35" s="1952" t="s">
        <v>1052</v>
      </c>
      <c r="P35" s="1953"/>
      <c r="Q35" s="1953"/>
      <c r="R35" s="1954">
        <f>R26-$M$31</f>
        <v>135079.20090135417</v>
      </c>
    </row>
    <row r="36" spans="7:18" ht="12" customHeight="1" x14ac:dyDescent="0.3">
      <c r="G36" s="1955" t="str">
        <f>G27</f>
        <v>Maxamum</v>
      </c>
      <c r="H36" s="1956"/>
      <c r="I36" s="1956"/>
      <c r="J36" s="1956"/>
      <c r="K36" s="1956"/>
      <c r="L36" s="1956"/>
      <c r="M36" s="1957">
        <f>M27-$M$31</f>
        <v>154817.29151940055</v>
      </c>
      <c r="N36" s="1590"/>
      <c r="O36" s="1955" t="s">
        <v>4483</v>
      </c>
      <c r="P36" s="1956"/>
      <c r="Q36" s="1956"/>
      <c r="R36" s="1957">
        <f>R27-$M$31</f>
        <v>137305.62372551093</v>
      </c>
    </row>
    <row r="37" spans="7:18" x14ac:dyDescent="0.3">
      <c r="G37" s="1953"/>
      <c r="H37" s="1953"/>
      <c r="I37" s="1953"/>
      <c r="J37" s="1953"/>
      <c r="K37" s="1953"/>
      <c r="L37" s="1953"/>
      <c r="M37" s="1958"/>
      <c r="N37" s="1590"/>
    </row>
    <row r="38" spans="7:18" ht="5.0999999999999996" customHeight="1" x14ac:dyDescent="0.3"/>
    <row r="39" spans="7:18" ht="5.0999999999999996" customHeight="1" x14ac:dyDescent="0.3"/>
    <row r="41" spans="7:18" x14ac:dyDescent="0.3">
      <c r="G41" s="1921" t="s">
        <v>1009</v>
      </c>
      <c r="H41" s="1922"/>
      <c r="I41" s="1922"/>
      <c r="J41" s="1923"/>
      <c r="K41" s="1959"/>
      <c r="L41" s="1921" t="s">
        <v>1009</v>
      </c>
      <c r="M41" s="1922"/>
      <c r="N41" s="1922"/>
      <c r="O41" s="1923"/>
    </row>
    <row r="42" spans="7:18" x14ac:dyDescent="0.3">
      <c r="G42" s="1924" t="s">
        <v>4485</v>
      </c>
      <c r="H42" s="1925"/>
      <c r="I42" s="1925"/>
      <c r="J42" s="1926" t="s">
        <v>4493</v>
      </c>
      <c r="K42" s="1959"/>
      <c r="L42" s="1924" t="s">
        <v>4485</v>
      </c>
      <c r="M42" s="1925"/>
      <c r="N42" s="1925"/>
      <c r="O42" s="1926" t="s">
        <v>4493</v>
      </c>
    </row>
    <row r="43" spans="7:18" x14ac:dyDescent="0.3">
      <c r="G43" s="1927" t="s">
        <v>1053</v>
      </c>
      <c r="H43" s="932"/>
      <c r="I43" s="932"/>
      <c r="J43" s="1917">
        <f>MIN(L6:L10)</f>
        <v>6.9899907044097658</v>
      </c>
      <c r="K43" s="1959"/>
      <c r="L43" s="1927" t="s">
        <v>4490</v>
      </c>
      <c r="M43" s="932"/>
      <c r="N43" s="932"/>
      <c r="O43" s="1917">
        <f>AVERAGE(L6:L10)</f>
        <v>16.168446401293437</v>
      </c>
    </row>
    <row r="44" spans="7:18" x14ac:dyDescent="0.3">
      <c r="G44" s="1928" t="s">
        <v>4486</v>
      </c>
      <c r="H44" s="1919"/>
      <c r="I44" s="1919"/>
      <c r="J44" s="1920">
        <f>MAX(L6:L10)</f>
        <v>31.796293381766656</v>
      </c>
      <c r="K44" s="1959"/>
      <c r="L44" s="1928" t="s">
        <v>45</v>
      </c>
      <c r="M44" s="1919"/>
      <c r="N44" s="1919"/>
      <c r="O44" s="1920">
        <f>MEDIAN(L6:L10)</f>
        <v>15.589021593092744</v>
      </c>
    </row>
    <row r="45" spans="7:18" x14ac:dyDescent="0.3">
      <c r="G45" s="932"/>
      <c r="H45" s="932"/>
      <c r="I45" s="932"/>
      <c r="J45" s="1917"/>
      <c r="K45" s="1959"/>
      <c r="L45" s="932"/>
      <c r="M45" s="932"/>
      <c r="N45" s="932"/>
      <c r="O45" s="1917"/>
    </row>
    <row r="46" spans="7:18" x14ac:dyDescent="0.3">
      <c r="H46" s="1590"/>
      <c r="I46" s="1590"/>
      <c r="K46" s="1959"/>
      <c r="M46" s="1590"/>
      <c r="N46" s="1590"/>
    </row>
    <row r="47" spans="7:18" x14ac:dyDescent="0.3">
      <c r="G47" s="1929" t="s">
        <v>4487</v>
      </c>
      <c r="H47" s="1930"/>
      <c r="I47" s="1930"/>
      <c r="J47" s="1931" t="s">
        <v>2197</v>
      </c>
      <c r="K47" s="1959"/>
      <c r="L47" s="1929" t="s">
        <v>4487</v>
      </c>
      <c r="M47" s="1930"/>
      <c r="N47" s="1930"/>
      <c r="O47" s="1931" t="s">
        <v>2197</v>
      </c>
    </row>
    <row r="48" spans="7:18" x14ac:dyDescent="0.3">
      <c r="G48" s="1932" t="s">
        <v>1222</v>
      </c>
      <c r="H48" s="1933"/>
      <c r="I48" s="1933"/>
      <c r="J48" s="1934">
        <f>7430802379/1000000</f>
        <v>7430.8023789999997</v>
      </c>
      <c r="K48" s="1959"/>
      <c r="L48" s="1932" t="s">
        <v>1222</v>
      </c>
      <c r="M48" s="1933"/>
      <c r="N48" s="1933"/>
      <c r="O48" s="1934">
        <f>J48</f>
        <v>7430.8023789999997</v>
      </c>
    </row>
    <row r="49" spans="7:15" x14ac:dyDescent="0.3">
      <c r="H49" s="1590"/>
      <c r="I49" s="1590"/>
      <c r="K49" s="1959"/>
      <c r="M49" s="1590"/>
      <c r="N49" s="1590"/>
    </row>
    <row r="50" spans="7:15" x14ac:dyDescent="0.3">
      <c r="G50" s="1935" t="s">
        <v>4492</v>
      </c>
      <c r="H50" s="1936"/>
      <c r="I50" s="1936"/>
      <c r="J50" s="1951" t="s">
        <v>14</v>
      </c>
      <c r="K50" s="1959"/>
      <c r="L50" s="1935" t="s">
        <v>4492</v>
      </c>
      <c r="M50" s="1936"/>
      <c r="N50" s="1936"/>
      <c r="O50" s="1951" t="s">
        <v>14</v>
      </c>
    </row>
    <row r="51" spans="7:15" x14ac:dyDescent="0.3">
      <c r="G51" s="1960" t="str">
        <f>G43</f>
        <v>Minimum</v>
      </c>
      <c r="H51" s="1953"/>
      <c r="I51" s="1953"/>
      <c r="J51" s="1958">
        <f>J43*J48</f>
        <v>51941.239555515975</v>
      </c>
      <c r="K51" s="1961"/>
      <c r="L51" s="1960" t="str">
        <f>L43</f>
        <v>Mean</v>
      </c>
      <c r="M51" s="1953"/>
      <c r="N51" s="1953"/>
      <c r="O51" s="1958">
        <f>O43*O48</f>
        <v>120144.52998346525</v>
      </c>
    </row>
    <row r="52" spans="7:15" x14ac:dyDescent="0.3">
      <c r="G52" s="1962" t="str">
        <f>G44</f>
        <v>Maxamum</v>
      </c>
      <c r="H52" s="1963"/>
      <c r="I52" s="1963"/>
      <c r="J52" s="1964">
        <f>J48*J44</f>
        <v>236271.9725046136</v>
      </c>
      <c r="K52" s="1961"/>
      <c r="L52" s="1962" t="str">
        <f>L44</f>
        <v>Median</v>
      </c>
      <c r="M52" s="1963"/>
      <c r="N52" s="1963"/>
      <c r="O52" s="1964">
        <f>O48*O44</f>
        <v>115838.93874023593</v>
      </c>
    </row>
  </sheetData>
  <mergeCells count="10">
    <mergeCell ref="H4:H5"/>
    <mergeCell ref="I4:I5"/>
    <mergeCell ref="J4:J5"/>
    <mergeCell ref="K4:K5"/>
    <mergeCell ref="B4:B5"/>
    <mergeCell ref="C4:C5"/>
    <mergeCell ref="D4:D5"/>
    <mergeCell ref="E4:E5"/>
    <mergeCell ref="F4:F5"/>
    <mergeCell ref="G4:G5"/>
  </mergeCells>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M673"/>
  <sheetViews>
    <sheetView showGridLines="0" zoomScale="85" zoomScaleNormal="85" workbookViewId="0">
      <selection activeCell="S40" sqref="S40"/>
    </sheetView>
  </sheetViews>
  <sheetFormatPr defaultColWidth="9" defaultRowHeight="13.5" x14ac:dyDescent="0.3"/>
  <cols>
    <col min="1" max="1" width="2.375" style="1972" customWidth="1"/>
    <col min="2" max="2" width="22.625" style="1972" customWidth="1"/>
    <col min="3" max="3" width="12.625" style="1972" customWidth="1"/>
    <col min="4" max="4" width="13.625" style="1972" customWidth="1"/>
    <col min="5" max="5" width="9.625" style="1972" customWidth="1"/>
    <col min="6" max="7" width="9.75" style="1972" customWidth="1"/>
    <col min="8" max="8" width="8.625" style="1972" customWidth="1"/>
    <col min="9" max="9" width="9.75" style="1972" customWidth="1"/>
    <col min="10" max="13" width="9.625" style="1972" customWidth="1"/>
    <col min="14" max="14" width="8.625" style="1972" customWidth="1"/>
    <col min="15" max="19" width="9.625" style="1972" customWidth="1"/>
    <col min="20" max="20" width="8.625" style="1972" customWidth="1"/>
    <col min="21" max="21" width="1.625" style="1972" customWidth="1"/>
    <col min="22" max="22" width="8.625" style="1972" customWidth="1"/>
    <col min="23" max="24" width="9.625" style="1972" customWidth="1"/>
    <col min="25" max="25" width="8.625" style="1972" customWidth="1"/>
    <col min="26" max="29" width="9.625" style="1972" customWidth="1"/>
    <col min="30" max="31" width="8.625" style="1972" customWidth="1"/>
    <col min="32" max="33" width="9.625" style="1972" customWidth="1"/>
    <col min="34" max="34" width="8.625" style="1972" customWidth="1"/>
    <col min="35" max="38" width="9.625" style="1972" customWidth="1"/>
    <col min="39" max="39" width="8.625" style="1972" customWidth="1"/>
    <col min="40" max="16384" width="9" style="1972"/>
  </cols>
  <sheetData>
    <row r="1" spans="1:39" ht="30" customHeight="1" x14ac:dyDescent="0.3">
      <c r="A1" s="1966"/>
      <c r="B1" s="58" t="str">
        <f>"Project"&amp;" "&amp;Title!L6</f>
        <v>Project IT</v>
      </c>
      <c r="C1" s="1967"/>
      <c r="D1" s="1967"/>
      <c r="E1" s="1967"/>
      <c r="F1" s="1967"/>
      <c r="G1" s="1967"/>
      <c r="H1" s="1967"/>
      <c r="I1" s="1968"/>
      <c r="J1" s="1968"/>
      <c r="K1" s="1968"/>
      <c r="L1" s="1968"/>
      <c r="M1" s="1968"/>
      <c r="N1" s="1968"/>
      <c r="O1" s="1968"/>
      <c r="P1" s="1968"/>
      <c r="Q1" s="1969"/>
      <c r="R1" s="1970"/>
      <c r="S1" s="1967"/>
      <c r="T1" s="1971"/>
      <c r="U1" s="1971"/>
      <c r="V1" s="1971"/>
      <c r="W1" s="1968"/>
      <c r="X1" s="1968"/>
      <c r="Y1" s="1968"/>
      <c r="Z1" s="1968"/>
      <c r="AA1" s="1969"/>
      <c r="AB1" s="1970"/>
      <c r="AC1" s="1967"/>
      <c r="AD1" s="1971"/>
      <c r="AE1" s="1971"/>
      <c r="AF1" s="1968"/>
      <c r="AG1" s="1968"/>
      <c r="AH1" s="1968"/>
      <c r="AI1" s="1968"/>
      <c r="AJ1" s="1969"/>
      <c r="AK1" s="1970"/>
      <c r="AL1" s="1967"/>
      <c r="AM1" s="1971"/>
    </row>
    <row r="2" spans="1:39" ht="20.100000000000001" customHeight="1" x14ac:dyDescent="0.3">
      <c r="A2" s="1973"/>
      <c r="B2" s="1974" t="s">
        <v>4498</v>
      </c>
      <c r="C2" s="1975"/>
      <c r="D2" s="1975"/>
      <c r="E2" s="1975"/>
      <c r="F2" s="1975"/>
      <c r="G2" s="1975"/>
      <c r="H2" s="1975"/>
      <c r="I2" s="1975"/>
      <c r="J2" s="1975"/>
      <c r="K2" s="1975"/>
      <c r="L2" s="1975"/>
      <c r="M2" s="1975"/>
      <c r="N2" s="1975"/>
      <c r="O2" s="1975"/>
      <c r="P2" s="1975"/>
      <c r="Q2" s="1975"/>
      <c r="R2" s="1975"/>
      <c r="S2" s="1975"/>
      <c r="T2" s="1975"/>
      <c r="U2" s="1975"/>
      <c r="V2" s="1975"/>
      <c r="W2" s="1975"/>
      <c r="X2" s="1975"/>
      <c r="Y2" s="1975"/>
      <c r="Z2" s="1975"/>
      <c r="AA2" s="1975"/>
      <c r="AB2" s="1975"/>
      <c r="AC2" s="1975"/>
      <c r="AD2" s="1975"/>
      <c r="AE2" s="1975"/>
      <c r="AF2" s="1975"/>
      <c r="AG2" s="1975"/>
      <c r="AH2" s="1975"/>
      <c r="AI2" s="1975"/>
      <c r="AJ2" s="1975"/>
      <c r="AK2" s="1975"/>
      <c r="AL2" s="1975"/>
      <c r="AM2" s="1975"/>
    </row>
    <row r="3" spans="1:39" s="1977" customFormat="1" ht="15" customHeight="1" x14ac:dyDescent="0.3">
      <c r="A3" s="1976"/>
      <c r="B3" s="1976"/>
      <c r="C3" s="1976"/>
      <c r="D3" s="1976"/>
      <c r="E3" s="1976"/>
      <c r="F3" s="1976"/>
      <c r="G3" s="1976"/>
      <c r="H3" s="1976"/>
      <c r="I3" s="1976"/>
    </row>
    <row r="4" spans="1:39" s="1977" customFormat="1" ht="15" customHeight="1" x14ac:dyDescent="0.3">
      <c r="B4" s="2129" t="s">
        <v>4499</v>
      </c>
      <c r="C4" s="2131" t="s">
        <v>4500</v>
      </c>
      <c r="D4" s="2131" t="s">
        <v>4501</v>
      </c>
      <c r="E4" s="2124" t="s">
        <v>4502</v>
      </c>
      <c r="F4" s="2131" t="s">
        <v>4503</v>
      </c>
      <c r="G4" s="2127" t="s">
        <v>4535</v>
      </c>
      <c r="H4" s="2124" t="s">
        <v>4504</v>
      </c>
      <c r="I4" s="2124" t="s">
        <v>4505</v>
      </c>
      <c r="J4" s="2126" t="s">
        <v>4506</v>
      </c>
      <c r="K4" s="2121"/>
      <c r="L4" s="2121"/>
      <c r="M4" s="2121"/>
      <c r="N4" s="2121"/>
      <c r="O4" s="2122"/>
      <c r="P4" s="2121" t="s">
        <v>4507</v>
      </c>
      <c r="Q4" s="2121"/>
      <c r="R4" s="2121"/>
      <c r="S4" s="2121"/>
      <c r="T4" s="2123"/>
      <c r="W4" s="2120" t="s">
        <v>4547</v>
      </c>
      <c r="X4" s="2121"/>
      <c r="Y4" s="2121"/>
      <c r="Z4" s="2122"/>
      <c r="AA4" s="2121" t="s">
        <v>4463</v>
      </c>
      <c r="AB4" s="2121"/>
      <c r="AC4" s="2121"/>
      <c r="AD4" s="2123"/>
      <c r="AF4" s="2120" t="s">
        <v>4548</v>
      </c>
      <c r="AG4" s="2121"/>
      <c r="AH4" s="2121"/>
      <c r="AI4" s="2122"/>
      <c r="AJ4" s="2121" t="s">
        <v>4463</v>
      </c>
      <c r="AK4" s="2121"/>
      <c r="AL4" s="2121"/>
      <c r="AM4" s="2123"/>
    </row>
    <row r="5" spans="1:39" s="1977" customFormat="1" ht="15" customHeight="1" x14ac:dyDescent="0.3">
      <c r="B5" s="2130"/>
      <c r="C5" s="2132"/>
      <c r="D5" s="2125"/>
      <c r="E5" s="2132"/>
      <c r="F5" s="2132"/>
      <c r="G5" s="2128"/>
      <c r="H5" s="2125"/>
      <c r="I5" s="2125" t="s">
        <v>4508</v>
      </c>
      <c r="J5" s="1978" t="s">
        <v>4509</v>
      </c>
      <c r="K5" s="1979" t="s">
        <v>4510</v>
      </c>
      <c r="L5" s="1979" t="s">
        <v>4511</v>
      </c>
      <c r="M5" s="1979" t="s">
        <v>4512</v>
      </c>
      <c r="N5" s="1979" t="s">
        <v>4513</v>
      </c>
      <c r="O5" s="1980" t="s">
        <v>4514</v>
      </c>
      <c r="P5" s="1979" t="s">
        <v>4515</v>
      </c>
      <c r="Q5" s="1979" t="s">
        <v>4516</v>
      </c>
      <c r="R5" s="1979" t="s">
        <v>4517</v>
      </c>
      <c r="S5" s="1979" t="s">
        <v>4518</v>
      </c>
      <c r="T5" s="1981" t="s">
        <v>4519</v>
      </c>
      <c r="W5" s="2026" t="s">
        <v>4510</v>
      </c>
      <c r="X5" s="1979" t="s">
        <v>4511</v>
      </c>
      <c r="Y5" s="1979" t="s">
        <v>4513</v>
      </c>
      <c r="Z5" s="1980" t="s">
        <v>4514</v>
      </c>
      <c r="AA5" s="1979" t="s">
        <v>4516</v>
      </c>
      <c r="AB5" s="1979" t="s">
        <v>4517</v>
      </c>
      <c r="AC5" s="1979" t="s">
        <v>4518</v>
      </c>
      <c r="AD5" s="1981" t="s">
        <v>4519</v>
      </c>
      <c r="AF5" s="2026" t="s">
        <v>4510</v>
      </c>
      <c r="AG5" s="1979" t="s">
        <v>4511</v>
      </c>
      <c r="AH5" s="1979" t="s">
        <v>4513</v>
      </c>
      <c r="AI5" s="1980" t="s">
        <v>4514</v>
      </c>
      <c r="AJ5" s="1979" t="s">
        <v>4516</v>
      </c>
      <c r="AK5" s="1979" t="s">
        <v>4517</v>
      </c>
      <c r="AL5" s="1979" t="s">
        <v>4518</v>
      </c>
      <c r="AM5" s="1981" t="s">
        <v>4519</v>
      </c>
    </row>
    <row r="6" spans="1:39" s="1977" customFormat="1" ht="14.1" customHeight="1" x14ac:dyDescent="0.3">
      <c r="A6" s="1982">
        <v>1</v>
      </c>
      <c r="B6" s="1983" t="str">
        <f>WACC!B6</f>
        <v>SAMSUNG SDS CO LTD</v>
      </c>
      <c r="C6" s="1984" t="s">
        <v>4529</v>
      </c>
      <c r="D6" s="1985" t="s">
        <v>2045</v>
      </c>
      <c r="E6" s="1985" t="s">
        <v>174</v>
      </c>
      <c r="F6" s="1986">
        <f>IF(B6="","",WACC!I6)</f>
        <v>20173497.85414286</v>
      </c>
      <c r="G6" s="1986">
        <f>유사기업BS!C6</f>
        <v>170549.24450100001</v>
      </c>
      <c r="H6" s="1986">
        <f>유사기업BS!C4-유사기업BS!C3</f>
        <v>-1780558.208878</v>
      </c>
      <c r="I6" s="1987">
        <f>F6+G6+H6</f>
        <v>18563488.889765859</v>
      </c>
      <c r="J6" s="1986">
        <f>유사기업BS!C5</f>
        <v>4558746.7821920002</v>
      </c>
      <c r="K6" s="1986">
        <f>유사기업IS!C3</f>
        <v>7917776.1064510001</v>
      </c>
      <c r="L6" s="1986">
        <f>유사기업IS!C4</f>
        <v>601086.15431500005</v>
      </c>
      <c r="M6" s="1986">
        <f>유사기업IS!C5</f>
        <v>387759.73100000003</v>
      </c>
      <c r="N6" s="1986">
        <f t="shared" ref="N6:N11" si="0">L6+M6</f>
        <v>988845.88531500008</v>
      </c>
      <c r="O6" s="1987">
        <f>유사기업IS!C6</f>
        <v>463626.99531700002</v>
      </c>
      <c r="P6" s="1988">
        <f t="shared" ref="P6:P11" si="1">IF(OR(ISERROR(F6/J6),F6/J6&lt;0),"n.a.",F6/J6)</f>
        <v>4.4252288661759707</v>
      </c>
      <c r="Q6" s="1989">
        <f>IF(OR(ISERROR(I6/K6),I6/K6&lt;0),"n.a.",I6/K6)</f>
        <v>2.3445331921726451</v>
      </c>
      <c r="R6" s="1989">
        <f>IF(OR(ISERROR(I6/L6),I6/L6&lt;0),"n.a.",I6/L6)</f>
        <v>30.883241539510884</v>
      </c>
      <c r="S6" s="1989">
        <f>IF(OR(ISERROR(I6/N6),I6/N6&lt;0),"n.a.",I6/N6)</f>
        <v>18.772883788511088</v>
      </c>
      <c r="T6" s="1990">
        <f t="shared" ref="T6:T11" si="2">IF(OR(ISERROR(F6/O6),F6/O6&lt;0),"n.a.",F6/O6)</f>
        <v>43.512345178152202</v>
      </c>
      <c r="W6" s="2027">
        <f>8674492550000/10^6</f>
        <v>8674492.5500000007</v>
      </c>
      <c r="X6" s="1986">
        <f>665470428571.429/10^6</f>
        <v>665470.42857142899</v>
      </c>
      <c r="Y6" s="1986">
        <f>1053360500000/10^6</f>
        <v>1053360.5</v>
      </c>
      <c r="Z6" s="1987">
        <f>486456190476.19/10^6</f>
        <v>486456.19047619001</v>
      </c>
      <c r="AA6" s="1989">
        <f>IF(OR(ISERROR($I6/W6),$I6/W6&lt;0),"n.a.",$I6/W6)</f>
        <v>2.1400086267600584</v>
      </c>
      <c r="AB6" s="1989">
        <f t="shared" ref="AB6:AC6" si="3">IF(OR(ISERROR($I6/X6),$I6/X6&lt;0),"n.a.",$I6/X6)</f>
        <v>27.895287442924033</v>
      </c>
      <c r="AC6" s="1989">
        <f t="shared" si="3"/>
        <v>17.623110881569851</v>
      </c>
      <c r="AD6" s="1990">
        <f>IF(OR(ISERROR($F6/Z6),$F6/Z6&lt;0),"n.a.",$F6/Z6)</f>
        <v>41.470328159243081</v>
      </c>
      <c r="AF6" s="2027">
        <f>9637008578947.37/10^6</f>
        <v>9637008.578947369</v>
      </c>
      <c r="AG6" s="1986">
        <f>740004571428.571/10^6</f>
        <v>740004.57142857101</v>
      </c>
      <c r="AH6" s="1986">
        <f>1141142789473.68/10^6</f>
        <v>1141142.7894736798</v>
      </c>
      <c r="AI6" s="1987">
        <f>545924900000/10^6</f>
        <v>545924.9</v>
      </c>
      <c r="AJ6" s="1989">
        <f>IF(OR(ISERROR($I6/AF6),$I6/AF6&lt;0),"n.a.",$I6/AF6)</f>
        <v>1.9262708689830295</v>
      </c>
      <c r="AK6" s="1989">
        <f t="shared" ref="AK6:AK9" si="4">IF(OR(ISERROR($I6/AG6),$I6/AG6&lt;0),"n.a.",$I6/AG6)</f>
        <v>25.085640827771158</v>
      </c>
      <c r="AL6" s="1989">
        <f t="shared" ref="AL6:AL9" si="5">IF(OR(ISERROR($I6/AH6),$I6/AH6&lt;0),"n.a.",$I6/AH6)</f>
        <v>16.267454924135961</v>
      </c>
      <c r="AM6" s="1990">
        <f>IF(OR(ISERROR($F6/AI6),$F6/AI6&lt;0),"n.a.",$F6/AI6)</f>
        <v>36.9528809807775</v>
      </c>
    </row>
    <row r="7" spans="1:39" s="1977" customFormat="1" ht="14.45" customHeight="1" x14ac:dyDescent="0.3">
      <c r="A7" s="1982">
        <f>A6+1</f>
        <v>2</v>
      </c>
      <c r="B7" s="1983" t="str">
        <f>WACC!B7</f>
        <v>POSCO ICT CO LTD</v>
      </c>
      <c r="C7" s="1991" t="s">
        <v>4530</v>
      </c>
      <c r="D7" s="1985" t="s">
        <v>2045</v>
      </c>
      <c r="E7" s="1985" t="s">
        <v>174</v>
      </c>
      <c r="F7" s="1986">
        <f>IF(B7="","",WACC!I7)</f>
        <v>749314.02152380964</v>
      </c>
      <c r="G7" s="1986">
        <f>유사기업BS!K6</f>
        <v>1131.9433739999999</v>
      </c>
      <c r="H7" s="1986">
        <f>유사기업BS!K4-유사기업BS!K3</f>
        <v>-27378.177486000008</v>
      </c>
      <c r="I7" s="1987">
        <f t="shared" ref="I7:I11" si="6">F7+G7+H7</f>
        <v>723067.78741180967</v>
      </c>
      <c r="J7" s="1986">
        <f>유사기업BS!K5</f>
        <v>376233.15636299999</v>
      </c>
      <c r="K7" s="1986">
        <f>유사기업IS!O3</f>
        <v>951600.58353099995</v>
      </c>
      <c r="L7" s="1986">
        <f>유사기업IS!O4</f>
        <v>38347.108691000001</v>
      </c>
      <c r="M7" s="1986">
        <f>유사기업IS!O5</f>
        <v>38482.436999999998</v>
      </c>
      <c r="N7" s="1986">
        <f t="shared" si="0"/>
        <v>76829.545691000007</v>
      </c>
      <c r="O7" s="1987">
        <f>유사기업IS!O6</f>
        <v>-2601.8299649999999</v>
      </c>
      <c r="P7" s="1989">
        <f t="shared" si="1"/>
        <v>1.9916214423187388</v>
      </c>
      <c r="Q7" s="1989">
        <f t="shared" ref="Q7:Q11" si="7">IF(OR(ISERROR(I7/K7),I7/K7&lt;0),"n.a.",I7/K7)</f>
        <v>0.75984378312253797</v>
      </c>
      <c r="R7" s="1989">
        <f t="shared" ref="R7:R11" si="8">IF(OR(ISERROR(I7/L7),I7/L7&lt;0),"n.a.",I7/L7)</f>
        <v>18.855861943550192</v>
      </c>
      <c r="S7" s="1989">
        <f t="shared" ref="S7:S11" si="9">IF(OR(ISERROR(I7/N7),I7/N7&lt;0),"n.a.",I7/N7)</f>
        <v>9.411324522468334</v>
      </c>
      <c r="T7" s="1990" t="str">
        <f t="shared" si="2"/>
        <v>n.a.</v>
      </c>
      <c r="W7" s="2027">
        <f>971000000000/10^6</f>
        <v>971000</v>
      </c>
      <c r="X7" s="1986" t="s">
        <v>92</v>
      </c>
      <c r="Y7" s="1986">
        <f>85000000000/10^6</f>
        <v>85000</v>
      </c>
      <c r="Z7" s="1987">
        <f>33000000000/10^6</f>
        <v>33000</v>
      </c>
      <c r="AA7" s="1989">
        <f t="shared" ref="AA7:AA9" si="10">IF(OR(ISERROR($I7/W7),$I7/W7&lt;0),"n.a.",$I7/W7)</f>
        <v>0.74466301484223452</v>
      </c>
      <c r="AB7" s="1989"/>
      <c r="AC7" s="1989">
        <f t="shared" ref="AC7:AC9" si="11">IF(OR(ISERROR($I7/Y7),$I7/Y7&lt;0),"n.a.",$I7/Y7)</f>
        <v>8.5066798519036428</v>
      </c>
      <c r="AD7" s="1990">
        <f t="shared" ref="AD7:AD9" si="12">IF(OR(ISERROR($F7/Z7),$F7/Z7&lt;0),"n.a.",$F7/Z7)</f>
        <v>22.706485500721506</v>
      </c>
      <c r="AF7" s="2027">
        <f>1010000000000/10^6</f>
        <v>1010000</v>
      </c>
      <c r="AG7" s="1986" t="s">
        <v>92</v>
      </c>
      <c r="AH7" s="1986">
        <f>88000000000/10^6</f>
        <v>88000</v>
      </c>
      <c r="AI7" s="1987">
        <f>40000000000/10^6</f>
        <v>40000</v>
      </c>
      <c r="AJ7" s="1989">
        <f t="shared" ref="AJ7:AJ9" si="13">IF(OR(ISERROR($I7/AF7),$I7/AF7&lt;0),"n.a.",$I7/AF7)</f>
        <v>0.71590870040773236</v>
      </c>
      <c r="AK7" s="1989"/>
      <c r="AL7" s="1989">
        <f t="shared" si="5"/>
        <v>8.2166794024069283</v>
      </c>
      <c r="AM7" s="1990">
        <f t="shared" ref="AM7:AM9" si="14">IF(OR(ISERROR($F7/AI7),$F7/AI7&lt;0),"n.a.",$F7/AI7)</f>
        <v>18.732850538095242</v>
      </c>
    </row>
    <row r="8" spans="1:39" s="1977" customFormat="1" ht="14.45" customHeight="1" x14ac:dyDescent="0.3">
      <c r="A8" s="1982">
        <f t="shared" ref="A8:A11" si="15">A7+1</f>
        <v>3</v>
      </c>
      <c r="B8" s="1983" t="str">
        <f>WACC!B8</f>
        <v>DONGBU CO LTD</v>
      </c>
      <c r="C8" s="1991" t="s">
        <v>4531</v>
      </c>
      <c r="D8" s="1985" t="s">
        <v>2045</v>
      </c>
      <c r="E8" s="1985" t="s">
        <v>174</v>
      </c>
      <c r="F8" s="1986">
        <f>IF(B8="","",WACC!I8)</f>
        <v>89137.820828571421</v>
      </c>
      <c r="G8" s="1986">
        <f>유사기업BS!S6</f>
        <v>0</v>
      </c>
      <c r="H8" s="1986">
        <f>유사기업BS!S4-유사기업BS!S3</f>
        <v>55162.136637000003</v>
      </c>
      <c r="I8" s="1987">
        <f t="shared" si="6"/>
        <v>144299.95746557141</v>
      </c>
      <c r="J8" s="1986">
        <f>유사기업BS!S5</f>
        <v>188299.55055499999</v>
      </c>
      <c r="K8" s="1986">
        <f>유사기업IS!AA3</f>
        <v>228679.86405100001</v>
      </c>
      <c r="L8" s="1986">
        <f>유사기업IS!AA4</f>
        <v>-6547.3502280000002</v>
      </c>
      <c r="M8" s="1986">
        <f>유사기업IS!AA5</f>
        <v>4496.6715620000004</v>
      </c>
      <c r="N8" s="1986">
        <f t="shared" si="0"/>
        <v>-2050.6786659999998</v>
      </c>
      <c r="O8" s="1987">
        <f>유사기업IS!AA6</f>
        <v>-30195.535465000001</v>
      </c>
      <c r="P8" s="1989">
        <f t="shared" si="1"/>
        <v>0.4733830780044021</v>
      </c>
      <c r="Q8" s="1989">
        <f t="shared" si="7"/>
        <v>0.6310129580687075</v>
      </c>
      <c r="R8" s="1989" t="str">
        <f t="shared" si="8"/>
        <v>n.a.</v>
      </c>
      <c r="S8" s="1989" t="str">
        <f t="shared" si="9"/>
        <v>n.a.</v>
      </c>
      <c r="T8" s="1990" t="str">
        <f t="shared" si="2"/>
        <v>n.a.</v>
      </c>
      <c r="W8" s="2027" t="s">
        <v>92</v>
      </c>
      <c r="X8" s="1986" t="s">
        <v>92</v>
      </c>
      <c r="Y8" s="1986" t="s">
        <v>92</v>
      </c>
      <c r="Z8" s="1987" t="s">
        <v>92</v>
      </c>
      <c r="AA8" s="1989"/>
      <c r="AB8" s="1989"/>
      <c r="AC8" s="1989"/>
      <c r="AD8" s="1990"/>
      <c r="AF8" s="2027" t="s">
        <v>92</v>
      </c>
      <c r="AG8" s="1986" t="s">
        <v>92</v>
      </c>
      <c r="AH8" s="1986" t="s">
        <v>92</v>
      </c>
      <c r="AI8" s="1987" t="s">
        <v>92</v>
      </c>
      <c r="AJ8" s="1989"/>
      <c r="AK8" s="1989"/>
      <c r="AL8" s="1989"/>
      <c r="AM8" s="1990"/>
    </row>
    <row r="9" spans="1:39" s="1977" customFormat="1" ht="14.45" customHeight="1" x14ac:dyDescent="0.3">
      <c r="A9" s="1982">
        <f t="shared" si="15"/>
        <v>4</v>
      </c>
      <c r="B9" s="1983" t="str">
        <f>WACC!B9</f>
        <v>SHINSEGAE INFORMATION &amp; COMM</v>
      </c>
      <c r="C9" s="1991" t="s">
        <v>4532</v>
      </c>
      <c r="D9" s="1985" t="s">
        <v>2045</v>
      </c>
      <c r="E9" s="1985" t="s">
        <v>174</v>
      </c>
      <c r="F9" s="1986">
        <f>IF(B9="","",WACC!I9)</f>
        <v>168289.71708571431</v>
      </c>
      <c r="G9" s="1986">
        <f>유사기업BS!AA6</f>
        <v>0</v>
      </c>
      <c r="H9" s="1986">
        <f>유사기업BS!AA4-유사기업BS!AA3</f>
        <v>-94207.520118</v>
      </c>
      <c r="I9" s="1987">
        <f t="shared" si="6"/>
        <v>74082.196967714306</v>
      </c>
      <c r="J9" s="1986">
        <f>유사기업BS!AA5</f>
        <v>168494.10434699999</v>
      </c>
      <c r="K9" s="1986">
        <f>유사기업IS!AM3</f>
        <v>256320.003253</v>
      </c>
      <c r="L9" s="1986">
        <f>유사기업IS!AM4</f>
        <v>15541.509925</v>
      </c>
      <c r="M9" s="1986">
        <f>유사기업IS!AM5</f>
        <v>5762.1323730000004</v>
      </c>
      <c r="N9" s="1986">
        <f t="shared" si="0"/>
        <v>21303.642297999999</v>
      </c>
      <c r="O9" s="1987">
        <f>유사기업IS!AM6</f>
        <v>10573.583284</v>
      </c>
      <c r="P9" s="1989">
        <f t="shared" si="1"/>
        <v>0.99878697677834016</v>
      </c>
      <c r="Q9" s="1989">
        <f t="shared" si="7"/>
        <v>0.28902230035707227</v>
      </c>
      <c r="R9" s="1989">
        <f t="shared" si="8"/>
        <v>4.7667309885087823</v>
      </c>
      <c r="S9" s="1989">
        <f t="shared" si="9"/>
        <v>3.4774427739367928</v>
      </c>
      <c r="T9" s="1990">
        <f t="shared" si="2"/>
        <v>15.916053485895473</v>
      </c>
      <c r="W9" s="2027">
        <f>268000000000/10^6</f>
        <v>268000</v>
      </c>
      <c r="X9" s="1986">
        <f>16100000000/10^6</f>
        <v>16100</v>
      </c>
      <c r="Y9" s="1986">
        <f>22900000000/10^6</f>
        <v>22900</v>
      </c>
      <c r="Z9" s="1987">
        <f>11600000000/10^6</f>
        <v>11600</v>
      </c>
      <c r="AA9" s="1989">
        <f t="shared" si="10"/>
        <v>0.27642610808848622</v>
      </c>
      <c r="AB9" s="1989">
        <f t="shared" ref="AB9" si="16">IF(OR(ISERROR($I9/X9),$I9/X9&lt;0),"n.a.",$I9/X9)</f>
        <v>4.6013786936468515</v>
      </c>
      <c r="AC9" s="1989">
        <f t="shared" si="11"/>
        <v>3.235030435271367</v>
      </c>
      <c r="AD9" s="1990">
        <f t="shared" si="12"/>
        <v>14.507734231527095</v>
      </c>
      <c r="AF9" s="2027">
        <f>283000000000/10^6</f>
        <v>283000</v>
      </c>
      <c r="AG9" s="1986">
        <f>22700000000/10^6</f>
        <v>22700</v>
      </c>
      <c r="AH9" s="1986">
        <f>29600000000/10^6</f>
        <v>29600</v>
      </c>
      <c r="AI9" s="1987">
        <f>15800000000/10^6</f>
        <v>15800</v>
      </c>
      <c r="AJ9" s="1989">
        <f t="shared" si="13"/>
        <v>0.26177454758909646</v>
      </c>
      <c r="AK9" s="1989">
        <f t="shared" si="4"/>
        <v>3.2635329060667093</v>
      </c>
      <c r="AL9" s="1989">
        <f t="shared" si="5"/>
        <v>2.5027769245849427</v>
      </c>
      <c r="AM9" s="1990">
        <f t="shared" si="14"/>
        <v>10.651247916817361</v>
      </c>
    </row>
    <row r="10" spans="1:39" s="1977" customFormat="1" ht="14.45" customHeight="1" x14ac:dyDescent="0.3">
      <c r="A10" s="1982">
        <f t="shared" si="15"/>
        <v>5</v>
      </c>
      <c r="B10" s="1983" t="str">
        <f>WACC!B10</f>
        <v>HYUNDAI INFORMATION TECH</v>
      </c>
      <c r="C10" s="1991" t="s">
        <v>4533</v>
      </c>
      <c r="D10" s="1985" t="s">
        <v>2045</v>
      </c>
      <c r="E10" s="1985" t="s">
        <v>174</v>
      </c>
      <c r="F10" s="1986">
        <f>IF(B10="","",WACC!I10)</f>
        <v>116521.65489523808</v>
      </c>
      <c r="G10" s="1986">
        <f>유사기업BS!AI6</f>
        <v>0</v>
      </c>
      <c r="H10" s="1986">
        <f>유사기업BS!AI4-유사기업BS!AI3</f>
        <v>68031.374193999989</v>
      </c>
      <c r="I10" s="1987">
        <f t="shared" si="6"/>
        <v>184553.02908923809</v>
      </c>
      <c r="J10" s="1986">
        <f>유사기업BS!AI5</f>
        <v>25725.035233999999</v>
      </c>
      <c r="K10" s="1986">
        <f>유사기업IS!AY3</f>
        <v>145026.30519399999</v>
      </c>
      <c r="L10" s="1986">
        <f>유사기업IS!AY4</f>
        <v>-1078.979779</v>
      </c>
      <c r="M10" s="1986">
        <f>유사기업IS!AY5</f>
        <v>8540.6251639999991</v>
      </c>
      <c r="N10" s="1986">
        <f t="shared" si="0"/>
        <v>7461.6453849999989</v>
      </c>
      <c r="O10" s="1987">
        <f>유사기업IS!AY6</f>
        <v>-3956.2170550000001</v>
      </c>
      <c r="P10" s="1989">
        <f t="shared" si="1"/>
        <v>4.5295041905806581</v>
      </c>
      <c r="Q10" s="1989">
        <f t="shared" si="7"/>
        <v>1.2725486513799249</v>
      </c>
      <c r="R10" s="1989" t="str">
        <f t="shared" si="8"/>
        <v>n.a.</v>
      </c>
      <c r="S10" s="1989">
        <f t="shared" si="9"/>
        <v>24.733556684460169</v>
      </c>
      <c r="T10" s="1990" t="str">
        <f t="shared" si="2"/>
        <v>n.a.</v>
      </c>
      <c r="W10" s="2027" t="s">
        <v>92</v>
      </c>
      <c r="X10" s="1986" t="s">
        <v>92</v>
      </c>
      <c r="Y10" s="1986" t="s">
        <v>92</v>
      </c>
      <c r="Z10" s="1987" t="s">
        <v>92</v>
      </c>
      <c r="AA10" s="1989"/>
      <c r="AB10" s="1989"/>
      <c r="AC10" s="1989"/>
      <c r="AD10" s="1990"/>
      <c r="AF10" s="2027" t="s">
        <v>92</v>
      </c>
      <c r="AG10" s="1986" t="s">
        <v>92</v>
      </c>
      <c r="AH10" s="1986" t="s">
        <v>92</v>
      </c>
      <c r="AI10" s="1987" t="s">
        <v>92</v>
      </c>
      <c r="AJ10" s="1989"/>
      <c r="AK10" s="1989"/>
      <c r="AL10" s="1989"/>
      <c r="AM10" s="1990"/>
    </row>
    <row r="11" spans="1:39" s="1977" customFormat="1" ht="14.45" customHeight="1" x14ac:dyDescent="0.3">
      <c r="A11" s="1982">
        <f t="shared" si="15"/>
        <v>6</v>
      </c>
      <c r="B11" s="1983" t="str">
        <f>WACC!B11</f>
        <v>HANIL NETWORKS CO LTD</v>
      </c>
      <c r="C11" s="1991" t="s">
        <v>4534</v>
      </c>
      <c r="D11" s="1985" t="s">
        <v>2045</v>
      </c>
      <c r="E11" s="1985" t="s">
        <v>174</v>
      </c>
      <c r="F11" s="1986">
        <f>IF(B11="","",WACC!I11)</f>
        <v>34610.334699999999</v>
      </c>
      <c r="G11" s="1986">
        <f>유사기업BS!AQ6</f>
        <v>26.040323999999998</v>
      </c>
      <c r="H11" s="1986">
        <f>유사기업BS!AQ4-유사기업BS!AQ3</f>
        <v>-8787.8654409999999</v>
      </c>
      <c r="I11" s="1987">
        <f t="shared" si="6"/>
        <v>25848.509582999999</v>
      </c>
      <c r="J11" s="1986">
        <f>유사기업BS!AQ5</f>
        <v>32002.201446999999</v>
      </c>
      <c r="K11" s="1986">
        <f>유사기업IS!BK3</f>
        <v>92527.772597000003</v>
      </c>
      <c r="L11" s="1986">
        <f>유사기업IS!BK4</f>
        <v>557.12667999999996</v>
      </c>
      <c r="M11" s="1986">
        <f>유사기업IS!BK5</f>
        <v>3634.3389999999999</v>
      </c>
      <c r="N11" s="1986">
        <f t="shared" si="0"/>
        <v>4191.4656800000002</v>
      </c>
      <c r="O11" s="1987">
        <f>유사기업IS!BK6</f>
        <v>3115.3805849999999</v>
      </c>
      <c r="P11" s="1989">
        <f t="shared" si="1"/>
        <v>1.0814985574451628</v>
      </c>
      <c r="Q11" s="1989">
        <f t="shared" si="7"/>
        <v>0.27935947075676254</v>
      </c>
      <c r="R11" s="1989">
        <f t="shared" si="8"/>
        <v>46.396107942631652</v>
      </c>
      <c r="S11" s="1989">
        <f t="shared" si="9"/>
        <v>6.1669381444153917</v>
      </c>
      <c r="T11" s="1990">
        <f t="shared" si="2"/>
        <v>11.109504523024432</v>
      </c>
      <c r="W11" s="2027" t="s">
        <v>92</v>
      </c>
      <c r="X11" s="1986" t="s">
        <v>92</v>
      </c>
      <c r="Y11" s="1986" t="s">
        <v>92</v>
      </c>
      <c r="Z11" s="1987" t="s">
        <v>92</v>
      </c>
      <c r="AA11" s="1989"/>
      <c r="AB11" s="1989"/>
      <c r="AC11" s="1989"/>
      <c r="AD11" s="1990"/>
      <c r="AF11" s="2027" t="s">
        <v>92</v>
      </c>
      <c r="AG11" s="1986" t="s">
        <v>92</v>
      </c>
      <c r="AH11" s="1986" t="s">
        <v>92</v>
      </c>
      <c r="AI11" s="1987" t="s">
        <v>92</v>
      </c>
      <c r="AJ11" s="1989"/>
      <c r="AK11" s="1989"/>
      <c r="AL11" s="1989"/>
      <c r="AM11" s="1990"/>
    </row>
    <row r="12" spans="1:39" s="1977" customFormat="1" ht="14.45" hidden="1" customHeight="1" x14ac:dyDescent="0.3">
      <c r="A12" s="1982">
        <f t="shared" ref="A12:A22" si="17">A11+1</f>
        <v>7</v>
      </c>
      <c r="B12" s="1983"/>
      <c r="C12" s="1991"/>
      <c r="D12" s="1985"/>
      <c r="E12" s="1985"/>
      <c r="F12" s="1986"/>
      <c r="G12" s="1986"/>
      <c r="H12" s="1986"/>
      <c r="I12" s="1987"/>
      <c r="J12" s="1986"/>
      <c r="K12" s="1986"/>
      <c r="L12" s="1986"/>
      <c r="M12" s="1986"/>
      <c r="N12" s="1986"/>
      <c r="O12" s="1987"/>
      <c r="P12" s="1989"/>
      <c r="Q12" s="1989"/>
      <c r="R12" s="1989"/>
      <c r="S12" s="1989"/>
      <c r="T12" s="1990"/>
      <c r="W12" s="1986"/>
      <c r="X12" s="1986"/>
      <c r="Y12" s="1986"/>
      <c r="Z12" s="1987"/>
      <c r="AA12" s="1989"/>
      <c r="AB12" s="1989"/>
      <c r="AC12" s="1989"/>
      <c r="AD12" s="1990"/>
      <c r="AF12" s="1986"/>
      <c r="AG12" s="1986"/>
      <c r="AH12" s="1986"/>
      <c r="AI12" s="1987"/>
      <c r="AJ12" s="1989"/>
      <c r="AK12" s="1989"/>
      <c r="AL12" s="1989"/>
      <c r="AM12" s="1990"/>
    </row>
    <row r="13" spans="1:39" s="1977" customFormat="1" ht="14.45" hidden="1" customHeight="1" x14ac:dyDescent="0.3">
      <c r="A13" s="1982">
        <f t="shared" si="17"/>
        <v>8</v>
      </c>
      <c r="B13" s="1983"/>
      <c r="C13" s="1991"/>
      <c r="D13" s="1985"/>
      <c r="E13" s="1985"/>
      <c r="F13" s="1986"/>
      <c r="G13" s="1986"/>
      <c r="H13" s="1986"/>
      <c r="I13" s="1987"/>
      <c r="J13" s="1986"/>
      <c r="K13" s="1986"/>
      <c r="L13" s="1986"/>
      <c r="M13" s="1986"/>
      <c r="N13" s="1986"/>
      <c r="O13" s="1987"/>
      <c r="P13" s="1989"/>
      <c r="Q13" s="1989"/>
      <c r="R13" s="1989"/>
      <c r="S13" s="1989"/>
      <c r="T13" s="1990"/>
      <c r="W13" s="1986"/>
      <c r="X13" s="1986"/>
      <c r="Y13" s="1986"/>
      <c r="Z13" s="1987"/>
      <c r="AA13" s="1989"/>
      <c r="AB13" s="1989"/>
      <c r="AC13" s="1989"/>
      <c r="AD13" s="1990"/>
      <c r="AF13" s="1986"/>
      <c r="AG13" s="1986"/>
      <c r="AH13" s="1986"/>
      <c r="AI13" s="1987"/>
      <c r="AJ13" s="1989"/>
      <c r="AK13" s="1989"/>
      <c r="AL13" s="1989"/>
      <c r="AM13" s="1990"/>
    </row>
    <row r="14" spans="1:39" s="1977" customFormat="1" ht="14.45" hidden="1" customHeight="1" x14ac:dyDescent="0.3">
      <c r="A14" s="1982">
        <f t="shared" si="17"/>
        <v>9</v>
      </c>
      <c r="B14" s="1983"/>
      <c r="C14" s="1991"/>
      <c r="D14" s="1985"/>
      <c r="E14" s="1985"/>
      <c r="F14" s="1986"/>
      <c r="G14" s="1986"/>
      <c r="H14" s="1986"/>
      <c r="I14" s="1987"/>
      <c r="J14" s="1986"/>
      <c r="K14" s="1986"/>
      <c r="L14" s="1986"/>
      <c r="M14" s="1986"/>
      <c r="N14" s="1986"/>
      <c r="O14" s="1987"/>
      <c r="P14" s="1989"/>
      <c r="Q14" s="1989"/>
      <c r="R14" s="1989"/>
      <c r="S14" s="1989"/>
      <c r="T14" s="1990"/>
      <c r="W14" s="1986"/>
      <c r="X14" s="1986"/>
      <c r="Y14" s="1986"/>
      <c r="Z14" s="1987"/>
      <c r="AA14" s="1989"/>
      <c r="AB14" s="1989"/>
      <c r="AC14" s="1989"/>
      <c r="AD14" s="1990"/>
      <c r="AF14" s="1986"/>
      <c r="AG14" s="1986"/>
      <c r="AH14" s="1986"/>
      <c r="AI14" s="1987"/>
      <c r="AJ14" s="1989"/>
      <c r="AK14" s="1989"/>
      <c r="AL14" s="1989"/>
      <c r="AM14" s="1990"/>
    </row>
    <row r="15" spans="1:39" s="1977" customFormat="1" ht="14.45" hidden="1" customHeight="1" x14ac:dyDescent="0.3">
      <c r="A15" s="1982">
        <f t="shared" si="17"/>
        <v>10</v>
      </c>
      <c r="B15" s="1983"/>
      <c r="C15" s="1991"/>
      <c r="D15" s="1985"/>
      <c r="E15" s="1985"/>
      <c r="F15" s="1986"/>
      <c r="G15" s="1986"/>
      <c r="H15" s="1986"/>
      <c r="I15" s="1987"/>
      <c r="J15" s="1986"/>
      <c r="K15" s="1986"/>
      <c r="L15" s="1986"/>
      <c r="M15" s="1986"/>
      <c r="N15" s="1986"/>
      <c r="O15" s="1987"/>
      <c r="P15" s="1989"/>
      <c r="Q15" s="1989"/>
      <c r="R15" s="1989"/>
      <c r="S15" s="1989"/>
      <c r="T15" s="1990"/>
      <c r="W15" s="1986"/>
      <c r="X15" s="1986"/>
      <c r="Y15" s="1986"/>
      <c r="Z15" s="1987"/>
      <c r="AA15" s="1989"/>
      <c r="AB15" s="1989"/>
      <c r="AC15" s="1989"/>
      <c r="AD15" s="1990"/>
      <c r="AF15" s="1986"/>
      <c r="AG15" s="1986"/>
      <c r="AH15" s="1986"/>
      <c r="AI15" s="1987"/>
      <c r="AJ15" s="1989"/>
      <c r="AK15" s="1989"/>
      <c r="AL15" s="1989"/>
      <c r="AM15" s="1990"/>
    </row>
    <row r="16" spans="1:39" s="1977" customFormat="1" ht="14.45" hidden="1" customHeight="1" x14ac:dyDescent="0.3">
      <c r="A16" s="1982">
        <f t="shared" si="17"/>
        <v>11</v>
      </c>
      <c r="B16" s="1983"/>
      <c r="C16" s="1991"/>
      <c r="D16" s="1985"/>
      <c r="E16" s="1985"/>
      <c r="F16" s="1986"/>
      <c r="G16" s="1986"/>
      <c r="H16" s="1986"/>
      <c r="I16" s="1987"/>
      <c r="J16" s="1986"/>
      <c r="K16" s="1986"/>
      <c r="L16" s="1986"/>
      <c r="M16" s="1986"/>
      <c r="N16" s="1986"/>
      <c r="O16" s="1987"/>
      <c r="P16" s="1989"/>
      <c r="Q16" s="1989"/>
      <c r="R16" s="1989"/>
      <c r="S16" s="1989"/>
      <c r="T16" s="1990"/>
      <c r="W16" s="1986"/>
      <c r="X16" s="1986"/>
      <c r="Y16" s="1986"/>
      <c r="Z16" s="1987"/>
      <c r="AA16" s="1989"/>
      <c r="AB16" s="1989"/>
      <c r="AC16" s="1989"/>
      <c r="AD16" s="1990"/>
      <c r="AF16" s="1986"/>
      <c r="AG16" s="1986"/>
      <c r="AH16" s="1986"/>
      <c r="AI16" s="1987"/>
      <c r="AJ16" s="1989"/>
      <c r="AK16" s="1989"/>
      <c r="AL16" s="1989"/>
      <c r="AM16" s="1990"/>
    </row>
    <row r="17" spans="1:39" s="1977" customFormat="1" ht="14.45" hidden="1" customHeight="1" x14ac:dyDescent="0.3">
      <c r="A17" s="1982">
        <f t="shared" si="17"/>
        <v>12</v>
      </c>
      <c r="B17" s="1983"/>
      <c r="C17" s="1991"/>
      <c r="D17" s="1985"/>
      <c r="E17" s="1985"/>
      <c r="F17" s="1986"/>
      <c r="G17" s="1986"/>
      <c r="H17" s="1986"/>
      <c r="I17" s="1987"/>
      <c r="J17" s="1986"/>
      <c r="K17" s="1986"/>
      <c r="L17" s="1986"/>
      <c r="M17" s="1986"/>
      <c r="N17" s="1986"/>
      <c r="O17" s="1987"/>
      <c r="P17" s="1989"/>
      <c r="Q17" s="1989"/>
      <c r="R17" s="1989"/>
      <c r="S17" s="1989"/>
      <c r="T17" s="1990"/>
      <c r="W17" s="1986"/>
      <c r="X17" s="1986"/>
      <c r="Y17" s="1986"/>
      <c r="Z17" s="1987"/>
      <c r="AA17" s="1989"/>
      <c r="AB17" s="1989"/>
      <c r="AC17" s="1989"/>
      <c r="AD17" s="1990"/>
      <c r="AF17" s="1986"/>
      <c r="AG17" s="1986"/>
      <c r="AH17" s="1986"/>
      <c r="AI17" s="1987"/>
      <c r="AJ17" s="1989"/>
      <c r="AK17" s="1989"/>
      <c r="AL17" s="1989"/>
      <c r="AM17" s="1990"/>
    </row>
    <row r="18" spans="1:39" s="1977" customFormat="1" ht="14.45" hidden="1" customHeight="1" x14ac:dyDescent="0.3">
      <c r="A18" s="1982">
        <f t="shared" si="17"/>
        <v>13</v>
      </c>
      <c r="B18" s="1983"/>
      <c r="C18" s="1991"/>
      <c r="D18" s="1985"/>
      <c r="E18" s="1985"/>
      <c r="F18" s="1986"/>
      <c r="G18" s="1986"/>
      <c r="H18" s="1986"/>
      <c r="I18" s="1987"/>
      <c r="J18" s="1986"/>
      <c r="K18" s="1986"/>
      <c r="L18" s="1986"/>
      <c r="M18" s="1986"/>
      <c r="N18" s="1986"/>
      <c r="O18" s="1987"/>
      <c r="P18" s="1989"/>
      <c r="Q18" s="1989"/>
      <c r="R18" s="1989"/>
      <c r="S18" s="1989"/>
      <c r="T18" s="1990"/>
      <c r="W18" s="1986"/>
      <c r="X18" s="1986"/>
      <c r="Y18" s="1986"/>
      <c r="Z18" s="1987"/>
      <c r="AA18" s="1989"/>
      <c r="AB18" s="1989"/>
      <c r="AC18" s="1989"/>
      <c r="AD18" s="1990"/>
      <c r="AF18" s="1986"/>
      <c r="AG18" s="1986"/>
      <c r="AH18" s="1986"/>
      <c r="AI18" s="1987"/>
      <c r="AJ18" s="1989"/>
      <c r="AK18" s="1989"/>
      <c r="AL18" s="1989"/>
      <c r="AM18" s="1990"/>
    </row>
    <row r="19" spans="1:39" s="1977" customFormat="1" ht="14.45" hidden="1" customHeight="1" x14ac:dyDescent="0.3">
      <c r="A19" s="1982">
        <f t="shared" si="17"/>
        <v>14</v>
      </c>
      <c r="B19" s="1983"/>
      <c r="C19" s="1991"/>
      <c r="D19" s="1985"/>
      <c r="E19" s="1985"/>
      <c r="F19" s="1986"/>
      <c r="G19" s="1986"/>
      <c r="H19" s="1986"/>
      <c r="I19" s="1987"/>
      <c r="J19" s="1986"/>
      <c r="K19" s="1986"/>
      <c r="L19" s="1986"/>
      <c r="M19" s="1986"/>
      <c r="N19" s="1986"/>
      <c r="O19" s="1987"/>
      <c r="P19" s="1989"/>
      <c r="Q19" s="1989"/>
      <c r="R19" s="1989"/>
      <c r="S19" s="1989"/>
      <c r="T19" s="1990"/>
      <c r="W19" s="1986"/>
      <c r="X19" s="1986"/>
      <c r="Y19" s="1986"/>
      <c r="Z19" s="1987"/>
      <c r="AA19" s="1989"/>
      <c r="AB19" s="1989"/>
      <c r="AC19" s="1989"/>
      <c r="AD19" s="1990"/>
      <c r="AF19" s="1986"/>
      <c r="AG19" s="1986"/>
      <c r="AH19" s="1986"/>
      <c r="AI19" s="1987"/>
      <c r="AJ19" s="1989"/>
      <c r="AK19" s="1989"/>
      <c r="AL19" s="1989"/>
      <c r="AM19" s="1990"/>
    </row>
    <row r="20" spans="1:39" s="1977" customFormat="1" ht="14.45" hidden="1" customHeight="1" x14ac:dyDescent="0.3">
      <c r="A20" s="1982">
        <f t="shared" si="17"/>
        <v>15</v>
      </c>
      <c r="B20" s="1983"/>
      <c r="C20" s="1991"/>
      <c r="D20" s="1985"/>
      <c r="E20" s="1985"/>
      <c r="F20" s="1986"/>
      <c r="G20" s="1986"/>
      <c r="H20" s="1986"/>
      <c r="I20" s="1987"/>
      <c r="J20" s="1986"/>
      <c r="K20" s="1986"/>
      <c r="L20" s="1986"/>
      <c r="M20" s="1986"/>
      <c r="N20" s="1986"/>
      <c r="O20" s="1987"/>
      <c r="P20" s="1989"/>
      <c r="Q20" s="1989"/>
      <c r="R20" s="1989"/>
      <c r="S20" s="1989"/>
      <c r="T20" s="1990"/>
      <c r="W20" s="1986"/>
      <c r="X20" s="1986"/>
      <c r="Y20" s="1986"/>
      <c r="Z20" s="1987"/>
      <c r="AA20" s="1989"/>
      <c r="AB20" s="1989"/>
      <c r="AC20" s="1989"/>
      <c r="AD20" s="1990"/>
      <c r="AF20" s="1986"/>
      <c r="AG20" s="1986"/>
      <c r="AH20" s="1986"/>
      <c r="AI20" s="1987"/>
      <c r="AJ20" s="1989"/>
      <c r="AK20" s="1989"/>
      <c r="AL20" s="1989"/>
      <c r="AM20" s="1990"/>
    </row>
    <row r="21" spans="1:39" s="1977" customFormat="1" ht="14.45" hidden="1" customHeight="1" x14ac:dyDescent="0.3">
      <c r="A21" s="1982">
        <f t="shared" si="17"/>
        <v>16</v>
      </c>
      <c r="B21" s="1983"/>
      <c r="C21" s="1991"/>
      <c r="D21" s="1985"/>
      <c r="E21" s="1985"/>
      <c r="F21" s="1986"/>
      <c r="G21" s="1986"/>
      <c r="H21" s="1986"/>
      <c r="I21" s="1987"/>
      <c r="J21" s="1986"/>
      <c r="K21" s="1986"/>
      <c r="L21" s="1986"/>
      <c r="M21" s="1986"/>
      <c r="N21" s="1986"/>
      <c r="O21" s="1987"/>
      <c r="P21" s="1989"/>
      <c r="Q21" s="1989"/>
      <c r="R21" s="1989"/>
      <c r="S21" s="1989"/>
      <c r="T21" s="1990"/>
      <c r="W21" s="1986"/>
      <c r="X21" s="1986"/>
      <c r="Y21" s="1986"/>
      <c r="Z21" s="1987"/>
      <c r="AA21" s="1989"/>
      <c r="AB21" s="1989"/>
      <c r="AC21" s="1989"/>
      <c r="AD21" s="1990"/>
      <c r="AF21" s="1986"/>
      <c r="AG21" s="1986"/>
      <c r="AH21" s="1986"/>
      <c r="AI21" s="1987"/>
      <c r="AJ21" s="1989"/>
      <c r="AK21" s="1989"/>
      <c r="AL21" s="1989"/>
      <c r="AM21" s="1990"/>
    </row>
    <row r="22" spans="1:39" s="1977" customFormat="1" ht="14.45" hidden="1" customHeight="1" x14ac:dyDescent="0.3">
      <c r="A22" s="1982">
        <f t="shared" si="17"/>
        <v>17</v>
      </c>
      <c r="B22" s="1983"/>
      <c r="C22" s="1991"/>
      <c r="D22" s="1985"/>
      <c r="E22" s="1985"/>
      <c r="F22" s="1986"/>
      <c r="G22" s="1986"/>
      <c r="H22" s="1986"/>
      <c r="I22" s="1987"/>
      <c r="J22" s="1986"/>
      <c r="K22" s="1986"/>
      <c r="L22" s="1986"/>
      <c r="M22" s="1986"/>
      <c r="N22" s="1986"/>
      <c r="O22" s="1987"/>
      <c r="P22" s="1989"/>
      <c r="Q22" s="1989"/>
      <c r="R22" s="1989"/>
      <c r="S22" s="1989"/>
      <c r="T22" s="1990"/>
      <c r="W22" s="1986"/>
      <c r="X22" s="1986"/>
      <c r="Y22" s="1986"/>
      <c r="Z22" s="1987"/>
      <c r="AA22" s="1989"/>
      <c r="AB22" s="1989"/>
      <c r="AC22" s="1989"/>
      <c r="AD22" s="1990"/>
      <c r="AF22" s="1986"/>
      <c r="AG22" s="1986"/>
      <c r="AH22" s="1986"/>
      <c r="AI22" s="1987"/>
      <c r="AJ22" s="1989"/>
      <c r="AK22" s="1989"/>
      <c r="AL22" s="1989"/>
      <c r="AM22" s="1990"/>
    </row>
    <row r="23" spans="1:39" s="1977" customFormat="1" ht="14.1" customHeight="1" x14ac:dyDescent="0.3">
      <c r="B23" s="1992"/>
      <c r="C23" s="1992"/>
      <c r="D23" s="1993"/>
      <c r="E23" s="1993"/>
      <c r="F23" s="1993"/>
      <c r="G23" s="1993"/>
      <c r="H23" s="1994"/>
      <c r="I23" s="1995"/>
      <c r="J23" s="1996"/>
      <c r="K23" s="1996"/>
      <c r="L23" s="1996"/>
      <c r="M23" s="1996"/>
      <c r="N23" s="1996"/>
      <c r="O23" s="1996"/>
      <c r="P23" s="1997"/>
      <c r="Q23" s="1997"/>
      <c r="R23" s="1997"/>
      <c r="S23" s="1997"/>
      <c r="T23" s="1997"/>
      <c r="W23" s="1996"/>
      <c r="X23" s="1996"/>
      <c r="Y23" s="1996"/>
      <c r="Z23" s="1996"/>
      <c r="AA23" s="1997"/>
      <c r="AB23" s="1997"/>
      <c r="AC23" s="1997"/>
      <c r="AD23" s="1997"/>
      <c r="AF23" s="1996"/>
      <c r="AG23" s="1996"/>
      <c r="AH23" s="1996"/>
      <c r="AI23" s="1996"/>
      <c r="AJ23" s="1997"/>
      <c r="AK23" s="1997"/>
      <c r="AL23" s="1997"/>
      <c r="AM23" s="1997"/>
    </row>
    <row r="24" spans="1:39" s="1977" customFormat="1" ht="14.45" customHeight="1" x14ac:dyDescent="0.3">
      <c r="M24" s="1998">
        <v>1</v>
      </c>
      <c r="N24" s="1999" t="s">
        <v>4520</v>
      </c>
      <c r="O24" s="2000"/>
      <c r="P24" s="2000"/>
      <c r="Q24" s="2000"/>
      <c r="R24" s="2000"/>
      <c r="S24" s="2000"/>
      <c r="T24" s="2001"/>
      <c r="Y24" s="1999" t="s">
        <v>4520</v>
      </c>
      <c r="Z24" s="2000"/>
      <c r="AA24" s="2000"/>
      <c r="AB24" s="2000"/>
      <c r="AC24" s="2000"/>
      <c r="AD24" s="2001"/>
      <c r="AH24" s="1999" t="s">
        <v>4520</v>
      </c>
      <c r="AI24" s="2000"/>
      <c r="AJ24" s="2000"/>
      <c r="AK24" s="2000"/>
      <c r="AL24" s="2000"/>
      <c r="AM24" s="2001"/>
    </row>
    <row r="25" spans="1:39" s="1977" customFormat="1" ht="14.45" customHeight="1" x14ac:dyDescent="0.3">
      <c r="N25" s="2002" t="s">
        <v>4521</v>
      </c>
      <c r="O25" s="2003"/>
      <c r="P25" s="2003" t="s">
        <v>4522</v>
      </c>
      <c r="Q25" s="2003" t="s">
        <v>4523</v>
      </c>
      <c r="R25" s="2003" t="s">
        <v>4524</v>
      </c>
      <c r="S25" s="2003" t="s">
        <v>4525</v>
      </c>
      <c r="T25" s="2004" t="s">
        <v>4526</v>
      </c>
      <c r="Y25" s="2002" t="s">
        <v>4521</v>
      </c>
      <c r="Z25" s="2003"/>
      <c r="AA25" s="2003" t="s">
        <v>4523</v>
      </c>
      <c r="AB25" s="2003" t="s">
        <v>4524</v>
      </c>
      <c r="AC25" s="2003" t="s">
        <v>4525</v>
      </c>
      <c r="AD25" s="2004" t="s">
        <v>4526</v>
      </c>
      <c r="AH25" s="2002" t="s">
        <v>4521</v>
      </c>
      <c r="AI25" s="2003"/>
      <c r="AJ25" s="2003" t="s">
        <v>4523</v>
      </c>
      <c r="AK25" s="2003" t="s">
        <v>4524</v>
      </c>
      <c r="AL25" s="2003" t="s">
        <v>4525</v>
      </c>
      <c r="AM25" s="2004" t="s">
        <v>4526</v>
      </c>
    </row>
    <row r="26" spans="1:39" s="1977" customFormat="1" ht="14.45" customHeight="1" x14ac:dyDescent="0.3">
      <c r="N26" s="2005" t="s">
        <v>4527</v>
      </c>
      <c r="O26" s="2006"/>
      <c r="P26" s="2006">
        <f>MEDIAN(P6:P11)</f>
        <v>1.5365599998819508</v>
      </c>
      <c r="Q26" s="2006">
        <f t="shared" ref="Q26:T26" si="18">MEDIAN(Q6:Q11)</f>
        <v>0.69542837059562279</v>
      </c>
      <c r="R26" s="2006">
        <f t="shared" si="18"/>
        <v>24.869551741530536</v>
      </c>
      <c r="S26" s="2006">
        <f t="shared" si="18"/>
        <v>9.411324522468334</v>
      </c>
      <c r="T26" s="2007">
        <f t="shared" si="18"/>
        <v>15.916053485895473</v>
      </c>
      <c r="Y26" s="2005" t="s">
        <v>4527</v>
      </c>
      <c r="Z26" s="2006"/>
      <c r="AA26" s="2006">
        <f t="shared" ref="AA26:AD26" si="19">MEDIAN(AA6:AA11)</f>
        <v>0.74466301484223452</v>
      </c>
      <c r="AB26" s="2006">
        <f t="shared" si="19"/>
        <v>16.248333068285444</v>
      </c>
      <c r="AC26" s="2006">
        <f t="shared" si="19"/>
        <v>8.5066798519036428</v>
      </c>
      <c r="AD26" s="2007">
        <f t="shared" si="19"/>
        <v>22.706485500721506</v>
      </c>
      <c r="AH26" s="2005" t="s">
        <v>4527</v>
      </c>
      <c r="AI26" s="2006"/>
      <c r="AJ26" s="2006">
        <f t="shared" ref="AJ26:AM26" si="20">MEDIAN(AJ6:AJ11)</f>
        <v>0.71590870040773236</v>
      </c>
      <c r="AK26" s="2006">
        <f t="shared" si="20"/>
        <v>14.174586866918935</v>
      </c>
      <c r="AL26" s="2006">
        <f t="shared" si="20"/>
        <v>8.2166794024069283</v>
      </c>
      <c r="AM26" s="2007">
        <f t="shared" si="20"/>
        <v>18.732850538095242</v>
      </c>
    </row>
    <row r="27" spans="1:39" s="1977" customFormat="1" ht="14.45" customHeight="1" x14ac:dyDescent="0.3">
      <c r="N27" s="2008" t="s">
        <v>4528</v>
      </c>
      <c r="O27" s="2009"/>
      <c r="P27" s="2009">
        <f>AVERAGE(P6:P11)</f>
        <v>2.2500038518838785</v>
      </c>
      <c r="Q27" s="2009">
        <f t="shared" ref="Q27:T27" si="21">AVERAGE(Q6:Q11)</f>
        <v>0.92938672597627514</v>
      </c>
      <c r="R27" s="2009">
        <f t="shared" si="21"/>
        <v>25.225485603550375</v>
      </c>
      <c r="S27" s="2009">
        <f t="shared" si="21"/>
        <v>12.512429182758355</v>
      </c>
      <c r="T27" s="2010">
        <f t="shared" si="21"/>
        <v>23.5126343956907</v>
      </c>
      <c r="Y27" s="2008" t="s">
        <v>4528</v>
      </c>
      <c r="Z27" s="2009"/>
      <c r="AA27" s="2009">
        <f t="shared" ref="AA27:AD27" si="22">AVERAGE(AA6:AA11)</f>
        <v>1.0536992498969264</v>
      </c>
      <c r="AB27" s="2009">
        <f t="shared" si="22"/>
        <v>16.248333068285444</v>
      </c>
      <c r="AC27" s="2009">
        <f t="shared" si="22"/>
        <v>9.788273722914953</v>
      </c>
      <c r="AD27" s="2010">
        <f t="shared" si="22"/>
        <v>26.228182630497226</v>
      </c>
      <c r="AH27" s="2008" t="s">
        <v>4528</v>
      </c>
      <c r="AI27" s="2009"/>
      <c r="AJ27" s="2009">
        <f t="shared" ref="AJ27:AM27" si="23">AVERAGE(AJ6:AJ11)</f>
        <v>0.96798470565995276</v>
      </c>
      <c r="AK27" s="2009">
        <f t="shared" si="23"/>
        <v>14.174586866918933</v>
      </c>
      <c r="AL27" s="2009">
        <f t="shared" si="23"/>
        <v>8.9956370837092781</v>
      </c>
      <c r="AM27" s="2010">
        <f t="shared" si="23"/>
        <v>22.112326478563364</v>
      </c>
    </row>
    <row r="28" spans="1:39" s="1977" customFormat="1" ht="14.1" customHeight="1" x14ac:dyDescent="0.3"/>
    <row r="29" spans="1:39" s="1977" customFormat="1" ht="14.1" customHeight="1" x14ac:dyDescent="0.3">
      <c r="N29" s="2011" t="s">
        <v>4487</v>
      </c>
      <c r="O29" s="2012"/>
      <c r="P29" s="2012" t="s">
        <v>4536</v>
      </c>
      <c r="Q29" s="2012" t="s">
        <v>178</v>
      </c>
      <c r="R29" s="2012" t="s">
        <v>179</v>
      </c>
      <c r="S29" s="2012" t="s">
        <v>100</v>
      </c>
      <c r="T29" s="2013" t="s">
        <v>4537</v>
      </c>
      <c r="Y29" s="2011" t="s">
        <v>4487</v>
      </c>
      <c r="Z29" s="2012"/>
      <c r="AA29" s="2012" t="s">
        <v>178</v>
      </c>
      <c r="AB29" s="2012" t="s">
        <v>179</v>
      </c>
      <c r="AC29" s="2012" t="s">
        <v>100</v>
      </c>
      <c r="AD29" s="2013" t="s">
        <v>4537</v>
      </c>
      <c r="AH29" s="2011" t="s">
        <v>4487</v>
      </c>
      <c r="AI29" s="2012"/>
      <c r="AJ29" s="2012" t="s">
        <v>178</v>
      </c>
      <c r="AK29" s="2012" t="s">
        <v>179</v>
      </c>
      <c r="AL29" s="2012" t="s">
        <v>100</v>
      </c>
      <c r="AM29" s="2013" t="s">
        <v>4537</v>
      </c>
    </row>
    <row r="30" spans="1:39" s="1977" customFormat="1" ht="14.1" customHeight="1" x14ac:dyDescent="0.3">
      <c r="N30" s="2008" t="s">
        <v>4538</v>
      </c>
      <c r="O30" s="2009"/>
      <c r="P30" s="2014">
        <f>BS!O77</f>
        <v>41343.829371</v>
      </c>
      <c r="Q30" s="2014">
        <f>IS!O7</f>
        <v>214888.123487</v>
      </c>
      <c r="R30" s="2014">
        <f>IS!O45</f>
        <v>9727.2909359999994</v>
      </c>
      <c r="S30" s="2014">
        <f>IS!O68</f>
        <v>10451.111575000001</v>
      </c>
      <c r="T30" s="2015">
        <f>IS!O66</f>
        <v>7612.9499409999999</v>
      </c>
      <c r="Y30" s="2008" t="s">
        <v>4538</v>
      </c>
      <c r="Z30" s="2009"/>
      <c r="AA30" s="2014"/>
      <c r="AB30" s="2014"/>
      <c r="AC30" s="2014"/>
      <c r="AD30" s="2015"/>
      <c r="AH30" s="2008" t="s">
        <v>4538</v>
      </c>
      <c r="AI30" s="2009"/>
      <c r="AJ30" s="2014"/>
      <c r="AK30" s="2014"/>
      <c r="AL30" s="2014"/>
      <c r="AM30" s="2015"/>
    </row>
    <row r="31" spans="1:39" s="1977" customFormat="1" ht="14.1" customHeight="1" x14ac:dyDescent="0.3"/>
    <row r="32" spans="1:39" s="1977" customFormat="1" ht="14.1" customHeight="1" x14ac:dyDescent="0.3">
      <c r="N32" s="2011" t="s">
        <v>4539</v>
      </c>
      <c r="O32" s="2012"/>
      <c r="P32" s="2012" t="s">
        <v>4540</v>
      </c>
      <c r="Q32" s="2012" t="s">
        <v>4541</v>
      </c>
      <c r="R32" s="2012" t="s">
        <v>4542</v>
      </c>
      <c r="S32" s="2012" t="s">
        <v>4469</v>
      </c>
      <c r="T32" s="2013" t="s">
        <v>4543</v>
      </c>
      <c r="Y32" s="2011" t="s">
        <v>4539</v>
      </c>
      <c r="Z32" s="2012"/>
      <c r="AA32" s="2012" t="s">
        <v>4541</v>
      </c>
      <c r="AB32" s="2012" t="s">
        <v>4542</v>
      </c>
      <c r="AC32" s="2012" t="s">
        <v>4469</v>
      </c>
      <c r="AD32" s="2013" t="s">
        <v>4543</v>
      </c>
      <c r="AH32" s="2011" t="s">
        <v>4539</v>
      </c>
      <c r="AI32" s="2012"/>
      <c r="AJ32" s="2012" t="s">
        <v>4541</v>
      </c>
      <c r="AK32" s="2012" t="s">
        <v>4542</v>
      </c>
      <c r="AL32" s="2012" t="s">
        <v>4469</v>
      </c>
      <c r="AM32" s="2013" t="s">
        <v>4543</v>
      </c>
    </row>
    <row r="33" spans="14:39" s="1977" customFormat="1" ht="14.1" customHeight="1" x14ac:dyDescent="0.3">
      <c r="N33" s="2005" t="s">
        <v>4527</v>
      </c>
      <c r="O33" s="2006"/>
      <c r="P33" s="2022" t="s">
        <v>92</v>
      </c>
      <c r="Q33" s="2016">
        <f t="shared" ref="Q33:S34" si="24">Q26*Q$30</f>
        <v>149439.29757691539</v>
      </c>
      <c r="R33" s="2016">
        <f t="shared" si="24"/>
        <v>241913.36523777299</v>
      </c>
      <c r="S33" s="2016">
        <f t="shared" si="24"/>
        <v>98358.802652850165</v>
      </c>
      <c r="T33" s="2024" t="s">
        <v>92</v>
      </c>
      <c r="Y33" s="2005" t="s">
        <v>4527</v>
      </c>
      <c r="Z33" s="2006"/>
      <c r="AA33" s="2016">
        <f t="shared" ref="AA33:AC33" si="25">AA26*AA$30</f>
        <v>0</v>
      </c>
      <c r="AB33" s="2016">
        <f t="shared" si="25"/>
        <v>0</v>
      </c>
      <c r="AC33" s="2016">
        <f t="shared" si="25"/>
        <v>0</v>
      </c>
      <c r="AD33" s="2024" t="s">
        <v>92</v>
      </c>
      <c r="AH33" s="2005" t="s">
        <v>4527</v>
      </c>
      <c r="AI33" s="2006"/>
      <c r="AJ33" s="2016">
        <f t="shared" ref="AJ33:AL33" si="26">AJ26*AJ$30</f>
        <v>0</v>
      </c>
      <c r="AK33" s="2016">
        <f t="shared" si="26"/>
        <v>0</v>
      </c>
      <c r="AL33" s="2016">
        <f t="shared" si="26"/>
        <v>0</v>
      </c>
      <c r="AM33" s="2024" t="s">
        <v>92</v>
      </c>
    </row>
    <row r="34" spans="14:39" s="1977" customFormat="1" ht="14.1" customHeight="1" x14ac:dyDescent="0.3">
      <c r="N34" s="2008" t="s">
        <v>4528</v>
      </c>
      <c r="O34" s="2009"/>
      <c r="P34" s="2023" t="s">
        <v>92</v>
      </c>
      <c r="Q34" s="2014">
        <f t="shared" si="24"/>
        <v>199714.16953876844</v>
      </c>
      <c r="R34" s="2014">
        <f t="shared" si="24"/>
        <v>245375.63746761403</v>
      </c>
      <c r="S34" s="2014">
        <f t="shared" si="24"/>
        <v>130768.79346329365</v>
      </c>
      <c r="T34" s="2025" t="s">
        <v>92</v>
      </c>
      <c r="Y34" s="2008" t="s">
        <v>4528</v>
      </c>
      <c r="Z34" s="2009"/>
      <c r="AA34" s="2014">
        <f t="shared" ref="AA34:AC34" si="27">AA27*AA$30</f>
        <v>0</v>
      </c>
      <c r="AB34" s="2014">
        <f t="shared" si="27"/>
        <v>0</v>
      </c>
      <c r="AC34" s="2014">
        <f t="shared" si="27"/>
        <v>0</v>
      </c>
      <c r="AD34" s="2025" t="s">
        <v>92</v>
      </c>
      <c r="AH34" s="2008" t="s">
        <v>4528</v>
      </c>
      <c r="AI34" s="2009"/>
      <c r="AJ34" s="2014">
        <f t="shared" ref="AJ34:AL34" si="28">AJ27*AJ$30</f>
        <v>0</v>
      </c>
      <c r="AK34" s="2014">
        <f t="shared" si="28"/>
        <v>0</v>
      </c>
      <c r="AL34" s="2014">
        <f t="shared" si="28"/>
        <v>0</v>
      </c>
      <c r="AM34" s="2025" t="s">
        <v>92</v>
      </c>
    </row>
    <row r="35" spans="14:39" s="1977" customFormat="1" ht="14.1" customHeight="1" x14ac:dyDescent="0.3"/>
    <row r="36" spans="14:39" s="1977" customFormat="1" ht="14.1" customHeight="1" x14ac:dyDescent="0.3">
      <c r="N36" s="2018" t="s">
        <v>4544</v>
      </c>
      <c r="O36" s="2019"/>
      <c r="P36" s="2020"/>
      <c r="Q36" s="2020"/>
      <c r="R36" s="2020"/>
      <c r="S36" s="2020">
        <f>'NOA&amp;IBD'!E13</f>
        <v>16984.526109999999</v>
      </c>
      <c r="T36" s="2021"/>
      <c r="Y36" s="2018" t="s">
        <v>4544</v>
      </c>
      <c r="Z36" s="2019"/>
      <c r="AA36" s="2020"/>
      <c r="AB36" s="2020"/>
      <c r="AC36" s="2020"/>
      <c r="AD36" s="2021"/>
      <c r="AH36" s="2018" t="s">
        <v>4544</v>
      </c>
      <c r="AI36" s="2019"/>
      <c r="AJ36" s="2020"/>
      <c r="AK36" s="2020"/>
      <c r="AL36" s="2020"/>
      <c r="AM36" s="2021"/>
    </row>
    <row r="37" spans="14:39" s="1977" customFormat="1" ht="14.1" customHeight="1" x14ac:dyDescent="0.3"/>
    <row r="38" spans="14:39" s="1977" customFormat="1" ht="14.1" customHeight="1" x14ac:dyDescent="0.3">
      <c r="N38" s="2018" t="s">
        <v>4545</v>
      </c>
      <c r="O38" s="2019"/>
      <c r="P38" s="2020"/>
      <c r="Q38" s="2020"/>
      <c r="R38" s="2020"/>
      <c r="S38" s="2020">
        <f>'NOA&amp;IBD'!E20</f>
        <v>0</v>
      </c>
      <c r="T38" s="2021"/>
      <c r="Y38" s="2018" t="s">
        <v>4545</v>
      </c>
      <c r="Z38" s="2019"/>
      <c r="AA38" s="2020"/>
      <c r="AB38" s="2020"/>
      <c r="AC38" s="2020"/>
      <c r="AD38" s="2021"/>
      <c r="AH38" s="2018" t="s">
        <v>4545</v>
      </c>
      <c r="AI38" s="2019"/>
      <c r="AJ38" s="2020"/>
      <c r="AK38" s="2020"/>
      <c r="AL38" s="2020"/>
      <c r="AM38" s="2021"/>
    </row>
    <row r="39" spans="14:39" s="1977" customFormat="1" ht="14.1" customHeight="1" x14ac:dyDescent="0.3"/>
    <row r="40" spans="14:39" s="1977" customFormat="1" ht="14.1" customHeight="1" x14ac:dyDescent="0.3">
      <c r="N40" s="2018" t="s">
        <v>4546</v>
      </c>
      <c r="O40" s="2019"/>
      <c r="P40" s="2020"/>
      <c r="Q40" s="2020"/>
      <c r="R40" s="2020"/>
      <c r="S40" s="2020">
        <f>S38-S36</f>
        <v>-16984.526109999999</v>
      </c>
      <c r="T40" s="2021"/>
      <c r="Y40" s="2018" t="s">
        <v>4546</v>
      </c>
      <c r="Z40" s="2019"/>
      <c r="AA40" s="2020"/>
      <c r="AB40" s="2020"/>
      <c r="AC40" s="2020">
        <f>AC38-AC36</f>
        <v>0</v>
      </c>
      <c r="AD40" s="2021"/>
      <c r="AH40" s="2018" t="s">
        <v>4546</v>
      </c>
      <c r="AI40" s="2019"/>
      <c r="AJ40" s="2020"/>
      <c r="AK40" s="2020"/>
      <c r="AL40" s="2020">
        <f>AL38-AL36</f>
        <v>0</v>
      </c>
      <c r="AM40" s="2021"/>
    </row>
    <row r="41" spans="14:39" s="1977" customFormat="1" ht="14.1" customHeight="1" x14ac:dyDescent="0.3"/>
    <row r="42" spans="14:39" s="1977" customFormat="1" ht="14.1" customHeight="1" x14ac:dyDescent="0.3">
      <c r="N42" s="2011" t="s">
        <v>4460</v>
      </c>
      <c r="O42" s="2012"/>
      <c r="P42" s="2012" t="s">
        <v>4540</v>
      </c>
      <c r="Q42" s="2012" t="s">
        <v>4541</v>
      </c>
      <c r="R42" s="2012" t="s">
        <v>4542</v>
      </c>
      <c r="S42" s="2012" t="s">
        <v>4469</v>
      </c>
      <c r="T42" s="2013" t="s">
        <v>4543</v>
      </c>
      <c r="Y42" s="2011" t="s">
        <v>4460</v>
      </c>
      <c r="Z42" s="2012"/>
      <c r="AA42" s="2012" t="s">
        <v>4541</v>
      </c>
      <c r="AB42" s="2012" t="s">
        <v>4542</v>
      </c>
      <c r="AC42" s="2012" t="s">
        <v>4469</v>
      </c>
      <c r="AD42" s="2013" t="s">
        <v>4543</v>
      </c>
      <c r="AH42" s="2011" t="s">
        <v>4460</v>
      </c>
      <c r="AI42" s="2012"/>
      <c r="AJ42" s="2012" t="s">
        <v>4541</v>
      </c>
      <c r="AK42" s="2012" t="s">
        <v>4542</v>
      </c>
      <c r="AL42" s="2012" t="s">
        <v>4469</v>
      </c>
      <c r="AM42" s="2013" t="s">
        <v>4543</v>
      </c>
    </row>
    <row r="43" spans="14:39" s="1977" customFormat="1" ht="14.1" customHeight="1" x14ac:dyDescent="0.3">
      <c r="N43" s="2005" t="s">
        <v>4527</v>
      </c>
      <c r="O43" s="2006"/>
      <c r="P43" s="2016">
        <f>P26*P$30</f>
        <v>63527.274453423153</v>
      </c>
      <c r="Q43" s="2016">
        <f>Q33-$S$40</f>
        <v>166423.82368691539</v>
      </c>
      <c r="R43" s="2016">
        <f t="shared" ref="R43:S43" si="29">R33-$S$40</f>
        <v>258897.89134777299</v>
      </c>
      <c r="S43" s="2016">
        <f t="shared" si="29"/>
        <v>115343.32876285017</v>
      </c>
      <c r="T43" s="2017">
        <f>T26*T$30</f>
        <v>121168.11844640078</v>
      </c>
      <c r="Y43" s="2005" t="s">
        <v>4527</v>
      </c>
      <c r="Z43" s="2006"/>
      <c r="AA43" s="2016">
        <f>AA33-$S$40</f>
        <v>16984.526109999999</v>
      </c>
      <c r="AB43" s="2016">
        <f t="shared" ref="AB43:AC43" si="30">AB33-$S$40</f>
        <v>16984.526109999999</v>
      </c>
      <c r="AC43" s="2016">
        <f t="shared" si="30"/>
        <v>16984.526109999999</v>
      </c>
      <c r="AD43" s="2017">
        <f>AD26*AD$30</f>
        <v>0</v>
      </c>
      <c r="AH43" s="2005" t="s">
        <v>4527</v>
      </c>
      <c r="AI43" s="2006"/>
      <c r="AJ43" s="2016">
        <f>AJ33-$S$40</f>
        <v>16984.526109999999</v>
      </c>
      <c r="AK43" s="2016">
        <f t="shared" ref="AK43:AL43" si="31">AK33-$S$40</f>
        <v>16984.526109999999</v>
      </c>
      <c r="AL43" s="2016">
        <f t="shared" si="31"/>
        <v>16984.526109999999</v>
      </c>
      <c r="AM43" s="2017">
        <f>AM26*AM$30</f>
        <v>0</v>
      </c>
    </row>
    <row r="44" spans="14:39" s="1977" customFormat="1" ht="14.1" customHeight="1" x14ac:dyDescent="0.3">
      <c r="N44" s="2008" t="s">
        <v>4528</v>
      </c>
      <c r="O44" s="2009"/>
      <c r="P44" s="2014">
        <f>P27*P$30</f>
        <v>93023.775336379826</v>
      </c>
      <c r="Q44" s="2014">
        <f>Q34-$S$40</f>
        <v>216698.69564876845</v>
      </c>
      <c r="R44" s="2014">
        <f t="shared" ref="R44:S44" si="32">R34-$S$40</f>
        <v>262360.163577614</v>
      </c>
      <c r="S44" s="2014">
        <f t="shared" si="32"/>
        <v>147753.31957329364</v>
      </c>
      <c r="T44" s="2015">
        <f>T27*T$30</f>
        <v>179000.50863542809</v>
      </c>
      <c r="Y44" s="2008" t="s">
        <v>4528</v>
      </c>
      <c r="Z44" s="2009"/>
      <c r="AA44" s="2014">
        <f>AA34-$S$40</f>
        <v>16984.526109999999</v>
      </c>
      <c r="AB44" s="2014">
        <f t="shared" ref="AB44:AC44" si="33">AB34-$S$40</f>
        <v>16984.526109999999</v>
      </c>
      <c r="AC44" s="2014">
        <f t="shared" si="33"/>
        <v>16984.526109999999</v>
      </c>
      <c r="AD44" s="2015">
        <f>AD27*AD$30</f>
        <v>0</v>
      </c>
      <c r="AH44" s="2008" t="s">
        <v>4528</v>
      </c>
      <c r="AI44" s="2009"/>
      <c r="AJ44" s="2014">
        <f>AJ34-$S$40</f>
        <v>16984.526109999999</v>
      </c>
      <c r="AK44" s="2014">
        <f t="shared" ref="AK44:AL44" si="34">AK34-$S$40</f>
        <v>16984.526109999999</v>
      </c>
      <c r="AL44" s="2014">
        <f t="shared" si="34"/>
        <v>16984.526109999999</v>
      </c>
      <c r="AM44" s="2015">
        <f>AM27*AM$30</f>
        <v>0</v>
      </c>
    </row>
    <row r="45" spans="14:39" s="1977" customFormat="1" ht="14.1" customHeight="1" x14ac:dyDescent="0.3"/>
    <row r="46" spans="14:39" s="1977" customFormat="1" ht="14.1" customHeight="1" x14ac:dyDescent="0.3"/>
    <row r="47" spans="14:39" s="1977" customFormat="1" ht="14.1" customHeight="1" x14ac:dyDescent="0.3"/>
    <row r="48" spans="14:39" s="1977" customFormat="1" ht="14.1" customHeight="1" x14ac:dyDescent="0.3"/>
    <row r="49" s="1977" customFormat="1" ht="14.1" customHeight="1" x14ac:dyDescent="0.3"/>
    <row r="50" s="1977" customFormat="1" ht="14.1" customHeight="1" x14ac:dyDescent="0.3"/>
    <row r="51" s="1977" customFormat="1" ht="14.1" customHeight="1" x14ac:dyDescent="0.3"/>
    <row r="52" s="1977" customFormat="1" ht="14.1" customHeight="1" x14ac:dyDescent="0.3"/>
    <row r="53" s="1977" customFormat="1" ht="14.1" customHeight="1" x14ac:dyDescent="0.3"/>
    <row r="54" s="1977" customFormat="1" ht="14.1" customHeight="1" x14ac:dyDescent="0.3"/>
    <row r="55" s="1977" customFormat="1" ht="14.1" customHeight="1" x14ac:dyDescent="0.3"/>
    <row r="56" s="1977" customFormat="1" ht="14.1" customHeight="1" x14ac:dyDescent="0.3"/>
    <row r="57" s="1977" customFormat="1" ht="14.1" customHeight="1" x14ac:dyDescent="0.3"/>
    <row r="58" s="1977" customFormat="1" ht="14.1" customHeight="1" x14ac:dyDescent="0.3"/>
    <row r="59" s="1977" customFormat="1" ht="14.1" customHeight="1" x14ac:dyDescent="0.3"/>
    <row r="60" s="1977" customFormat="1" ht="14.1" customHeight="1" x14ac:dyDescent="0.3"/>
    <row r="61" s="1977" customFormat="1" ht="14.1" customHeight="1" x14ac:dyDescent="0.3"/>
    <row r="62" s="1977" customFormat="1" ht="14.1" customHeight="1" x14ac:dyDescent="0.3"/>
    <row r="63" s="1977" customFormat="1" ht="14.1" customHeight="1" x14ac:dyDescent="0.3"/>
    <row r="64" s="1977" customFormat="1" ht="14.1" customHeight="1" x14ac:dyDescent="0.3"/>
    <row r="65" s="1977" customFormat="1" ht="14.1" customHeight="1" x14ac:dyDescent="0.3"/>
    <row r="66" s="1977" customFormat="1" ht="14.1" customHeight="1" x14ac:dyDescent="0.3"/>
    <row r="67" s="1977" customFormat="1" ht="14.1" customHeight="1" x14ac:dyDescent="0.3"/>
    <row r="68" s="1977" customFormat="1" ht="14.1" customHeight="1" x14ac:dyDescent="0.3"/>
    <row r="69" s="1977" customFormat="1" ht="14.1" customHeight="1" x14ac:dyDescent="0.3"/>
    <row r="70" s="1977" customFormat="1" ht="14.1" customHeight="1" x14ac:dyDescent="0.3"/>
    <row r="71" s="1977" customFormat="1" ht="14.1" customHeight="1" x14ac:dyDescent="0.3"/>
    <row r="72" s="1977" customFormat="1" ht="14.1" customHeight="1" x14ac:dyDescent="0.3"/>
    <row r="73" s="1977" customFormat="1" ht="14.1" customHeight="1" x14ac:dyDescent="0.3"/>
    <row r="74" s="1977" customFormat="1" ht="14.1" customHeight="1" x14ac:dyDescent="0.3"/>
    <row r="75" s="1977" customFormat="1" ht="14.1" customHeight="1" x14ac:dyDescent="0.3"/>
    <row r="76" s="1977" customFormat="1" ht="14.1" customHeight="1" x14ac:dyDescent="0.3"/>
    <row r="77" s="1977" customFormat="1" ht="14.1" customHeight="1" x14ac:dyDescent="0.3"/>
    <row r="78" s="1977" customFormat="1" ht="14.1" customHeight="1" x14ac:dyDescent="0.3"/>
    <row r="79" s="1977" customFormat="1" ht="14.1" customHeight="1" x14ac:dyDescent="0.3"/>
    <row r="80" s="1977" customFormat="1" ht="14.1" customHeight="1" x14ac:dyDescent="0.3"/>
    <row r="81" s="1977" customFormat="1" ht="14.1" customHeight="1" x14ac:dyDescent="0.3"/>
    <row r="82" s="1977" customFormat="1" ht="14.1" customHeight="1" x14ac:dyDescent="0.3"/>
    <row r="83" s="1977" customFormat="1" ht="14.1" customHeight="1" x14ac:dyDescent="0.3"/>
    <row r="84" s="1977" customFormat="1" ht="14.1" customHeight="1" x14ac:dyDescent="0.3"/>
    <row r="85" s="1977" customFormat="1" ht="14.1" customHeight="1" x14ac:dyDescent="0.3"/>
    <row r="86" s="1977" customFormat="1" ht="14.1" customHeight="1" x14ac:dyDescent="0.3"/>
    <row r="87" s="1977" customFormat="1" ht="14.1" customHeight="1" x14ac:dyDescent="0.3"/>
    <row r="88" s="1977" customFormat="1" ht="14.1" customHeight="1" x14ac:dyDescent="0.3"/>
    <row r="89" s="1977" customFormat="1" ht="14.1" customHeight="1" x14ac:dyDescent="0.3"/>
    <row r="90" s="1977" customFormat="1" ht="14.1" customHeight="1" x14ac:dyDescent="0.3"/>
    <row r="91" s="1977" customFormat="1" ht="14.1" customHeight="1" x14ac:dyDescent="0.3"/>
    <row r="92" s="1977" customFormat="1" ht="14.1" customHeight="1" x14ac:dyDescent="0.3"/>
    <row r="93" s="1977" customFormat="1" ht="14.1" customHeight="1" x14ac:dyDescent="0.3"/>
    <row r="94" s="1977" customFormat="1" ht="14.1" customHeight="1" x14ac:dyDescent="0.3"/>
    <row r="95" s="1977" customFormat="1" ht="14.1" customHeight="1" x14ac:dyDescent="0.3"/>
    <row r="96" s="1977" customFormat="1" ht="14.1" customHeight="1" x14ac:dyDescent="0.3"/>
    <row r="97" s="1977" customFormat="1" ht="14.1" customHeight="1" x14ac:dyDescent="0.3"/>
    <row r="98" s="1977" customFormat="1" ht="14.1" customHeight="1" x14ac:dyDescent="0.3"/>
    <row r="99" s="1977" customFormat="1" ht="14.1" customHeight="1" x14ac:dyDescent="0.3"/>
    <row r="100" s="1977" customFormat="1" ht="14.1" customHeight="1" x14ac:dyDescent="0.3"/>
    <row r="101" s="1977" customFormat="1" ht="14.1" customHeight="1" x14ac:dyDescent="0.3"/>
    <row r="102" s="1977" customFormat="1" ht="14.1" customHeight="1" x14ac:dyDescent="0.3"/>
    <row r="103" s="1977" customFormat="1" ht="14.1" customHeight="1" x14ac:dyDescent="0.3"/>
    <row r="104" s="1977" customFormat="1" ht="14.1" customHeight="1" x14ac:dyDescent="0.3"/>
    <row r="105" s="1977" customFormat="1" ht="14.1" customHeight="1" x14ac:dyDescent="0.3"/>
    <row r="106" s="1977" customFormat="1" ht="14.1" customHeight="1" x14ac:dyDescent="0.3"/>
    <row r="107" s="1977" customFormat="1" ht="14.1" customHeight="1" x14ac:dyDescent="0.3"/>
    <row r="108" s="1977" customFormat="1" ht="14.1" customHeight="1" x14ac:dyDescent="0.3"/>
    <row r="109" s="1977" customFormat="1" ht="14.1" customHeight="1" x14ac:dyDescent="0.3"/>
    <row r="110" s="1977" customFormat="1" ht="14.1" customHeight="1" x14ac:dyDescent="0.3"/>
    <row r="111" s="1977" customFormat="1" ht="14.1" customHeight="1" x14ac:dyDescent="0.3"/>
    <row r="112" s="1977" customFormat="1" ht="14.1" customHeight="1" x14ac:dyDescent="0.3"/>
    <row r="113" s="1977" customFormat="1" ht="14.1" customHeight="1" x14ac:dyDescent="0.3"/>
    <row r="114" s="1977" customFormat="1" ht="14.1" customHeight="1" x14ac:dyDescent="0.3"/>
    <row r="115" s="1977" customFormat="1" ht="14.1" customHeight="1" x14ac:dyDescent="0.3"/>
    <row r="116" s="1977" customFormat="1" ht="14.1" customHeight="1" x14ac:dyDescent="0.3"/>
    <row r="117" s="1977" customFormat="1" ht="14.1" customHeight="1" x14ac:dyDescent="0.3"/>
    <row r="118" s="1977" customFormat="1" ht="14.1" customHeight="1" x14ac:dyDescent="0.3"/>
    <row r="119" s="1977" customFormat="1" ht="14.1" customHeight="1" x14ac:dyDescent="0.3"/>
    <row r="120" s="1977" customFormat="1" ht="14.1" customHeight="1" x14ac:dyDescent="0.3"/>
    <row r="121" s="1977" customFormat="1" ht="14.1" customHeight="1" x14ac:dyDescent="0.3"/>
    <row r="122" s="1977" customFormat="1" ht="14.1" customHeight="1" x14ac:dyDescent="0.3"/>
    <row r="123" s="1977" customFormat="1" ht="14.1" customHeight="1" x14ac:dyDescent="0.3"/>
    <row r="124" s="1977" customFormat="1" ht="14.1" customHeight="1" x14ac:dyDescent="0.3"/>
    <row r="125" s="1977" customFormat="1" ht="14.1" customHeight="1" x14ac:dyDescent="0.3"/>
    <row r="126" s="1977" customFormat="1" ht="14.1" customHeight="1" x14ac:dyDescent="0.3"/>
    <row r="127" s="1977" customFormat="1" ht="14.1" customHeight="1" x14ac:dyDescent="0.3"/>
    <row r="128" s="1977" customFormat="1" ht="14.1" customHeight="1" x14ac:dyDescent="0.3"/>
    <row r="129" s="1977" customFormat="1" ht="14.1" customHeight="1" x14ac:dyDescent="0.3"/>
    <row r="130" s="1977" customFormat="1" ht="14.1" customHeight="1" x14ac:dyDescent="0.3"/>
    <row r="131" s="1977" customFormat="1" ht="14.1" customHeight="1" x14ac:dyDescent="0.3"/>
    <row r="132" s="1977" customFormat="1" ht="14.1" customHeight="1" x14ac:dyDescent="0.3"/>
    <row r="133" s="1977" customFormat="1" ht="14.1" customHeight="1" x14ac:dyDescent="0.3"/>
    <row r="134" s="1977" customFormat="1" ht="14.1" customHeight="1" x14ac:dyDescent="0.3"/>
    <row r="135" s="1977" customFormat="1" ht="14.1" customHeight="1" x14ac:dyDescent="0.3"/>
    <row r="136" s="1977" customFormat="1" ht="14.1" customHeight="1" x14ac:dyDescent="0.3"/>
    <row r="137" s="1977" customFormat="1" ht="14.1" customHeight="1" x14ac:dyDescent="0.3"/>
    <row r="138" s="1977" customFormat="1" ht="14.1" customHeight="1" x14ac:dyDescent="0.3"/>
    <row r="139" s="1977" customFormat="1" ht="14.1" customHeight="1" x14ac:dyDescent="0.3"/>
    <row r="140" s="1977" customFormat="1" ht="14.1" customHeight="1" x14ac:dyDescent="0.3"/>
    <row r="141" s="1977" customFormat="1" ht="14.1" customHeight="1" x14ac:dyDescent="0.3"/>
    <row r="142" s="1977" customFormat="1" ht="14.1" customHeight="1" x14ac:dyDescent="0.3"/>
    <row r="143" s="1977" customFormat="1" ht="14.1" customHeight="1" x14ac:dyDescent="0.3"/>
    <row r="144" s="1977" customFormat="1" ht="14.1" customHeight="1" x14ac:dyDescent="0.3"/>
    <row r="145" s="1977" customFormat="1" ht="14.1" customHeight="1" x14ac:dyDescent="0.3"/>
    <row r="146" s="1977" customFormat="1" ht="14.1" customHeight="1" x14ac:dyDescent="0.3"/>
    <row r="147" s="1977" customFormat="1" ht="14.1" customHeight="1" x14ac:dyDescent="0.3"/>
    <row r="148" s="1977" customFormat="1" ht="14.1" customHeight="1" x14ac:dyDescent="0.3"/>
    <row r="149" s="1977" customFormat="1" ht="14.1" customHeight="1" x14ac:dyDescent="0.3"/>
    <row r="150" s="1977" customFormat="1" ht="14.1" customHeight="1" x14ac:dyDescent="0.3"/>
    <row r="151" s="1977" customFormat="1" ht="14.1" customHeight="1" x14ac:dyDescent="0.3"/>
    <row r="152" s="1977" customFormat="1" ht="14.1" customHeight="1" x14ac:dyDescent="0.3"/>
    <row r="153" s="1977" customFormat="1" ht="14.1" customHeight="1" x14ac:dyDescent="0.3"/>
    <row r="154" s="1977" customFormat="1" ht="14.1" customHeight="1" x14ac:dyDescent="0.3"/>
    <row r="155" s="1977" customFormat="1" ht="14.1" customHeight="1" x14ac:dyDescent="0.3"/>
    <row r="156" s="1977" customFormat="1" ht="14.1" customHeight="1" x14ac:dyDescent="0.3"/>
    <row r="157" s="1977" customFormat="1" ht="14.1" customHeight="1" x14ac:dyDescent="0.3"/>
    <row r="158" s="1977" customFormat="1" ht="14.1" customHeight="1" x14ac:dyDescent="0.3"/>
    <row r="159" s="1977" customFormat="1" ht="14.1" customHeight="1" x14ac:dyDescent="0.3"/>
    <row r="160" s="1977" customFormat="1" ht="14.1" customHeight="1" x14ac:dyDescent="0.3"/>
    <row r="161" s="1977" customFormat="1" ht="14.1" customHeight="1" x14ac:dyDescent="0.3"/>
    <row r="162" s="1977" customFormat="1" ht="14.1" customHeight="1" x14ac:dyDescent="0.3"/>
    <row r="163" s="1977" customFormat="1" ht="14.1" customHeight="1" x14ac:dyDescent="0.3"/>
    <row r="164" s="1977" customFormat="1" ht="14.1" customHeight="1" x14ac:dyDescent="0.3"/>
    <row r="165" s="1977" customFormat="1" ht="14.1" customHeight="1" x14ac:dyDescent="0.3"/>
    <row r="166" s="1977" customFormat="1" ht="14.1" customHeight="1" x14ac:dyDescent="0.3"/>
    <row r="167" s="1977" customFormat="1" ht="14.1" customHeight="1" x14ac:dyDescent="0.3"/>
    <row r="168" s="1977" customFormat="1" ht="14.1" customHeight="1" x14ac:dyDescent="0.3"/>
    <row r="169" s="1977" customFormat="1" ht="14.1" customHeight="1" x14ac:dyDescent="0.3"/>
    <row r="170" s="1977" customFormat="1" ht="14.1" customHeight="1" x14ac:dyDescent="0.3"/>
    <row r="171" s="1977" customFormat="1" ht="14.1" customHeight="1" x14ac:dyDescent="0.3"/>
    <row r="172" s="1977" customFormat="1" ht="14.1" customHeight="1" x14ac:dyDescent="0.3"/>
    <row r="173" s="1977" customFormat="1" ht="14.1" customHeight="1" x14ac:dyDescent="0.3"/>
    <row r="174" s="1977" customFormat="1" ht="14.1" customHeight="1" x14ac:dyDescent="0.3"/>
    <row r="175" s="1977" customFormat="1" ht="14.1" customHeight="1" x14ac:dyDescent="0.3"/>
    <row r="176" s="1977" customFormat="1" ht="14.1" customHeight="1" x14ac:dyDescent="0.3"/>
    <row r="177" s="1977" customFormat="1" ht="14.1" customHeight="1" x14ac:dyDescent="0.3"/>
    <row r="178" s="1977" customFormat="1" ht="14.1" customHeight="1" x14ac:dyDescent="0.3"/>
    <row r="179" ht="14.1" customHeight="1" x14ac:dyDescent="0.3"/>
    <row r="180" ht="14.1" customHeight="1" x14ac:dyDescent="0.3"/>
    <row r="181" ht="14.1" customHeight="1" x14ac:dyDescent="0.3"/>
    <row r="182" ht="14.1" customHeight="1" x14ac:dyDescent="0.3"/>
    <row r="183" ht="14.1" customHeight="1" x14ac:dyDescent="0.3"/>
    <row r="184" ht="14.1" customHeight="1" x14ac:dyDescent="0.3"/>
    <row r="185" ht="14.1" customHeight="1" x14ac:dyDescent="0.3"/>
    <row r="186" ht="14.1" customHeight="1" x14ac:dyDescent="0.3"/>
    <row r="187" ht="14.1" customHeight="1" x14ac:dyDescent="0.3"/>
    <row r="188" ht="14.1" customHeight="1" x14ac:dyDescent="0.3"/>
    <row r="189" ht="14.1" customHeight="1" x14ac:dyDescent="0.3"/>
    <row r="190" ht="14.1" customHeight="1" x14ac:dyDescent="0.3"/>
    <row r="191" ht="14.1" customHeight="1" x14ac:dyDescent="0.3"/>
    <row r="192" ht="14.1" customHeight="1" x14ac:dyDescent="0.3"/>
    <row r="193" ht="14.1" customHeight="1" x14ac:dyDescent="0.3"/>
    <row r="194" ht="14.1" customHeight="1" x14ac:dyDescent="0.3"/>
    <row r="195" ht="14.1" customHeight="1" x14ac:dyDescent="0.3"/>
    <row r="196" ht="14.1" customHeight="1" x14ac:dyDescent="0.3"/>
    <row r="197" ht="14.1" customHeight="1" x14ac:dyDescent="0.3"/>
    <row r="198" ht="14.1" customHeight="1" x14ac:dyDescent="0.3"/>
    <row r="199" ht="14.1" customHeight="1" x14ac:dyDescent="0.3"/>
    <row r="200" ht="14.1" customHeight="1" x14ac:dyDescent="0.3"/>
    <row r="201" ht="14.1" customHeight="1" x14ac:dyDescent="0.3"/>
    <row r="202" ht="14.1" customHeight="1" x14ac:dyDescent="0.3"/>
    <row r="203" ht="14.1" customHeight="1" x14ac:dyDescent="0.3"/>
    <row r="204" ht="14.1" customHeight="1" x14ac:dyDescent="0.3"/>
    <row r="205" ht="14.1" customHeight="1" x14ac:dyDescent="0.3"/>
    <row r="206" ht="14.1" customHeight="1" x14ac:dyDescent="0.3"/>
    <row r="207" ht="14.1" customHeight="1" x14ac:dyDescent="0.3"/>
    <row r="208" ht="14.1" customHeight="1" x14ac:dyDescent="0.3"/>
    <row r="209" ht="14.1" customHeight="1" x14ac:dyDescent="0.3"/>
    <row r="210" ht="14.1" customHeight="1" x14ac:dyDescent="0.3"/>
    <row r="211" ht="14.1" customHeight="1" x14ac:dyDescent="0.3"/>
    <row r="212" ht="14.1" customHeight="1" x14ac:dyDescent="0.3"/>
    <row r="213" ht="14.1" customHeight="1" x14ac:dyDescent="0.3"/>
    <row r="214" ht="14.1" customHeight="1" x14ac:dyDescent="0.3"/>
    <row r="215" ht="14.1" customHeight="1" x14ac:dyDescent="0.3"/>
    <row r="216" ht="14.1" customHeight="1" x14ac:dyDescent="0.3"/>
    <row r="217" ht="14.1" customHeight="1" x14ac:dyDescent="0.3"/>
    <row r="218" ht="14.1" customHeight="1" x14ac:dyDescent="0.3"/>
    <row r="219" ht="14.1" customHeight="1" x14ac:dyDescent="0.3"/>
    <row r="220" ht="14.1" customHeight="1" x14ac:dyDescent="0.3"/>
    <row r="221" ht="14.1" customHeight="1" x14ac:dyDescent="0.3"/>
    <row r="222" ht="14.1" customHeight="1" x14ac:dyDescent="0.3"/>
    <row r="223" ht="14.1" customHeight="1" x14ac:dyDescent="0.3"/>
    <row r="224" ht="14.1" customHeight="1" x14ac:dyDescent="0.3"/>
    <row r="225" ht="14.1" customHeight="1" x14ac:dyDescent="0.3"/>
    <row r="226" ht="14.1" customHeight="1" x14ac:dyDescent="0.3"/>
    <row r="227" ht="14.1" customHeight="1" x14ac:dyDescent="0.3"/>
    <row r="228" ht="14.1" customHeight="1" x14ac:dyDescent="0.3"/>
    <row r="229" ht="14.1" customHeight="1" x14ac:dyDescent="0.3"/>
    <row r="230" ht="14.1" customHeight="1" x14ac:dyDescent="0.3"/>
    <row r="231" ht="14.1" customHeight="1" x14ac:dyDescent="0.3"/>
    <row r="232" ht="14.1" customHeight="1" x14ac:dyDescent="0.3"/>
    <row r="233" ht="14.1" customHeight="1" x14ac:dyDescent="0.3"/>
    <row r="234" ht="14.1" customHeight="1" x14ac:dyDescent="0.3"/>
    <row r="235" ht="14.1" customHeight="1" x14ac:dyDescent="0.3"/>
    <row r="236" ht="14.1" customHeight="1" x14ac:dyDescent="0.3"/>
    <row r="237" ht="14.1" customHeight="1" x14ac:dyDescent="0.3"/>
    <row r="238" ht="14.1" customHeight="1" x14ac:dyDescent="0.3"/>
    <row r="239" ht="14.1" customHeight="1" x14ac:dyDescent="0.3"/>
    <row r="240" ht="14.1" customHeight="1" x14ac:dyDescent="0.3"/>
    <row r="241" ht="14.1" customHeight="1" x14ac:dyDescent="0.3"/>
    <row r="242" ht="14.1" customHeight="1" x14ac:dyDescent="0.3"/>
    <row r="243" ht="14.1" customHeight="1" x14ac:dyDescent="0.3"/>
    <row r="244" ht="14.1" customHeight="1" x14ac:dyDescent="0.3"/>
    <row r="245" ht="14.1" customHeight="1" x14ac:dyDescent="0.3"/>
    <row r="246" ht="14.1" customHeight="1" x14ac:dyDescent="0.3"/>
    <row r="247" ht="14.1" customHeight="1" x14ac:dyDescent="0.3"/>
    <row r="248" ht="14.1" customHeight="1" x14ac:dyDescent="0.3"/>
    <row r="249" ht="14.1" customHeight="1" x14ac:dyDescent="0.3"/>
    <row r="250" ht="14.1" customHeight="1" x14ac:dyDescent="0.3"/>
    <row r="251" ht="14.1" customHeight="1" x14ac:dyDescent="0.3"/>
    <row r="252" ht="14.1" customHeight="1" x14ac:dyDescent="0.3"/>
    <row r="253" ht="14.1" customHeight="1" x14ac:dyDescent="0.3"/>
    <row r="254" ht="14.1" customHeight="1" x14ac:dyDescent="0.3"/>
    <row r="255" ht="14.1" customHeight="1" x14ac:dyDescent="0.3"/>
    <row r="256" ht="14.1" customHeight="1" x14ac:dyDescent="0.3"/>
    <row r="257" ht="14.1" customHeight="1" x14ac:dyDescent="0.3"/>
    <row r="258" ht="14.1" customHeight="1" x14ac:dyDescent="0.3"/>
    <row r="259" ht="14.1" customHeight="1" x14ac:dyDescent="0.3"/>
    <row r="260" ht="14.1" customHeight="1" x14ac:dyDescent="0.3"/>
    <row r="261" ht="14.1" customHeight="1" x14ac:dyDescent="0.3"/>
    <row r="262" ht="14.1" customHeight="1" x14ac:dyDescent="0.3"/>
    <row r="263" ht="14.1" customHeight="1" x14ac:dyDescent="0.3"/>
    <row r="264" ht="14.1" customHeight="1" x14ac:dyDescent="0.3"/>
    <row r="265" ht="14.1" customHeight="1" x14ac:dyDescent="0.3"/>
    <row r="266" ht="14.1" customHeight="1" x14ac:dyDescent="0.3"/>
    <row r="267" ht="14.1" customHeight="1" x14ac:dyDescent="0.3"/>
    <row r="268" ht="14.1" customHeight="1" x14ac:dyDescent="0.3"/>
    <row r="269" ht="14.1" customHeight="1" x14ac:dyDescent="0.3"/>
    <row r="270" ht="14.1" customHeight="1" x14ac:dyDescent="0.3"/>
    <row r="271" ht="14.1" customHeight="1" x14ac:dyDescent="0.3"/>
    <row r="272" ht="14.1" customHeight="1" x14ac:dyDescent="0.3"/>
    <row r="273" ht="14.1" customHeight="1" x14ac:dyDescent="0.3"/>
    <row r="274" ht="14.1" customHeight="1" x14ac:dyDescent="0.3"/>
    <row r="275" ht="14.1" customHeight="1" x14ac:dyDescent="0.3"/>
    <row r="276" ht="14.1" customHeight="1" x14ac:dyDescent="0.3"/>
    <row r="277" ht="14.1" customHeight="1" x14ac:dyDescent="0.3"/>
    <row r="278" ht="14.1" customHeight="1" x14ac:dyDescent="0.3"/>
    <row r="279" ht="14.1" customHeight="1" x14ac:dyDescent="0.3"/>
    <row r="280" ht="14.1" customHeight="1" x14ac:dyDescent="0.3"/>
    <row r="281" ht="14.1" customHeight="1" x14ac:dyDescent="0.3"/>
    <row r="282" ht="14.1" customHeight="1" x14ac:dyDescent="0.3"/>
    <row r="283" ht="14.1" customHeight="1" x14ac:dyDescent="0.3"/>
    <row r="284" ht="14.1" customHeight="1" x14ac:dyDescent="0.3"/>
    <row r="285" ht="14.1" customHeight="1" x14ac:dyDescent="0.3"/>
    <row r="286" ht="14.1" customHeight="1" x14ac:dyDescent="0.3"/>
    <row r="287" ht="14.1" customHeight="1" x14ac:dyDescent="0.3"/>
    <row r="288" ht="14.1" customHeight="1" x14ac:dyDescent="0.3"/>
    <row r="289" ht="14.1" customHeight="1" x14ac:dyDescent="0.3"/>
    <row r="290" ht="14.1" customHeight="1" x14ac:dyDescent="0.3"/>
    <row r="291" ht="14.1" customHeight="1" x14ac:dyDescent="0.3"/>
    <row r="292" ht="14.1" customHeight="1" x14ac:dyDescent="0.3"/>
    <row r="293" ht="14.1" customHeight="1" x14ac:dyDescent="0.3"/>
    <row r="294" ht="14.1" customHeight="1" x14ac:dyDescent="0.3"/>
    <row r="295" ht="14.1" customHeight="1" x14ac:dyDescent="0.3"/>
    <row r="296" ht="14.1" customHeight="1" x14ac:dyDescent="0.3"/>
    <row r="297" ht="14.1" customHeight="1" x14ac:dyDescent="0.3"/>
    <row r="298" ht="14.1" customHeight="1" x14ac:dyDescent="0.3"/>
    <row r="299" ht="14.1" customHeight="1" x14ac:dyDescent="0.3"/>
    <row r="300" ht="14.1" customHeight="1" x14ac:dyDescent="0.3"/>
    <row r="301" ht="14.1" customHeight="1" x14ac:dyDescent="0.3"/>
    <row r="302" ht="14.1" customHeight="1" x14ac:dyDescent="0.3"/>
    <row r="303" ht="14.1" customHeight="1" x14ac:dyDescent="0.3"/>
    <row r="304" ht="14.1" customHeight="1" x14ac:dyDescent="0.3"/>
    <row r="305" ht="14.1" customHeight="1" x14ac:dyDescent="0.3"/>
    <row r="306" ht="14.1" customHeight="1" x14ac:dyDescent="0.3"/>
    <row r="307" ht="14.1" customHeight="1" x14ac:dyDescent="0.3"/>
    <row r="308" ht="14.1" customHeight="1" x14ac:dyDescent="0.3"/>
    <row r="309" ht="14.1" customHeight="1" x14ac:dyDescent="0.3"/>
    <row r="310" ht="14.1" customHeight="1" x14ac:dyDescent="0.3"/>
    <row r="311" ht="14.1" customHeight="1" x14ac:dyDescent="0.3"/>
    <row r="312" ht="14.1" customHeight="1" x14ac:dyDescent="0.3"/>
    <row r="313" ht="14.1" customHeight="1" x14ac:dyDescent="0.3"/>
    <row r="314" ht="14.1" customHeight="1" x14ac:dyDescent="0.3"/>
    <row r="315" ht="14.1" customHeight="1" x14ac:dyDescent="0.3"/>
    <row r="316" ht="14.1" customHeight="1" x14ac:dyDescent="0.3"/>
    <row r="317" ht="14.1" customHeight="1" x14ac:dyDescent="0.3"/>
    <row r="318" ht="14.1" customHeight="1" x14ac:dyDescent="0.3"/>
    <row r="319" ht="14.1" customHeight="1" x14ac:dyDescent="0.3"/>
    <row r="320" ht="14.1" customHeight="1" x14ac:dyDescent="0.3"/>
    <row r="321" ht="14.1" customHeight="1" x14ac:dyDescent="0.3"/>
    <row r="322" ht="14.1" customHeight="1" x14ac:dyDescent="0.3"/>
    <row r="323" ht="14.1" customHeight="1" x14ac:dyDescent="0.3"/>
    <row r="324" ht="14.1" customHeight="1" x14ac:dyDescent="0.3"/>
    <row r="325" ht="14.1" customHeight="1" x14ac:dyDescent="0.3"/>
    <row r="326" ht="14.1" customHeight="1" x14ac:dyDescent="0.3"/>
    <row r="327" ht="14.1" customHeight="1" x14ac:dyDescent="0.3"/>
    <row r="328" ht="14.1" customHeight="1" x14ac:dyDescent="0.3"/>
    <row r="329" ht="14.1" customHeight="1" x14ac:dyDescent="0.3"/>
    <row r="330" ht="14.1" customHeight="1" x14ac:dyDescent="0.3"/>
    <row r="331" ht="14.1" customHeight="1" x14ac:dyDescent="0.3"/>
    <row r="332" ht="14.1" customHeight="1" x14ac:dyDescent="0.3"/>
    <row r="333" ht="14.1" customHeight="1" x14ac:dyDescent="0.3"/>
    <row r="334" ht="14.1" customHeight="1" x14ac:dyDescent="0.3"/>
    <row r="335" ht="14.1" customHeight="1" x14ac:dyDescent="0.3"/>
    <row r="336" ht="14.1" customHeight="1" x14ac:dyDescent="0.3"/>
    <row r="337" ht="14.1" customHeight="1" x14ac:dyDescent="0.3"/>
    <row r="338" ht="14.1" customHeight="1" x14ac:dyDescent="0.3"/>
    <row r="339" ht="14.1" customHeight="1" x14ac:dyDescent="0.3"/>
    <row r="340" ht="14.1" customHeight="1" x14ac:dyDescent="0.3"/>
    <row r="341" ht="14.1" customHeight="1" x14ac:dyDescent="0.3"/>
    <row r="342" ht="14.1" customHeight="1" x14ac:dyDescent="0.3"/>
    <row r="343" ht="14.1" customHeight="1" x14ac:dyDescent="0.3"/>
    <row r="344" ht="14.1" customHeight="1" x14ac:dyDescent="0.3"/>
    <row r="345" ht="14.1" customHeight="1" x14ac:dyDescent="0.3"/>
    <row r="346" ht="14.1" customHeight="1" x14ac:dyDescent="0.3"/>
    <row r="347" ht="14.1" customHeight="1" x14ac:dyDescent="0.3"/>
    <row r="348" ht="14.1" customHeight="1" x14ac:dyDescent="0.3"/>
    <row r="349" ht="14.1" customHeight="1" x14ac:dyDescent="0.3"/>
    <row r="350" ht="14.1" customHeight="1" x14ac:dyDescent="0.3"/>
    <row r="351" ht="14.1" customHeight="1" x14ac:dyDescent="0.3"/>
    <row r="352" ht="14.1" customHeight="1" x14ac:dyDescent="0.3"/>
    <row r="353" ht="14.1" customHeight="1" x14ac:dyDescent="0.3"/>
    <row r="354" ht="14.1" customHeight="1" x14ac:dyDescent="0.3"/>
    <row r="355" ht="14.1" customHeight="1" x14ac:dyDescent="0.3"/>
    <row r="356" ht="14.1" customHeight="1" x14ac:dyDescent="0.3"/>
    <row r="357" ht="14.1" customHeight="1" x14ac:dyDescent="0.3"/>
    <row r="358" ht="14.1" customHeight="1" x14ac:dyDescent="0.3"/>
    <row r="359" ht="14.1" customHeight="1" x14ac:dyDescent="0.3"/>
    <row r="360" ht="14.1" customHeight="1" x14ac:dyDescent="0.3"/>
    <row r="361" ht="14.1" customHeight="1" x14ac:dyDescent="0.3"/>
    <row r="362" ht="14.1" customHeight="1" x14ac:dyDescent="0.3"/>
    <row r="363" ht="14.1" customHeight="1" x14ac:dyDescent="0.3"/>
    <row r="364" ht="14.1" customHeight="1" x14ac:dyDescent="0.3"/>
    <row r="365" ht="14.1" customHeight="1" x14ac:dyDescent="0.3"/>
    <row r="366" ht="14.1" customHeight="1" x14ac:dyDescent="0.3"/>
    <row r="367" ht="14.1" customHeight="1" x14ac:dyDescent="0.3"/>
    <row r="368" ht="14.1" customHeight="1" x14ac:dyDescent="0.3"/>
    <row r="369" ht="14.1" customHeight="1" x14ac:dyDescent="0.3"/>
    <row r="370" ht="14.1" customHeight="1" x14ac:dyDescent="0.3"/>
    <row r="371" ht="14.1" customHeight="1" x14ac:dyDescent="0.3"/>
    <row r="372" ht="14.1" customHeight="1" x14ac:dyDescent="0.3"/>
    <row r="373" ht="14.1" customHeight="1" x14ac:dyDescent="0.3"/>
    <row r="374" ht="14.1" customHeight="1" x14ac:dyDescent="0.3"/>
    <row r="375" ht="14.1" customHeight="1" x14ac:dyDescent="0.3"/>
    <row r="376" ht="14.1" customHeight="1" x14ac:dyDescent="0.3"/>
    <row r="377" ht="14.1" customHeight="1" x14ac:dyDescent="0.3"/>
    <row r="378" ht="14.1" customHeight="1" x14ac:dyDescent="0.3"/>
    <row r="379" ht="14.1" customHeight="1" x14ac:dyDescent="0.3"/>
    <row r="380" ht="14.1" customHeight="1" x14ac:dyDescent="0.3"/>
    <row r="381" ht="14.1" customHeight="1" x14ac:dyDescent="0.3"/>
    <row r="382" ht="14.1" customHeight="1" x14ac:dyDescent="0.3"/>
    <row r="383" ht="14.1" customHeight="1" x14ac:dyDescent="0.3"/>
    <row r="384" ht="14.1" customHeight="1" x14ac:dyDescent="0.3"/>
    <row r="385" ht="14.1" customHeight="1" x14ac:dyDescent="0.3"/>
    <row r="386" ht="14.1" customHeight="1" x14ac:dyDescent="0.3"/>
    <row r="387" ht="14.1" customHeight="1" x14ac:dyDescent="0.3"/>
    <row r="388" ht="14.1" customHeight="1" x14ac:dyDescent="0.3"/>
    <row r="389" ht="14.1" customHeight="1" x14ac:dyDescent="0.3"/>
    <row r="390" ht="14.1" customHeight="1" x14ac:dyDescent="0.3"/>
    <row r="391" ht="14.1" customHeight="1" x14ac:dyDescent="0.3"/>
    <row r="392" ht="14.1" customHeight="1" x14ac:dyDescent="0.3"/>
    <row r="393" ht="14.1" customHeight="1" x14ac:dyDescent="0.3"/>
    <row r="394" ht="14.1" customHeight="1" x14ac:dyDescent="0.3"/>
    <row r="395" ht="14.1" customHeight="1" x14ac:dyDescent="0.3"/>
    <row r="396" ht="14.1" customHeight="1" x14ac:dyDescent="0.3"/>
    <row r="397" ht="14.1" customHeight="1" x14ac:dyDescent="0.3"/>
    <row r="398" ht="14.1" customHeight="1" x14ac:dyDescent="0.3"/>
    <row r="399" ht="14.1" customHeight="1" x14ac:dyDescent="0.3"/>
    <row r="400" ht="14.1" customHeight="1" x14ac:dyDescent="0.3"/>
    <row r="401" ht="14.1" customHeight="1" x14ac:dyDescent="0.3"/>
    <row r="402" ht="14.1" customHeight="1" x14ac:dyDescent="0.3"/>
    <row r="403" ht="14.1" customHeight="1" x14ac:dyDescent="0.3"/>
    <row r="404" ht="14.1" customHeight="1" x14ac:dyDescent="0.3"/>
    <row r="405" ht="14.1" customHeight="1" x14ac:dyDescent="0.3"/>
    <row r="406" ht="14.1" customHeight="1" x14ac:dyDescent="0.3"/>
    <row r="407" ht="14.1" customHeight="1" x14ac:dyDescent="0.3"/>
    <row r="408" ht="14.1" customHeight="1" x14ac:dyDescent="0.3"/>
    <row r="409" ht="14.1" customHeight="1" x14ac:dyDescent="0.3"/>
    <row r="410" ht="14.1" customHeight="1" x14ac:dyDescent="0.3"/>
    <row r="411" ht="14.1" customHeight="1" x14ac:dyDescent="0.3"/>
    <row r="412" ht="14.1" customHeight="1" x14ac:dyDescent="0.3"/>
    <row r="413" ht="14.1" customHeight="1" x14ac:dyDescent="0.3"/>
    <row r="414" ht="14.1" customHeight="1" x14ac:dyDescent="0.3"/>
    <row r="415" ht="14.1" customHeight="1" x14ac:dyDescent="0.3"/>
    <row r="416" ht="14.1" customHeight="1" x14ac:dyDescent="0.3"/>
    <row r="417" ht="14.1" customHeight="1" x14ac:dyDescent="0.3"/>
    <row r="418" ht="14.1" customHeight="1" x14ac:dyDescent="0.3"/>
    <row r="419" ht="14.1" customHeight="1" x14ac:dyDescent="0.3"/>
    <row r="420" ht="14.1" customHeight="1" x14ac:dyDescent="0.3"/>
    <row r="421" ht="14.1" customHeight="1" x14ac:dyDescent="0.3"/>
    <row r="422" ht="14.1" customHeight="1" x14ac:dyDescent="0.3"/>
    <row r="423" ht="14.1" customHeight="1" x14ac:dyDescent="0.3"/>
    <row r="424" ht="14.1" customHeight="1" x14ac:dyDescent="0.3"/>
    <row r="425" ht="14.1" customHeight="1" x14ac:dyDescent="0.3"/>
    <row r="426" ht="14.1" customHeight="1" x14ac:dyDescent="0.3"/>
    <row r="427" ht="14.1" customHeight="1" x14ac:dyDescent="0.3"/>
    <row r="428" ht="14.1" customHeight="1" x14ac:dyDescent="0.3"/>
    <row r="429" ht="14.1" customHeight="1" x14ac:dyDescent="0.3"/>
    <row r="430" ht="14.1" customHeight="1" x14ac:dyDescent="0.3"/>
    <row r="431" ht="14.1" customHeight="1" x14ac:dyDescent="0.3"/>
    <row r="432" ht="14.1" customHeight="1" x14ac:dyDescent="0.3"/>
    <row r="433" ht="14.1" customHeight="1" x14ac:dyDescent="0.3"/>
    <row r="434" ht="14.1" customHeight="1" x14ac:dyDescent="0.3"/>
    <row r="435" ht="14.1" customHeight="1" x14ac:dyDescent="0.3"/>
    <row r="436" ht="14.1" customHeight="1" x14ac:dyDescent="0.3"/>
    <row r="437" ht="14.1" customHeight="1" x14ac:dyDescent="0.3"/>
    <row r="438" ht="14.1" customHeight="1" x14ac:dyDescent="0.3"/>
    <row r="439" ht="14.1" customHeight="1" x14ac:dyDescent="0.3"/>
    <row r="440" ht="14.1" customHeight="1" x14ac:dyDescent="0.3"/>
    <row r="441" ht="14.1" customHeight="1" x14ac:dyDescent="0.3"/>
    <row r="442" ht="14.1" customHeight="1" x14ac:dyDescent="0.3"/>
    <row r="443" ht="14.1" customHeight="1" x14ac:dyDescent="0.3"/>
    <row r="444" ht="14.1" customHeight="1" x14ac:dyDescent="0.3"/>
    <row r="445" ht="14.1" customHeight="1" x14ac:dyDescent="0.3"/>
    <row r="446" ht="14.1" customHeight="1" x14ac:dyDescent="0.3"/>
    <row r="447" ht="14.1" customHeight="1" x14ac:dyDescent="0.3"/>
    <row r="448" ht="14.1" customHeight="1" x14ac:dyDescent="0.3"/>
    <row r="449" ht="14.1" customHeight="1" x14ac:dyDescent="0.3"/>
    <row r="450" ht="14.1" customHeight="1" x14ac:dyDescent="0.3"/>
    <row r="451" ht="14.1" customHeight="1" x14ac:dyDescent="0.3"/>
    <row r="452" ht="14.1" customHeight="1" x14ac:dyDescent="0.3"/>
    <row r="453" ht="14.1" customHeight="1" x14ac:dyDescent="0.3"/>
    <row r="454" ht="14.1" customHeight="1" x14ac:dyDescent="0.3"/>
    <row r="455" ht="14.1" customHeight="1" x14ac:dyDescent="0.3"/>
    <row r="456" ht="14.1" customHeight="1" x14ac:dyDescent="0.3"/>
    <row r="457" ht="14.1" customHeight="1" x14ac:dyDescent="0.3"/>
    <row r="458" ht="14.1" customHeight="1" x14ac:dyDescent="0.3"/>
    <row r="459" ht="14.1" customHeight="1" x14ac:dyDescent="0.3"/>
    <row r="460" ht="14.1" customHeight="1" x14ac:dyDescent="0.3"/>
    <row r="461" ht="14.1" customHeight="1" x14ac:dyDescent="0.3"/>
    <row r="462" ht="14.1" customHeight="1" x14ac:dyDescent="0.3"/>
    <row r="463" ht="14.1" customHeight="1" x14ac:dyDescent="0.3"/>
    <row r="464" ht="14.1" customHeight="1" x14ac:dyDescent="0.3"/>
    <row r="465" ht="14.1" customHeight="1" x14ac:dyDescent="0.3"/>
    <row r="466" ht="14.1" customHeight="1" x14ac:dyDescent="0.3"/>
    <row r="467" ht="14.1" customHeight="1" x14ac:dyDescent="0.3"/>
    <row r="468" ht="14.1" customHeight="1" x14ac:dyDescent="0.3"/>
    <row r="469" ht="14.1" customHeight="1" x14ac:dyDescent="0.3"/>
    <row r="470" ht="14.1" customHeight="1" x14ac:dyDescent="0.3"/>
    <row r="471" ht="14.1" customHeight="1" x14ac:dyDescent="0.3"/>
    <row r="472" ht="14.1" customHeight="1" x14ac:dyDescent="0.3"/>
    <row r="473" ht="14.1" customHeight="1" x14ac:dyDescent="0.3"/>
    <row r="474" ht="14.1" customHeight="1" x14ac:dyDescent="0.3"/>
    <row r="475" ht="14.1" customHeight="1" x14ac:dyDescent="0.3"/>
    <row r="476" ht="14.1" customHeight="1" x14ac:dyDescent="0.3"/>
    <row r="477" ht="14.1" customHeight="1" x14ac:dyDescent="0.3"/>
    <row r="478" ht="14.1" customHeight="1" x14ac:dyDescent="0.3"/>
    <row r="479" ht="14.1" customHeight="1" x14ac:dyDescent="0.3"/>
    <row r="480" ht="14.1" customHeight="1" x14ac:dyDescent="0.3"/>
    <row r="481" ht="14.1" customHeight="1" x14ac:dyDescent="0.3"/>
    <row r="482" ht="14.1" customHeight="1" x14ac:dyDescent="0.3"/>
    <row r="483" ht="14.1" customHeight="1" x14ac:dyDescent="0.3"/>
    <row r="484" ht="14.1" customHeight="1" x14ac:dyDescent="0.3"/>
    <row r="485" ht="14.1" customHeight="1" x14ac:dyDescent="0.3"/>
    <row r="486" ht="14.1" customHeight="1" x14ac:dyDescent="0.3"/>
    <row r="487" ht="14.1" customHeight="1" x14ac:dyDescent="0.3"/>
    <row r="488" ht="14.1" customHeight="1" x14ac:dyDescent="0.3"/>
    <row r="489" ht="14.1" customHeight="1" x14ac:dyDescent="0.3"/>
    <row r="490" ht="14.1" customHeight="1" x14ac:dyDescent="0.3"/>
    <row r="491" ht="14.1" customHeight="1" x14ac:dyDescent="0.3"/>
    <row r="492" ht="14.1" customHeight="1" x14ac:dyDescent="0.3"/>
    <row r="493" ht="14.1" customHeight="1" x14ac:dyDescent="0.3"/>
    <row r="494" ht="14.1" customHeight="1" x14ac:dyDescent="0.3"/>
    <row r="495" ht="14.1" customHeight="1" x14ac:dyDescent="0.3"/>
    <row r="496" ht="14.1" customHeight="1" x14ac:dyDescent="0.3"/>
    <row r="497" ht="14.1" customHeight="1" x14ac:dyDescent="0.3"/>
    <row r="498" ht="14.1" customHeight="1" x14ac:dyDescent="0.3"/>
    <row r="499" ht="14.1" customHeight="1" x14ac:dyDescent="0.3"/>
    <row r="500" ht="14.1" customHeight="1" x14ac:dyDescent="0.3"/>
    <row r="501" ht="14.1" customHeight="1" x14ac:dyDescent="0.3"/>
    <row r="502" ht="14.1" customHeight="1" x14ac:dyDescent="0.3"/>
    <row r="503" ht="14.1" customHeight="1" x14ac:dyDescent="0.3"/>
    <row r="504" ht="14.1" customHeight="1" x14ac:dyDescent="0.3"/>
    <row r="505" ht="14.1" customHeight="1" x14ac:dyDescent="0.3"/>
    <row r="506" ht="14.1" customHeight="1" x14ac:dyDescent="0.3"/>
    <row r="507" ht="14.1" customHeight="1" x14ac:dyDescent="0.3"/>
    <row r="508" ht="14.1" customHeight="1" x14ac:dyDescent="0.3"/>
    <row r="509" ht="14.1" customHeight="1" x14ac:dyDescent="0.3"/>
    <row r="510" ht="14.1" customHeight="1" x14ac:dyDescent="0.3"/>
    <row r="511" ht="14.1" customHeight="1" x14ac:dyDescent="0.3"/>
    <row r="512" ht="14.1" customHeight="1" x14ac:dyDescent="0.3"/>
    <row r="513" ht="14.1" customHeight="1" x14ac:dyDescent="0.3"/>
    <row r="514" ht="14.1" customHeight="1" x14ac:dyDescent="0.3"/>
    <row r="515" ht="14.1" customHeight="1" x14ac:dyDescent="0.3"/>
    <row r="516" ht="14.1" customHeight="1" x14ac:dyDescent="0.3"/>
    <row r="517" ht="14.1" customHeight="1" x14ac:dyDescent="0.3"/>
    <row r="518" ht="14.1" customHeight="1" x14ac:dyDescent="0.3"/>
    <row r="519" ht="14.1" customHeight="1" x14ac:dyDescent="0.3"/>
    <row r="520" ht="14.1" customHeight="1" x14ac:dyDescent="0.3"/>
    <row r="521" ht="14.1" customHeight="1" x14ac:dyDescent="0.3"/>
    <row r="522" ht="14.1" customHeight="1" x14ac:dyDescent="0.3"/>
    <row r="523" ht="14.1" customHeight="1" x14ac:dyDescent="0.3"/>
    <row r="524" ht="14.1" customHeight="1" x14ac:dyDescent="0.3"/>
    <row r="525" ht="14.1" customHeight="1" x14ac:dyDescent="0.3"/>
    <row r="526" ht="14.1" customHeight="1" x14ac:dyDescent="0.3"/>
    <row r="527" ht="14.1" customHeight="1" x14ac:dyDescent="0.3"/>
    <row r="528" ht="14.1" customHeight="1" x14ac:dyDescent="0.3"/>
    <row r="529" ht="14.1" customHeight="1" x14ac:dyDescent="0.3"/>
    <row r="530" ht="14.1" customHeight="1" x14ac:dyDescent="0.3"/>
    <row r="531" ht="14.1" customHeight="1" x14ac:dyDescent="0.3"/>
    <row r="532" ht="14.1" customHeight="1" x14ac:dyDescent="0.3"/>
    <row r="533" ht="14.1" customHeight="1" x14ac:dyDescent="0.3"/>
    <row r="534" ht="14.1" customHeight="1" x14ac:dyDescent="0.3"/>
    <row r="535" ht="14.1" customHeight="1" x14ac:dyDescent="0.3"/>
    <row r="536" ht="14.1" customHeight="1" x14ac:dyDescent="0.3"/>
    <row r="537" ht="14.1" customHeight="1" x14ac:dyDescent="0.3"/>
    <row r="538" ht="14.1" customHeight="1" x14ac:dyDescent="0.3"/>
    <row r="539" ht="14.1" customHeight="1" x14ac:dyDescent="0.3"/>
    <row r="540" ht="14.1" customHeight="1" x14ac:dyDescent="0.3"/>
    <row r="541" ht="14.1" customHeight="1" x14ac:dyDescent="0.3"/>
    <row r="542" ht="14.1" customHeight="1" x14ac:dyDescent="0.3"/>
    <row r="543" ht="14.1" customHeight="1" x14ac:dyDescent="0.3"/>
    <row r="544" ht="14.1" customHeight="1" x14ac:dyDescent="0.3"/>
    <row r="545" ht="14.1" customHeight="1" x14ac:dyDescent="0.3"/>
    <row r="546" ht="14.1" customHeight="1" x14ac:dyDescent="0.3"/>
    <row r="547" ht="14.1" customHeight="1" x14ac:dyDescent="0.3"/>
    <row r="548" ht="14.1" customHeight="1" x14ac:dyDescent="0.3"/>
    <row r="549" ht="14.1" customHeight="1" x14ac:dyDescent="0.3"/>
    <row r="550" ht="14.1" customHeight="1" x14ac:dyDescent="0.3"/>
    <row r="551" ht="14.1" customHeight="1" x14ac:dyDescent="0.3"/>
    <row r="552" ht="14.1" customHeight="1" x14ac:dyDescent="0.3"/>
    <row r="553" ht="14.1" customHeight="1" x14ac:dyDescent="0.3"/>
    <row r="554" ht="14.1" customHeight="1" x14ac:dyDescent="0.3"/>
    <row r="555" ht="14.1" customHeight="1" x14ac:dyDescent="0.3"/>
    <row r="556" ht="14.1" customHeight="1" x14ac:dyDescent="0.3"/>
    <row r="557" ht="14.1" customHeight="1" x14ac:dyDescent="0.3"/>
    <row r="558" ht="14.1" customHeight="1" x14ac:dyDescent="0.3"/>
    <row r="559" ht="14.1" customHeight="1" x14ac:dyDescent="0.3"/>
    <row r="560" ht="14.1" customHeight="1" x14ac:dyDescent="0.3"/>
    <row r="561" ht="14.1" customHeight="1" x14ac:dyDescent="0.3"/>
    <row r="562" ht="14.1" customHeight="1" x14ac:dyDescent="0.3"/>
    <row r="563" ht="14.1" customHeight="1" x14ac:dyDescent="0.3"/>
    <row r="564" ht="14.1" customHeight="1" x14ac:dyDescent="0.3"/>
    <row r="565" ht="14.1" customHeight="1" x14ac:dyDescent="0.3"/>
    <row r="566" ht="14.1" customHeight="1" x14ac:dyDescent="0.3"/>
    <row r="567" ht="14.1" customHeight="1" x14ac:dyDescent="0.3"/>
    <row r="568" ht="14.1" customHeight="1" x14ac:dyDescent="0.3"/>
    <row r="569" ht="14.1" customHeight="1" x14ac:dyDescent="0.3"/>
    <row r="570" ht="14.1" customHeight="1" x14ac:dyDescent="0.3"/>
    <row r="571" ht="14.1" customHeight="1" x14ac:dyDescent="0.3"/>
    <row r="572" ht="14.1" customHeight="1" x14ac:dyDescent="0.3"/>
    <row r="573" ht="14.1" customHeight="1" x14ac:dyDescent="0.3"/>
    <row r="574" ht="14.1" customHeight="1" x14ac:dyDescent="0.3"/>
    <row r="575" ht="14.1" customHeight="1" x14ac:dyDescent="0.3"/>
    <row r="576" ht="14.1" customHeight="1" x14ac:dyDescent="0.3"/>
    <row r="577" ht="14.1" customHeight="1" x14ac:dyDescent="0.3"/>
    <row r="578" ht="14.1" customHeight="1" x14ac:dyDescent="0.3"/>
    <row r="579" ht="14.1" customHeight="1" x14ac:dyDescent="0.3"/>
    <row r="580" ht="14.1" customHeight="1" x14ac:dyDescent="0.3"/>
    <row r="581" ht="14.1" customHeight="1" x14ac:dyDescent="0.3"/>
    <row r="582" ht="14.1" customHeight="1" x14ac:dyDescent="0.3"/>
    <row r="583" ht="14.1" customHeight="1" x14ac:dyDescent="0.3"/>
    <row r="584" ht="14.1" customHeight="1" x14ac:dyDescent="0.3"/>
    <row r="585" ht="14.1" customHeight="1" x14ac:dyDescent="0.3"/>
    <row r="586" ht="14.1" customHeight="1" x14ac:dyDescent="0.3"/>
    <row r="587" ht="14.1" customHeight="1" x14ac:dyDescent="0.3"/>
    <row r="588" ht="14.1" customHeight="1" x14ac:dyDescent="0.3"/>
    <row r="589" ht="14.1" customHeight="1" x14ac:dyDescent="0.3"/>
    <row r="590" ht="14.1" customHeight="1" x14ac:dyDescent="0.3"/>
    <row r="591" ht="14.1" customHeight="1" x14ac:dyDescent="0.3"/>
    <row r="592" ht="14.1" customHeight="1" x14ac:dyDescent="0.3"/>
    <row r="593" ht="14.1" customHeight="1" x14ac:dyDescent="0.3"/>
    <row r="594" ht="14.1" customHeight="1" x14ac:dyDescent="0.3"/>
    <row r="595" ht="14.1" customHeight="1" x14ac:dyDescent="0.3"/>
    <row r="596" ht="14.1" customHeight="1" x14ac:dyDescent="0.3"/>
    <row r="597" ht="14.1" customHeight="1" x14ac:dyDescent="0.3"/>
    <row r="598" ht="14.1" customHeight="1" x14ac:dyDescent="0.3"/>
    <row r="599" ht="14.1" customHeight="1" x14ac:dyDescent="0.3"/>
    <row r="600" ht="14.1" customHeight="1" x14ac:dyDescent="0.3"/>
    <row r="601" ht="14.1" customHeight="1" x14ac:dyDescent="0.3"/>
    <row r="602" ht="14.1" customHeight="1" x14ac:dyDescent="0.3"/>
    <row r="603" ht="14.1" customHeight="1" x14ac:dyDescent="0.3"/>
    <row r="604" ht="14.1" customHeight="1" x14ac:dyDescent="0.3"/>
    <row r="605" ht="14.1" customHeight="1" x14ac:dyDescent="0.3"/>
    <row r="606" ht="14.1" customHeight="1" x14ac:dyDescent="0.3"/>
    <row r="607" ht="14.1" customHeight="1" x14ac:dyDescent="0.3"/>
    <row r="608" ht="14.1" customHeight="1" x14ac:dyDescent="0.3"/>
    <row r="609" ht="14.1" customHeight="1" x14ac:dyDescent="0.3"/>
    <row r="610" ht="14.1" customHeight="1" x14ac:dyDescent="0.3"/>
    <row r="611" ht="14.1" customHeight="1" x14ac:dyDescent="0.3"/>
    <row r="612" ht="14.1" customHeight="1" x14ac:dyDescent="0.3"/>
    <row r="613" ht="14.1" customHeight="1" x14ac:dyDescent="0.3"/>
    <row r="614" ht="14.1" customHeight="1" x14ac:dyDescent="0.3"/>
    <row r="615" ht="14.1" customHeight="1" x14ac:dyDescent="0.3"/>
    <row r="616" ht="14.1" customHeight="1" x14ac:dyDescent="0.3"/>
    <row r="617" ht="14.1" customHeight="1" x14ac:dyDescent="0.3"/>
    <row r="618" ht="14.1" customHeight="1" x14ac:dyDescent="0.3"/>
    <row r="619" ht="14.1" customHeight="1" x14ac:dyDescent="0.3"/>
    <row r="620" ht="14.1" customHeight="1" x14ac:dyDescent="0.3"/>
    <row r="621" ht="14.1" customHeight="1" x14ac:dyDescent="0.3"/>
    <row r="622" ht="14.1" customHeight="1" x14ac:dyDescent="0.3"/>
    <row r="623" ht="14.1" customHeight="1" x14ac:dyDescent="0.3"/>
    <row r="624" ht="14.1" customHeight="1" x14ac:dyDescent="0.3"/>
    <row r="625" ht="14.1" customHeight="1" x14ac:dyDescent="0.3"/>
    <row r="626" ht="14.1" customHeight="1" x14ac:dyDescent="0.3"/>
    <row r="627" ht="14.1" customHeight="1" x14ac:dyDescent="0.3"/>
    <row r="628" ht="14.1" customHeight="1" x14ac:dyDescent="0.3"/>
    <row r="629" ht="14.1" customHeight="1" x14ac:dyDescent="0.3"/>
    <row r="630" ht="14.1" customHeight="1" x14ac:dyDescent="0.3"/>
    <row r="631" ht="14.1" customHeight="1" x14ac:dyDescent="0.3"/>
    <row r="632" ht="14.1" customHeight="1" x14ac:dyDescent="0.3"/>
    <row r="633" ht="14.1" customHeight="1" x14ac:dyDescent="0.3"/>
    <row r="634" ht="14.1" customHeight="1" x14ac:dyDescent="0.3"/>
    <row r="635" ht="14.1" customHeight="1" x14ac:dyDescent="0.3"/>
    <row r="636" ht="14.1" customHeight="1" x14ac:dyDescent="0.3"/>
    <row r="637" ht="14.1" customHeight="1" x14ac:dyDescent="0.3"/>
    <row r="638" ht="14.1" customHeight="1" x14ac:dyDescent="0.3"/>
    <row r="639" ht="14.1" customHeight="1" x14ac:dyDescent="0.3"/>
    <row r="640" ht="14.1" customHeight="1" x14ac:dyDescent="0.3"/>
    <row r="641" ht="14.1" customHeight="1" x14ac:dyDescent="0.3"/>
    <row r="642" ht="14.1" customHeight="1" x14ac:dyDescent="0.3"/>
    <row r="643" ht="14.1" customHeight="1" x14ac:dyDescent="0.3"/>
    <row r="644" ht="14.1" customHeight="1" x14ac:dyDescent="0.3"/>
    <row r="645" ht="14.1" customHeight="1" x14ac:dyDescent="0.3"/>
    <row r="646" ht="14.1" customHeight="1" x14ac:dyDescent="0.3"/>
    <row r="647" ht="14.1" customHeight="1" x14ac:dyDescent="0.3"/>
    <row r="648" ht="14.1" customHeight="1" x14ac:dyDescent="0.3"/>
    <row r="649" ht="14.1" customHeight="1" x14ac:dyDescent="0.3"/>
    <row r="650" ht="14.1" customHeight="1" x14ac:dyDescent="0.3"/>
    <row r="651" ht="14.1" customHeight="1" x14ac:dyDescent="0.3"/>
    <row r="652" ht="14.1" customHeight="1" x14ac:dyDescent="0.3"/>
    <row r="653" ht="14.1" customHeight="1" x14ac:dyDescent="0.3"/>
    <row r="654" ht="14.1" customHeight="1" x14ac:dyDescent="0.3"/>
    <row r="655" ht="14.1" customHeight="1" x14ac:dyDescent="0.3"/>
    <row r="656" ht="14.1" customHeight="1" x14ac:dyDescent="0.3"/>
    <row r="657" ht="14.1" customHeight="1" x14ac:dyDescent="0.3"/>
    <row r="658" ht="14.1" customHeight="1" x14ac:dyDescent="0.3"/>
    <row r="659" ht="14.1" customHeight="1" x14ac:dyDescent="0.3"/>
    <row r="660" ht="14.1" customHeight="1" x14ac:dyDescent="0.3"/>
    <row r="661" ht="14.1" customHeight="1" x14ac:dyDescent="0.3"/>
    <row r="662" ht="14.1" customHeight="1" x14ac:dyDescent="0.3"/>
    <row r="663" ht="14.1" customHeight="1" x14ac:dyDescent="0.3"/>
    <row r="664" ht="14.1" customHeight="1" x14ac:dyDescent="0.3"/>
    <row r="665" ht="14.1" customHeight="1" x14ac:dyDescent="0.3"/>
    <row r="666" ht="14.1" customHeight="1" x14ac:dyDescent="0.3"/>
    <row r="667" ht="14.1" customHeight="1" x14ac:dyDescent="0.3"/>
    <row r="668" ht="14.1" customHeight="1" x14ac:dyDescent="0.3"/>
    <row r="669" ht="14.1" customHeight="1" x14ac:dyDescent="0.3"/>
    <row r="670" ht="14.1" customHeight="1" x14ac:dyDescent="0.3"/>
    <row r="671" ht="14.1" customHeight="1" x14ac:dyDescent="0.3"/>
    <row r="672" ht="14.1" customHeight="1" x14ac:dyDescent="0.3"/>
    <row r="673" ht="14.1" customHeight="1" x14ac:dyDescent="0.3"/>
  </sheetData>
  <mergeCells count="14">
    <mergeCell ref="G4:G5"/>
    <mergeCell ref="W4:Z4"/>
    <mergeCell ref="AA4:AD4"/>
    <mergeCell ref="B4:B5"/>
    <mergeCell ref="C4:C5"/>
    <mergeCell ref="D4:D5"/>
    <mergeCell ref="E4:E5"/>
    <mergeCell ref="F4:F5"/>
    <mergeCell ref="H4:H5"/>
    <mergeCell ref="AF4:AI4"/>
    <mergeCell ref="AJ4:AM4"/>
    <mergeCell ref="I4:I5"/>
    <mergeCell ref="J4:O4"/>
    <mergeCell ref="P4:T4"/>
  </mergeCells>
  <phoneticPr fontId="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tabColor theme="8" tint="-0.499984740745262"/>
  </sheetPr>
  <dimension ref="B1:P40"/>
  <sheetViews>
    <sheetView showGridLines="0" zoomScale="85" zoomScaleNormal="85" workbookViewId="0">
      <selection activeCell="S25" sqref="S25"/>
    </sheetView>
  </sheetViews>
  <sheetFormatPr defaultRowHeight="13.5" customHeight="1" outlineLevelCol="1" x14ac:dyDescent="0.3"/>
  <cols>
    <col min="1" max="1" width="1.625" style="403" customWidth="1"/>
    <col min="2" max="2" width="18.625" style="403" customWidth="1"/>
    <col min="3" max="3" width="8.125" style="403" customWidth="1" outlineLevel="1"/>
    <col min="4" max="13" width="8.125" style="403" customWidth="1"/>
    <col min="14" max="14" width="9" style="403"/>
    <col min="15" max="15" width="13.625" style="403" customWidth="1"/>
    <col min="16" max="16384" width="9" style="403"/>
  </cols>
  <sheetData>
    <row r="1" spans="2:14" s="142" customFormat="1" ht="30" customHeight="1" x14ac:dyDescent="0.3">
      <c r="B1" s="58" t="str">
        <f>"Project"&amp;" "&amp;Title!L6</f>
        <v>Project IT</v>
      </c>
      <c r="C1" s="58"/>
      <c r="D1" s="58"/>
      <c r="E1" s="58"/>
      <c r="F1" s="58"/>
      <c r="G1" s="58"/>
      <c r="H1" s="59"/>
      <c r="I1" s="59"/>
      <c r="J1" s="59"/>
      <c r="K1" s="59"/>
      <c r="L1" s="59"/>
      <c r="M1" s="59"/>
      <c r="N1" s="61" t="str">
        <f>Des!C12</f>
        <v>DRAFT - For Discussion Purposes Only</v>
      </c>
    </row>
    <row r="2" spans="2:14" s="142" customFormat="1" ht="20.100000000000001" customHeight="1" x14ac:dyDescent="0.3">
      <c r="B2" s="138" t="s">
        <v>145</v>
      </c>
      <c r="C2" s="138"/>
      <c r="D2" s="138"/>
      <c r="E2" s="138"/>
      <c r="F2" s="138"/>
      <c r="G2" s="138"/>
      <c r="H2" s="138"/>
      <c r="I2" s="138"/>
      <c r="J2" s="138"/>
      <c r="K2" s="138"/>
      <c r="L2" s="138"/>
      <c r="M2" s="138"/>
      <c r="N2" s="138"/>
    </row>
    <row r="3" spans="2:14" s="142" customFormat="1" ht="14.1" customHeight="1" x14ac:dyDescent="0.3"/>
    <row r="4" spans="2:14" ht="13.5" customHeight="1" x14ac:dyDescent="0.3">
      <c r="B4" s="834" t="s">
        <v>104</v>
      </c>
      <c r="C4" s="838"/>
      <c r="D4" s="841" t="s">
        <v>105</v>
      </c>
      <c r="E4" s="841"/>
      <c r="F4" s="841"/>
      <c r="G4" s="841"/>
      <c r="H4" s="842" t="s">
        <v>106</v>
      </c>
      <c r="I4" s="843"/>
      <c r="J4" s="843"/>
      <c r="K4" s="843"/>
      <c r="L4" s="843"/>
      <c r="M4" s="843"/>
      <c r="N4" s="844"/>
    </row>
    <row r="5" spans="2:14" ht="13.5" customHeight="1" x14ac:dyDescent="0.3">
      <c r="B5" s="767" t="str">
        <f>unit</f>
        <v>KRW Millions</v>
      </c>
      <c r="C5" s="768"/>
      <c r="D5" s="769">
        <f>'Pro forma'!E5</f>
        <v>2012</v>
      </c>
      <c r="E5" s="769">
        <f>'Pro forma'!F5</f>
        <v>2013</v>
      </c>
      <c r="F5" s="769">
        <f>'Pro forma'!G5</f>
        <v>2014</v>
      </c>
      <c r="G5" s="769" t="str">
        <f>'Pro forma'!H5</f>
        <v>2015/12A</v>
      </c>
      <c r="H5" s="770" t="str">
        <f>'Pro forma'!I5</f>
        <v>2015/0E</v>
      </c>
      <c r="I5" s="771">
        <f>'Pro forma'!K5</f>
        <v>2016</v>
      </c>
      <c r="J5" s="771">
        <f>'Pro forma'!L5</f>
        <v>2017</v>
      </c>
      <c r="K5" s="771">
        <f>'Pro forma'!M5</f>
        <v>2018</v>
      </c>
      <c r="L5" s="771">
        <f>'Pro forma'!N5</f>
        <v>2019</v>
      </c>
      <c r="M5" s="771">
        <f>'Pro forma'!O5</f>
        <v>2020</v>
      </c>
      <c r="N5" s="772" t="s">
        <v>91</v>
      </c>
    </row>
    <row r="6" spans="2:14" s="294" customFormat="1" ht="13.5" customHeight="1" x14ac:dyDescent="0.3">
      <c r="B6" s="615" t="s">
        <v>98</v>
      </c>
      <c r="C6" s="616"/>
      <c r="D6" s="617">
        <f>'Pro forma'!E6</f>
        <v>182279.26657199999</v>
      </c>
      <c r="E6" s="617">
        <f>'Pro forma'!F6</f>
        <v>211683.36859699996</v>
      </c>
      <c r="F6" s="617">
        <f>'Pro forma'!G6</f>
        <v>251810.747072</v>
      </c>
      <c r="G6" s="617">
        <f>'Pro forma'!H6</f>
        <v>214888.123487</v>
      </c>
      <c r="H6" s="652"/>
      <c r="I6" s="617">
        <f>'Pro forma'!K6</f>
        <v>247657.65104010326</v>
      </c>
      <c r="J6" s="617">
        <f>'Pro forma'!L6</f>
        <v>256222.02504382611</v>
      </c>
      <c r="K6" s="617">
        <f>'Pro forma'!M6</f>
        <v>265319.19037349237</v>
      </c>
      <c r="L6" s="618">
        <f>'Pro forma'!N6</f>
        <v>274730.70385192439</v>
      </c>
      <c r="M6" s="618">
        <f>'Pro forma'!O6</f>
        <v>284669.53021891415</v>
      </c>
      <c r="N6" s="619">
        <f>M6*(1+$C$24)</f>
        <v>284669.53021891415</v>
      </c>
    </row>
    <row r="7" spans="2:14" ht="13.5" customHeight="1" x14ac:dyDescent="0.3">
      <c r="B7" s="620" t="s">
        <v>72</v>
      </c>
      <c r="C7" s="295"/>
      <c r="D7" s="335">
        <f>'Pro forma'!E9</f>
        <v>165640.95678199999</v>
      </c>
      <c r="E7" s="335">
        <f>'Pro forma'!F9</f>
        <v>194029.19071600001</v>
      </c>
      <c r="F7" s="335">
        <f>'Pro forma'!G9</f>
        <v>233681.982112</v>
      </c>
      <c r="G7" s="335">
        <f ca="1">'Pro forma'!H9</f>
        <v>193423.41107566666</v>
      </c>
      <c r="H7" s="654"/>
      <c r="I7" s="335">
        <f ca="1">'Pro forma'!K9</f>
        <v>225185.41900383399</v>
      </c>
      <c r="J7" s="335">
        <f ca="1">'Pro forma'!L9</f>
        <v>233133.6254357842</v>
      </c>
      <c r="K7" s="335">
        <f ca="1">'Pro forma'!M9</f>
        <v>241478.05395453639</v>
      </c>
      <c r="L7" s="336">
        <f ca="1">'Pro forma'!N9</f>
        <v>250207.64864942932</v>
      </c>
      <c r="M7" s="336">
        <f ca="1">'Pro forma'!O9</f>
        <v>259472.67973348708</v>
      </c>
      <c r="N7" s="621">
        <f ca="1">M7*(1+$C$24)</f>
        <v>259472.67973348708</v>
      </c>
    </row>
    <row r="8" spans="2:14" s="294" customFormat="1" ht="13.5" customHeight="1" x14ac:dyDescent="0.3">
      <c r="B8" s="620" t="s">
        <v>114</v>
      </c>
      <c r="C8" s="295"/>
      <c r="D8" s="335">
        <f t="shared" ref="D8:L8" si="0">D6-D7</f>
        <v>16638.309789999999</v>
      </c>
      <c r="E8" s="335">
        <f t="shared" si="0"/>
        <v>17654.177880999952</v>
      </c>
      <c r="F8" s="335">
        <f t="shared" si="0"/>
        <v>18128.76496</v>
      </c>
      <c r="G8" s="335">
        <f t="shared" ca="1" si="0"/>
        <v>21464.712411333341</v>
      </c>
      <c r="H8" s="654"/>
      <c r="I8" s="335">
        <f t="shared" ca="1" si="0"/>
        <v>22472.23203626927</v>
      </c>
      <c r="J8" s="335">
        <f t="shared" ca="1" si="0"/>
        <v>23088.399608041917</v>
      </c>
      <c r="K8" s="335">
        <f t="shared" ca="1" si="0"/>
        <v>23841.136418955983</v>
      </c>
      <c r="L8" s="336">
        <f t="shared" ca="1" si="0"/>
        <v>24523.055202495074</v>
      </c>
      <c r="M8" s="336">
        <f t="shared" ref="M8" ca="1" si="1">M6-M7</f>
        <v>25196.850485427072</v>
      </c>
      <c r="N8" s="621">
        <f ca="1">N6-N7</f>
        <v>25196.850485427072</v>
      </c>
    </row>
    <row r="9" spans="2:14" s="294" customFormat="1" ht="13.5" customHeight="1" x14ac:dyDescent="0.3">
      <c r="B9" s="620" t="s">
        <v>15</v>
      </c>
      <c r="C9" s="295"/>
      <c r="D9" s="335">
        <f>'Pro forma'!E17</f>
        <v>7996.366868000001</v>
      </c>
      <c r="E9" s="335">
        <f>'Pro forma'!F17</f>
        <v>8441.2134149999983</v>
      </c>
      <c r="F9" s="335">
        <f>'Pro forma'!G17</f>
        <v>8664.1024690000013</v>
      </c>
      <c r="G9" s="335">
        <f>'Pro forma'!H17</f>
        <v>11711.818204000001</v>
      </c>
      <c r="H9" s="654"/>
      <c r="I9" s="335">
        <f ca="1">'Pro forma'!K17</f>
        <v>11720.924428312621</v>
      </c>
      <c r="J9" s="335">
        <f ca="1">'Pro forma'!L17</f>
        <v>12255.522323782843</v>
      </c>
      <c r="K9" s="335">
        <f ca="1">'Pro forma'!M17</f>
        <v>12744.482040105331</v>
      </c>
      <c r="L9" s="336">
        <f ca="1">'Pro forma'!N17</f>
        <v>13187.061856378943</v>
      </c>
      <c r="M9" s="336">
        <f ca="1">'Pro forma'!O17</f>
        <v>13753.784975152757</v>
      </c>
      <c r="N9" s="621">
        <f ca="1">M9*(1+$C$24)</f>
        <v>13753.784975152757</v>
      </c>
    </row>
    <row r="10" spans="2:14" s="294" customFormat="1" ht="13.5" customHeight="1" x14ac:dyDescent="0.3">
      <c r="B10" s="620" t="s">
        <v>115</v>
      </c>
      <c r="C10" s="295"/>
      <c r="D10" s="336">
        <f>D8-D9</f>
        <v>8641.9429219999984</v>
      </c>
      <c r="E10" s="336">
        <f t="shared" ref="E10:L10" si="2">E8-E9</f>
        <v>9212.964465999954</v>
      </c>
      <c r="F10" s="336">
        <f t="shared" si="2"/>
        <v>9464.6624909999991</v>
      </c>
      <c r="G10" s="336">
        <f t="shared" ca="1" si="2"/>
        <v>9752.8942073333401</v>
      </c>
      <c r="H10" s="678"/>
      <c r="I10" s="335">
        <f t="shared" ca="1" si="2"/>
        <v>10751.307607956649</v>
      </c>
      <c r="J10" s="335">
        <f t="shared" ca="1" si="2"/>
        <v>10832.877284259073</v>
      </c>
      <c r="K10" s="335">
        <f t="shared" ca="1" si="2"/>
        <v>11096.654378850651</v>
      </c>
      <c r="L10" s="336">
        <f t="shared" ca="1" si="2"/>
        <v>11335.993346116131</v>
      </c>
      <c r="M10" s="336">
        <f t="shared" ref="M10" ca="1" si="3">M8-M9</f>
        <v>11443.065510274315</v>
      </c>
      <c r="N10" s="621">
        <f ca="1">N8-N9</f>
        <v>11443.065510274315</v>
      </c>
    </row>
    <row r="11" spans="2:14" ht="13.5" customHeight="1" x14ac:dyDescent="0.3">
      <c r="B11" s="620" t="s">
        <v>116</v>
      </c>
      <c r="C11" s="295"/>
      <c r="D11" s="335"/>
      <c r="E11" s="335"/>
      <c r="F11" s="335"/>
      <c r="G11" s="335"/>
      <c r="H11" s="654"/>
      <c r="I11" s="335">
        <f ca="1">IF(I10&gt;200,IF(I10&gt;20000,200*가정!$E$62+(20000-200)*가정!$E$65+(I10-20000)*가정!$E$68,200*가정!$E$62+(I10-200)*가정!$E$65),IF(I10&lt;0,0,I10*가정!$E$62))</f>
        <v>2343.287673750463</v>
      </c>
      <c r="J11" s="335">
        <f ca="1">IF(J10&gt;200,IF(J10&gt;20000,200*가정!$E$62+(20000-200)*가정!$E$65+(J10-20000)*가정!$E$68,200*가정!$E$62+(J10-200)*가정!$E$65),IF(J10&lt;0,0,J10*가정!$E$62))</f>
        <v>2361.2330025369961</v>
      </c>
      <c r="K11" s="335">
        <f ca="1">IF(K10&gt;200,IF(K10&gt;20000,200*가정!$E$62+(20000-200)*가정!$E$65+(K10-20000)*가정!$E$68,200*가정!$E$62+(K10-200)*가정!$E$65),IF(K10&lt;0,0,K10*가정!$E$62))</f>
        <v>2419.2639633471435</v>
      </c>
      <c r="L11" s="336">
        <f ca="1">IF(L10&gt;200,IF(L10&gt;20000,200*가정!$E$62+(20000-200)*가정!$E$65+(L10-20000)*가정!$E$68,200*가정!$E$62+(L10-200)*가정!$E$65),IF(L10&lt;0,0,L10*가정!$E$62))</f>
        <v>2471.9185361455488</v>
      </c>
      <c r="M11" s="336">
        <f ca="1">IF(M10&gt;200,IF(M10&gt;20000,200*가정!$E$62+(20000-200)*가정!$E$65+(M10-20000)*가정!$E$68,200*가정!$E$62+(M10-200)*가정!$E$65),IF(M10&lt;0,0,M10*가정!$E$62))</f>
        <v>2495.4744122603493</v>
      </c>
      <c r="N11" s="621">
        <f ca="1">IF(N10&gt;200,IF(N10&gt;20000,200*가정!$E$62+(20000-200)*가정!$E$65+(N10-20000)*가정!$E$68,200*가정!$E$62+(N10-200)*가정!$E$65),IF(N10&lt;0,0,N10*가정!$E$62))</f>
        <v>2495.4744122603493</v>
      </c>
    </row>
    <row r="12" spans="2:14" s="294" customFormat="1" ht="13.5" customHeight="1" x14ac:dyDescent="0.3">
      <c r="B12" s="622" t="s">
        <v>111</v>
      </c>
      <c r="C12" s="297"/>
      <c r="D12" s="337"/>
      <c r="E12" s="337"/>
      <c r="F12" s="337"/>
      <c r="G12" s="337"/>
      <c r="H12" s="656"/>
      <c r="I12" s="337">
        <f t="shared" ref="I12:L12" ca="1" si="4">I10-I11</f>
        <v>8408.019934206186</v>
      </c>
      <c r="J12" s="337">
        <f t="shared" ca="1" si="4"/>
        <v>8471.6442817220777</v>
      </c>
      <c r="K12" s="337">
        <f t="shared" ca="1" si="4"/>
        <v>8677.3904155035088</v>
      </c>
      <c r="L12" s="338">
        <f t="shared" ca="1" si="4"/>
        <v>8864.0748099705816</v>
      </c>
      <c r="M12" s="338">
        <f t="shared" ref="M12" ca="1" si="5">M10-M11</f>
        <v>8947.5910980139652</v>
      </c>
      <c r="N12" s="623">
        <f ca="1">N10-N11</f>
        <v>8947.5910980139652</v>
      </c>
    </row>
    <row r="13" spans="2:14" ht="13.5" customHeight="1" x14ac:dyDescent="0.3">
      <c r="B13" s="584" t="s">
        <v>123</v>
      </c>
      <c r="C13" s="298"/>
      <c r="D13" s="293"/>
      <c r="E13" s="296"/>
      <c r="F13" s="296"/>
      <c r="G13" s="296"/>
      <c r="H13" s="654"/>
      <c r="I13" s="335">
        <f ca="1">'CapEx&amp;Dep'!K7</f>
        <v>945.31831839551023</v>
      </c>
      <c r="J13" s="335">
        <f ca="1">'CapEx&amp;Dep'!L7</f>
        <v>1265.9716052721842</v>
      </c>
      <c r="K13" s="335">
        <f ca="1">'CapEx&amp;Dep'!M7</f>
        <v>1562.79735897463</v>
      </c>
      <c r="L13" s="336">
        <f ca="1">'CapEx&amp;Dep'!N7</f>
        <v>1823.8785111966024</v>
      </c>
      <c r="M13" s="336">
        <f ca="1">'CapEx&amp;Dep'!O7</f>
        <v>2179.7867802560522</v>
      </c>
      <c r="N13" s="625" t="s">
        <v>112</v>
      </c>
    </row>
    <row r="14" spans="2:14" ht="13.5" customHeight="1" x14ac:dyDescent="0.3">
      <c r="B14" s="584" t="s">
        <v>124</v>
      </c>
      <c r="C14" s="298"/>
      <c r="D14" s="291"/>
      <c r="E14" s="271"/>
      <c r="F14" s="271"/>
      <c r="G14" s="271"/>
      <c r="H14" s="678"/>
      <c r="I14" s="336">
        <f ca="1">WC!K19</f>
        <v>-6765.641765562872</v>
      </c>
      <c r="J14" s="336">
        <f ca="1">WC!L19</f>
        <v>388.93767043378466</v>
      </c>
      <c r="K14" s="336">
        <f ca="1">WC!M19</f>
        <v>416.56030821434979</v>
      </c>
      <c r="L14" s="336">
        <f ca="1">WC!N19</f>
        <v>409.05387091101875</v>
      </c>
      <c r="M14" s="336">
        <f ca="1">WC!O19</f>
        <v>421.45988499793748</v>
      </c>
      <c r="N14" s="626">
        <f ca="1">WC!P19</f>
        <v>421.45988499793748</v>
      </c>
    </row>
    <row r="15" spans="2:14" ht="13.5" customHeight="1" x14ac:dyDescent="0.3">
      <c r="B15" s="911" t="s">
        <v>125</v>
      </c>
      <c r="C15" s="299"/>
      <c r="D15" s="293"/>
      <c r="E15" s="296"/>
      <c r="F15" s="296"/>
      <c r="G15" s="296"/>
      <c r="H15" s="654"/>
      <c r="I15" s="335">
        <f>'CapEx&amp;Dep'!K6</f>
        <v>1048.6801140523455</v>
      </c>
      <c r="J15" s="335">
        <f>'CapEx&amp;Dep'!L6</f>
        <v>1084.9450494148984</v>
      </c>
      <c r="K15" s="335">
        <f>'CapEx&amp;Dep'!M6</f>
        <v>1123.4660332625674</v>
      </c>
      <c r="L15" s="336">
        <f>'CapEx&amp;Dep'!N6</f>
        <v>1163.3180910791421</v>
      </c>
      <c r="M15" s="336">
        <f>'CapEx&amp;Dep'!O6</f>
        <v>1205.4029995174992</v>
      </c>
      <c r="N15" s="625" t="s">
        <v>113</v>
      </c>
    </row>
    <row r="16" spans="2:14" s="294" customFormat="1" ht="13.5" customHeight="1" x14ac:dyDescent="0.3">
      <c r="B16" s="627" t="s">
        <v>16</v>
      </c>
      <c r="C16" s="628"/>
      <c r="D16" s="629"/>
      <c r="E16" s="630"/>
      <c r="F16" s="630"/>
      <c r="G16" s="630"/>
      <c r="H16" s="679"/>
      <c r="I16" s="631">
        <f t="shared" ref="I16:M16" ca="1" si="6">I12+I13-I14-I15</f>
        <v>15070.299904112222</v>
      </c>
      <c r="J16" s="631">
        <f t="shared" ca="1" si="6"/>
        <v>8263.7331671455795</v>
      </c>
      <c r="K16" s="631">
        <f t="shared" ca="1" si="6"/>
        <v>8700.1614330012217</v>
      </c>
      <c r="L16" s="632">
        <f t="shared" ca="1" si="6"/>
        <v>9115.5813591770238</v>
      </c>
      <c r="M16" s="632">
        <f t="shared" ca="1" si="6"/>
        <v>9500.5149937545812</v>
      </c>
      <c r="N16" s="633">
        <f ca="1">N12-N14</f>
        <v>8526.1312130160277</v>
      </c>
    </row>
    <row r="17" spans="2:16" ht="13.5" customHeight="1" x14ac:dyDescent="0.3">
      <c r="B17" s="615" t="s">
        <v>17</v>
      </c>
      <c r="C17" s="616"/>
      <c r="D17" s="912"/>
      <c r="E17" s="912"/>
      <c r="F17" s="912"/>
      <c r="G17" s="634"/>
      <c r="H17" s="680"/>
      <c r="I17" s="635">
        <f>ppf</f>
        <v>1.0027397260273974</v>
      </c>
      <c r="J17" s="635">
        <f>I17+1</f>
        <v>2.0027397260273974</v>
      </c>
      <c r="K17" s="635">
        <f>J17+1</f>
        <v>3.0027397260273974</v>
      </c>
      <c r="L17" s="635">
        <f>K17+1</f>
        <v>4.0027397260273974</v>
      </c>
      <c r="M17" s="635">
        <f>L17+1</f>
        <v>5.0027397260273974</v>
      </c>
      <c r="N17" s="636">
        <f>M17</f>
        <v>5.0027397260273974</v>
      </c>
    </row>
    <row r="18" spans="2:16" ht="13.5" customHeight="1" x14ac:dyDescent="0.3">
      <c r="B18" s="637" t="s">
        <v>18</v>
      </c>
      <c r="C18" s="401"/>
      <c r="D18" s="300"/>
      <c r="E18" s="300"/>
      <c r="F18" s="300"/>
      <c r="G18" s="301"/>
      <c r="H18" s="681"/>
      <c r="I18" s="526">
        <f t="shared" ref="I18:L18" si="7">1/(1+$C$25)^I17</f>
        <v>0.91637159746218</v>
      </c>
      <c r="J18" s="526">
        <f t="shared" si="7"/>
        <v>0.8399373028984235</v>
      </c>
      <c r="K18" s="526">
        <f t="shared" si="7"/>
        <v>0.76987837112596114</v>
      </c>
      <c r="L18" s="526">
        <f t="shared" si="7"/>
        <v>0.70566303494588556</v>
      </c>
      <c r="M18" s="526">
        <f t="shared" ref="M18" si="8">1/(1+$C$25)^M17</f>
        <v>0.6468038817102526</v>
      </c>
      <c r="N18" s="638">
        <f>1/(1+$C$25)^N17</f>
        <v>0.6468038817102526</v>
      </c>
    </row>
    <row r="19" spans="2:16" ht="13.5" customHeight="1" x14ac:dyDescent="0.3">
      <c r="B19" s="645" t="s">
        <v>19</v>
      </c>
      <c r="C19" s="646"/>
      <c r="D19" s="647"/>
      <c r="E19" s="647"/>
      <c r="F19" s="647"/>
      <c r="G19" s="648"/>
      <c r="H19" s="682"/>
      <c r="I19" s="649">
        <f t="shared" ref="I19:M19" ca="1" si="9">I16*I18</f>
        <v>13809.994797365454</v>
      </c>
      <c r="J19" s="649">
        <f t="shared" ca="1" si="9"/>
        <v>6941.0177482845047</v>
      </c>
      <c r="K19" s="649">
        <f t="shared" ca="1" si="9"/>
        <v>6698.066112571888</v>
      </c>
      <c r="L19" s="649">
        <f t="shared" ca="1" si="9"/>
        <v>6432.5288072129988</v>
      </c>
      <c r="M19" s="649">
        <f t="shared" ca="1" si="9"/>
        <v>6144.9699762069195</v>
      </c>
      <c r="N19" s="650">
        <f ca="1">N18*N16/(C25-C24)</f>
        <v>60601.480929117708</v>
      </c>
    </row>
    <row r="20" spans="2:16" ht="13.5" customHeight="1" x14ac:dyDescent="0.3">
      <c r="B20" s="637" t="s">
        <v>22</v>
      </c>
      <c r="C20" s="401"/>
      <c r="D20" s="293"/>
      <c r="E20" s="293"/>
      <c r="F20" s="293"/>
      <c r="G20" s="291"/>
      <c r="H20" s="2055"/>
      <c r="I20" s="336">
        <f ca="1">SUM(I19:M19)</f>
        <v>40026.57744164177</v>
      </c>
      <c r="J20" s="271"/>
      <c r="K20" s="271"/>
      <c r="L20" s="296"/>
      <c r="M20" s="296"/>
      <c r="N20" s="639"/>
    </row>
    <row r="21" spans="2:16" ht="13.5" customHeight="1" x14ac:dyDescent="0.3">
      <c r="B21" s="640" t="s">
        <v>20</v>
      </c>
      <c r="C21" s="641"/>
      <c r="D21" s="642"/>
      <c r="E21" s="642"/>
      <c r="F21" s="642"/>
      <c r="G21" s="642"/>
      <c r="H21" s="2056"/>
      <c r="I21" s="2054">
        <f ca="1">N19</f>
        <v>60601.480929117708</v>
      </c>
      <c r="J21" s="643"/>
      <c r="K21" s="643"/>
      <c r="L21" s="643"/>
      <c r="M21" s="643"/>
      <c r="N21" s="644"/>
    </row>
    <row r="22" spans="2:16" s="294" customFormat="1" ht="13.5" customHeight="1" thickBot="1" x14ac:dyDescent="0.35">
      <c r="B22" s="759" t="s">
        <v>162</v>
      </c>
      <c r="C22" s="760"/>
      <c r="D22" s="761"/>
      <c r="E22" s="761"/>
      <c r="F22" s="761"/>
      <c r="G22" s="761"/>
      <c r="H22" s="761"/>
      <c r="I22" s="762">
        <f ca="1">I20+I21</f>
        <v>100628.05837075948</v>
      </c>
      <c r="J22" s="763"/>
      <c r="K22" s="763"/>
      <c r="L22" s="763"/>
      <c r="M22" s="763"/>
      <c r="N22" s="764"/>
    </row>
    <row r="23" spans="2:16" ht="4.5" customHeight="1" x14ac:dyDescent="0.3"/>
    <row r="24" spans="2:16" ht="13.5" customHeight="1" x14ac:dyDescent="0.3">
      <c r="B24" s="846" t="s">
        <v>23</v>
      </c>
      <c r="C24" s="651">
        <f>g</f>
        <v>0</v>
      </c>
      <c r="D24" s="302"/>
      <c r="E24" s="302"/>
    </row>
    <row r="25" spans="2:16" ht="13.5" customHeight="1" x14ac:dyDescent="0.3">
      <c r="B25" s="847" t="s">
        <v>24</v>
      </c>
      <c r="C25" s="651">
        <f>wacc</f>
        <v>9.0999999999999998E-2</v>
      </c>
      <c r="D25" s="302"/>
    </row>
    <row r="27" spans="2:16" ht="13.5" customHeight="1" x14ac:dyDescent="0.3">
      <c r="B27" s="685" t="s">
        <v>25</v>
      </c>
      <c r="C27" s="685"/>
      <c r="D27" s="685"/>
      <c r="E27" s="685"/>
      <c r="F27" s="685"/>
      <c r="G27" s="685"/>
      <c r="H27" s="765"/>
      <c r="I27" s="686"/>
      <c r="J27" s="686"/>
      <c r="K27" s="686"/>
      <c r="L27" s="686"/>
      <c r="M27" s="686"/>
    </row>
    <row r="28" spans="2:16" ht="13.5" customHeight="1" x14ac:dyDescent="0.3">
      <c r="F28" s="334" t="str">
        <f>unit</f>
        <v>KRW Millions</v>
      </c>
      <c r="I28" s="401"/>
      <c r="J28" s="401"/>
      <c r="K28" s="401"/>
      <c r="L28" s="401"/>
      <c r="M28" s="401"/>
    </row>
    <row r="29" spans="2:16" ht="13.5" customHeight="1" x14ac:dyDescent="0.3">
      <c r="B29" s="2133" t="s">
        <v>26</v>
      </c>
      <c r="C29" s="2134"/>
      <c r="D29" s="683" t="s">
        <v>27</v>
      </c>
      <c r="E29" s="683"/>
      <c r="F29" s="684"/>
      <c r="H29" s="113"/>
      <c r="I29" s="674" t="s">
        <v>23</v>
      </c>
      <c r="J29" s="674"/>
      <c r="K29" s="674"/>
      <c r="L29" s="674"/>
      <c r="M29" s="674"/>
    </row>
    <row r="30" spans="2:16" ht="13.5" customHeight="1" x14ac:dyDescent="0.3">
      <c r="B30" s="2135"/>
      <c r="C30" s="2136"/>
      <c r="D30" s="896" t="s">
        <v>31</v>
      </c>
      <c r="E30" s="896" t="s">
        <v>28</v>
      </c>
      <c r="F30" s="897" t="s">
        <v>32</v>
      </c>
      <c r="H30" s="304">
        <f ca="1">I22</f>
        <v>100628.05837075948</v>
      </c>
      <c r="I30" s="305">
        <f>J30-CHOOSE($O$33,$P$32,$P$33)</f>
        <v>-0.02</v>
      </c>
      <c r="J30" s="305">
        <f>K30-CHOOSE($O$33,$P$32,$P$33)</f>
        <v>-0.01</v>
      </c>
      <c r="K30" s="306">
        <f>g</f>
        <v>0</v>
      </c>
      <c r="L30" s="305">
        <f>K30+CHOOSE($O$33,$P$32,$P$33)</f>
        <v>0.01</v>
      </c>
      <c r="M30" s="305">
        <f>L30+CHOOSE($O$33,$P$32,$P$33)</f>
        <v>0.02</v>
      </c>
    </row>
    <row r="31" spans="2:16" ht="13.5" customHeight="1" x14ac:dyDescent="0.3">
      <c r="B31" s="658" t="s">
        <v>21</v>
      </c>
      <c r="C31" s="659"/>
      <c r="D31" s="652">
        <f>J34</f>
        <v>86804.574615981313</v>
      </c>
      <c r="E31" s="617">
        <f>K33</f>
        <v>100628.05837075948</v>
      </c>
      <c r="F31" s="653">
        <f>L32</f>
        <v>121908.79341122459</v>
      </c>
      <c r="H31" s="305">
        <f>H32-CHOOSE($O$33,$P$32,$P$33)</f>
        <v>7.1000000000000008E-2</v>
      </c>
      <c r="I31" s="666">
        <f t="dataTable" ref="I31:M35" dt2D="1" dtr="1" r1="C24" r2="C25" ca="1"/>
        <v>109198.7094626091</v>
      </c>
      <c r="J31" s="667">
        <v>117099.19852632207</v>
      </c>
      <c r="K31" s="667">
        <v>127225.17746713737</v>
      </c>
      <c r="L31" s="667">
        <v>140671.14950330195</v>
      </c>
      <c r="M31" s="672">
        <v>159390.05174972705</v>
      </c>
    </row>
    <row r="32" spans="2:16" ht="13.5" customHeight="1" x14ac:dyDescent="0.3">
      <c r="B32" s="620" t="s">
        <v>129</v>
      </c>
      <c r="C32" s="660"/>
      <c r="D32" s="654"/>
      <c r="E32" s="336">
        <f>'NOA&amp;IBD'!E13</f>
        <v>16984.526109999999</v>
      </c>
      <c r="F32" s="655"/>
      <c r="H32" s="305">
        <f>H33-CHOOSE($O$33,$P$32,$P$33)</f>
        <v>8.1000000000000003E-2</v>
      </c>
      <c r="I32" s="668">
        <v>98780.247293602035</v>
      </c>
      <c r="J32" s="666">
        <v>104795.36368316683</v>
      </c>
      <c r="K32" s="667">
        <v>112295.69399608103</v>
      </c>
      <c r="L32" s="796">
        <v>121908.79341122459</v>
      </c>
      <c r="M32" s="669">
        <v>134673.72870018563</v>
      </c>
      <c r="O32" s="294" t="s">
        <v>1148</v>
      </c>
      <c r="P32" s="675">
        <v>5.0000000000000001E-3</v>
      </c>
    </row>
    <row r="33" spans="2:16" ht="13.5" customHeight="1" x14ac:dyDescent="0.3">
      <c r="B33" s="620" t="s">
        <v>29</v>
      </c>
      <c r="C33" s="660"/>
      <c r="D33" s="654">
        <f>D31+$E$32</f>
        <v>103789.10072598132</v>
      </c>
      <c r="E33" s="335">
        <f>E31+$E$32</f>
        <v>117612.58448075948</v>
      </c>
      <c r="F33" s="655">
        <f>F31+$E$32</f>
        <v>138893.31952122459</v>
      </c>
      <c r="H33" s="306">
        <f>wacc</f>
        <v>9.0999999999999998E-2</v>
      </c>
      <c r="I33" s="668">
        <v>90231.929758580314</v>
      </c>
      <c r="J33" s="668">
        <v>94915.334232383786</v>
      </c>
      <c r="K33" s="797">
        <v>100628.05837075948</v>
      </c>
      <c r="L33" s="669">
        <v>107751.33167910448</v>
      </c>
      <c r="M33" s="669">
        <v>116881.16084895507</v>
      </c>
      <c r="O33" s="403">
        <v>2</v>
      </c>
      <c r="P33" s="676">
        <v>0.01</v>
      </c>
    </row>
    <row r="34" spans="2:16" ht="13.5" customHeight="1" x14ac:dyDescent="0.3">
      <c r="B34" s="620" t="s">
        <v>30</v>
      </c>
      <c r="C34" s="660"/>
      <c r="D34" s="654"/>
      <c r="E34" s="335">
        <f>'NOA&amp;IBD'!E20</f>
        <v>0</v>
      </c>
      <c r="F34" s="655"/>
      <c r="H34" s="305">
        <f>H33+CHOOSE($O$33,$P$32,$P$33)</f>
        <v>0.10099999999999999</v>
      </c>
      <c r="I34" s="668">
        <v>83090.36719768995</v>
      </c>
      <c r="J34" s="798">
        <v>86804.574615981313</v>
      </c>
      <c r="K34" s="670">
        <v>91254.268651756152</v>
      </c>
      <c r="L34" s="671">
        <v>96681.917420668324</v>
      </c>
      <c r="M34" s="669">
        <v>103449.72637943531</v>
      </c>
    </row>
    <row r="35" spans="2:16" ht="13.5" customHeight="1" x14ac:dyDescent="0.3">
      <c r="B35" s="1017" t="s">
        <v>166</v>
      </c>
      <c r="C35" s="1018"/>
      <c r="D35" s="1019"/>
      <c r="E35" s="1020"/>
      <c r="F35" s="1021"/>
      <c r="H35" s="305">
        <f>H34+CHOOSE($O$33,$P$32,$P$33)</f>
        <v>0.11099999999999999</v>
      </c>
      <c r="I35" s="673">
        <v>77033.644730062879</v>
      </c>
      <c r="J35" s="670">
        <v>80024.89076307787</v>
      </c>
      <c r="K35" s="670">
        <v>83555.100045284809</v>
      </c>
      <c r="L35" s="670">
        <v>87784.360670502996</v>
      </c>
      <c r="M35" s="671">
        <v>92943.129125439445</v>
      </c>
    </row>
    <row r="36" spans="2:16" ht="13.5" customHeight="1" x14ac:dyDescent="0.3">
      <c r="B36" s="661" t="s">
        <v>1000</v>
      </c>
      <c r="C36" s="662"/>
      <c r="D36" s="657">
        <f>D33-$E$34-$E$35</f>
        <v>103789.10072598132</v>
      </c>
      <c r="E36" s="632">
        <f>E33-$E$34-$E$35</f>
        <v>117612.58448075948</v>
      </c>
      <c r="F36" s="633">
        <f>F33-$E$34-$E$35</f>
        <v>138893.31952122459</v>
      </c>
    </row>
    <row r="37" spans="2:16" ht="13.5" customHeight="1" x14ac:dyDescent="0.3">
      <c r="B37" s="294"/>
    </row>
    <row r="38" spans="2:16" ht="13.5" customHeight="1" x14ac:dyDescent="0.3">
      <c r="B38" s="687" t="s">
        <v>167</v>
      </c>
      <c r="C38" s="688"/>
      <c r="D38" s="663"/>
      <c r="E38" s="664"/>
      <c r="F38" s="665"/>
    </row>
    <row r="40" spans="2:16" ht="13.5" customHeight="1" x14ac:dyDescent="0.3">
      <c r="E40" s="766"/>
    </row>
  </sheetData>
  <mergeCells count="1">
    <mergeCell ref="B29:C30"/>
  </mergeCells>
  <phoneticPr fontId="1" type="noConversion"/>
  <pageMargins left="0.7" right="0.7" top="0.75" bottom="0.75" header="0.3" footer="0.3"/>
  <ignoredErrors>
    <ignoredError sqref="D9 E9:G9 I9:L9" formula="1"/>
  </ignoredErrors>
  <drawing r:id="rId1"/>
  <legacyDrawing r:id="rId2"/>
  <mc:AlternateContent xmlns:mc="http://schemas.openxmlformats.org/markup-compatibility/2006">
    <mc:Choice Requires="x14">
      <controls>
        <mc:AlternateContent xmlns:mc="http://schemas.openxmlformats.org/markup-compatibility/2006">
          <mc:Choice Requires="x14">
            <control shapeId="411649" r:id="rId3" name="Drop Down 1">
              <controlPr defaultSize="0" autoLine="0" autoPict="0">
                <anchor moveWithCells="1">
                  <from>
                    <xdr:col>14</xdr:col>
                    <xdr:colOff>28575</xdr:colOff>
                    <xdr:row>32</xdr:row>
                    <xdr:rowOff>0</xdr:rowOff>
                  </from>
                  <to>
                    <xdr:col>15</xdr:col>
                    <xdr:colOff>0</xdr:colOff>
                    <xdr:row>32</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8" tint="-0.499984740745262"/>
    <pageSetUpPr fitToPage="1"/>
  </sheetPr>
  <dimension ref="B1:R40"/>
  <sheetViews>
    <sheetView showGridLines="0" zoomScale="85" zoomScaleNormal="85" workbookViewId="0">
      <selection activeCell="J15" sqref="J15"/>
    </sheetView>
  </sheetViews>
  <sheetFormatPr defaultRowHeight="13.5" customHeight="1" outlineLevelCol="1" x14ac:dyDescent="0.3"/>
  <cols>
    <col min="1" max="1" width="1.625" style="403" customWidth="1"/>
    <col min="2" max="2" width="13.625" style="403" customWidth="1"/>
    <col min="3" max="4" width="9" style="403" customWidth="1" outlineLevel="1"/>
    <col min="5" max="14" width="8.625" style="403" customWidth="1"/>
    <col min="15" max="15" width="9" style="403"/>
    <col min="16" max="16" width="12.375" style="403" bestFit="1" customWidth="1"/>
    <col min="17" max="17" width="11.875" style="403" bestFit="1" customWidth="1"/>
    <col min="18" max="18" width="14.875" style="403" bestFit="1" customWidth="1"/>
    <col min="19" max="16384" width="9" style="403"/>
  </cols>
  <sheetData>
    <row r="1" spans="2:18" customFormat="1" ht="30" customHeight="1" x14ac:dyDescent="0.3">
      <c r="B1" s="58" t="str">
        <f>"Project"&amp;" "&amp;Title!L6</f>
        <v>Project IT</v>
      </c>
      <c r="C1" s="59"/>
      <c r="D1" s="59"/>
      <c r="E1" s="59"/>
      <c r="F1" s="59"/>
      <c r="G1" s="59"/>
      <c r="H1" s="59"/>
      <c r="I1" s="59"/>
      <c r="J1" s="59"/>
      <c r="K1" s="59"/>
      <c r="L1" s="59"/>
      <c r="M1" s="59"/>
      <c r="N1" s="59"/>
      <c r="O1" s="61" t="str">
        <f>Des!C12</f>
        <v>DRAFT - For Discussion Purposes Only</v>
      </c>
    </row>
    <row r="2" spans="2:18" customFormat="1" ht="20.100000000000001" customHeight="1" x14ac:dyDescent="0.3">
      <c r="B2" s="138" t="s">
        <v>70</v>
      </c>
      <c r="C2" s="138"/>
      <c r="D2" s="138"/>
      <c r="E2" s="138"/>
      <c r="F2" s="138"/>
      <c r="G2" s="138"/>
      <c r="H2" s="138"/>
      <c r="I2" s="138"/>
      <c r="J2" s="138"/>
      <c r="K2" s="138"/>
      <c r="L2" s="138"/>
      <c r="M2" s="138"/>
      <c r="N2" s="138"/>
      <c r="O2" s="138"/>
    </row>
    <row r="3" spans="2:18" customFormat="1" ht="14.1" customHeight="1" x14ac:dyDescent="0.3">
      <c r="C3" s="130"/>
      <c r="D3" s="130"/>
      <c r="E3" s="130"/>
      <c r="F3" s="130"/>
      <c r="G3" s="130"/>
    </row>
    <row r="4" spans="2:18" ht="13.5" customHeight="1" x14ac:dyDescent="0.3">
      <c r="B4" s="834" t="s">
        <v>1149</v>
      </c>
      <c r="C4" s="835"/>
      <c r="D4" s="835"/>
      <c r="E4" s="835"/>
      <c r="F4" s="835"/>
      <c r="G4" s="835"/>
      <c r="H4" s="835"/>
      <c r="I4" s="835"/>
      <c r="J4" s="836"/>
      <c r="K4" s="835"/>
      <c r="L4" s="835"/>
      <c r="M4" s="835"/>
      <c r="N4" s="835"/>
      <c r="O4" s="837"/>
      <c r="P4" s="295"/>
    </row>
    <row r="5" spans="2:18" ht="13.5" customHeight="1" x14ac:dyDescent="0.3">
      <c r="B5" s="773" t="str">
        <f>unit</f>
        <v>KRW Millions</v>
      </c>
      <c r="C5" s="774">
        <f t="shared" ref="C5:D5" si="0">D5-1</f>
        <v>2010</v>
      </c>
      <c r="D5" s="774">
        <f t="shared" si="0"/>
        <v>2011</v>
      </c>
      <c r="E5" s="774">
        <f>F5-1</f>
        <v>2012</v>
      </c>
      <c r="F5" s="774">
        <f>G5-1</f>
        <v>2013</v>
      </c>
      <c r="G5" s="774">
        <f>J5-1</f>
        <v>2014</v>
      </c>
      <c r="H5" s="774" t="str">
        <f>YEAR(Des!$C$8)&amp;"/"&amp;MONTH(Des!$C$8)&amp;"A"</f>
        <v>2015/12A</v>
      </c>
      <c r="I5" s="774" t="str">
        <f>YEAR(Des!$C$8)&amp;"/"&amp;12-MONTH(Des!$C$8)&amp;"E"</f>
        <v>2015/0E</v>
      </c>
      <c r="J5" s="774">
        <f>YEAR(Des!C8)</f>
        <v>2015</v>
      </c>
      <c r="K5" s="776">
        <f>J5+1</f>
        <v>2016</v>
      </c>
      <c r="L5" s="776">
        <f>K5+1</f>
        <v>2017</v>
      </c>
      <c r="M5" s="776">
        <f>L5+1</f>
        <v>2018</v>
      </c>
      <c r="N5" s="776">
        <f>M5+1</f>
        <v>2019</v>
      </c>
      <c r="O5" s="777">
        <f>N5+1</f>
        <v>2020</v>
      </c>
      <c r="P5" s="295"/>
    </row>
    <row r="6" spans="2:18" s="294" customFormat="1" ht="13.5" customHeight="1" x14ac:dyDescent="0.3">
      <c r="B6" s="778" t="s">
        <v>131</v>
      </c>
      <c r="C6" s="779">
        <f>매출액!C6</f>
        <v>101202.82810300001</v>
      </c>
      <c r="D6" s="779">
        <f>매출액!D6</f>
        <v>120090.945248</v>
      </c>
      <c r="E6" s="779">
        <f>매출액!E6</f>
        <v>182279.26657199999</v>
      </c>
      <c r="F6" s="780">
        <f>매출액!F6</f>
        <v>211683.36859699996</v>
      </c>
      <c r="G6" s="779">
        <f>매출액!G6</f>
        <v>251810.747072</v>
      </c>
      <c r="H6" s="780">
        <f>매출액!H6</f>
        <v>214888.123487</v>
      </c>
      <c r="I6" s="780">
        <f>매출액!I6</f>
        <v>0</v>
      </c>
      <c r="J6" s="779">
        <f>매출액!J6</f>
        <v>214888.123487</v>
      </c>
      <c r="K6" s="779">
        <f>매출액!K6</f>
        <v>247657.65104010326</v>
      </c>
      <c r="L6" s="779">
        <f>매출액!L6</f>
        <v>256222.02504382611</v>
      </c>
      <c r="M6" s="779">
        <f>매출액!M6</f>
        <v>265319.19037349237</v>
      </c>
      <c r="N6" s="779">
        <f>매출액!N6</f>
        <v>274730.70385192439</v>
      </c>
      <c r="O6" s="781">
        <f>매출액!O6</f>
        <v>284669.53021891415</v>
      </c>
      <c r="P6" s="689"/>
      <c r="Q6" s="910"/>
      <c r="R6" s="910"/>
    </row>
    <row r="7" spans="2:18" s="330" customFormat="1" ht="13.5" customHeight="1" x14ac:dyDescent="0.3">
      <c r="B7" s="782" t="s">
        <v>132</v>
      </c>
      <c r="C7" s="260"/>
      <c r="D7" s="260">
        <f t="shared" ref="D7" si="1">D6/C6-1</f>
        <v>0.18663625808733775</v>
      </c>
      <c r="E7" s="260"/>
      <c r="F7" s="260">
        <f>F6/E6-1</f>
        <v>0.16131347562442278</v>
      </c>
      <c r="G7" s="260">
        <f>G6/F6-1</f>
        <v>0.18956320820552519</v>
      </c>
      <c r="H7" s="260" t="s">
        <v>92</v>
      </c>
      <c r="I7" s="260" t="s">
        <v>92</v>
      </c>
      <c r="J7" s="260">
        <f>J6/G6-1</f>
        <v>-0.14662846607751312</v>
      </c>
      <c r="K7" s="260">
        <f>K6/J6-1</f>
        <v>0.15249575928790549</v>
      </c>
      <c r="L7" s="260">
        <f>L6/K6-1</f>
        <v>3.4581503812842085E-2</v>
      </c>
      <c r="M7" s="260">
        <f>M6/L6-1</f>
        <v>3.5505009095569307E-2</v>
      </c>
      <c r="N7" s="260">
        <f>N6/M6-1</f>
        <v>3.5472418957646301E-2</v>
      </c>
      <c r="O7" s="783">
        <f>O6/N6-1</f>
        <v>3.6176613052855577E-2</v>
      </c>
    </row>
    <row r="8" spans="2:18" s="330" customFormat="1" ht="13.5" customHeight="1" x14ac:dyDescent="0.3">
      <c r="B8" s="782"/>
      <c r="C8" s="259"/>
      <c r="D8" s="259"/>
      <c r="E8" s="259"/>
      <c r="F8" s="260"/>
      <c r="G8" s="260"/>
      <c r="H8" s="260"/>
      <c r="I8" s="260"/>
      <c r="J8" s="260"/>
      <c r="K8" s="260"/>
      <c r="L8" s="260"/>
      <c r="M8" s="260"/>
      <c r="N8" s="260"/>
      <c r="O8" s="783"/>
    </row>
    <row r="9" spans="2:18" s="294" customFormat="1" ht="13.5" customHeight="1" x14ac:dyDescent="0.3">
      <c r="B9" s="784" t="s">
        <v>72</v>
      </c>
      <c r="C9" s="246">
        <f>매출원가!C6</f>
        <v>86101.882786000002</v>
      </c>
      <c r="D9" s="246">
        <f>매출원가!D6</f>
        <v>106369.49906500001</v>
      </c>
      <c r="E9" s="246">
        <f>매출원가!E6</f>
        <v>165640.95678199999</v>
      </c>
      <c r="F9" s="246">
        <f>매출원가!F6</f>
        <v>194029.19071600001</v>
      </c>
      <c r="G9" s="246">
        <f>매출원가!G6</f>
        <v>233681.982112</v>
      </c>
      <c r="H9" s="246">
        <f ca="1">매출원가!H6</f>
        <v>193423.41107566666</v>
      </c>
      <c r="I9" s="246">
        <f>매출원가!I6</f>
        <v>0</v>
      </c>
      <c r="J9" s="246">
        <f ca="1">매출원가!J6</f>
        <v>193443.27590900002</v>
      </c>
      <c r="K9" s="246">
        <f ca="1">매출원가!K6</f>
        <v>225185.41900383399</v>
      </c>
      <c r="L9" s="246">
        <f ca="1">매출원가!L6</f>
        <v>233133.6254357842</v>
      </c>
      <c r="M9" s="246">
        <f ca="1">매출원가!M6</f>
        <v>241478.05395453639</v>
      </c>
      <c r="N9" s="246">
        <f ca="1">매출원가!N6</f>
        <v>250207.64864942932</v>
      </c>
      <c r="O9" s="785">
        <f ca="1">매출원가!O6</f>
        <v>259472.67973348708</v>
      </c>
      <c r="P9" s="329"/>
      <c r="Q9" s="1723"/>
    </row>
    <row r="10" spans="2:18" s="330" customFormat="1" ht="13.5" customHeight="1" x14ac:dyDescent="0.3">
      <c r="B10" s="782" t="s">
        <v>132</v>
      </c>
      <c r="C10" s="259"/>
      <c r="D10" s="259">
        <f t="shared" ref="D10" si="2">D9/C9-1</f>
        <v>0.23539109277521497</v>
      </c>
      <c r="E10" s="259"/>
      <c r="F10" s="259">
        <f>F9/E9-1</f>
        <v>0.17138414608025809</v>
      </c>
      <c r="G10" s="259">
        <f>G9/F9-1</f>
        <v>0.20436508161310463</v>
      </c>
      <c r="H10" s="259" t="s">
        <v>92</v>
      </c>
      <c r="I10" s="259" t="s">
        <v>92</v>
      </c>
      <c r="J10" s="259">
        <f ca="1">J9/G9-1</f>
        <v>-0.17219430372562583</v>
      </c>
      <c r="K10" s="259">
        <f ca="1">K9/J9-1</f>
        <v>0.16409018584738067</v>
      </c>
      <c r="L10" s="259">
        <f ca="1">L9/K9-1</f>
        <v>3.529627480816111E-2</v>
      </c>
      <c r="M10" s="260">
        <f ca="1">M9/L9-1</f>
        <v>3.5792470962326517E-2</v>
      </c>
      <c r="N10" s="260">
        <f ca="1">N9/M9-1</f>
        <v>3.615067519359938E-2</v>
      </c>
      <c r="O10" s="783">
        <f ca="1">O9/N9-1</f>
        <v>3.7029367943260505E-2</v>
      </c>
      <c r="Q10" s="1722"/>
      <c r="R10" s="1722"/>
    </row>
    <row r="11" spans="2:18" s="331" customFormat="1" ht="13.5" customHeight="1" x14ac:dyDescent="0.3">
      <c r="B11" s="786" t="s">
        <v>133</v>
      </c>
      <c r="C11" s="182">
        <f t="shared" ref="C11:D11" si="3">C9/C$6</f>
        <v>0.85078534266225347</v>
      </c>
      <c r="D11" s="182">
        <f t="shared" si="3"/>
        <v>0.88574120925883448</v>
      </c>
      <c r="E11" s="182">
        <f t="shared" ref="E11:M11" si="4">E9/E$6</f>
        <v>0.90872077717392008</v>
      </c>
      <c r="F11" s="209">
        <f t="shared" si="4"/>
        <v>0.91660101595128263</v>
      </c>
      <c r="G11" s="209">
        <f t="shared" si="4"/>
        <v>0.92800638904098698</v>
      </c>
      <c r="H11" s="209">
        <f t="shared" ca="1" si="4"/>
        <v>0.90011215109041665</v>
      </c>
      <c r="I11" s="209" t="e">
        <f t="shared" si="4"/>
        <v>#DIV/0!</v>
      </c>
      <c r="J11" s="209">
        <f t="shared" ca="1" si="4"/>
        <v>0.90020459376715012</v>
      </c>
      <c r="K11" s="209">
        <f t="shared" ca="1" si="4"/>
        <v>0.90926090132127457</v>
      </c>
      <c r="L11" s="209">
        <f t="shared" ca="1" si="4"/>
        <v>0.90988909090039116</v>
      </c>
      <c r="M11" s="182">
        <f t="shared" ca="1" si="4"/>
        <v>0.91014168109968008</v>
      </c>
      <c r="N11" s="182">
        <f t="shared" ref="N11" ca="1" si="5">N9/N$6</f>
        <v>0.91073784306353822</v>
      </c>
      <c r="O11" s="787">
        <f t="shared" ref="O11" ca="1" si="6">O9/O$6</f>
        <v>0.91148736408125453</v>
      </c>
    </row>
    <row r="12" spans="2:18" s="331" customFormat="1" ht="13.5" customHeight="1" x14ac:dyDescent="0.3">
      <c r="B12" s="786"/>
      <c r="C12" s="182"/>
      <c r="D12" s="182"/>
      <c r="E12" s="182"/>
      <c r="F12" s="209"/>
      <c r="G12" s="209"/>
      <c r="H12" s="209"/>
      <c r="I12" s="209"/>
      <c r="J12" s="209"/>
      <c r="K12" s="209"/>
      <c r="L12" s="209"/>
      <c r="M12" s="182"/>
      <c r="N12" s="182"/>
      <c r="O12" s="787"/>
      <c r="R12" s="1725"/>
    </row>
    <row r="13" spans="2:18" s="294" customFormat="1" ht="13.5" customHeight="1" x14ac:dyDescent="0.3">
      <c r="B13" s="788" t="s">
        <v>134</v>
      </c>
      <c r="C13" s="248">
        <f t="shared" ref="C13:D13" si="7">C6-C9</f>
        <v>15100.945317000005</v>
      </c>
      <c r="D13" s="248">
        <f t="shared" si="7"/>
        <v>13721.446182999993</v>
      </c>
      <c r="E13" s="248">
        <f t="shared" ref="E13:M13" si="8">E6-E9</f>
        <v>16638.309789999999</v>
      </c>
      <c r="F13" s="247">
        <f t="shared" si="8"/>
        <v>17654.177880999952</v>
      </c>
      <c r="G13" s="247">
        <f t="shared" si="8"/>
        <v>18128.76496</v>
      </c>
      <c r="H13" s="247">
        <f t="shared" ca="1" si="8"/>
        <v>21464.712411333341</v>
      </c>
      <c r="I13" s="247">
        <f t="shared" si="8"/>
        <v>0</v>
      </c>
      <c r="J13" s="247">
        <f t="shared" ca="1" si="8"/>
        <v>21444.847577999986</v>
      </c>
      <c r="K13" s="247">
        <f t="shared" ca="1" si="8"/>
        <v>22472.23203626927</v>
      </c>
      <c r="L13" s="247">
        <f t="shared" ca="1" si="8"/>
        <v>23088.399608041917</v>
      </c>
      <c r="M13" s="248">
        <f t="shared" ca="1" si="8"/>
        <v>23841.136418955983</v>
      </c>
      <c r="N13" s="248">
        <f t="shared" ref="N13" ca="1" si="9">N6-N9</f>
        <v>24523.055202495074</v>
      </c>
      <c r="O13" s="789">
        <f t="shared" ref="O13" ca="1" si="10">O6-O9</f>
        <v>25196.850485427072</v>
      </c>
      <c r="P13" s="329"/>
      <c r="Q13" s="329"/>
    </row>
    <row r="14" spans="2:18" s="330" customFormat="1" ht="13.5" customHeight="1" x14ac:dyDescent="0.3">
      <c r="B14" s="782" t="s">
        <v>132</v>
      </c>
      <c r="C14" s="260"/>
      <c r="D14" s="260">
        <f t="shared" ref="D14" si="11">D13/C13-1</f>
        <v>-9.1351839573051818E-2</v>
      </c>
      <c r="E14" s="260"/>
      <c r="F14" s="259">
        <f>F13/E13-1</f>
        <v>6.1055966851303101E-2</v>
      </c>
      <c r="G14" s="259">
        <f>G13/F13-1</f>
        <v>2.6882423084159335E-2</v>
      </c>
      <c r="H14" s="259" t="s">
        <v>92</v>
      </c>
      <c r="I14" s="259" t="s">
        <v>92</v>
      </c>
      <c r="J14" s="259">
        <f ca="1">J13/G13-1</f>
        <v>0.18291828623277517</v>
      </c>
      <c r="K14" s="259">
        <f ca="1">K13/J13-1</f>
        <v>4.7908219190294643E-2</v>
      </c>
      <c r="L14" s="259">
        <f ca="1">L13/K13-1</f>
        <v>2.7419064148954009E-2</v>
      </c>
      <c r="M14" s="260">
        <f ca="1">M13/L13-1</f>
        <v>3.2602381442318862E-2</v>
      </c>
      <c r="N14" s="260">
        <f ca="1">N13/M13-1</f>
        <v>2.8602612373666014E-2</v>
      </c>
      <c r="O14" s="783">
        <f ca="1">O13/N13-1</f>
        <v>2.7475992586088793E-2</v>
      </c>
    </row>
    <row r="15" spans="2:18" s="331" customFormat="1" ht="13.5" customHeight="1" x14ac:dyDescent="0.3">
      <c r="B15" s="786" t="s">
        <v>133</v>
      </c>
      <c r="C15" s="182">
        <f t="shared" ref="C15:D15" si="12">C13/C$6</f>
        <v>0.14921465733774647</v>
      </c>
      <c r="D15" s="182">
        <f t="shared" si="12"/>
        <v>0.11425879074116548</v>
      </c>
      <c r="E15" s="182">
        <f t="shared" ref="E15:M15" si="13">E13/E$6</f>
        <v>9.1279222826079864E-2</v>
      </c>
      <c r="F15" s="209">
        <f t="shared" si="13"/>
        <v>8.3398984048717331E-2</v>
      </c>
      <c r="G15" s="209">
        <f t="shared" si="13"/>
        <v>7.1993610959013049E-2</v>
      </c>
      <c r="H15" s="209">
        <f t="shared" ca="1" si="13"/>
        <v>9.9887848909583327E-2</v>
      </c>
      <c r="I15" s="209" t="e">
        <f>I13/I$6</f>
        <v>#DIV/0!</v>
      </c>
      <c r="J15" s="209">
        <f t="shared" ca="1" si="13"/>
        <v>9.9795406232849937E-2</v>
      </c>
      <c r="K15" s="209">
        <f t="shared" ca="1" si="13"/>
        <v>9.0739098678725399E-2</v>
      </c>
      <c r="L15" s="209">
        <f t="shared" ca="1" si="13"/>
        <v>9.0110909099608852E-2</v>
      </c>
      <c r="M15" s="182">
        <f t="shared" ca="1" si="13"/>
        <v>8.9858318900319978E-2</v>
      </c>
      <c r="N15" s="182">
        <f t="shared" ref="N15" ca="1" si="14">N13/N$6</f>
        <v>8.9262156936461751E-2</v>
      </c>
      <c r="O15" s="787">
        <f t="shared" ref="O15" ca="1" si="15">O13/O$6</f>
        <v>8.8512635918745516E-2</v>
      </c>
    </row>
    <row r="16" spans="2:18" s="331" customFormat="1" ht="13.5" customHeight="1" x14ac:dyDescent="0.3">
      <c r="B16" s="786"/>
      <c r="C16" s="182"/>
      <c r="D16" s="182"/>
      <c r="E16" s="182"/>
      <c r="F16" s="209"/>
      <c r="G16" s="209"/>
      <c r="H16" s="209"/>
      <c r="I16" s="209"/>
      <c r="J16" s="209"/>
      <c r="K16" s="209"/>
      <c r="L16" s="209"/>
      <c r="M16" s="182"/>
      <c r="N16" s="182"/>
      <c r="O16" s="787"/>
    </row>
    <row r="17" spans="2:17" s="294" customFormat="1" ht="13.5" customHeight="1" x14ac:dyDescent="0.3">
      <c r="B17" s="784" t="s">
        <v>15</v>
      </c>
      <c r="C17" s="246">
        <f>'SG&amp;A'!C6</f>
        <v>8937.6961709999996</v>
      </c>
      <c r="D17" s="246">
        <f>'SG&amp;A'!D6</f>
        <v>7198.3636840000008</v>
      </c>
      <c r="E17" s="246">
        <f>'SG&amp;A'!E6</f>
        <v>7996.366868000001</v>
      </c>
      <c r="F17" s="246">
        <f>'SG&amp;A'!F6</f>
        <v>8441.2134149999983</v>
      </c>
      <c r="G17" s="246">
        <f>'SG&amp;A'!G6</f>
        <v>8664.1024690000013</v>
      </c>
      <c r="H17" s="246">
        <f>'SG&amp;A'!H6</f>
        <v>11711.818204000001</v>
      </c>
      <c r="I17" s="246">
        <f ca="1">'SG&amp;A'!I6</f>
        <v>44.614311529166656</v>
      </c>
      <c r="J17" s="246">
        <f ca="1">'SG&amp;A'!J6</f>
        <v>11722.520795479168</v>
      </c>
      <c r="K17" s="246">
        <f ca="1">'SG&amp;A'!K6</f>
        <v>11720.924428312621</v>
      </c>
      <c r="L17" s="246">
        <f ca="1">'SG&amp;A'!L6</f>
        <v>12255.522323782843</v>
      </c>
      <c r="M17" s="246">
        <f ca="1">'SG&amp;A'!M6</f>
        <v>12744.482040105331</v>
      </c>
      <c r="N17" s="246">
        <f ca="1">'SG&amp;A'!N6</f>
        <v>13187.061856378943</v>
      </c>
      <c r="O17" s="785">
        <f ca="1">'SG&amp;A'!O6</f>
        <v>13753.784975152757</v>
      </c>
      <c r="P17" s="329"/>
      <c r="Q17" s="329"/>
    </row>
    <row r="18" spans="2:17" s="330" customFormat="1" ht="13.5" customHeight="1" x14ac:dyDescent="0.3">
      <c r="B18" s="782" t="s">
        <v>132</v>
      </c>
      <c r="C18" s="260"/>
      <c r="D18" s="260">
        <f t="shared" ref="D18" si="16">D17/C17-1</f>
        <v>-0.19460635646170021</v>
      </c>
      <c r="E18" s="260"/>
      <c r="F18" s="259">
        <f>F17/E17-1</f>
        <v>5.5631082758370143E-2</v>
      </c>
      <c r="G18" s="259">
        <f>G17/F17-1</f>
        <v>2.6404859472446196E-2</v>
      </c>
      <c r="H18" s="259" t="s">
        <v>92</v>
      </c>
      <c r="I18" s="259" t="s">
        <v>92</v>
      </c>
      <c r="J18" s="259">
        <f ca="1">J17/G17-1</f>
        <v>0.35299886369328282</v>
      </c>
      <c r="K18" s="259">
        <f ca="1">K17/J17-1</f>
        <v>-1.3617951244426774E-4</v>
      </c>
      <c r="L18" s="259">
        <f ca="1">L17/K17-1</f>
        <v>4.5610557319085476E-2</v>
      </c>
      <c r="M18" s="260">
        <f ca="1">M17/L17-1</f>
        <v>3.9897093196396893E-2</v>
      </c>
      <c r="N18" s="260">
        <f ca="1">N17/M17-1</f>
        <v>3.4727171718777372E-2</v>
      </c>
      <c r="O18" s="783">
        <f ca="1">O17/N17-1</f>
        <v>4.297569276204416E-2</v>
      </c>
    </row>
    <row r="19" spans="2:17" s="331" customFormat="1" ht="13.5" customHeight="1" x14ac:dyDescent="0.3">
      <c r="B19" s="786" t="s">
        <v>133</v>
      </c>
      <c r="C19" s="182" t="s">
        <v>92</v>
      </c>
      <c r="D19" s="182" t="s">
        <v>92</v>
      </c>
      <c r="E19" s="182">
        <f t="shared" ref="E19:M19" si="17">E17/E$6</f>
        <v>4.3868768063324688E-2</v>
      </c>
      <c r="F19" s="209">
        <f t="shared" si="17"/>
        <v>3.9876601883968833E-2</v>
      </c>
      <c r="G19" s="209">
        <f t="shared" si="17"/>
        <v>3.4407198937075882E-2</v>
      </c>
      <c r="H19" s="209">
        <f t="shared" si="17"/>
        <v>5.4501933443094758E-2</v>
      </c>
      <c r="I19" s="209" t="e">
        <f t="shared" ca="1" si="17"/>
        <v>#DIV/0!</v>
      </c>
      <c r="J19" s="209">
        <f t="shared" ca="1" si="17"/>
        <v>5.4551738854885297E-2</v>
      </c>
      <c r="K19" s="209">
        <f ca="1">K17/K$6</f>
        <v>4.7327124274527857E-2</v>
      </c>
      <c r="L19" s="209">
        <f t="shared" ca="1" si="17"/>
        <v>4.7831650388707091E-2</v>
      </c>
      <c r="M19" s="182">
        <f t="shared" ca="1" si="17"/>
        <v>4.8034527853657333E-2</v>
      </c>
      <c r="N19" s="182">
        <f t="shared" ref="N19" ca="1" si="18">N17/N$6</f>
        <v>4.7999956581069168E-2</v>
      </c>
      <c r="O19" s="787">
        <f t="shared" ref="O19" ca="1" si="19">O17/O$6</f>
        <v>4.8314917878903088E-2</v>
      </c>
    </row>
    <row r="20" spans="2:17" s="331" customFormat="1" ht="13.5" customHeight="1" x14ac:dyDescent="0.3">
      <c r="B20" s="786"/>
      <c r="C20" s="182"/>
      <c r="D20" s="182"/>
      <c r="E20" s="182"/>
      <c r="F20" s="209"/>
      <c r="G20" s="209"/>
      <c r="H20" s="209"/>
      <c r="I20" s="209"/>
      <c r="J20" s="209"/>
      <c r="K20" s="209"/>
      <c r="L20" s="209"/>
      <c r="M20" s="182"/>
      <c r="N20" s="182"/>
      <c r="O20" s="787"/>
      <c r="Q20" s="1724"/>
    </row>
    <row r="21" spans="2:17" s="294" customFormat="1" ht="13.5" customHeight="1" x14ac:dyDescent="0.3">
      <c r="B21" s="788" t="s">
        <v>135</v>
      </c>
      <c r="C21" s="248">
        <f>C13-C17</f>
        <v>6163.2491460000056</v>
      </c>
      <c r="D21" s="248">
        <f t="shared" ref="D21:M21" si="20">D13-D17</f>
        <v>6523.0824989999919</v>
      </c>
      <c r="E21" s="248">
        <f t="shared" si="20"/>
        <v>8641.9429219999984</v>
      </c>
      <c r="F21" s="248">
        <f t="shared" si="20"/>
        <v>9212.964465999954</v>
      </c>
      <c r="G21" s="248">
        <f t="shared" si="20"/>
        <v>9464.6624909999991</v>
      </c>
      <c r="H21" s="248">
        <f t="shared" ca="1" si="20"/>
        <v>9752.8942073333401</v>
      </c>
      <c r="I21" s="248">
        <f t="shared" ca="1" si="20"/>
        <v>-44.614311529166656</v>
      </c>
      <c r="J21" s="248">
        <f t="shared" ca="1" si="20"/>
        <v>9722.3267825208186</v>
      </c>
      <c r="K21" s="248">
        <f t="shared" ca="1" si="20"/>
        <v>10751.307607956649</v>
      </c>
      <c r="L21" s="248">
        <f t="shared" ca="1" si="20"/>
        <v>10832.877284259073</v>
      </c>
      <c r="M21" s="248">
        <f t="shared" ca="1" si="20"/>
        <v>11096.654378850651</v>
      </c>
      <c r="N21" s="248">
        <f t="shared" ref="N21" ca="1" si="21">N13-N17</f>
        <v>11335.993346116131</v>
      </c>
      <c r="O21" s="789">
        <f t="shared" ref="O21" ca="1" si="22">O13-O17</f>
        <v>11443.065510274315</v>
      </c>
      <c r="P21" s="408"/>
    </row>
    <row r="22" spans="2:17" s="330" customFormat="1" ht="13.5" customHeight="1" x14ac:dyDescent="0.3">
      <c r="B22" s="782" t="s">
        <v>132</v>
      </c>
      <c r="C22" s="260"/>
      <c r="D22" s="260">
        <f t="shared" ref="D22" si="23">D21/C21-1</f>
        <v>5.8383710357307272E-2</v>
      </c>
      <c r="E22" s="260"/>
      <c r="F22" s="259">
        <f>F21/E21-1</f>
        <v>6.6075597716144685E-2</v>
      </c>
      <c r="G22" s="259">
        <f>G21/F21-1</f>
        <v>2.7319982176087443E-2</v>
      </c>
      <c r="H22" s="259" t="s">
        <v>92</v>
      </c>
      <c r="I22" s="259" t="s">
        <v>92</v>
      </c>
      <c r="J22" s="259">
        <f ca="1">J21/G21-1</f>
        <v>2.7223822483457116E-2</v>
      </c>
      <c r="K22" s="259">
        <f ca="1">K21/J21-1</f>
        <v>0.10583688950733205</v>
      </c>
      <c r="L22" s="259">
        <f ca="1">L21/K21-1</f>
        <v>7.5869540038142613E-3</v>
      </c>
      <c r="M22" s="260">
        <f ca="1">M21/L21-1</f>
        <v>2.434967992989856E-2</v>
      </c>
      <c r="N22" s="260">
        <f ca="1">N21/M21-1</f>
        <v>2.1568570047711066E-2</v>
      </c>
      <c r="O22" s="783">
        <f ca="1">O21/N21-1</f>
        <v>9.4453270118466381E-3</v>
      </c>
    </row>
    <row r="23" spans="2:17" s="331" customFormat="1" ht="13.5" customHeight="1" x14ac:dyDescent="0.3">
      <c r="B23" s="786" t="s">
        <v>133</v>
      </c>
      <c r="C23" s="182">
        <f t="shared" ref="C23:M23" si="24">C21/C$6</f>
        <v>6.0899969511991385E-2</v>
      </c>
      <c r="D23" s="182">
        <f t="shared" si="24"/>
        <v>5.4317854568711771E-2</v>
      </c>
      <c r="E23" s="182">
        <f t="shared" si="24"/>
        <v>4.7410454762755183E-2</v>
      </c>
      <c r="F23" s="209">
        <f t="shared" si="24"/>
        <v>4.3522382164748498E-2</v>
      </c>
      <c r="G23" s="209">
        <f t="shared" si="24"/>
        <v>3.7586412021937167E-2</v>
      </c>
      <c r="H23" s="209">
        <f t="shared" ca="1" si="24"/>
        <v>4.5385915466488576E-2</v>
      </c>
      <c r="I23" s="182" t="e">
        <f t="shared" ca="1" si="24"/>
        <v>#DIV/0!</v>
      </c>
      <c r="J23" s="182">
        <f t="shared" ca="1" si="24"/>
        <v>4.524366737796464E-2</v>
      </c>
      <c r="K23" s="182">
        <f t="shared" ca="1" si="24"/>
        <v>4.3411974404197542E-2</v>
      </c>
      <c r="L23" s="182">
        <f t="shared" ca="1" si="24"/>
        <v>4.2279258710901754E-2</v>
      </c>
      <c r="M23" s="182">
        <f t="shared" ca="1" si="24"/>
        <v>4.1823791046662645E-2</v>
      </c>
      <c r="N23" s="182">
        <f t="shared" ref="N23" ca="1" si="25">N21/N$6</f>
        <v>4.1262200355392589E-2</v>
      </c>
      <c r="O23" s="787">
        <f t="shared" ref="O23" ca="1" si="26">O21/O$6</f>
        <v>4.0197718039842428E-2</v>
      </c>
    </row>
    <row r="24" spans="2:17" s="331" customFormat="1" ht="13.5" customHeight="1" x14ac:dyDescent="0.3">
      <c r="B24" s="786"/>
      <c r="C24" s="182"/>
      <c r="D24" s="182"/>
      <c r="E24" s="182"/>
      <c r="F24" s="209"/>
      <c r="G24" s="209"/>
      <c r="H24" s="209"/>
      <c r="I24" s="182"/>
      <c r="J24" s="182"/>
      <c r="K24" s="182"/>
      <c r="L24" s="182"/>
      <c r="M24" s="182"/>
      <c r="N24" s="182"/>
      <c r="O24" s="787"/>
    </row>
    <row r="25" spans="2:17" ht="13.5" customHeight="1" x14ac:dyDescent="0.3">
      <c r="B25" s="784" t="s">
        <v>136</v>
      </c>
      <c r="C25" s="246">
        <f>'CapEx&amp;Dep'!C7</f>
        <v>677.54200000000003</v>
      </c>
      <c r="D25" s="246">
        <f>'CapEx&amp;Dep'!D7</f>
        <v>599.58300000000008</v>
      </c>
      <c r="E25" s="246">
        <f>'CapEx&amp;Dep'!E7</f>
        <v>554.96400000000006</v>
      </c>
      <c r="F25" s="246">
        <f>'CapEx&amp;Dep'!F7</f>
        <v>711.79200000000014</v>
      </c>
      <c r="G25" s="246">
        <f>'CapEx&amp;Dep'!G7</f>
        <v>741.12100000000009</v>
      </c>
      <c r="H25" s="246">
        <f>'CapEx&amp;Dep'!H7</f>
        <v>712.84854395000002</v>
      </c>
      <c r="I25" s="246">
        <f ca="1">'CapEx&amp;Dep'!I7</f>
        <v>64.479144862499993</v>
      </c>
      <c r="J25" s="246">
        <f ca="1">'CapEx&amp;Dep'!J7</f>
        <v>775.38113881250001</v>
      </c>
      <c r="K25" s="246">
        <f ca="1">'CapEx&amp;Dep'!K7</f>
        <v>945.31831839551023</v>
      </c>
      <c r="L25" s="246">
        <f ca="1">'CapEx&amp;Dep'!L7</f>
        <v>1265.9716052721842</v>
      </c>
      <c r="M25" s="246">
        <f ca="1">'CapEx&amp;Dep'!M7</f>
        <v>1562.79735897463</v>
      </c>
      <c r="N25" s="246">
        <f ca="1">'CapEx&amp;Dep'!N7</f>
        <v>1823.8785111966024</v>
      </c>
      <c r="O25" s="785">
        <f ca="1">'CapEx&amp;Dep'!O7</f>
        <v>2179.7867802560522</v>
      </c>
    </row>
    <row r="26" spans="2:17" s="330" customFormat="1" ht="13.5" customHeight="1" x14ac:dyDescent="0.3">
      <c r="B26" s="782" t="s">
        <v>132</v>
      </c>
      <c r="C26" s="260"/>
      <c r="D26" s="260"/>
      <c r="E26" s="260"/>
      <c r="F26" s="259">
        <f>F25/E25-1</f>
        <v>0.28259130321966852</v>
      </c>
      <c r="G26" s="259">
        <f>G25/F25-1</f>
        <v>4.1204452986265627E-2</v>
      </c>
      <c r="H26" s="259" t="s">
        <v>92</v>
      </c>
      <c r="I26" s="259" t="s">
        <v>92</v>
      </c>
      <c r="J26" s="259">
        <f ca="1">J25/G25-1</f>
        <v>4.6227456532064171E-2</v>
      </c>
      <c r="K26" s="259">
        <f ca="1">K25/J25-1</f>
        <v>0.21916599602006026</v>
      </c>
      <c r="L26" s="259">
        <f ca="1">L25/K25-1</f>
        <v>0.33920138924306387</v>
      </c>
      <c r="M26" s="260">
        <f ca="1">M25/L25-1</f>
        <v>0.23446477983100444</v>
      </c>
      <c r="N26" s="260">
        <f ca="1">N25/M25-1</f>
        <v>0.16706014424881732</v>
      </c>
      <c r="O26" s="783">
        <f ca="1">O25/N25-1</f>
        <v>0.19513814482410186</v>
      </c>
    </row>
    <row r="27" spans="2:17" s="331" customFormat="1" ht="13.5" customHeight="1" x14ac:dyDescent="0.3">
      <c r="B27" s="786" t="s">
        <v>133</v>
      </c>
      <c r="C27" s="182">
        <f t="shared" ref="C27:M27" si="27">C25/C$6</f>
        <v>6.6948919580629316E-3</v>
      </c>
      <c r="D27" s="182">
        <f t="shared" si="27"/>
        <v>4.9927411160083741E-3</v>
      </c>
      <c r="E27" s="182">
        <f t="shared" si="27"/>
        <v>3.0445810455397584E-3</v>
      </c>
      <c r="F27" s="209">
        <f t="shared" si="27"/>
        <v>3.362531523934223E-3</v>
      </c>
      <c r="G27" s="209">
        <f t="shared" si="27"/>
        <v>2.943166678220021E-3</v>
      </c>
      <c r="H27" s="209">
        <f t="shared" si="27"/>
        <v>3.3173007999817397E-3</v>
      </c>
      <c r="I27" s="209" t="e">
        <f t="shared" ca="1" si="27"/>
        <v>#DIV/0!</v>
      </c>
      <c r="J27" s="209">
        <f t="shared" ca="1" si="27"/>
        <v>3.6083015023369029E-3</v>
      </c>
      <c r="K27" s="209">
        <f t="shared" ca="1" si="27"/>
        <v>3.81703660042562E-3</v>
      </c>
      <c r="L27" s="209">
        <f t="shared" ca="1" si="27"/>
        <v>4.9409163987976564E-3</v>
      </c>
      <c r="M27" s="182">
        <f t="shared" ca="1" si="27"/>
        <v>5.8902537610440661E-3</v>
      </c>
      <c r="N27" s="182">
        <f t="shared" ref="N27" ca="1" si="28">N25/N$6</f>
        <v>6.6387865849156956E-3</v>
      </c>
      <c r="O27" s="787">
        <f t="shared" ref="O27" ca="1" si="29">O25/O$6</f>
        <v>7.6572535830574176E-3</v>
      </c>
    </row>
    <row r="28" spans="2:17" s="331" customFormat="1" ht="13.5" customHeight="1" x14ac:dyDescent="0.3">
      <c r="B28" s="786"/>
      <c r="C28" s="182"/>
      <c r="D28" s="182"/>
      <c r="E28" s="182"/>
      <c r="F28" s="209"/>
      <c r="G28" s="209"/>
      <c r="H28" s="209"/>
      <c r="I28" s="209"/>
      <c r="J28" s="209"/>
      <c r="K28" s="209"/>
      <c r="L28" s="209"/>
      <c r="M28" s="182"/>
      <c r="N28" s="182"/>
      <c r="O28" s="787"/>
    </row>
    <row r="29" spans="2:17" s="294" customFormat="1" ht="13.5" customHeight="1" x14ac:dyDescent="0.3">
      <c r="B29" s="788" t="s">
        <v>137</v>
      </c>
      <c r="C29" s="247">
        <f t="shared" ref="C29:M29" si="30">C21+C25</f>
        <v>6840.7911460000059</v>
      </c>
      <c r="D29" s="247">
        <f t="shared" si="30"/>
        <v>7122.6654989999915</v>
      </c>
      <c r="E29" s="247">
        <f t="shared" si="30"/>
        <v>9196.9069219999983</v>
      </c>
      <c r="F29" s="247">
        <f>F21+F25</f>
        <v>9924.7564659999534</v>
      </c>
      <c r="G29" s="247">
        <f t="shared" si="30"/>
        <v>10205.783490999998</v>
      </c>
      <c r="H29" s="247">
        <f t="shared" ca="1" si="30"/>
        <v>10465.74275128334</v>
      </c>
      <c r="I29" s="247">
        <f t="shared" ca="1" si="30"/>
        <v>19.864833333333337</v>
      </c>
      <c r="J29" s="247">
        <f t="shared" ca="1" si="30"/>
        <v>10497.707921333318</v>
      </c>
      <c r="K29" s="247">
        <f t="shared" ca="1" si="30"/>
        <v>11696.625926352159</v>
      </c>
      <c r="L29" s="247">
        <f t="shared" ca="1" si="30"/>
        <v>12098.848889531258</v>
      </c>
      <c r="M29" s="247">
        <f t="shared" ca="1" si="30"/>
        <v>12659.451737825282</v>
      </c>
      <c r="N29" s="248">
        <f t="shared" ref="N29" ca="1" si="31">N21+N25</f>
        <v>13159.871857312733</v>
      </c>
      <c r="O29" s="789">
        <f t="shared" ref="O29" ca="1" si="32">O21+O25</f>
        <v>13622.852290530367</v>
      </c>
    </row>
    <row r="30" spans="2:17" s="330" customFormat="1" ht="13.5" customHeight="1" x14ac:dyDescent="0.3">
      <c r="B30" s="782" t="s">
        <v>132</v>
      </c>
      <c r="C30" s="260"/>
      <c r="D30" s="260">
        <f t="shared" ref="D30" si="33">D29/C29-1</f>
        <v>4.120493477787357E-2</v>
      </c>
      <c r="E30" s="260"/>
      <c r="F30" s="259">
        <f>F29/E29-1</f>
        <v>7.9140688295850969E-2</v>
      </c>
      <c r="G30" s="259">
        <f>G29/F29-1</f>
        <v>2.8315760287195069E-2</v>
      </c>
      <c r="H30" s="259" t="s">
        <v>92</v>
      </c>
      <c r="I30" s="259" t="s">
        <v>92</v>
      </c>
      <c r="J30" s="259">
        <f ca="1">J29/G29-1</f>
        <v>2.8603823566388131E-2</v>
      </c>
      <c r="K30" s="259">
        <f ca="1">K29/J29-1</f>
        <v>0.11420759788738399</v>
      </c>
      <c r="L30" s="259">
        <f ca="1">L29/K29-1</f>
        <v>3.4387947918630424E-2</v>
      </c>
      <c r="M30" s="260">
        <f ca="1">M29/L29-1</f>
        <v>4.6335221921739667E-2</v>
      </c>
      <c r="N30" s="260">
        <f ca="1">N29/M29-1</f>
        <v>3.9529367452165509E-2</v>
      </c>
      <c r="O30" s="783">
        <f ca="1">O29/N29-1</f>
        <v>3.5181226552777112E-2</v>
      </c>
    </row>
    <row r="31" spans="2:17" s="331" customFormat="1" ht="13.5" customHeight="1" x14ac:dyDescent="0.3">
      <c r="B31" s="786" t="s">
        <v>133</v>
      </c>
      <c r="C31" s="182">
        <f t="shared" ref="C31:M31" si="34">C29/C$6</f>
        <v>6.7594861470054321E-2</v>
      </c>
      <c r="D31" s="182">
        <f t="shared" si="34"/>
        <v>5.9310595684720142E-2</v>
      </c>
      <c r="E31" s="182">
        <f t="shared" si="34"/>
        <v>5.045503580829494E-2</v>
      </c>
      <c r="F31" s="209">
        <f t="shared" si="34"/>
        <v>4.6884913688682722E-2</v>
      </c>
      <c r="G31" s="209">
        <f t="shared" si="34"/>
        <v>4.0529578700157179E-2</v>
      </c>
      <c r="H31" s="209">
        <f t="shared" ca="1" si="34"/>
        <v>4.8703216266470312E-2</v>
      </c>
      <c r="I31" s="209" t="e">
        <f t="shared" ca="1" si="34"/>
        <v>#DIV/0!</v>
      </c>
      <c r="J31" s="209">
        <f t="shared" ca="1" si="34"/>
        <v>4.8851968880301536E-2</v>
      </c>
      <c r="K31" s="209">
        <f t="shared" ca="1" si="34"/>
        <v>4.7229011004623157E-2</v>
      </c>
      <c r="L31" s="209">
        <f t="shared" ca="1" si="34"/>
        <v>4.7220175109699419E-2</v>
      </c>
      <c r="M31" s="182">
        <f t="shared" ca="1" si="34"/>
        <v>4.7714044807706711E-2</v>
      </c>
      <c r="N31" s="182">
        <f t="shared" ref="N31" ca="1" si="35">N29/N$6</f>
        <v>4.7900986940308282E-2</v>
      </c>
      <c r="O31" s="787">
        <f t="shared" ref="O31" ca="1" si="36">O29/O$6</f>
        <v>4.7854971622899846E-2</v>
      </c>
    </row>
    <row r="32" spans="2:17" ht="13.5" customHeight="1" thickBot="1" x14ac:dyDescent="0.35">
      <c r="B32" s="877"/>
      <c r="C32" s="886"/>
      <c r="D32" s="886"/>
      <c r="E32" s="886"/>
      <c r="F32" s="886"/>
      <c r="G32" s="886"/>
      <c r="H32" s="886"/>
      <c r="I32" s="886"/>
      <c r="J32" s="886"/>
      <c r="K32" s="886"/>
      <c r="L32" s="886"/>
      <c r="M32" s="886"/>
      <c r="N32" s="886"/>
      <c r="O32" s="887"/>
    </row>
    <row r="33" spans="3:14" ht="13.5" customHeight="1" x14ac:dyDescent="0.3">
      <c r="C33" s="332"/>
      <c r="D33" s="332"/>
      <c r="E33" s="332"/>
      <c r="F33" s="332"/>
      <c r="G33" s="332"/>
      <c r="J33" s="332"/>
      <c r="K33" s="332"/>
      <c r="L33" s="332"/>
      <c r="M33" s="332"/>
      <c r="N33" s="332"/>
    </row>
    <row r="34" spans="3:14" ht="13.5" customHeight="1" x14ac:dyDescent="0.3">
      <c r="H34" s="530"/>
    </row>
    <row r="35" spans="3:14" ht="13.5" customHeight="1" x14ac:dyDescent="0.3">
      <c r="C35" s="332"/>
      <c r="D35" s="332"/>
      <c r="E35" s="332"/>
      <c r="F35" s="332"/>
      <c r="G35" s="332"/>
      <c r="H35" s="332"/>
      <c r="I35" s="332"/>
      <c r="J35" s="332"/>
      <c r="K35" s="332"/>
      <c r="L35" s="332"/>
      <c r="M35" s="332"/>
      <c r="N35" s="332"/>
    </row>
    <row r="40" spans="3:14" ht="13.5" customHeight="1" x14ac:dyDescent="0.3">
      <c r="E40" s="1726"/>
    </row>
  </sheetData>
  <phoneticPr fontId="1" type="noConversion"/>
  <pageMargins left="0.70866141732283472" right="0.70866141732283472" top="0.74803149606299213" bottom="0.74803149606299213" header="0.31496062992125984" footer="0.31496062992125984"/>
  <pageSetup paperSize="9" scale="93" orientation="landscape"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theme="8" tint="-0.499984740745262"/>
    <pageSetUpPr fitToPage="1"/>
  </sheetPr>
  <dimension ref="B1:S197"/>
  <sheetViews>
    <sheetView showGridLines="0" zoomScale="85" zoomScaleNormal="85" workbookViewId="0">
      <selection activeCell="S6" sqref="S6"/>
    </sheetView>
  </sheetViews>
  <sheetFormatPr defaultRowHeight="13.5" customHeight="1" outlineLevelRow="1" outlineLevelCol="1" x14ac:dyDescent="0.3"/>
  <cols>
    <col min="1" max="1" width="1.375" style="403" customWidth="1"/>
    <col min="2" max="2" width="18.5" style="403" customWidth="1"/>
    <col min="3" max="4" width="9" style="403" customWidth="1" outlineLevel="1"/>
    <col min="5" max="13" width="8.125" style="403" customWidth="1"/>
    <col min="14" max="14" width="8.125" style="825" customWidth="1"/>
    <col min="15" max="15" width="8.125" style="403" customWidth="1"/>
    <col min="16" max="16" width="3.125" style="403" customWidth="1"/>
    <col min="17" max="17" width="17.5" style="403" customWidth="1"/>
    <col min="18" max="18" width="3.5" style="403" customWidth="1"/>
    <col min="19" max="19" width="5.5" style="403" customWidth="1"/>
    <col min="20" max="20" width="2.25" style="403" customWidth="1"/>
    <col min="21" max="25" width="9.375" style="403" customWidth="1"/>
    <col min="26" max="16384" width="9" style="403"/>
  </cols>
  <sheetData>
    <row r="1" spans="2:19" customFormat="1" ht="30" customHeight="1" x14ac:dyDescent="0.3">
      <c r="B1" s="58" t="str">
        <f>"Project"&amp;" "&amp;Title!L6</f>
        <v>Project IT</v>
      </c>
      <c r="C1" s="59"/>
      <c r="D1" s="59"/>
      <c r="E1" s="59"/>
      <c r="F1" s="59"/>
      <c r="G1" s="59"/>
      <c r="H1" s="59"/>
      <c r="I1" s="59"/>
      <c r="J1" s="59"/>
      <c r="K1" s="59"/>
      <c r="L1" s="59"/>
      <c r="M1" s="59"/>
      <c r="N1" s="59"/>
      <c r="O1" s="61" t="str">
        <f>Des!C12</f>
        <v>DRAFT - For Discussion Purposes Only</v>
      </c>
    </row>
    <row r="2" spans="2:19" customFormat="1" ht="20.100000000000001" customHeight="1" x14ac:dyDescent="0.3">
      <c r="B2" s="51" t="s">
        <v>71</v>
      </c>
      <c r="C2" s="60"/>
      <c r="D2" s="60"/>
      <c r="E2" s="60"/>
      <c r="F2" s="60"/>
      <c r="G2" s="60"/>
      <c r="H2" s="60"/>
      <c r="I2" s="60"/>
      <c r="J2" s="60"/>
      <c r="K2" s="60"/>
      <c r="L2" s="60"/>
      <c r="M2" s="60"/>
      <c r="N2" s="60"/>
      <c r="O2" s="60"/>
    </row>
    <row r="3" spans="2:19" customFormat="1" ht="14.1" customHeight="1" x14ac:dyDescent="0.3">
      <c r="C3" s="142"/>
      <c r="D3" s="142"/>
      <c r="E3" s="885"/>
      <c r="F3" s="885"/>
      <c r="G3" s="885"/>
      <c r="H3" s="885"/>
      <c r="I3" s="885"/>
      <c r="J3" s="885"/>
      <c r="K3" s="885"/>
      <c r="L3" s="885"/>
      <c r="M3" s="885"/>
      <c r="N3" s="885"/>
      <c r="O3" s="885"/>
    </row>
    <row r="4" spans="2:19" ht="13.5" customHeight="1" x14ac:dyDescent="0.3">
      <c r="B4" s="834" t="s">
        <v>1163</v>
      </c>
      <c r="C4" s="835"/>
      <c r="D4" s="835"/>
      <c r="E4" s="835"/>
      <c r="F4" s="835"/>
      <c r="G4" s="835"/>
      <c r="H4" s="835"/>
      <c r="I4" s="835"/>
      <c r="J4" s="836"/>
      <c r="K4" s="835"/>
      <c r="L4" s="835"/>
      <c r="M4" s="835"/>
      <c r="N4" s="835"/>
      <c r="O4" s="837"/>
    </row>
    <row r="5" spans="2:19" s="294" customFormat="1" ht="13.5" customHeight="1" x14ac:dyDescent="0.3">
      <c r="B5" s="773" t="str">
        <f>unit</f>
        <v>KRW Millions</v>
      </c>
      <c r="C5" s="774">
        <f>'Pro forma'!C$5</f>
        <v>2010</v>
      </c>
      <c r="D5" s="774">
        <f>'Pro forma'!D$5</f>
        <v>2011</v>
      </c>
      <c r="E5" s="774">
        <f>'Pro forma'!E$5</f>
        <v>2012</v>
      </c>
      <c r="F5" s="774">
        <f>'Pro forma'!F$5</f>
        <v>2013</v>
      </c>
      <c r="G5" s="774">
        <f>'Pro forma'!G$5</f>
        <v>2014</v>
      </c>
      <c r="H5" s="774" t="str">
        <f>'Pro forma'!H$5</f>
        <v>2015/12A</v>
      </c>
      <c r="I5" s="774" t="str">
        <f>'Pro forma'!I$5</f>
        <v>2015/0E</v>
      </c>
      <c r="J5" s="774">
        <f>'Pro forma'!J$5</f>
        <v>2015</v>
      </c>
      <c r="K5" s="776">
        <f>'Pro forma'!K$5</f>
        <v>2016</v>
      </c>
      <c r="L5" s="776">
        <f>'Pro forma'!L$5</f>
        <v>2017</v>
      </c>
      <c r="M5" s="776">
        <f>'Pro forma'!M$5</f>
        <v>2018</v>
      </c>
      <c r="N5" s="776">
        <f>'Pro forma'!N$5</f>
        <v>2019</v>
      </c>
      <c r="O5" s="777">
        <f>'Pro forma'!O$5</f>
        <v>2020</v>
      </c>
    </row>
    <row r="6" spans="2:19" s="294" customFormat="1" ht="13.5" customHeight="1" x14ac:dyDescent="0.3">
      <c r="B6" s="778" t="s">
        <v>71</v>
      </c>
      <c r="C6" s="859">
        <f>C9+C13+C17</f>
        <v>101202.82810300001</v>
      </c>
      <c r="D6" s="859">
        <f t="shared" ref="D6:O6" si="0">D9+D13+D17</f>
        <v>120090.945248</v>
      </c>
      <c r="E6" s="859">
        <f t="shared" si="0"/>
        <v>182279.26657199999</v>
      </c>
      <c r="F6" s="859">
        <f t="shared" si="0"/>
        <v>211683.36859699996</v>
      </c>
      <c r="G6" s="859">
        <f t="shared" si="0"/>
        <v>251810.747072</v>
      </c>
      <c r="H6" s="859">
        <f t="shared" si="0"/>
        <v>214888.123487</v>
      </c>
      <c r="I6" s="859"/>
      <c r="J6" s="859">
        <f t="shared" si="0"/>
        <v>214888.123487</v>
      </c>
      <c r="K6" s="859">
        <f t="shared" si="0"/>
        <v>247657.65104010326</v>
      </c>
      <c r="L6" s="859">
        <f t="shared" si="0"/>
        <v>256222.02504382611</v>
      </c>
      <c r="M6" s="859">
        <f t="shared" si="0"/>
        <v>265319.19037349237</v>
      </c>
      <c r="N6" s="859">
        <f t="shared" si="0"/>
        <v>274730.70385192439</v>
      </c>
      <c r="O6" s="860">
        <f t="shared" si="0"/>
        <v>284669.53021891415</v>
      </c>
      <c r="Q6" s="374"/>
      <c r="R6" s="325"/>
      <c r="S6" s="2221"/>
    </row>
    <row r="7" spans="2:19" s="317" customFormat="1" ht="13.5" customHeight="1" x14ac:dyDescent="0.3">
      <c r="B7" s="863" t="s">
        <v>110</v>
      </c>
      <c r="C7" s="260"/>
      <c r="D7" s="1143">
        <f>D6/C6-1</f>
        <v>0.18663625808733775</v>
      </c>
      <c r="E7" s="1143">
        <f t="shared" ref="E7" si="1">E6/D6-1</f>
        <v>0.5178435492832103</v>
      </c>
      <c r="F7" s="1143">
        <f t="shared" ref="F7" si="2">F6/E6-1</f>
        <v>0.16131347562442278</v>
      </c>
      <c r="G7" s="1143">
        <f t="shared" ref="G7" si="3">G6/F6-1</f>
        <v>0.18956320820552519</v>
      </c>
      <c r="H7" s="260"/>
      <c r="I7" s="260"/>
      <c r="J7" s="260">
        <f>J6/G6-1</f>
        <v>-0.14662846607751312</v>
      </c>
      <c r="K7" s="260">
        <f>K6/J6-1</f>
        <v>0.15249575928790549</v>
      </c>
      <c r="L7" s="260">
        <f t="shared" ref="L7:O7" si="4">L6/K6-1</f>
        <v>3.4581503812842085E-2</v>
      </c>
      <c r="M7" s="260">
        <f t="shared" si="4"/>
        <v>3.5505009095569307E-2</v>
      </c>
      <c r="N7" s="260">
        <f t="shared" si="4"/>
        <v>3.5472418957646301E-2</v>
      </c>
      <c r="O7" s="783">
        <f t="shared" si="4"/>
        <v>3.6176613052855577E-2</v>
      </c>
      <c r="Q7" s="330"/>
    </row>
    <row r="8" spans="2:19" s="317" customFormat="1" ht="13.5" customHeight="1" x14ac:dyDescent="0.3">
      <c r="B8" s="863"/>
      <c r="C8" s="260"/>
      <c r="D8" s="260"/>
      <c r="E8" s="260"/>
      <c r="F8" s="260"/>
      <c r="G8" s="260"/>
      <c r="H8" s="260"/>
      <c r="I8" s="260"/>
      <c r="J8" s="260"/>
      <c r="K8" s="260"/>
      <c r="L8" s="260"/>
      <c r="M8" s="260"/>
      <c r="N8" s="260"/>
      <c r="O8" s="783"/>
    </row>
    <row r="9" spans="2:19" s="317" customFormat="1" ht="13.5" customHeight="1" x14ac:dyDescent="0.3">
      <c r="B9" s="1134" t="s">
        <v>1978</v>
      </c>
      <c r="C9" s="1137">
        <f>C71</f>
        <v>28667.764768000001</v>
      </c>
      <c r="D9" s="1137">
        <f t="shared" ref="D9:H9" si="5">D71</f>
        <v>33818.960225000003</v>
      </c>
      <c r="E9" s="1137">
        <f t="shared" si="5"/>
        <v>72895.967908999999</v>
      </c>
      <c r="F9" s="1137">
        <f t="shared" si="5"/>
        <v>71774.780262999993</v>
      </c>
      <c r="G9" s="1137">
        <f t="shared" si="5"/>
        <v>69236.768544999999</v>
      </c>
      <c r="H9" s="1137">
        <f t="shared" si="5"/>
        <v>43311.994716999994</v>
      </c>
      <c r="I9" s="1137"/>
      <c r="J9" s="1137">
        <f>J71</f>
        <v>43311.994716999994</v>
      </c>
      <c r="K9" s="1137">
        <f>K71</f>
        <v>52024.746419865536</v>
      </c>
      <c r="L9" s="1137">
        <f t="shared" ref="L9:O9" si="6">L71</f>
        <v>54263.917178921365</v>
      </c>
      <c r="M9" s="1137">
        <f t="shared" si="6"/>
        <v>56179.286752237422</v>
      </c>
      <c r="N9" s="1137">
        <f t="shared" si="6"/>
        <v>58153.964164879944</v>
      </c>
      <c r="O9" s="1138">
        <f t="shared" si="6"/>
        <v>60235.145329856794</v>
      </c>
      <c r="Q9" s="2220"/>
    </row>
    <row r="10" spans="2:19" s="317" customFormat="1" ht="13.5" customHeight="1" x14ac:dyDescent="0.3">
      <c r="B10" s="1142" t="s">
        <v>2012</v>
      </c>
      <c r="C10" s="1143"/>
      <c r="D10" s="1143">
        <f>D9/C9-1</f>
        <v>0.17968598175292527</v>
      </c>
      <c r="E10" s="1143">
        <f t="shared" ref="E10:G10" si="7">E9/D9-1</f>
        <v>1.1554763193196309</v>
      </c>
      <c r="F10" s="1143">
        <f t="shared" si="7"/>
        <v>-1.5380653802411159E-2</v>
      </c>
      <c r="G10" s="1143">
        <f t="shared" si="7"/>
        <v>-3.5360773083527586E-2</v>
      </c>
      <c r="H10" s="1143"/>
      <c r="I10" s="1143"/>
      <c r="J10" s="1143">
        <f>J9/G9-1</f>
        <v>-0.37443650783832239</v>
      </c>
      <c r="K10" s="1143">
        <f t="shared" ref="K10" si="8">K9/J9-1</f>
        <v>0.20116255923548532</v>
      </c>
      <c r="L10" s="1143">
        <f t="shared" ref="L10" si="9">L9/K9-1</f>
        <v>4.3040493479480135E-2</v>
      </c>
      <c r="M10" s="1143">
        <f t="shared" ref="M10" si="10">M9/L9-1</f>
        <v>3.5297296488947083E-2</v>
      </c>
      <c r="N10" s="1143">
        <f t="shared" ref="N10" si="11">N9/M9-1</f>
        <v>3.5149563598969591E-2</v>
      </c>
      <c r="O10" s="1301">
        <f t="shared" ref="O10" si="12">O9/N9-1</f>
        <v>3.5787434182065647E-2</v>
      </c>
    </row>
    <row r="11" spans="2:19" s="317" customFormat="1" ht="13.5" customHeight="1" x14ac:dyDescent="0.3">
      <c r="B11" s="1135" t="s">
        <v>3810</v>
      </c>
      <c r="C11" s="1123">
        <f>C9/(C$13+C$17)</f>
        <v>0.39522630090773053</v>
      </c>
      <c r="D11" s="1123">
        <f t="shared" ref="D11:J11" si="13">D9/(D$13+D$17)</f>
        <v>0.39200396531949405</v>
      </c>
      <c r="E11" s="1123">
        <f t="shared" si="13"/>
        <v>0.66642685675064395</v>
      </c>
      <c r="F11" s="1123">
        <f t="shared" si="13"/>
        <v>0.51301196815490691</v>
      </c>
      <c r="G11" s="1123">
        <f t="shared" si="13"/>
        <v>0.37922583000929072</v>
      </c>
      <c r="H11" s="1123">
        <f t="shared" si="13"/>
        <v>0.25243601792100273</v>
      </c>
      <c r="I11" s="1123"/>
      <c r="J11" s="1123">
        <f t="shared" si="13"/>
        <v>0.25243601792100273</v>
      </c>
      <c r="K11" s="1123">
        <f t="shared" ref="K11:O11" si="14">K9/K$6</f>
        <v>0.21006718831973883</v>
      </c>
      <c r="L11" s="1123">
        <f t="shared" si="14"/>
        <v>0.21178474867505892</v>
      </c>
      <c r="M11" s="1123">
        <f t="shared" si="14"/>
        <v>0.2117422666379816</v>
      </c>
      <c r="N11" s="1123">
        <f t="shared" si="14"/>
        <v>0.21167624640973523</v>
      </c>
      <c r="O11" s="1140">
        <f t="shared" si="14"/>
        <v>0.21159674266345005</v>
      </c>
    </row>
    <row r="12" spans="2:19" s="317" customFormat="1" ht="13.5" customHeight="1" x14ac:dyDescent="0.3">
      <c r="B12" s="1136"/>
      <c r="C12" s="260"/>
      <c r="D12" s="260"/>
      <c r="E12" s="260"/>
      <c r="F12" s="260"/>
      <c r="G12" s="260"/>
      <c r="H12" s="260"/>
      <c r="I12" s="260"/>
      <c r="J12" s="260"/>
      <c r="K12" s="260"/>
      <c r="L12" s="260"/>
      <c r="M12" s="260"/>
      <c r="N12" s="260"/>
      <c r="O12" s="1139"/>
    </row>
    <row r="13" spans="2:19" s="317" customFormat="1" ht="13.5" customHeight="1" x14ac:dyDescent="0.3">
      <c r="B13" s="1136" t="s">
        <v>2865</v>
      </c>
      <c r="C13" s="1137">
        <f>C109</f>
        <v>32345.633293999999</v>
      </c>
      <c r="D13" s="1137">
        <f t="shared" ref="D13:H13" si="15">D109</f>
        <v>31656.878968000001</v>
      </c>
      <c r="E13" s="1137">
        <f t="shared" si="15"/>
        <v>52687.668978000002</v>
      </c>
      <c r="F13" s="1137">
        <f t="shared" si="15"/>
        <v>60245.229018999999</v>
      </c>
      <c r="G13" s="1137">
        <f t="shared" si="15"/>
        <v>90980.180334999997</v>
      </c>
      <c r="H13" s="1137">
        <f t="shared" si="15"/>
        <v>76214.068412999986</v>
      </c>
      <c r="I13" s="1137"/>
      <c r="J13" s="1137">
        <f>J109</f>
        <v>76214.068412999986</v>
      </c>
      <c r="K13" s="1137">
        <f>K109</f>
        <v>96372.274896384057</v>
      </c>
      <c r="L13" s="1137">
        <f t="shared" ref="L13:O13" si="16">L109</f>
        <v>98768.886153573054</v>
      </c>
      <c r="M13" s="1137">
        <f t="shared" si="16"/>
        <v>102065.24518974527</v>
      </c>
      <c r="N13" s="1137">
        <f t="shared" si="16"/>
        <v>105326.77066974621</v>
      </c>
      <c r="O13" s="1138">
        <f t="shared" si="16"/>
        <v>108650.35600510516</v>
      </c>
      <c r="Q13" s="2220"/>
    </row>
    <row r="14" spans="2:19" s="317" customFormat="1" ht="13.5" customHeight="1" x14ac:dyDescent="0.3">
      <c r="B14" s="1142" t="s">
        <v>2012</v>
      </c>
      <c r="C14" s="260"/>
      <c r="D14" s="1143">
        <f>D13/C13-1</f>
        <v>-2.1293579870262147E-2</v>
      </c>
      <c r="E14" s="1143">
        <f t="shared" ref="E14" si="17">E13/D13-1</f>
        <v>0.66433554714154663</v>
      </c>
      <c r="F14" s="1143">
        <f t="shared" ref="F14" si="18">F13/E13-1</f>
        <v>0.1434407744278019</v>
      </c>
      <c r="G14" s="1143">
        <f t="shared" ref="G14" si="19">G13/F13-1</f>
        <v>0.5101640713542126</v>
      </c>
      <c r="H14" s="1143"/>
      <c r="I14" s="1143"/>
      <c r="J14" s="1143">
        <f>J13/G13-1</f>
        <v>-0.16230031494364383</v>
      </c>
      <c r="K14" s="1143">
        <f t="shared" ref="K14" si="20">K13/J13-1</f>
        <v>0.26449455990392501</v>
      </c>
      <c r="L14" s="1143">
        <f t="shared" ref="L14" si="21">L13/K13-1</f>
        <v>2.4868264859014166E-2</v>
      </c>
      <c r="M14" s="1143">
        <f t="shared" ref="M14" si="22">M13/L13-1</f>
        <v>3.3374468059169882E-2</v>
      </c>
      <c r="N14" s="1143">
        <f t="shared" ref="N14" si="23">N13/M13-1</f>
        <v>3.1955299513929392E-2</v>
      </c>
      <c r="O14" s="1301">
        <f t="shared" ref="O14" si="24">O13/N13-1</f>
        <v>3.1554991330552618E-2</v>
      </c>
    </row>
    <row r="15" spans="2:19" s="498" customFormat="1" ht="13.5" customHeight="1" x14ac:dyDescent="0.3">
      <c r="B15" s="1135" t="s">
        <v>2013</v>
      </c>
      <c r="C15" s="1123">
        <f>C13/C$6</f>
        <v>0.31961195057790248</v>
      </c>
      <c r="D15" s="1123">
        <f>D13/D$6</f>
        <v>0.26360754262217961</v>
      </c>
      <c r="E15" s="1123">
        <f t="shared" ref="E15:O15" si="25">E13/E$6</f>
        <v>0.28904916049345891</v>
      </c>
      <c r="F15" s="1123">
        <f t="shared" si="25"/>
        <v>0.28460067230739361</v>
      </c>
      <c r="G15" s="1123">
        <f t="shared" si="25"/>
        <v>0.36130380213274266</v>
      </c>
      <c r="H15" s="1123">
        <f t="shared" si="25"/>
        <v>0.35466859301608017</v>
      </c>
      <c r="I15" s="1123"/>
      <c r="J15" s="1123">
        <f t="shared" si="25"/>
        <v>0.35466859301608017</v>
      </c>
      <c r="K15" s="1123">
        <f t="shared" si="25"/>
        <v>0.38913505999771625</v>
      </c>
      <c r="L15" s="1123">
        <f t="shared" si="25"/>
        <v>0.38548163896791815</v>
      </c>
      <c r="M15" s="1123">
        <f t="shared" si="25"/>
        <v>0.384688514411894</v>
      </c>
      <c r="N15" s="1123">
        <f t="shared" si="25"/>
        <v>0.38338186883733139</v>
      </c>
      <c r="O15" s="1140">
        <f t="shared" si="25"/>
        <v>0.38167188431284438</v>
      </c>
    </row>
    <row r="16" spans="2:19" s="825" customFormat="1" ht="13.5" customHeight="1" x14ac:dyDescent="0.3">
      <c r="B16" s="1136"/>
      <c r="C16" s="336"/>
      <c r="D16" s="336"/>
      <c r="E16" s="336"/>
      <c r="F16" s="336"/>
      <c r="G16" s="336"/>
      <c r="H16" s="336"/>
      <c r="I16" s="336"/>
      <c r="J16" s="336"/>
      <c r="K16" s="336"/>
      <c r="L16" s="336"/>
      <c r="M16" s="336"/>
      <c r="N16" s="336"/>
      <c r="O16" s="621"/>
      <c r="Q16" s="690"/>
      <c r="R16" s="325"/>
    </row>
    <row r="17" spans="2:18" s="317" customFormat="1" ht="13.5" customHeight="1" x14ac:dyDescent="0.3">
      <c r="B17" s="1136" t="s">
        <v>2866</v>
      </c>
      <c r="C17" s="1137">
        <f>C170</f>
        <v>40189.430041</v>
      </c>
      <c r="D17" s="1137">
        <f t="shared" ref="D17:J17" si="26">D170</f>
        <v>54615.106054999997</v>
      </c>
      <c r="E17" s="1137">
        <f t="shared" si="26"/>
        <v>56695.629685</v>
      </c>
      <c r="F17" s="1137">
        <f t="shared" si="26"/>
        <v>79663.359314999994</v>
      </c>
      <c r="G17" s="1137">
        <f t="shared" si="26"/>
        <v>91593.798192000002</v>
      </c>
      <c r="H17" s="1137">
        <f t="shared" si="26"/>
        <v>95362.060357000024</v>
      </c>
      <c r="I17" s="1137"/>
      <c r="J17" s="1137">
        <f t="shared" si="26"/>
        <v>95362.060357000024</v>
      </c>
      <c r="K17" s="1137">
        <f>K170</f>
        <v>99260.629723853664</v>
      </c>
      <c r="L17" s="1137">
        <f t="shared" ref="L17:O17" si="27">L170</f>
        <v>103189.22171133169</v>
      </c>
      <c r="M17" s="1137">
        <f t="shared" si="27"/>
        <v>107074.65843150967</v>
      </c>
      <c r="N17" s="1137">
        <f t="shared" si="27"/>
        <v>111249.96901729822</v>
      </c>
      <c r="O17" s="1138">
        <f t="shared" si="27"/>
        <v>115784.02888395221</v>
      </c>
      <c r="Q17" s="2220"/>
    </row>
    <row r="18" spans="2:18" s="498" customFormat="1" ht="13.5" customHeight="1" x14ac:dyDescent="0.3">
      <c r="B18" s="1142" t="s">
        <v>2012</v>
      </c>
      <c r="C18" s="500"/>
      <c r="D18" s="1143">
        <f>D17/C17-1</f>
        <v>0.35894204021513554</v>
      </c>
      <c r="E18" s="1143">
        <f t="shared" ref="E18" si="28">E17/D17-1</f>
        <v>3.8094288929967801E-2</v>
      </c>
      <c r="F18" s="1143">
        <f t="shared" ref="F18" si="29">F17/E17-1</f>
        <v>0.4051058213412273</v>
      </c>
      <c r="G18" s="1143">
        <f t="shared" ref="G18" si="30">G17/F17-1</f>
        <v>0.14976068018705302</v>
      </c>
      <c r="H18" s="1143"/>
      <c r="I18" s="1143"/>
      <c r="J18" s="1143">
        <f>J17/G17-1</f>
        <v>4.1141018708504173E-2</v>
      </c>
      <c r="K18" s="1143">
        <f t="shared" ref="K18" si="31">K17/J17-1</f>
        <v>4.0881765266594039E-2</v>
      </c>
      <c r="L18" s="1143">
        <f t="shared" ref="L18" si="32">L17/K17-1</f>
        <v>3.9578551923431293E-2</v>
      </c>
      <c r="M18" s="1143">
        <f t="shared" ref="M18" si="33">M17/L17-1</f>
        <v>3.765351318422927E-2</v>
      </c>
      <c r="N18" s="1143">
        <f t="shared" ref="N18" si="34">N17/M17-1</f>
        <v>3.8994386225002842E-2</v>
      </c>
      <c r="O18" s="1301">
        <f t="shared" ref="O18" si="35">O17/N17-1</f>
        <v>4.0755605657283311E-2</v>
      </c>
    </row>
    <row r="19" spans="2:18" s="294" customFormat="1" ht="13.5" customHeight="1" x14ac:dyDescent="0.3">
      <c r="B19" s="1135" t="s">
        <v>2013</v>
      </c>
      <c r="C19" s="1123">
        <f>C17/C$6</f>
        <v>0.39711765762214546</v>
      </c>
      <c r="D19" s="1123">
        <f>D17/D$6</f>
        <v>0.45478121553805956</v>
      </c>
      <c r="E19" s="1123">
        <f t="shared" ref="E19:O19" si="36">E17/E$6</f>
        <v>0.31103718349999682</v>
      </c>
      <c r="F19" s="1123">
        <f t="shared" si="36"/>
        <v>0.37633263228469338</v>
      </c>
      <c r="G19" s="1123">
        <f t="shared" si="36"/>
        <v>0.36374062369073817</v>
      </c>
      <c r="H19" s="1123">
        <f t="shared" si="36"/>
        <v>0.44377538790676396</v>
      </c>
      <c r="I19" s="1123"/>
      <c r="J19" s="1123">
        <f t="shared" si="36"/>
        <v>0.44377538790676396</v>
      </c>
      <c r="K19" s="1123">
        <f t="shared" si="36"/>
        <v>0.40079775168254489</v>
      </c>
      <c r="L19" s="1123">
        <f t="shared" si="36"/>
        <v>0.40273361235702293</v>
      </c>
      <c r="M19" s="1123">
        <f t="shared" si="36"/>
        <v>0.40356921895012438</v>
      </c>
      <c r="N19" s="1123">
        <f t="shared" si="36"/>
        <v>0.4049418847529333</v>
      </c>
      <c r="O19" s="1140">
        <f t="shared" si="36"/>
        <v>0.4067313730237056</v>
      </c>
      <c r="Q19" s="690"/>
      <c r="R19" s="325"/>
    </row>
    <row r="20" spans="2:18" s="317" customFormat="1" ht="13.5" customHeight="1" thickBot="1" x14ac:dyDescent="0.35">
      <c r="B20" s="867"/>
      <c r="C20" s="868"/>
      <c r="D20" s="868"/>
      <c r="E20" s="868"/>
      <c r="F20" s="868"/>
      <c r="G20" s="868"/>
      <c r="H20" s="868"/>
      <c r="I20" s="868"/>
      <c r="J20" s="868"/>
      <c r="K20" s="868"/>
      <c r="L20" s="868"/>
      <c r="M20" s="868"/>
      <c r="N20" s="868"/>
      <c r="O20" s="869"/>
    </row>
    <row r="21" spans="2:18" s="498" customFormat="1" ht="13.5" customHeight="1" x14ac:dyDescent="0.3">
      <c r="B21" s="499"/>
      <c r="C21" s="500"/>
      <c r="D21" s="500"/>
      <c r="E21" s="500"/>
      <c r="F21" s="500"/>
      <c r="G21" s="500"/>
      <c r="H21" s="500"/>
      <c r="I21" s="500"/>
      <c r="J21" s="500"/>
      <c r="K21" s="500"/>
      <c r="L21" s="500"/>
      <c r="M21" s="500"/>
      <c r="N21" s="500"/>
      <c r="O21" s="500"/>
    </row>
    <row r="22" spans="2:18" s="390" customFormat="1" ht="13.5" customHeight="1" x14ac:dyDescent="0.3">
      <c r="Q22" s="501"/>
    </row>
    <row r="23" spans="2:18" s="294" customFormat="1" ht="13.5" customHeight="1" x14ac:dyDescent="0.3">
      <c r="B23" s="262" t="s">
        <v>163</v>
      </c>
      <c r="C23" s="263">
        <f>C$5</f>
        <v>2010</v>
      </c>
      <c r="D23" s="263">
        <f t="shared" ref="D23:O23" si="37">D$5</f>
        <v>2011</v>
      </c>
      <c r="E23" s="263">
        <f t="shared" si="37"/>
        <v>2012</v>
      </c>
      <c r="F23" s="263">
        <f t="shared" si="37"/>
        <v>2013</v>
      </c>
      <c r="G23" s="263">
        <f t="shared" si="37"/>
        <v>2014</v>
      </c>
      <c r="H23" s="264" t="str">
        <f t="shared" si="37"/>
        <v>2015/12A</v>
      </c>
      <c r="I23" s="264" t="str">
        <f t="shared" si="37"/>
        <v>2015/0E</v>
      </c>
      <c r="J23" s="265">
        <f t="shared" si="37"/>
        <v>2015</v>
      </c>
      <c r="K23" s="266">
        <f t="shared" si="37"/>
        <v>2016</v>
      </c>
      <c r="L23" s="266">
        <f t="shared" si="37"/>
        <v>2017</v>
      </c>
      <c r="M23" s="266">
        <f t="shared" si="37"/>
        <v>2018</v>
      </c>
      <c r="N23" s="266">
        <f t="shared" si="37"/>
        <v>2019</v>
      </c>
      <c r="O23" s="267">
        <f t="shared" si="37"/>
        <v>2020</v>
      </c>
    </row>
    <row r="24" spans="2:18" ht="13.5" customHeight="1" x14ac:dyDescent="0.3">
      <c r="B24" s="310" t="s">
        <v>3811</v>
      </c>
      <c r="C24" s="318">
        <f>Macro!H27/Macro!G27-1</f>
        <v>9.8636216582018266E-2</v>
      </c>
      <c r="D24" s="318">
        <f>Macro!I27/Macro!H27-1</f>
        <v>5.3246407455450173E-2</v>
      </c>
      <c r="E24" s="318">
        <f>Macro!J27/Macro!I27-1</f>
        <v>3.3598137888962265E-2</v>
      </c>
      <c r="F24" s="318">
        <f>Macro!K27/Macro!J27-1</f>
        <v>3.7742604739778862E-2</v>
      </c>
      <c r="G24" s="318">
        <f>Macro!L27/Macro!K27-1</f>
        <v>3.8919010127983933E-2</v>
      </c>
      <c r="H24" s="318"/>
      <c r="I24" s="319"/>
      <c r="J24" s="318">
        <f>Macro!M27/Macro!L27-1</f>
        <v>2.3003842222428794E-2</v>
      </c>
      <c r="K24" s="318">
        <f>Macro!N27/Macro!M27-1</f>
        <v>3.7334115303008231E-2</v>
      </c>
      <c r="L24" s="323">
        <f>Macro!O27/Macro!N27-1</f>
        <v>2.856531891672387E-2</v>
      </c>
      <c r="M24" s="318">
        <f>Macro!P27/Macro!O27-1</f>
        <v>3.9323857488979819E-2</v>
      </c>
      <c r="N24" s="318">
        <f>Macro!Q27/Macro!P27-1</f>
        <v>4.0235566615218099E-2</v>
      </c>
      <c r="O24" s="1760">
        <f>Macro!R27/Macro!Q27-1</f>
        <v>3.7923737348549702E-2</v>
      </c>
    </row>
    <row r="25" spans="2:18" s="825" customFormat="1" ht="13.5" customHeight="1" x14ac:dyDescent="0.3">
      <c r="B25" s="310" t="s">
        <v>3994</v>
      </c>
      <c r="C25" s="318">
        <f>Macro!H7/Macro!G7-1</f>
        <v>6.4967851688855216E-2</v>
      </c>
      <c r="D25" s="318">
        <f>Macro!I7/Macro!H7-1</f>
        <v>3.6816888600790465E-2</v>
      </c>
      <c r="E25" s="318">
        <f>Macro!J7/Macro!I7-1</f>
        <v>2.2924056435717377E-2</v>
      </c>
      <c r="F25" s="318">
        <f>Macro!K7/Macro!J7-1</f>
        <v>2.8962123868218725E-2</v>
      </c>
      <c r="G25" s="318">
        <f>Macro!L7/Macro!K7-1</f>
        <v>3.3101475653060763E-2</v>
      </c>
      <c r="H25" s="318"/>
      <c r="I25" s="319"/>
      <c r="J25" s="318">
        <f>Macro!M7/Macro!L7-1</f>
        <v>2.5270579457166376E-2</v>
      </c>
      <c r="K25" s="318">
        <f>Macro!N7/Macro!M7-1</f>
        <v>2.8600363546908314E-2</v>
      </c>
      <c r="L25" s="318">
        <f>Macro!O7/Macro!N7-1</f>
        <v>2.7601127982577411E-2</v>
      </c>
      <c r="M25" s="318">
        <f>Macro!P7/Macro!O7-1</f>
        <v>3.0071591851218882E-2</v>
      </c>
      <c r="N25" s="318">
        <f>Macro!Q7/Macro!P7-1</f>
        <v>2.9194884230929308E-2</v>
      </c>
      <c r="O25" s="320">
        <f>Macro!R7/Macro!Q7-1</f>
        <v>3.0382128762529659E-2</v>
      </c>
    </row>
    <row r="26" spans="2:18" ht="13.5" customHeight="1" x14ac:dyDescent="0.3">
      <c r="B26" s="310" t="s">
        <v>2023</v>
      </c>
      <c r="C26" s="1156">
        <f>Macro!H87/100</f>
        <v>2.9380000000000003E-2</v>
      </c>
      <c r="D26" s="1156">
        <f>Macro!I87/100</f>
        <v>4.0250000000000001E-2</v>
      </c>
      <c r="E26" s="1156">
        <f>Macro!J87/100</f>
        <v>2.1829999999999999E-2</v>
      </c>
      <c r="F26" s="1156">
        <f>Macro!K87/100</f>
        <v>1.3009999999999999E-2</v>
      </c>
      <c r="G26" s="1156">
        <f>Macro!L87/100</f>
        <v>1.2749999999999999E-2</v>
      </c>
      <c r="H26" s="1156"/>
      <c r="I26" s="1156"/>
      <c r="J26" s="1156">
        <f>Macro!M87/100</f>
        <v>6.0000000000000001E-3</v>
      </c>
      <c r="K26" s="1156">
        <f>Macro!N87/100</f>
        <v>1.3000000000000001E-2</v>
      </c>
      <c r="L26" s="1156">
        <f>Macro!O87/100</f>
        <v>1.4999999999999999E-2</v>
      </c>
      <c r="M26" s="1156">
        <f>Macro!P87/100</f>
        <v>1.8000000000000002E-2</v>
      </c>
      <c r="N26" s="1156">
        <f>Macro!Q87/100</f>
        <v>0.02</v>
      </c>
      <c r="O26" s="1761">
        <f>Macro!R87/100</f>
        <v>2.2000000000000002E-2</v>
      </c>
    </row>
    <row r="27" spans="2:18" ht="13.5" customHeight="1" x14ac:dyDescent="0.3">
      <c r="B27" s="310" t="s">
        <v>3812</v>
      </c>
      <c r="C27" s="318">
        <f>Macro!H90/100</f>
        <v>6.8440000000000001E-2</v>
      </c>
      <c r="D27" s="318">
        <f>Macro!I90/100</f>
        <v>9.2300000000000004E-3</v>
      </c>
      <c r="E27" s="318">
        <f>Macro!J90/100</f>
        <v>5.3710000000000008E-2</v>
      </c>
      <c r="F27" s="318">
        <f>Macro!K90/100</f>
        <v>3.8559999999999997E-2</v>
      </c>
      <c r="G27" s="318">
        <f>Macro!L90/100</f>
        <v>2.5539999999999997E-2</v>
      </c>
      <c r="H27" s="319"/>
      <c r="I27" s="319"/>
      <c r="J27" s="318">
        <f>Macro!M90/100</f>
        <v>4.2000000000000003E-2</v>
      </c>
      <c r="K27" s="318">
        <f>Macro!N90/100</f>
        <v>4.2999999999999997E-2</v>
      </c>
      <c r="L27" s="318">
        <f>Macro!O90/100</f>
        <v>4.2000000000000003E-2</v>
      </c>
      <c r="M27" s="318">
        <f>Macro!P90/100</f>
        <v>0.04</v>
      </c>
      <c r="N27" s="318">
        <f>Macro!Q90/100</f>
        <v>4.2000000000000003E-2</v>
      </c>
      <c r="O27" s="320">
        <f>Macro!R90/100</f>
        <v>4.4000000000000004E-2</v>
      </c>
    </row>
    <row r="28" spans="2:18" s="825" customFormat="1" ht="13.5" customHeight="1" x14ac:dyDescent="0.3">
      <c r="B28" s="310" t="s">
        <v>4419</v>
      </c>
      <c r="C28" s="318">
        <f>Macro!H91/100</f>
        <v>3.7940000000000002E-2</v>
      </c>
      <c r="D28" s="318">
        <f>Macro!I91/100</f>
        <v>-2.9820000000000003E-2</v>
      </c>
      <c r="E28" s="318">
        <f>Macro!J91/100</f>
        <v>3.1200000000000002E-2</v>
      </c>
      <c r="F28" s="318">
        <f>Macro!K91/100</f>
        <v>2.521E-2</v>
      </c>
      <c r="G28" s="318">
        <f>Macro!L91/100</f>
        <v>1.2629999999999999E-2</v>
      </c>
      <c r="H28" s="319"/>
      <c r="I28" s="319"/>
      <c r="J28" s="318">
        <f>Macro!M91/100</f>
        <v>3.5000000000000003E-2</v>
      </c>
      <c r="K28" s="318">
        <f>Macro!N91/100</f>
        <v>0.03</v>
      </c>
      <c r="L28" s="318">
        <f>Macro!O91/100</f>
        <v>2.7000000000000003E-2</v>
      </c>
      <c r="M28" s="318">
        <f>Macro!P91/100</f>
        <v>2.2000000000000002E-2</v>
      </c>
      <c r="N28" s="318">
        <f>Macro!Q91/100</f>
        <v>2.2000000000000002E-2</v>
      </c>
      <c r="O28" s="320">
        <f>Macro!R91/100</f>
        <v>2.2000000000000002E-2</v>
      </c>
    </row>
    <row r="29" spans="2:18" ht="13.5" customHeight="1" x14ac:dyDescent="0.3">
      <c r="B29" s="1762" t="s">
        <v>3995</v>
      </c>
      <c r="C29" s="323"/>
      <c r="D29" s="323"/>
      <c r="E29" s="323"/>
      <c r="F29" s="323"/>
      <c r="G29" s="323">
        <v>3.699788583509514E-2</v>
      </c>
      <c r="H29" s="1763"/>
      <c r="I29" s="1763"/>
      <c r="J29" s="323">
        <v>4.6551138294257562E-2</v>
      </c>
      <c r="K29" s="323">
        <v>5.1948051948051951E-2</v>
      </c>
      <c r="L29" s="323">
        <v>1.8518518518518517E-2</v>
      </c>
      <c r="M29" s="323">
        <v>2.2727272727272728E-2</v>
      </c>
      <c r="N29" s="323">
        <v>2.2727272727272728E-2</v>
      </c>
      <c r="O29" s="1760">
        <v>2.2727272727272728E-2</v>
      </c>
      <c r="Q29" s="403" t="s">
        <v>3996</v>
      </c>
    </row>
    <row r="30" spans="2:18" ht="13.5" customHeight="1" x14ac:dyDescent="0.3">
      <c r="B30" s="310" t="s">
        <v>3997</v>
      </c>
      <c r="C30" s="318"/>
      <c r="D30" s="318"/>
      <c r="E30" s="318"/>
      <c r="F30" s="318"/>
      <c r="G30" s="318"/>
      <c r="H30" s="319"/>
      <c r="I30" s="319"/>
      <c r="J30" s="318">
        <v>2.5999999999999999E-2</v>
      </c>
      <c r="K30" s="318">
        <v>2.9127790060079053E-2</v>
      </c>
      <c r="L30" s="318">
        <v>2.5960943284017025E-2</v>
      </c>
      <c r="M30" s="318">
        <v>2.4251171154119146E-2</v>
      </c>
      <c r="N30" s="318">
        <v>2.156337344944664E-2</v>
      </c>
      <c r="O30" s="320">
        <v>2.156337344944664E-2</v>
      </c>
      <c r="Q30" s="403" t="s">
        <v>3998</v>
      </c>
    </row>
    <row r="31" spans="2:18" s="825" customFormat="1" ht="13.5" customHeight="1" x14ac:dyDescent="0.3">
      <c r="B31" s="310" t="s">
        <v>4401</v>
      </c>
      <c r="C31" s="318">
        <f>C71/(C109+C170)</f>
        <v>0.39522630090773053</v>
      </c>
      <c r="D31" s="318">
        <f t="shared" ref="D31:K31" si="38">D71/(D109+D170)</f>
        <v>0.39200396531949405</v>
      </c>
      <c r="E31" s="318">
        <f t="shared" si="38"/>
        <v>0.66642685675064395</v>
      </c>
      <c r="F31" s="318">
        <f t="shared" si="38"/>
        <v>0.51301196815490691</v>
      </c>
      <c r="G31" s="318">
        <f t="shared" si="38"/>
        <v>0.37922583000929072</v>
      </c>
      <c r="H31" s="318">
        <f t="shared" si="38"/>
        <v>0.25243601792100273</v>
      </c>
      <c r="I31" s="318"/>
      <c r="J31" s="318">
        <f t="shared" si="38"/>
        <v>0.25243601792100273</v>
      </c>
      <c r="K31" s="318">
        <f t="shared" si="38"/>
        <v>0.26593045030362295</v>
      </c>
      <c r="L31" s="318">
        <f>K31</f>
        <v>0.26593045030362295</v>
      </c>
      <c r="M31" s="318">
        <f t="shared" ref="M31:O31" si="39">L31</f>
        <v>0.26593045030362295</v>
      </c>
      <c r="N31" s="318">
        <f t="shared" si="39"/>
        <v>0.26593045030362295</v>
      </c>
      <c r="O31" s="320">
        <f t="shared" si="39"/>
        <v>0.26593045030362295</v>
      </c>
    </row>
    <row r="32" spans="2:18" s="825" customFormat="1" ht="13.5" customHeight="1" x14ac:dyDescent="0.3">
      <c r="B32" s="310" t="s">
        <v>4403</v>
      </c>
      <c r="C32" s="318"/>
      <c r="D32" s="318"/>
      <c r="E32" s="318"/>
      <c r="F32" s="318">
        <f>F75/(F113+F174)</f>
        <v>0.30276709111602867</v>
      </c>
      <c r="G32" s="318">
        <f t="shared" ref="G32:H32" si="40">G75/(G113+G174)</f>
        <v>0.22708066829813323</v>
      </c>
      <c r="H32" s="318">
        <f t="shared" si="40"/>
        <v>0.22312067447587086</v>
      </c>
      <c r="I32" s="318"/>
      <c r="J32" s="318"/>
      <c r="K32" s="318"/>
      <c r="L32" s="318"/>
      <c r="M32" s="318"/>
      <c r="N32" s="318"/>
      <c r="O32" s="320"/>
    </row>
    <row r="33" spans="2:15" s="825" customFormat="1" ht="13.5" customHeight="1" x14ac:dyDescent="0.3">
      <c r="B33" s="310" t="s">
        <v>4404</v>
      </c>
      <c r="C33" s="318"/>
      <c r="D33" s="318"/>
      <c r="E33" s="318"/>
      <c r="F33" s="318">
        <f>F96/(F133+F194)</f>
        <v>1.0435364557041402</v>
      </c>
      <c r="G33" s="318">
        <f t="shared" ref="G33:H33" si="41">G96/(G133+G194)</f>
        <v>0.57334620205169384</v>
      </c>
      <c r="H33" s="318">
        <f t="shared" si="41"/>
        <v>0.29244934217945329</v>
      </c>
      <c r="I33" s="318"/>
      <c r="J33" s="318"/>
      <c r="K33" s="318"/>
      <c r="L33" s="318"/>
      <c r="M33" s="318"/>
      <c r="N33" s="318"/>
      <c r="O33" s="320"/>
    </row>
    <row r="34" spans="2:15" ht="13.5" customHeight="1" x14ac:dyDescent="0.3">
      <c r="B34" s="312"/>
      <c r="C34" s="326"/>
      <c r="D34" s="326"/>
      <c r="E34" s="326"/>
      <c r="F34" s="326"/>
      <c r="G34" s="326"/>
      <c r="H34" s="327"/>
      <c r="I34" s="327"/>
      <c r="J34" s="326"/>
      <c r="K34" s="326"/>
      <c r="L34" s="326"/>
      <c r="M34" s="326"/>
      <c r="N34" s="326"/>
      <c r="O34" s="328"/>
    </row>
    <row r="35" spans="2:15" s="825" customFormat="1" ht="13.5" customHeight="1" x14ac:dyDescent="0.3">
      <c r="B35" s="401"/>
      <c r="C35" s="318"/>
      <c r="D35" s="318"/>
      <c r="E35" s="318"/>
      <c r="F35" s="318"/>
      <c r="G35" s="318"/>
      <c r="H35" s="319"/>
      <c r="I35" s="319"/>
      <c r="J35" s="318"/>
      <c r="K35" s="318"/>
      <c r="L35" s="318"/>
      <c r="M35" s="318"/>
      <c r="N35" s="318"/>
      <c r="O35" s="318"/>
    </row>
    <row r="36" spans="2:15" s="825" customFormat="1" ht="13.5" customHeight="1" x14ac:dyDescent="0.3">
      <c r="B36" s="834" t="s">
        <v>4410</v>
      </c>
      <c r="C36" s="838"/>
      <c r="D36" s="838"/>
      <c r="E36" s="838"/>
      <c r="F36" s="838"/>
      <c r="G36" s="838"/>
      <c r="H36" s="838"/>
      <c r="I36" s="838"/>
      <c r="J36" s="838"/>
      <c r="K36" s="838"/>
      <c r="L36" s="838"/>
      <c r="M36" s="838"/>
      <c r="N36" s="838"/>
      <c r="O36" s="1617"/>
    </row>
    <row r="37" spans="2:15" s="825" customFormat="1" ht="13.5" customHeight="1" x14ac:dyDescent="0.3">
      <c r="B37" s="1628" t="str">
        <f>Des!$C$13</f>
        <v>KRW Millions</v>
      </c>
      <c r="C37" s="1596">
        <f>'Pro forma'!C$5</f>
        <v>2010</v>
      </c>
      <c r="D37" s="1596">
        <f>'Pro forma'!D$5</f>
        <v>2011</v>
      </c>
      <c r="E37" s="1596">
        <f>'Pro forma'!E$5</f>
        <v>2012</v>
      </c>
      <c r="F37" s="1596">
        <f>'Pro forma'!F$5</f>
        <v>2013</v>
      </c>
      <c r="G37" s="1596">
        <f>'Pro forma'!G$5</f>
        <v>2014</v>
      </c>
      <c r="H37" s="1597" t="str">
        <f>'Pro forma'!H$5</f>
        <v>2015/12A</v>
      </c>
      <c r="I37" s="1598" t="str">
        <f>'Pro forma'!I$5</f>
        <v>2015/0E</v>
      </c>
      <c r="J37" s="1596">
        <f>'Pro forma'!J$5</f>
        <v>2015</v>
      </c>
      <c r="K37" s="1599">
        <f>'Pro forma'!K$5</f>
        <v>2016</v>
      </c>
      <c r="L37" s="1599">
        <f>'Pro forma'!L$5</f>
        <v>2017</v>
      </c>
      <c r="M37" s="1599">
        <f>'Pro forma'!M$5</f>
        <v>2018</v>
      </c>
      <c r="N37" s="1599">
        <f>'Pro forma'!N$5</f>
        <v>2019</v>
      </c>
      <c r="O37" s="1618">
        <f>'Pro forma'!O$5</f>
        <v>2020</v>
      </c>
    </row>
    <row r="38" spans="2:15" s="825" customFormat="1" ht="13.5" customHeight="1" x14ac:dyDescent="0.3">
      <c r="B38" s="637" t="s">
        <v>4405</v>
      </c>
      <c r="C38" s="318"/>
      <c r="D38" s="1120"/>
      <c r="E38" s="1120"/>
      <c r="F38" s="1120">
        <f>F41+F44+F47</f>
        <v>130536.98430492192</v>
      </c>
      <c r="G38" s="1120">
        <f t="shared" ref="G38:O38" si="42">G41+G44+G47</f>
        <v>125595.43179980729</v>
      </c>
      <c r="H38" s="1120">
        <f t="shared" si="42"/>
        <v>121120.58255716311</v>
      </c>
      <c r="I38" s="1120"/>
      <c r="J38" s="1120">
        <f t="shared" si="42"/>
        <v>121120.58255716311</v>
      </c>
      <c r="K38" s="1120">
        <f t="shared" si="42"/>
        <v>132545.52770242278</v>
      </c>
      <c r="L38" s="1120">
        <f t="shared" si="42"/>
        <v>138547.69060891855</v>
      </c>
      <c r="M38" s="1120">
        <f t="shared" si="42"/>
        <v>143887.43065099744</v>
      </c>
      <c r="N38" s="1120">
        <f t="shared" si="42"/>
        <v>149668.30057523929</v>
      </c>
      <c r="O38" s="1655">
        <f t="shared" si="42"/>
        <v>155927.34589955592</v>
      </c>
    </row>
    <row r="39" spans="2:15" s="825" customFormat="1" ht="13.5" customHeight="1" x14ac:dyDescent="0.3">
      <c r="B39" s="863" t="s">
        <v>109</v>
      </c>
      <c r="C39" s="260"/>
      <c r="D39" s="260" t="e">
        <f>D38/C38-1</f>
        <v>#DIV/0!</v>
      </c>
      <c r="E39" s="260" t="e">
        <f>E38/D38-1</f>
        <v>#DIV/0!</v>
      </c>
      <c r="F39" s="260" t="e">
        <f t="shared" ref="F39:G39" si="43">F38/E38-1</f>
        <v>#DIV/0!</v>
      </c>
      <c r="G39" s="260">
        <f t="shared" si="43"/>
        <v>-3.7855574275958648E-2</v>
      </c>
      <c r="H39" s="260"/>
      <c r="I39" s="260"/>
      <c r="J39" s="260">
        <f>J38/G38-1</f>
        <v>-3.5629076460176212E-2</v>
      </c>
      <c r="K39" s="260">
        <f t="shared" ref="K39" si="44">K38/J38-1</f>
        <v>9.4327032648374498E-2</v>
      </c>
      <c r="L39" s="260">
        <f t="shared" ref="L39" si="45">L38/K38-1</f>
        <v>4.5283782942651785E-2</v>
      </c>
      <c r="M39" s="260">
        <f t="shared" ref="M39" si="46">M38/L38-1</f>
        <v>3.8540808717999475E-2</v>
      </c>
      <c r="N39" s="260">
        <f t="shared" ref="N39" si="47">N38/M38-1</f>
        <v>4.0176337141383023E-2</v>
      </c>
      <c r="O39" s="783">
        <f t="shared" ref="O39" si="48">O38/N38-1</f>
        <v>4.1819445402001776E-2</v>
      </c>
    </row>
    <row r="40" spans="2:15" s="825" customFormat="1" ht="13.5" customHeight="1" x14ac:dyDescent="0.3">
      <c r="B40" s="861" t="s">
        <v>133</v>
      </c>
      <c r="C40" s="182"/>
      <c r="D40" s="182">
        <f>D38/D$6</f>
        <v>0</v>
      </c>
      <c r="E40" s="182">
        <f t="shared" ref="E40:O40" si="49">E38/E$6</f>
        <v>0</v>
      </c>
      <c r="F40" s="182">
        <f t="shared" si="49"/>
        <v>0.61666150331080816</v>
      </c>
      <c r="G40" s="182">
        <f t="shared" si="49"/>
        <v>0.49876914810111705</v>
      </c>
      <c r="H40" s="182">
        <f t="shared" si="49"/>
        <v>0.56364484268247839</v>
      </c>
      <c r="I40" s="182"/>
      <c r="J40" s="182">
        <f t="shared" si="49"/>
        <v>0.56364484268247839</v>
      </c>
      <c r="K40" s="182">
        <f t="shared" si="49"/>
        <v>0.53519657941421583</v>
      </c>
      <c r="L40" s="182">
        <f t="shared" si="49"/>
        <v>0.54073294669035699</v>
      </c>
      <c r="M40" s="182">
        <f t="shared" si="49"/>
        <v>0.5423182184765668</v>
      </c>
      <c r="N40" s="182">
        <f t="shared" si="49"/>
        <v>0.5447818481035458</v>
      </c>
      <c r="O40" s="787">
        <f t="shared" si="49"/>
        <v>0.54774863252714823</v>
      </c>
    </row>
    <row r="41" spans="2:15" s="825" customFormat="1" ht="13.5" customHeight="1" x14ac:dyDescent="0.3">
      <c r="B41" s="1814" t="s">
        <v>4408</v>
      </c>
      <c r="C41" s="318"/>
      <c r="D41" s="1120"/>
      <c r="E41" s="1120"/>
      <c r="F41" s="1120">
        <f>F75</f>
        <v>30337.1978695</v>
      </c>
      <c r="G41" s="1120">
        <f>G75</f>
        <v>23242.395814</v>
      </c>
      <c r="H41" s="1120">
        <f>H75</f>
        <v>22094.717746999999</v>
      </c>
      <c r="I41" s="1120"/>
      <c r="J41" s="1120">
        <f t="shared" ref="J41:O41" si="50">J75</f>
        <v>22094.717746999999</v>
      </c>
      <c r="K41" s="1120">
        <f t="shared" si="50"/>
        <v>25977.718000000001</v>
      </c>
      <c r="L41" s="1120">
        <f t="shared" si="50"/>
        <v>27637.123714922345</v>
      </c>
      <c r="M41" s="1120">
        <f t="shared" si="50"/>
        <v>28702.28081353485</v>
      </c>
      <c r="N41" s="1120">
        <f t="shared" si="50"/>
        <v>29855.43332422608</v>
      </c>
      <c r="O41" s="1655">
        <f t="shared" si="50"/>
        <v>31103.970988081655</v>
      </c>
    </row>
    <row r="42" spans="2:15" s="825" customFormat="1" ht="13.5" customHeight="1" x14ac:dyDescent="0.3">
      <c r="B42" s="863" t="s">
        <v>109</v>
      </c>
      <c r="C42" s="318"/>
      <c r="D42" s="260" t="e">
        <f>D41/C41-1</f>
        <v>#DIV/0!</v>
      </c>
      <c r="E42" s="260" t="e">
        <f>E41/D41-1</f>
        <v>#DIV/0!</v>
      </c>
      <c r="F42" s="260" t="e">
        <f t="shared" ref="F42:G42" si="51">F41/E41-1</f>
        <v>#DIV/0!</v>
      </c>
      <c r="G42" s="260">
        <f t="shared" si="51"/>
        <v>-0.23386477834964703</v>
      </c>
      <c r="H42" s="260"/>
      <c r="I42" s="260"/>
      <c r="J42" s="260">
        <f>J41/G41-1</f>
        <v>-4.9378647372862461E-2</v>
      </c>
      <c r="K42" s="260">
        <f t="shared" ref="K42" si="52">K41/J41-1</f>
        <v>0.17574337438762866</v>
      </c>
      <c r="L42" s="260">
        <f t="shared" ref="L42" si="53">L41/K41-1</f>
        <v>6.3878040208240838E-2</v>
      </c>
      <c r="M42" s="260">
        <f t="shared" ref="M42" si="54">M41/L41-1</f>
        <v>3.8540808717999253E-2</v>
      </c>
      <c r="N42" s="260">
        <f t="shared" ref="N42" si="55">N41/M41-1</f>
        <v>4.0176337141383245E-2</v>
      </c>
      <c r="O42" s="783">
        <f t="shared" ref="O42" si="56">O41/N41-1</f>
        <v>4.1819445402001776E-2</v>
      </c>
    </row>
    <row r="43" spans="2:15" s="825" customFormat="1" ht="13.5" customHeight="1" x14ac:dyDescent="0.3">
      <c r="B43" s="861" t="s">
        <v>4411</v>
      </c>
      <c r="C43" s="318"/>
      <c r="D43" s="182" t="e">
        <f>D41/D$38</f>
        <v>#DIV/0!</v>
      </c>
      <c r="E43" s="182" t="e">
        <f t="shared" ref="E43:O43" si="57">E41/E$38</f>
        <v>#DIV/0!</v>
      </c>
      <c r="F43" s="182">
        <f t="shared" si="57"/>
        <v>0.23240308507997401</v>
      </c>
      <c r="G43" s="182">
        <f t="shared" si="57"/>
        <v>0.18505765282169809</v>
      </c>
      <c r="H43" s="182">
        <f t="shared" si="57"/>
        <v>0.18241918326781784</v>
      </c>
      <c r="I43" s="182"/>
      <c r="J43" s="182">
        <f t="shared" si="57"/>
        <v>0.18241918326781784</v>
      </c>
      <c r="K43" s="182">
        <f t="shared" si="57"/>
        <v>0.19599090554245202</v>
      </c>
      <c r="L43" s="182">
        <f t="shared" si="57"/>
        <v>0.19947733227062031</v>
      </c>
      <c r="M43" s="182">
        <f t="shared" si="57"/>
        <v>0.19947733227062028</v>
      </c>
      <c r="N43" s="182">
        <f t="shared" si="57"/>
        <v>0.19947733227062031</v>
      </c>
      <c r="O43" s="787">
        <f t="shared" si="57"/>
        <v>0.19947733227062028</v>
      </c>
    </row>
    <row r="44" spans="2:15" s="825" customFormat="1" ht="13.5" customHeight="1" x14ac:dyDescent="0.3">
      <c r="B44" s="1814" t="s">
        <v>4406</v>
      </c>
      <c r="C44" s="318"/>
      <c r="D44" s="1120"/>
      <c r="E44" s="1120"/>
      <c r="F44" s="1120">
        <f>F113</f>
        <v>32703.735044000001</v>
      </c>
      <c r="G44" s="1120">
        <f t="shared" ref="G44:O44" si="58">G113</f>
        <v>26138.876601073949</v>
      </c>
      <c r="H44" s="1120">
        <f t="shared" si="58"/>
        <v>18225.235499275146</v>
      </c>
      <c r="I44" s="1120"/>
      <c r="J44" s="1120">
        <f t="shared" si="58"/>
        <v>18225.235499275146</v>
      </c>
      <c r="K44" s="1120">
        <f t="shared" si="58"/>
        <v>22292.753331166663</v>
      </c>
      <c r="L44" s="1120">
        <f t="shared" si="58"/>
        <v>23095.958155147324</v>
      </c>
      <c r="M44" s="1120">
        <f t="shared" si="58"/>
        <v>23857.956749059744</v>
      </c>
      <c r="N44" s="1120">
        <f t="shared" si="58"/>
        <v>24649.932052897442</v>
      </c>
      <c r="O44" s="1655">
        <f t="shared" si="58"/>
        <v>25473.270564641403</v>
      </c>
    </row>
    <row r="45" spans="2:15" s="825" customFormat="1" ht="13.5" customHeight="1" x14ac:dyDescent="0.3">
      <c r="B45" s="863" t="s">
        <v>109</v>
      </c>
      <c r="C45" s="318"/>
      <c r="D45" s="260" t="e">
        <f>D44/C44-1</f>
        <v>#DIV/0!</v>
      </c>
      <c r="E45" s="260" t="e">
        <f>E44/D44-1</f>
        <v>#DIV/0!</v>
      </c>
      <c r="F45" s="260" t="e">
        <f t="shared" ref="F45:G45" si="59">F44/E44-1</f>
        <v>#DIV/0!</v>
      </c>
      <c r="G45" s="260">
        <f t="shared" si="59"/>
        <v>-0.20073726851363038</v>
      </c>
      <c r="H45" s="260"/>
      <c r="I45" s="260"/>
      <c r="J45" s="260">
        <f>J44/G44-1</f>
        <v>-0.30275368075587694</v>
      </c>
      <c r="K45" s="260">
        <f t="shared" ref="K45" si="60">K44/J44-1</f>
        <v>0.22318053624345713</v>
      </c>
      <c r="L45" s="260">
        <f t="shared" ref="L45" si="61">L44/K44-1</f>
        <v>3.6029861903945637E-2</v>
      </c>
      <c r="M45" s="260">
        <f t="shared" ref="M45" si="62">M44/L44-1</f>
        <v>3.2992724908561311E-2</v>
      </c>
      <c r="N45" s="260">
        <f t="shared" ref="N45" si="63">N44/M44-1</f>
        <v>3.3195437151964491E-2</v>
      </c>
      <c r="O45" s="783">
        <f t="shared" ref="O45" si="64">O44/N44-1</f>
        <v>3.3401248732739752E-2</v>
      </c>
    </row>
    <row r="46" spans="2:15" s="825" customFormat="1" ht="13.5" customHeight="1" x14ac:dyDescent="0.3">
      <c r="B46" s="861" t="s">
        <v>4411</v>
      </c>
      <c r="C46" s="318"/>
      <c r="D46" s="182" t="e">
        <f>D44/D$38</f>
        <v>#DIV/0!</v>
      </c>
      <c r="E46" s="182" t="e">
        <f t="shared" ref="E46:O46" si="65">E44/E$38</f>
        <v>#DIV/0!</v>
      </c>
      <c r="F46" s="182">
        <f t="shared" si="65"/>
        <v>0.25053233164638766</v>
      </c>
      <c r="G46" s="182">
        <f t="shared" si="65"/>
        <v>0.20811964437319649</v>
      </c>
      <c r="H46" s="182">
        <f t="shared" si="65"/>
        <v>0.15047182827636837</v>
      </c>
      <c r="I46" s="182"/>
      <c r="J46" s="182">
        <f t="shared" si="65"/>
        <v>0.15047182827636837</v>
      </c>
      <c r="K46" s="182">
        <f t="shared" si="65"/>
        <v>0.16818940418130138</v>
      </c>
      <c r="L46" s="182">
        <f t="shared" si="65"/>
        <v>0.16670041957134288</v>
      </c>
      <c r="M46" s="182">
        <f t="shared" si="65"/>
        <v>0.16580987401830682</v>
      </c>
      <c r="N46" s="182">
        <f t="shared" si="65"/>
        <v>0.16469707986365323</v>
      </c>
      <c r="O46" s="787">
        <f t="shared" si="65"/>
        <v>0.16336628073596904</v>
      </c>
    </row>
    <row r="47" spans="2:15" s="825" customFormat="1" ht="13.5" customHeight="1" x14ac:dyDescent="0.3">
      <c r="B47" s="1814" t="s">
        <v>4407</v>
      </c>
      <c r="C47" s="318"/>
      <c r="D47" s="1120"/>
      <c r="E47" s="1120"/>
      <c r="F47" s="1120">
        <f>F174</f>
        <v>67496.051391421919</v>
      </c>
      <c r="G47" s="1120">
        <f t="shared" ref="G47:O47" si="66">G174</f>
        <v>76214.159384733342</v>
      </c>
      <c r="H47" s="1120">
        <f t="shared" si="66"/>
        <v>80800.629310887962</v>
      </c>
      <c r="I47" s="1120"/>
      <c r="J47" s="1120">
        <f t="shared" si="66"/>
        <v>80800.629310887962</v>
      </c>
      <c r="K47" s="1120">
        <f t="shared" si="66"/>
        <v>84275.056371256127</v>
      </c>
      <c r="L47" s="1120">
        <f t="shared" si="66"/>
        <v>87814.608738848896</v>
      </c>
      <c r="M47" s="1120">
        <f t="shared" si="66"/>
        <v>91327.193088402855</v>
      </c>
      <c r="N47" s="1120">
        <f t="shared" si="66"/>
        <v>95162.935198115782</v>
      </c>
      <c r="O47" s="1655">
        <f t="shared" si="66"/>
        <v>99350.104346832857</v>
      </c>
    </row>
    <row r="48" spans="2:15" s="825" customFormat="1" ht="13.5" customHeight="1" x14ac:dyDescent="0.3">
      <c r="B48" s="863" t="s">
        <v>109</v>
      </c>
      <c r="C48" s="318"/>
      <c r="D48" s="260" t="e">
        <f>D47/C47-1</f>
        <v>#DIV/0!</v>
      </c>
      <c r="E48" s="260" t="e">
        <f>E47/D47-1</f>
        <v>#DIV/0!</v>
      </c>
      <c r="F48" s="260" t="e">
        <f t="shared" ref="F48:G48" si="67">F47/E47-1</f>
        <v>#DIV/0!</v>
      </c>
      <c r="G48" s="260">
        <f t="shared" si="67"/>
        <v>0.12916471132145979</v>
      </c>
      <c r="H48" s="260"/>
      <c r="I48" s="260"/>
      <c r="J48" s="260">
        <f>J47/G47-1</f>
        <v>6.0178711714208744E-2</v>
      </c>
      <c r="K48" s="260">
        <f t="shared" ref="K48" si="68">K47/J47-1</f>
        <v>4.2999999999999705E-2</v>
      </c>
      <c r="L48" s="260">
        <f t="shared" ref="L48" si="69">L47/K47-1</f>
        <v>4.2000000000000037E-2</v>
      </c>
      <c r="M48" s="260">
        <f t="shared" ref="M48" si="70">M47/L47-1</f>
        <v>4.0000000000000036E-2</v>
      </c>
      <c r="N48" s="260">
        <f t="shared" ref="N48" si="71">N47/M47-1</f>
        <v>4.2000000000000037E-2</v>
      </c>
      <c r="O48" s="783">
        <f t="shared" ref="O48" si="72">O47/N47-1</f>
        <v>4.3999999999999817E-2</v>
      </c>
    </row>
    <row r="49" spans="2:15" s="825" customFormat="1" ht="13.5" customHeight="1" x14ac:dyDescent="0.3">
      <c r="B49" s="861" t="s">
        <v>4411</v>
      </c>
      <c r="C49" s="318"/>
      <c r="D49" s="182">
        <f>D47/D$6</f>
        <v>0</v>
      </c>
      <c r="E49" s="182">
        <f t="shared" ref="E49:O49" si="73">E47/E$6</f>
        <v>0</v>
      </c>
      <c r="F49" s="182">
        <f t="shared" si="73"/>
        <v>0.31885382323029837</v>
      </c>
      <c r="G49" s="182">
        <f t="shared" si="73"/>
        <v>0.30266444252651975</v>
      </c>
      <c r="H49" s="182">
        <f t="shared" si="73"/>
        <v>0.37601254085024444</v>
      </c>
      <c r="I49" s="182"/>
      <c r="J49" s="182">
        <f t="shared" si="73"/>
        <v>0.37601254085024444</v>
      </c>
      <c r="K49" s="182">
        <f t="shared" si="73"/>
        <v>0.34028852336005339</v>
      </c>
      <c r="L49" s="182">
        <f t="shared" si="73"/>
        <v>0.34272857192440204</v>
      </c>
      <c r="M49" s="182">
        <f t="shared" si="73"/>
        <v>0.34421631152967369</v>
      </c>
      <c r="N49" s="182">
        <f t="shared" si="73"/>
        <v>0.34638623882901393</v>
      </c>
      <c r="O49" s="787">
        <f t="shared" si="73"/>
        <v>0.34900153968157915</v>
      </c>
    </row>
    <row r="50" spans="2:15" s="825" customFormat="1" ht="13.5" customHeight="1" x14ac:dyDescent="0.3">
      <c r="B50" s="637" t="s">
        <v>4409</v>
      </c>
      <c r="C50" s="318"/>
      <c r="D50" s="1120"/>
      <c r="E50" s="1120"/>
      <c r="F50" s="1120">
        <f>F53+F56+F59</f>
        <v>81146.384292078073</v>
      </c>
      <c r="G50" s="1120">
        <f t="shared" ref="G50:O50" si="74">G53+G56+G59</f>
        <v>126215.31527219273</v>
      </c>
      <c r="H50" s="1120">
        <f t="shared" si="74"/>
        <v>93767.540929836905</v>
      </c>
      <c r="I50" s="1120"/>
      <c r="J50" s="1120">
        <f t="shared" si="74"/>
        <v>93767.540929836905</v>
      </c>
      <c r="K50" s="1120">
        <f t="shared" si="74"/>
        <v>115112.12333768047</v>
      </c>
      <c r="L50" s="1120">
        <f t="shared" si="74"/>
        <v>117674.33443490755</v>
      </c>
      <c r="M50" s="1120">
        <f t="shared" si="74"/>
        <v>121431.75972249491</v>
      </c>
      <c r="N50" s="1120">
        <f t="shared" si="74"/>
        <v>125062.40327668509</v>
      </c>
      <c r="O50" s="1655">
        <f t="shared" si="74"/>
        <v>128742.18431935826</v>
      </c>
    </row>
    <row r="51" spans="2:15" s="825" customFormat="1" ht="13.5" customHeight="1" x14ac:dyDescent="0.3">
      <c r="B51" s="863" t="s">
        <v>109</v>
      </c>
      <c r="C51" s="260"/>
      <c r="D51" s="260" t="e">
        <f>D50/C50-1</f>
        <v>#DIV/0!</v>
      </c>
      <c r="E51" s="260" t="e">
        <f>E50/D50-1</f>
        <v>#DIV/0!</v>
      </c>
      <c r="F51" s="260" t="e">
        <f t="shared" ref="F51:G51" si="75">F50/E50-1</f>
        <v>#DIV/0!</v>
      </c>
      <c r="G51" s="260">
        <f t="shared" si="75"/>
        <v>0.55540282383862816</v>
      </c>
      <c r="H51" s="260"/>
      <c r="I51" s="260"/>
      <c r="J51" s="260">
        <f>J50/G50-1</f>
        <v>-0.25708270246269072</v>
      </c>
      <c r="K51" s="260">
        <f t="shared" ref="K51" si="76">K50/J50-1</f>
        <v>0.22763295481764856</v>
      </c>
      <c r="L51" s="260">
        <f t="shared" ref="L51" si="77">L50/K50-1</f>
        <v>2.2258394884358434E-2</v>
      </c>
      <c r="M51" s="260">
        <f t="shared" ref="M51" si="78">M50/L50-1</f>
        <v>3.1930712042104847E-2</v>
      </c>
      <c r="N51" s="260">
        <f t="shared" ref="N51" si="79">N50/M50-1</f>
        <v>2.9898632470510167E-2</v>
      </c>
      <c r="O51" s="783">
        <f t="shared" ref="O51" si="80">O50/N50-1</f>
        <v>2.9423559329274207E-2</v>
      </c>
    </row>
    <row r="52" spans="2:15" s="825" customFormat="1" ht="13.5" customHeight="1" x14ac:dyDescent="0.3">
      <c r="B52" s="861" t="s">
        <v>133</v>
      </c>
      <c r="C52" s="182"/>
      <c r="D52" s="182">
        <f>D50/D$6</f>
        <v>0</v>
      </c>
      <c r="E52" s="182">
        <f t="shared" ref="E52:O52" si="81">E50/E$6</f>
        <v>0</v>
      </c>
      <c r="F52" s="182">
        <f t="shared" si="81"/>
        <v>0.38333849668919195</v>
      </c>
      <c r="G52" s="182">
        <f t="shared" si="81"/>
        <v>0.50123085189888306</v>
      </c>
      <c r="H52" s="182">
        <f t="shared" si="81"/>
        <v>0.43635515731752167</v>
      </c>
      <c r="I52" s="182"/>
      <c r="J52" s="182">
        <f t="shared" si="81"/>
        <v>0.43635515731752167</v>
      </c>
      <c r="K52" s="182">
        <f t="shared" si="81"/>
        <v>0.46480342058578411</v>
      </c>
      <c r="L52" s="182">
        <f t="shared" si="81"/>
        <v>0.4592670533096429</v>
      </c>
      <c r="M52" s="182">
        <f t="shared" si="81"/>
        <v>0.4576817815234332</v>
      </c>
      <c r="N52" s="182">
        <f t="shared" si="81"/>
        <v>0.45521815189645415</v>
      </c>
      <c r="O52" s="787">
        <f t="shared" si="81"/>
        <v>0.45225136747285188</v>
      </c>
    </row>
    <row r="53" spans="2:15" s="825" customFormat="1" ht="13.5" customHeight="1" x14ac:dyDescent="0.3">
      <c r="B53" s="1814" t="s">
        <v>4408</v>
      </c>
      <c r="C53" s="318"/>
      <c r="D53" s="1120"/>
      <c r="E53" s="1120"/>
      <c r="F53" s="1120">
        <f>F96</f>
        <v>41437.582393500001</v>
      </c>
      <c r="G53" s="1120">
        <f t="shared" ref="G53:O53" si="82">G96</f>
        <v>45994.372731000003</v>
      </c>
      <c r="H53" s="1120">
        <f t="shared" si="82"/>
        <v>21217.276969999999</v>
      </c>
      <c r="I53" s="1120"/>
      <c r="J53" s="1120">
        <f t="shared" si="82"/>
        <v>21217.276969999999</v>
      </c>
      <c r="K53" s="1120">
        <f t="shared" si="82"/>
        <v>26047.028419865539</v>
      </c>
      <c r="L53" s="1120">
        <f t="shared" si="82"/>
        <v>26626.79346399902</v>
      </c>
      <c r="M53" s="1120">
        <f t="shared" si="82"/>
        <v>27477.005938702572</v>
      </c>
      <c r="N53" s="1120">
        <f t="shared" si="82"/>
        <v>28298.530840653861</v>
      </c>
      <c r="O53" s="1655">
        <f t="shared" si="82"/>
        <v>29131.174341775142</v>
      </c>
    </row>
    <row r="54" spans="2:15" s="825" customFormat="1" ht="13.5" customHeight="1" x14ac:dyDescent="0.3">
      <c r="B54" s="863" t="s">
        <v>109</v>
      </c>
      <c r="C54" s="318"/>
      <c r="D54" s="260" t="e">
        <f>D53/C53-1</f>
        <v>#DIV/0!</v>
      </c>
      <c r="E54" s="260" t="e">
        <f>E53/D53-1</f>
        <v>#DIV/0!</v>
      </c>
      <c r="F54" s="260" t="e">
        <f t="shared" ref="F54:G54" si="83">F53/E53-1</f>
        <v>#DIV/0!</v>
      </c>
      <c r="G54" s="260">
        <f t="shared" si="83"/>
        <v>0.109967572292895</v>
      </c>
      <c r="H54" s="260"/>
      <c r="I54" s="260"/>
      <c r="J54" s="260">
        <f>J53/G53-1</f>
        <v>-0.53869841656304085</v>
      </c>
      <c r="K54" s="260">
        <f t="shared" ref="K54" si="84">K53/J53-1</f>
        <v>0.22763295481764834</v>
      </c>
      <c r="L54" s="260">
        <f t="shared" ref="L54" si="85">L53/K53-1</f>
        <v>2.2258394884358657E-2</v>
      </c>
      <c r="M54" s="260">
        <f t="shared" ref="M54" si="86">M53/L53-1</f>
        <v>3.1930712042104847E-2</v>
      </c>
      <c r="N54" s="260">
        <f t="shared" ref="N54" si="87">N53/M53-1</f>
        <v>2.9898632470509945E-2</v>
      </c>
      <c r="O54" s="783">
        <f t="shared" ref="O54" si="88">O53/N53-1</f>
        <v>2.9423559329274429E-2</v>
      </c>
    </row>
    <row r="55" spans="2:15" s="825" customFormat="1" ht="13.5" customHeight="1" x14ac:dyDescent="0.3">
      <c r="B55" s="861" t="s">
        <v>4412</v>
      </c>
      <c r="C55" s="318"/>
      <c r="D55" s="182" t="e">
        <f>D53/D$50</f>
        <v>#DIV/0!</v>
      </c>
      <c r="E55" s="182" t="e">
        <f t="shared" ref="E55:O55" si="89">E53/E$50</f>
        <v>#DIV/0!</v>
      </c>
      <c r="F55" s="182">
        <f t="shared" si="89"/>
        <v>0.51065223367623724</v>
      </c>
      <c r="G55" s="182">
        <f t="shared" si="89"/>
        <v>0.36441197830714689</v>
      </c>
      <c r="H55" s="182">
        <f t="shared" si="89"/>
        <v>0.22627528417190948</v>
      </c>
      <c r="I55" s="182"/>
      <c r="J55" s="182">
        <f t="shared" si="89"/>
        <v>0.22627528417190948</v>
      </c>
      <c r="K55" s="182">
        <f t="shared" si="89"/>
        <v>0.22627528417190945</v>
      </c>
      <c r="L55" s="182">
        <f t="shared" si="89"/>
        <v>0.22627528417190948</v>
      </c>
      <c r="M55" s="182">
        <f t="shared" si="89"/>
        <v>0.22627528417190951</v>
      </c>
      <c r="N55" s="182">
        <f t="shared" si="89"/>
        <v>0.22627528417190948</v>
      </c>
      <c r="O55" s="787">
        <f t="shared" si="89"/>
        <v>0.22627528417190951</v>
      </c>
    </row>
    <row r="56" spans="2:15" s="825" customFormat="1" ht="13.5" customHeight="1" x14ac:dyDescent="0.3">
      <c r="B56" s="1814" t="s">
        <v>4413</v>
      </c>
      <c r="C56" s="318"/>
      <c r="D56" s="1120"/>
      <c r="E56" s="1120"/>
      <c r="F56" s="1120">
        <f>F133</f>
        <v>27541.493975000001</v>
      </c>
      <c r="G56" s="1120">
        <f t="shared" ref="G56:O56" si="90">G133</f>
        <v>64841.303733926063</v>
      </c>
      <c r="H56" s="1120">
        <f t="shared" si="90"/>
        <v>57988.832913724844</v>
      </c>
      <c r="I56" s="1120"/>
      <c r="J56" s="1120">
        <f t="shared" si="90"/>
        <v>57988.832913724844</v>
      </c>
      <c r="K56" s="1120">
        <f t="shared" si="90"/>
        <v>74079.521565217394</v>
      </c>
      <c r="L56" s="1120">
        <f t="shared" si="90"/>
        <v>75672.92799842573</v>
      </c>
      <c r="M56" s="1120">
        <f t="shared" si="90"/>
        <v>78207.28844068553</v>
      </c>
      <c r="N56" s="1120">
        <f t="shared" si="90"/>
        <v>80676.838616848778</v>
      </c>
      <c r="O56" s="1655">
        <f t="shared" si="90"/>
        <v>83177.085440463765</v>
      </c>
    </row>
    <row r="57" spans="2:15" s="825" customFormat="1" ht="13.5" customHeight="1" x14ac:dyDescent="0.3">
      <c r="B57" s="863" t="s">
        <v>109</v>
      </c>
      <c r="C57" s="318"/>
      <c r="D57" s="260" t="e">
        <f>D56/C56-1</f>
        <v>#DIV/0!</v>
      </c>
      <c r="E57" s="260" t="e">
        <f>E56/D56-1</f>
        <v>#DIV/0!</v>
      </c>
      <c r="F57" s="260" t="e">
        <f t="shared" ref="F57:G57" si="91">F56/E56-1</f>
        <v>#DIV/0!</v>
      </c>
      <c r="G57" s="260">
        <f t="shared" si="91"/>
        <v>1.3543132334354806</v>
      </c>
      <c r="H57" s="260"/>
      <c r="I57" s="260"/>
      <c r="J57" s="260">
        <f>J56/G56-1</f>
        <v>-0.10568064529239085</v>
      </c>
      <c r="K57" s="260">
        <f t="shared" ref="K57" si="92">K56/J56-1</f>
        <v>0.27747909111107827</v>
      </c>
      <c r="L57" s="260">
        <f t="shared" ref="L57" si="93">L56/K56-1</f>
        <v>2.1509405022352324E-2</v>
      </c>
      <c r="M57" s="260">
        <f t="shared" ref="M57" si="94">M56/L56-1</f>
        <v>3.3490978997304355E-2</v>
      </c>
      <c r="N57" s="260">
        <f t="shared" ref="N57" si="95">N56/M56-1</f>
        <v>3.1576982470581605E-2</v>
      </c>
      <c r="O57" s="783">
        <f t="shared" ref="O57" si="96">O56/N56-1</f>
        <v>3.0990887427917002E-2</v>
      </c>
    </row>
    <row r="58" spans="2:15" s="825" customFormat="1" ht="13.5" customHeight="1" x14ac:dyDescent="0.3">
      <c r="B58" s="861" t="s">
        <v>4412</v>
      </c>
      <c r="C58" s="318"/>
      <c r="D58" s="182" t="e">
        <f>D56/D$50</f>
        <v>#DIV/0!</v>
      </c>
      <c r="E58" s="182" t="e">
        <f t="shared" ref="E58:O58" si="97">E56/E$50</f>
        <v>#DIV/0!</v>
      </c>
      <c r="F58" s="182">
        <f t="shared" si="97"/>
        <v>0.33940506672321002</v>
      </c>
      <c r="G58" s="182">
        <f t="shared" si="97"/>
        <v>0.51373562387489158</v>
      </c>
      <c r="H58" s="182">
        <f t="shared" si="97"/>
        <v>0.61843184047149036</v>
      </c>
      <c r="I58" s="182"/>
      <c r="J58" s="182">
        <f t="shared" si="97"/>
        <v>0.61843184047149036</v>
      </c>
      <c r="K58" s="182">
        <f t="shared" si="97"/>
        <v>0.64354230829280878</v>
      </c>
      <c r="L58" s="182">
        <f t="shared" si="97"/>
        <v>0.64307079671892931</v>
      </c>
      <c r="M58" s="182">
        <f t="shared" si="97"/>
        <v>0.6440431121101331</v>
      </c>
      <c r="N58" s="182">
        <f t="shared" si="97"/>
        <v>0.64509266176791169</v>
      </c>
      <c r="O58" s="787">
        <f t="shared" si="97"/>
        <v>0.64607483460226545</v>
      </c>
    </row>
    <row r="59" spans="2:15" s="825" customFormat="1" ht="13.5" customHeight="1" x14ac:dyDescent="0.3">
      <c r="B59" s="1814" t="s">
        <v>4407</v>
      </c>
      <c r="C59" s="318"/>
      <c r="D59" s="1120"/>
      <c r="E59" s="1120"/>
      <c r="F59" s="1120">
        <f>F194</f>
        <v>12167.307923578079</v>
      </c>
      <c r="G59" s="1120">
        <f t="shared" ref="G59:O59" si="98">G194</f>
        <v>15379.638807266663</v>
      </c>
      <c r="H59" s="1120">
        <f t="shared" si="98"/>
        <v>14561.43104611206</v>
      </c>
      <c r="I59" s="1120"/>
      <c r="J59" s="1120">
        <f t="shared" si="98"/>
        <v>14561.43104611206</v>
      </c>
      <c r="K59" s="1120">
        <f t="shared" si="98"/>
        <v>14985.57335259753</v>
      </c>
      <c r="L59" s="1120">
        <f t="shared" si="98"/>
        <v>15374.612972482793</v>
      </c>
      <c r="M59" s="1120">
        <f t="shared" si="98"/>
        <v>15747.465343106815</v>
      </c>
      <c r="N59" s="1120">
        <f t="shared" si="98"/>
        <v>16087.033819182447</v>
      </c>
      <c r="O59" s="1655">
        <f t="shared" si="98"/>
        <v>16433.924537119357</v>
      </c>
    </row>
    <row r="60" spans="2:15" s="825" customFormat="1" ht="13.5" customHeight="1" x14ac:dyDescent="0.3">
      <c r="B60" s="863" t="s">
        <v>109</v>
      </c>
      <c r="C60" s="318"/>
      <c r="D60" s="260" t="e">
        <f>D59/C59-1</f>
        <v>#DIV/0!</v>
      </c>
      <c r="E60" s="260" t="e">
        <f>E59/D59-1</f>
        <v>#DIV/0!</v>
      </c>
      <c r="F60" s="260" t="e">
        <f t="shared" ref="F60:G60" si="99">F59/E59-1</f>
        <v>#DIV/0!</v>
      </c>
      <c r="G60" s="260">
        <f t="shared" si="99"/>
        <v>0.26401328082308639</v>
      </c>
      <c r="H60" s="260"/>
      <c r="I60" s="260"/>
      <c r="J60" s="260">
        <f>J59/G59-1</f>
        <v>-5.3200713710390368E-2</v>
      </c>
      <c r="K60" s="260">
        <f t="shared" ref="K60" si="100">K59/J59-1</f>
        <v>2.912779006007904E-2</v>
      </c>
      <c r="L60" s="260">
        <f t="shared" ref="L60" si="101">L59/K59-1</f>
        <v>2.5960943284017102E-2</v>
      </c>
      <c r="M60" s="260">
        <f t="shared" ref="M60" si="102">M59/L59-1</f>
        <v>2.4251171154119122E-2</v>
      </c>
      <c r="N60" s="260">
        <f t="shared" ref="N60" si="103">N59/M59-1</f>
        <v>2.1563373449446699E-2</v>
      </c>
      <c r="O60" s="783">
        <f t="shared" ref="O60" si="104">O59/N59-1</f>
        <v>2.1563373449446699E-2</v>
      </c>
    </row>
    <row r="61" spans="2:15" s="825" customFormat="1" ht="13.5" customHeight="1" x14ac:dyDescent="0.3">
      <c r="B61" s="861" t="s">
        <v>4412</v>
      </c>
      <c r="C61" s="318"/>
      <c r="D61" s="182" t="e">
        <f>D59/D$50</f>
        <v>#DIV/0!</v>
      </c>
      <c r="E61" s="182" t="e">
        <f t="shared" ref="E61:O61" si="105">E59/E$50</f>
        <v>#DIV/0!</v>
      </c>
      <c r="F61" s="182">
        <f t="shared" si="105"/>
        <v>0.14994269960055279</v>
      </c>
      <c r="G61" s="182">
        <f t="shared" si="105"/>
        <v>0.12185239781796152</v>
      </c>
      <c r="H61" s="182">
        <f t="shared" si="105"/>
        <v>0.15529287535660011</v>
      </c>
      <c r="I61" s="182"/>
      <c r="J61" s="182">
        <f t="shared" si="105"/>
        <v>0.15529287535660011</v>
      </c>
      <c r="K61" s="182">
        <f t="shared" si="105"/>
        <v>0.13018240753528168</v>
      </c>
      <c r="L61" s="182">
        <f t="shared" si="105"/>
        <v>0.13065391910916119</v>
      </c>
      <c r="M61" s="182">
        <f t="shared" si="105"/>
        <v>0.12968160371795748</v>
      </c>
      <c r="N61" s="182">
        <f t="shared" si="105"/>
        <v>0.12863205406017886</v>
      </c>
      <c r="O61" s="787">
        <f t="shared" si="105"/>
        <v>0.12764988122582505</v>
      </c>
    </row>
    <row r="62" spans="2:15" s="825" customFormat="1" ht="13.5" customHeight="1" x14ac:dyDescent="0.3">
      <c r="B62" s="640"/>
      <c r="C62" s="1815"/>
      <c r="D62" s="1815"/>
      <c r="E62" s="1815"/>
      <c r="F62" s="1815"/>
      <c r="G62" s="1815"/>
      <c r="H62" s="1816"/>
      <c r="I62" s="1816"/>
      <c r="J62" s="1815"/>
      <c r="K62" s="1815"/>
      <c r="L62" s="1815"/>
      <c r="M62" s="1815"/>
      <c r="N62" s="1815"/>
      <c r="O62" s="1817"/>
    </row>
    <row r="63" spans="2:15" s="825" customFormat="1" ht="13.5" customHeight="1" x14ac:dyDescent="0.3">
      <c r="B63" s="401"/>
      <c r="C63" s="318"/>
      <c r="D63" s="318"/>
      <c r="E63" s="318"/>
      <c r="F63" s="318"/>
      <c r="G63" s="318"/>
      <c r="H63" s="319"/>
      <c r="I63" s="319"/>
      <c r="J63" s="318"/>
      <c r="K63" s="318"/>
      <c r="L63" s="318"/>
      <c r="M63" s="318"/>
      <c r="N63" s="318"/>
      <c r="O63" s="318"/>
    </row>
    <row r="64" spans="2:15" s="825" customFormat="1" ht="13.5" customHeight="1" x14ac:dyDescent="0.3">
      <c r="B64" s="401" t="s">
        <v>3843</v>
      </c>
      <c r="C64" s="318"/>
      <c r="D64" s="318"/>
      <c r="E64" s="318"/>
      <c r="F64" s="318"/>
      <c r="G64" s="318"/>
      <c r="H64" s="319"/>
      <c r="I64" s="319"/>
      <c r="J64" s="318"/>
      <c r="K64" s="318"/>
      <c r="L64" s="318"/>
      <c r="M64" s="318"/>
      <c r="N64" s="318"/>
      <c r="O64" s="318"/>
    </row>
    <row r="65" spans="2:15" s="825" customFormat="1" ht="13.5" customHeight="1" x14ac:dyDescent="0.3">
      <c r="B65" s="401"/>
      <c r="C65" s="318"/>
      <c r="D65" s="318"/>
      <c r="E65" s="318"/>
      <c r="F65" s="318"/>
      <c r="G65" s="318"/>
      <c r="H65" s="319"/>
      <c r="I65" s="319"/>
      <c r="J65" s="318"/>
      <c r="K65" s="318"/>
      <c r="L65" s="318"/>
      <c r="M65" s="318"/>
      <c r="N65" s="318"/>
      <c r="O65" s="318"/>
    </row>
    <row r="66" spans="2:15" s="825" customFormat="1" ht="13.5" customHeight="1" x14ac:dyDescent="0.3">
      <c r="B66" s="1693" t="s">
        <v>3848</v>
      </c>
      <c r="C66" s="1703"/>
      <c r="D66" s="1703"/>
      <c r="E66" s="1703"/>
      <c r="F66" s="1703"/>
      <c r="G66" s="1703"/>
      <c r="H66" s="1704"/>
      <c r="I66" s="1704"/>
      <c r="J66" s="1703"/>
      <c r="K66" s="1703"/>
      <c r="L66" s="1703"/>
      <c r="M66" s="1703"/>
      <c r="N66" s="1703"/>
      <c r="O66" s="1705"/>
    </row>
    <row r="67" spans="2:15" s="825" customFormat="1" ht="13.5" customHeight="1" x14ac:dyDescent="0.3">
      <c r="B67" s="1699" t="s">
        <v>3849</v>
      </c>
      <c r="C67" s="1706"/>
      <c r="D67" s="1706"/>
      <c r="E67" s="1706"/>
      <c r="F67" s="1706"/>
      <c r="G67" s="1706"/>
      <c r="H67" s="1707"/>
      <c r="I67" s="1707"/>
      <c r="J67" s="1706"/>
      <c r="K67" s="1706"/>
      <c r="L67" s="1706"/>
      <c r="M67" s="1706"/>
      <c r="N67" s="1706"/>
      <c r="O67" s="1708"/>
    </row>
    <row r="69" spans="2:15" ht="13.5" customHeight="1" x14ac:dyDescent="0.3">
      <c r="B69" s="834" t="s">
        <v>3794</v>
      </c>
      <c r="C69" s="838"/>
      <c r="D69" s="838"/>
      <c r="E69" s="838"/>
      <c r="F69" s="838"/>
      <c r="G69" s="838"/>
      <c r="H69" s="838"/>
      <c r="I69" s="838"/>
      <c r="J69" s="838"/>
      <c r="K69" s="838"/>
      <c r="L69" s="838"/>
      <c r="M69" s="838"/>
      <c r="N69" s="838"/>
      <c r="O69" s="1617"/>
    </row>
    <row r="70" spans="2:15" ht="13.5" customHeight="1" x14ac:dyDescent="0.3">
      <c r="B70" s="1628" t="str">
        <f>Des!$C$13</f>
        <v>KRW Millions</v>
      </c>
      <c r="C70" s="1596">
        <f>'Pro forma'!C$5</f>
        <v>2010</v>
      </c>
      <c r="D70" s="1596">
        <f>'Pro forma'!D$5</f>
        <v>2011</v>
      </c>
      <c r="E70" s="1596">
        <f>'Pro forma'!E$5</f>
        <v>2012</v>
      </c>
      <c r="F70" s="1596">
        <f>'Pro forma'!F$5</f>
        <v>2013</v>
      </c>
      <c r="G70" s="1596">
        <f>'Pro forma'!G$5</f>
        <v>2014</v>
      </c>
      <c r="H70" s="1597" t="str">
        <f>'Pro forma'!H$5</f>
        <v>2015/12A</v>
      </c>
      <c r="I70" s="1598" t="str">
        <f>'Pro forma'!I$5</f>
        <v>2015/0E</v>
      </c>
      <c r="J70" s="1596">
        <f>'Pro forma'!J$5</f>
        <v>2015</v>
      </c>
      <c r="K70" s="1599">
        <f>'Pro forma'!K$5</f>
        <v>2016</v>
      </c>
      <c r="L70" s="1599">
        <f>'Pro forma'!L$5</f>
        <v>2017</v>
      </c>
      <c r="M70" s="1599">
        <f>'Pro forma'!M$5</f>
        <v>2018</v>
      </c>
      <c r="N70" s="1599">
        <f>'Pro forma'!N$5</f>
        <v>2019</v>
      </c>
      <c r="O70" s="1618">
        <f>'Pro forma'!O$5</f>
        <v>2020</v>
      </c>
    </row>
    <row r="71" spans="2:15" ht="13.5" customHeight="1" x14ac:dyDescent="0.3">
      <c r="B71" s="1632" t="s">
        <v>2885</v>
      </c>
      <c r="C71" s="1120">
        <f>IS!J8</f>
        <v>28667.764768000001</v>
      </c>
      <c r="D71" s="1120">
        <f>IS!K8</f>
        <v>33818.960225000003</v>
      </c>
      <c r="E71" s="1120">
        <f>IS!L8</f>
        <v>72895.967908999999</v>
      </c>
      <c r="F71" s="1120">
        <f>IS!M8</f>
        <v>71774.780262999993</v>
      </c>
      <c r="G71" s="1120">
        <f>IS!N8</f>
        <v>69236.768544999999</v>
      </c>
      <c r="H71" s="1120">
        <f>H75+H96</f>
        <v>43311.994716999994</v>
      </c>
      <c r="I71" s="1120"/>
      <c r="J71" s="1120">
        <f>J75+J96</f>
        <v>43311.994716999994</v>
      </c>
      <c r="K71" s="1120">
        <f t="shared" ref="K71:O71" si="106">K75+K96</f>
        <v>52024.746419865536</v>
      </c>
      <c r="L71" s="1120">
        <f t="shared" si="106"/>
        <v>54263.917178921365</v>
      </c>
      <c r="M71" s="1120">
        <f t="shared" si="106"/>
        <v>56179.286752237422</v>
      </c>
      <c r="N71" s="1120">
        <f t="shared" si="106"/>
        <v>58153.964164879944</v>
      </c>
      <c r="O71" s="1655">
        <f t="shared" si="106"/>
        <v>60235.145329856794</v>
      </c>
    </row>
    <row r="72" spans="2:15" ht="13.5" customHeight="1" x14ac:dyDescent="0.3">
      <c r="B72" s="863" t="s">
        <v>3809</v>
      </c>
      <c r="C72" s="260"/>
      <c r="D72" s="260">
        <f>D71/C71-1</f>
        <v>0.17968598175292527</v>
      </c>
      <c r="E72" s="260">
        <f>E71/D71-1</f>
        <v>1.1554763193196309</v>
      </c>
      <c r="F72" s="260">
        <f t="shared" ref="F72:G72" si="107">F71/E71-1</f>
        <v>-1.5380653802411159E-2</v>
      </c>
      <c r="G72" s="260">
        <f t="shared" si="107"/>
        <v>-3.5360773083527586E-2</v>
      </c>
      <c r="H72" s="260"/>
      <c r="I72" s="260"/>
      <c r="J72" s="260">
        <f>J71/G71-1</f>
        <v>-0.37443650783832239</v>
      </c>
      <c r="K72" s="260">
        <f t="shared" ref="K72:O72" si="108">K71/J71-1</f>
        <v>0.20116255923548532</v>
      </c>
      <c r="L72" s="260">
        <f t="shared" si="108"/>
        <v>4.3040493479480135E-2</v>
      </c>
      <c r="M72" s="260">
        <f t="shared" si="108"/>
        <v>3.5297296488947083E-2</v>
      </c>
      <c r="N72" s="260">
        <f t="shared" si="108"/>
        <v>3.5149563598969591E-2</v>
      </c>
      <c r="O72" s="783">
        <f t="shared" si="108"/>
        <v>3.5787434182065647E-2</v>
      </c>
    </row>
    <row r="73" spans="2:15" ht="13.5" customHeight="1" x14ac:dyDescent="0.3">
      <c r="B73" s="861" t="s">
        <v>3810</v>
      </c>
      <c r="C73" s="182"/>
      <c r="D73" s="182">
        <f>D71/D$6</f>
        <v>0.28161124183976083</v>
      </c>
      <c r="E73" s="182">
        <f t="shared" ref="E73:M73" si="109">E71/E$6</f>
        <v>0.39991365600654433</v>
      </c>
      <c r="F73" s="182">
        <f t="shared" si="109"/>
        <v>0.33906669540791312</v>
      </c>
      <c r="G73" s="182">
        <f t="shared" si="109"/>
        <v>0.27495557417651917</v>
      </c>
      <c r="H73" s="182">
        <f t="shared" si="109"/>
        <v>0.20155601907715584</v>
      </c>
      <c r="I73" s="182"/>
      <c r="J73" s="182">
        <f t="shared" si="109"/>
        <v>0.20155601907715584</v>
      </c>
      <c r="K73" s="182">
        <f t="shared" si="109"/>
        <v>0.21006718831973883</v>
      </c>
      <c r="L73" s="182">
        <f t="shared" si="109"/>
        <v>0.21178474867505892</v>
      </c>
      <c r="M73" s="182">
        <f t="shared" si="109"/>
        <v>0.2117422666379816</v>
      </c>
      <c r="N73" s="182">
        <f t="shared" ref="N73:O73" si="110">N71/N$6</f>
        <v>0.21167624640973523</v>
      </c>
      <c r="O73" s="787">
        <f t="shared" si="110"/>
        <v>0.21159674266345005</v>
      </c>
    </row>
    <row r="74" spans="2:15" s="825" customFormat="1" ht="13.5" customHeight="1" x14ac:dyDescent="0.3">
      <c r="B74" s="861"/>
      <c r="C74" s="182"/>
      <c r="D74" s="182"/>
      <c r="E74" s="182"/>
      <c r="F74" s="182"/>
      <c r="G74" s="182"/>
      <c r="H74" s="182"/>
      <c r="I74" s="182"/>
      <c r="J74" s="182"/>
      <c r="K74" s="182"/>
      <c r="L74" s="182"/>
      <c r="M74" s="182"/>
      <c r="N74" s="182"/>
      <c r="O74" s="787"/>
    </row>
    <row r="75" spans="2:15" ht="13.5" customHeight="1" x14ac:dyDescent="0.3">
      <c r="B75" s="1657" t="s">
        <v>2014</v>
      </c>
      <c r="C75" s="1120"/>
      <c r="D75" s="1120">
        <f>SUM(D80,D83,D86,D89,D92)</f>
        <v>0</v>
      </c>
      <c r="E75" s="1120">
        <f t="shared" ref="E75:K75" si="111">SUM(E80,E83,E86,E89,E92)</f>
        <v>0</v>
      </c>
      <c r="F75" s="1120">
        <f t="shared" si="111"/>
        <v>30337.1978695</v>
      </c>
      <c r="G75" s="1120">
        <f t="shared" si="111"/>
        <v>23242.395814</v>
      </c>
      <c r="H75" s="1120">
        <f t="shared" si="111"/>
        <v>22094.717746999999</v>
      </c>
      <c r="I75" s="1120"/>
      <c r="J75" s="1120">
        <f t="shared" si="111"/>
        <v>22094.717746999999</v>
      </c>
      <c r="K75" s="1808">
        <f t="shared" si="111"/>
        <v>25977.718000000001</v>
      </c>
      <c r="L75" s="1808">
        <f>(L113+L174)*L78</f>
        <v>27637.123714922345</v>
      </c>
      <c r="M75" s="1808">
        <f t="shared" ref="M75:O75" si="112">(M113+M174)*M78</f>
        <v>28702.28081353485</v>
      </c>
      <c r="N75" s="1808">
        <f t="shared" si="112"/>
        <v>29855.43332422608</v>
      </c>
      <c r="O75" s="1822">
        <f t="shared" si="112"/>
        <v>31103.970988081655</v>
      </c>
    </row>
    <row r="76" spans="2:15" s="825" customFormat="1" ht="13.5" customHeight="1" x14ac:dyDescent="0.3">
      <c r="B76" s="863" t="s">
        <v>3809</v>
      </c>
      <c r="C76" s="401"/>
      <c r="D76" s="260"/>
      <c r="E76" s="260" t="e">
        <f>E75/D75-1</f>
        <v>#DIV/0!</v>
      </c>
      <c r="F76" s="260" t="e">
        <f>F75/E75-1</f>
        <v>#DIV/0!</v>
      </c>
      <c r="G76" s="260">
        <f t="shared" ref="G76" si="113">G75/F75-1</f>
        <v>-0.23386477834964703</v>
      </c>
      <c r="H76" s="260"/>
      <c r="I76" s="260"/>
      <c r="J76" s="260">
        <f>J75/G75-1</f>
        <v>-4.9378647372862461E-2</v>
      </c>
      <c r="K76" s="260">
        <f t="shared" ref="K76" si="114">K75/J75-1</f>
        <v>0.17574337438762866</v>
      </c>
      <c r="L76" s="260">
        <f t="shared" ref="L76" si="115">L75/K75-1</f>
        <v>6.3878040208240838E-2</v>
      </c>
      <c r="M76" s="260">
        <f t="shared" ref="M76" si="116">M75/L75-1</f>
        <v>3.8540808717999253E-2</v>
      </c>
      <c r="N76" s="260">
        <f t="shared" ref="N76" si="117">N75/M75-1</f>
        <v>4.0176337141383245E-2</v>
      </c>
      <c r="O76" s="783">
        <f t="shared" ref="O76" si="118">O75/N75-1</f>
        <v>4.1819445402001776E-2</v>
      </c>
    </row>
    <row r="77" spans="2:15" s="825" customFormat="1" ht="13.5" customHeight="1" x14ac:dyDescent="0.3">
      <c r="B77" s="861" t="s">
        <v>2016</v>
      </c>
      <c r="C77" s="182"/>
      <c r="D77" s="182">
        <f t="shared" ref="D77:J77" si="119">D75/D$71</f>
        <v>0</v>
      </c>
      <c r="E77" s="182">
        <f t="shared" si="119"/>
        <v>0</v>
      </c>
      <c r="F77" s="182">
        <f t="shared" si="119"/>
        <v>0.42267211070987942</v>
      </c>
      <c r="G77" s="182">
        <f t="shared" si="119"/>
        <v>0.33569440490125924</v>
      </c>
      <c r="H77" s="182">
        <f t="shared" si="119"/>
        <v>0.51012930462719608</v>
      </c>
      <c r="I77" s="182"/>
      <c r="J77" s="182">
        <f t="shared" si="119"/>
        <v>0.51012930462719608</v>
      </c>
      <c r="K77" s="182">
        <f>K75/K$71</f>
        <v>0.49933387066122181</v>
      </c>
      <c r="L77" s="182">
        <f>K77</f>
        <v>0.49933387066122181</v>
      </c>
      <c r="M77" s="182">
        <f t="shared" ref="M77:O78" si="120">L77</f>
        <v>0.49933387066122181</v>
      </c>
      <c r="N77" s="182">
        <f t="shared" si="120"/>
        <v>0.49933387066122181</v>
      </c>
      <c r="O77" s="1623">
        <f t="shared" si="120"/>
        <v>0.49933387066122181</v>
      </c>
    </row>
    <row r="78" spans="2:15" s="825" customFormat="1" ht="13.5" customHeight="1" x14ac:dyDescent="0.3">
      <c r="B78" s="861" t="s">
        <v>4411</v>
      </c>
      <c r="C78" s="182"/>
      <c r="D78" s="182" t="e">
        <f>D75/(D113+D174)</f>
        <v>#DIV/0!</v>
      </c>
      <c r="E78" s="182" t="e">
        <f t="shared" ref="E78:K78" si="121">E75/(E113+E174)</f>
        <v>#DIV/0!</v>
      </c>
      <c r="F78" s="182">
        <f t="shared" si="121"/>
        <v>0.30276709111602867</v>
      </c>
      <c r="G78" s="182">
        <f t="shared" si="121"/>
        <v>0.22708066829813323</v>
      </c>
      <c r="H78" s="182">
        <f t="shared" si="121"/>
        <v>0.22312067447587086</v>
      </c>
      <c r="I78" s="182"/>
      <c r="J78" s="182">
        <f t="shared" si="121"/>
        <v>0.22312067447587086</v>
      </c>
      <c r="K78" s="182">
        <f t="shared" si="121"/>
        <v>0.24376702563878822</v>
      </c>
      <c r="L78" s="182">
        <f>AVERAGE(F78:H78,K78)</f>
        <v>0.24918386488220529</v>
      </c>
      <c r="M78" s="182">
        <f t="shared" si="120"/>
        <v>0.24918386488220529</v>
      </c>
      <c r="N78" s="182">
        <f t="shared" si="120"/>
        <v>0.24918386488220529</v>
      </c>
      <c r="O78" s="1623">
        <f t="shared" si="120"/>
        <v>0.24918386488220529</v>
      </c>
    </row>
    <row r="79" spans="2:15" s="825" customFormat="1" ht="13.5" customHeight="1" outlineLevel="1" x14ac:dyDescent="0.3">
      <c r="B79" s="1630"/>
      <c r="C79" s="1122"/>
      <c r="D79" s="1123"/>
      <c r="E79" s="1123"/>
      <c r="F79" s="1123"/>
      <c r="G79" s="1123"/>
      <c r="H79" s="1123"/>
      <c r="I79" s="1123"/>
      <c r="J79" s="1123"/>
      <c r="K79" s="1123"/>
      <c r="L79" s="1123"/>
      <c r="M79" s="1123"/>
      <c r="N79" s="1123"/>
      <c r="O79" s="1764"/>
    </row>
    <row r="80" spans="2:15" s="825" customFormat="1" ht="13.5" customHeight="1" outlineLevel="1" x14ac:dyDescent="0.3">
      <c r="B80" s="1657" t="s">
        <v>3844</v>
      </c>
      <c r="C80" s="1122"/>
      <c r="D80" s="1123"/>
      <c r="E80" s="1123"/>
      <c r="F80" s="1120">
        <v>3655.8840974999998</v>
      </c>
      <c r="G80" s="1120">
        <v>2880.6398170000002</v>
      </c>
      <c r="H80" s="1120">
        <v>1321.9662470000001</v>
      </c>
      <c r="I80" s="1120"/>
      <c r="J80" s="1120">
        <f>H80+I80</f>
        <v>1321.9662470000001</v>
      </c>
      <c r="K80" s="1120">
        <f>사업계획!N30/10^3</f>
        <v>188.63900000000001</v>
      </c>
      <c r="L80" s="1120">
        <f>L$75*$K82</f>
        <v>200.68888962684238</v>
      </c>
      <c r="M80" s="1120">
        <f t="shared" ref="M80:O80" si="122">M$75*$K82</f>
        <v>208.42360173377818</v>
      </c>
      <c r="N80" s="1120">
        <f t="shared" si="122"/>
        <v>216.79729862525582</v>
      </c>
      <c r="O80" s="1765">
        <f t="shared" si="122"/>
        <v>225.86364141841617</v>
      </c>
    </row>
    <row r="81" spans="2:15" s="825" customFormat="1" ht="13.5" customHeight="1" outlineLevel="1" x14ac:dyDescent="0.3">
      <c r="B81" s="863" t="s">
        <v>3809</v>
      </c>
      <c r="C81" s="260"/>
      <c r="D81" s="260" t="e">
        <f>D80/C80-1</f>
        <v>#DIV/0!</v>
      </c>
      <c r="E81" s="260" t="e">
        <f>E80/D80-1</f>
        <v>#DIV/0!</v>
      </c>
      <c r="F81" s="260" t="e">
        <f t="shared" ref="F81:G81" si="123">F80/E80-1</f>
        <v>#DIV/0!</v>
      </c>
      <c r="G81" s="260">
        <f t="shared" si="123"/>
        <v>-0.2120538452053593</v>
      </c>
      <c r="H81" s="260"/>
      <c r="I81" s="260"/>
      <c r="J81" s="260">
        <f>J80/G80-1</f>
        <v>-0.54108589376621818</v>
      </c>
      <c r="K81" s="260">
        <f t="shared" ref="K81" si="124">K80/J80-1</f>
        <v>-0.85730422359263159</v>
      </c>
      <c r="L81" s="260">
        <f>L80/K80-1</f>
        <v>6.387804020824106E-2</v>
      </c>
      <c r="M81" s="260">
        <f t="shared" ref="M81:O81" si="125">M80/L80-1</f>
        <v>3.8540808717999253E-2</v>
      </c>
      <c r="N81" s="260">
        <f t="shared" si="125"/>
        <v>4.0176337141383023E-2</v>
      </c>
      <c r="O81" s="1766">
        <f t="shared" si="125"/>
        <v>4.1819445402001776E-2</v>
      </c>
    </row>
    <row r="82" spans="2:15" s="825" customFormat="1" ht="13.5" customHeight="1" outlineLevel="1" x14ac:dyDescent="0.3">
      <c r="B82" s="861" t="s">
        <v>4402</v>
      </c>
      <c r="C82" s="182"/>
      <c r="D82" s="182" t="e">
        <f>D80/D$75</f>
        <v>#DIV/0!</v>
      </c>
      <c r="E82" s="182" t="e">
        <f t="shared" ref="E82:O82" si="126">E80/E$75</f>
        <v>#DIV/0!</v>
      </c>
      <c r="F82" s="182">
        <f t="shared" si="126"/>
        <v>0.12050829853259133</v>
      </c>
      <c r="G82" s="182">
        <f t="shared" si="126"/>
        <v>0.12393902246793569</v>
      </c>
      <c r="H82" s="182">
        <f t="shared" si="126"/>
        <v>5.9831777990442779E-2</v>
      </c>
      <c r="I82" s="182"/>
      <c r="J82" s="182">
        <f t="shared" si="126"/>
        <v>5.9831777990442779E-2</v>
      </c>
      <c r="K82" s="182">
        <f t="shared" si="126"/>
        <v>7.2615693187523247E-3</v>
      </c>
      <c r="L82" s="182">
        <f t="shared" si="126"/>
        <v>7.2615693187523247E-3</v>
      </c>
      <c r="M82" s="182">
        <f t="shared" si="126"/>
        <v>7.2615693187523247E-3</v>
      </c>
      <c r="N82" s="182">
        <f t="shared" si="126"/>
        <v>7.2615693187523247E-3</v>
      </c>
      <c r="O82" s="787">
        <f t="shared" si="126"/>
        <v>7.2615693187523247E-3</v>
      </c>
    </row>
    <row r="83" spans="2:15" s="825" customFormat="1" ht="13.5" customHeight="1" outlineLevel="1" x14ac:dyDescent="0.3">
      <c r="B83" s="1657" t="s">
        <v>3845</v>
      </c>
      <c r="C83" s="1122"/>
      <c r="D83" s="1123"/>
      <c r="E83" s="1123"/>
      <c r="F83" s="1120">
        <v>406.562727</v>
      </c>
      <c r="G83" s="1120">
        <v>37.424999999999997</v>
      </c>
      <c r="H83" s="1120">
        <v>303.00900000000001</v>
      </c>
      <c r="I83" s="1120"/>
      <c r="J83" s="1120">
        <f>H83+I83</f>
        <v>303.00900000000001</v>
      </c>
      <c r="K83" s="1120">
        <f>사업계획!N31/10^3</f>
        <v>3000</v>
      </c>
      <c r="L83" s="1120">
        <f>L$75*$K85</f>
        <v>3191.6341206247225</v>
      </c>
      <c r="M83" s="1120">
        <f t="shared" ref="M83:O83" si="127">M$75*$K85</f>
        <v>3314.6422807655599</v>
      </c>
      <c r="N83" s="1120">
        <f t="shared" si="127"/>
        <v>3447.8124665406804</v>
      </c>
      <c r="O83" s="1765">
        <f t="shared" si="127"/>
        <v>3591.9980717415192</v>
      </c>
    </row>
    <row r="84" spans="2:15" s="825" customFormat="1" ht="13.5" customHeight="1" outlineLevel="1" x14ac:dyDescent="0.3">
      <c r="B84" s="863" t="s">
        <v>3809</v>
      </c>
      <c r="C84" s="260"/>
      <c r="D84" s="260" t="e">
        <f>D83/C83-1</f>
        <v>#DIV/0!</v>
      </c>
      <c r="E84" s="260" t="e">
        <f>E83/D83-1</f>
        <v>#DIV/0!</v>
      </c>
      <c r="F84" s="260" t="e">
        <f t="shared" ref="F84:G84" si="128">F83/E83-1</f>
        <v>#DIV/0!</v>
      </c>
      <c r="G84" s="260">
        <f t="shared" si="128"/>
        <v>-0.90794778390986153</v>
      </c>
      <c r="H84" s="260"/>
      <c r="I84" s="260"/>
      <c r="J84" s="260">
        <f>J83/G83-1</f>
        <v>7.0964328657314635</v>
      </c>
      <c r="K84" s="260">
        <f t="shared" ref="K84" si="129">K83/J83-1</f>
        <v>8.9006960189301303</v>
      </c>
      <c r="L84" s="260">
        <f>L83/K83-1</f>
        <v>6.3878040208240838E-2</v>
      </c>
      <c r="M84" s="260">
        <f t="shared" ref="M84" si="130">M83/L83-1</f>
        <v>3.8540808717999253E-2</v>
      </c>
      <c r="N84" s="260">
        <f t="shared" ref="N84" si="131">N83/M83-1</f>
        <v>4.0176337141383245E-2</v>
      </c>
      <c r="O84" s="1766">
        <f t="shared" ref="O84" si="132">O83/N83-1</f>
        <v>4.1819445402001776E-2</v>
      </c>
    </row>
    <row r="85" spans="2:15" s="825" customFormat="1" ht="13.5" customHeight="1" outlineLevel="1" x14ac:dyDescent="0.3">
      <c r="B85" s="861" t="s">
        <v>4402</v>
      </c>
      <c r="C85" s="182"/>
      <c r="D85" s="182" t="e">
        <f t="shared" ref="D85:O85" si="133">D83/D$75</f>
        <v>#DIV/0!</v>
      </c>
      <c r="E85" s="182" t="e">
        <f t="shared" si="133"/>
        <v>#DIV/0!</v>
      </c>
      <c r="F85" s="182">
        <f t="shared" si="133"/>
        <v>1.3401459447536667E-2</v>
      </c>
      <c r="G85" s="182">
        <f t="shared" si="133"/>
        <v>1.6102040555327408E-3</v>
      </c>
      <c r="H85" s="182">
        <f t="shared" si="133"/>
        <v>1.3714092366766817E-2</v>
      </c>
      <c r="I85" s="182"/>
      <c r="J85" s="182">
        <f t="shared" si="133"/>
        <v>1.3714092366766817E-2</v>
      </c>
      <c r="K85" s="182">
        <f t="shared" si="133"/>
        <v>0.11548358481680338</v>
      </c>
      <c r="L85" s="182">
        <f t="shared" si="133"/>
        <v>0.11548358481680338</v>
      </c>
      <c r="M85" s="182">
        <f t="shared" si="133"/>
        <v>0.11548358481680338</v>
      </c>
      <c r="N85" s="182">
        <f t="shared" si="133"/>
        <v>0.11548358481680338</v>
      </c>
      <c r="O85" s="787">
        <f t="shared" si="133"/>
        <v>0.11548358481680338</v>
      </c>
    </row>
    <row r="86" spans="2:15" s="825" customFormat="1" ht="13.5" customHeight="1" outlineLevel="1" x14ac:dyDescent="0.3">
      <c r="B86" s="1657" t="s">
        <v>3846</v>
      </c>
      <c r="C86" s="1122"/>
      <c r="D86" s="1123"/>
      <c r="E86" s="1123"/>
      <c r="F86" s="1120">
        <v>22462.903054999999</v>
      </c>
      <c r="G86" s="1120">
        <v>17203.564244000001</v>
      </c>
      <c r="H86" s="1120">
        <v>17062.686000000002</v>
      </c>
      <c r="I86" s="1120"/>
      <c r="J86" s="1120">
        <f>H86+I86</f>
        <v>17062.686000000002</v>
      </c>
      <c r="K86" s="1120">
        <f>사업계획!N32/10^3</f>
        <v>21906</v>
      </c>
      <c r="L86" s="1120">
        <f>L$75*$K88</f>
        <v>23305.312348801726</v>
      </c>
      <c r="M86" s="1120">
        <f t="shared" ref="M86:O86" si="134">M$75*$K88</f>
        <v>24203.517934150121</v>
      </c>
      <c r="N86" s="1120">
        <f t="shared" si="134"/>
        <v>25175.926630680049</v>
      </c>
      <c r="O86" s="1765">
        <f t="shared" si="134"/>
        <v>26228.769919856575</v>
      </c>
    </row>
    <row r="87" spans="2:15" s="825" customFormat="1" ht="13.5" customHeight="1" outlineLevel="1" x14ac:dyDescent="0.3">
      <c r="B87" s="863" t="s">
        <v>3809</v>
      </c>
      <c r="C87" s="260"/>
      <c r="D87" s="260" t="e">
        <f>D86/C86-1</f>
        <v>#DIV/0!</v>
      </c>
      <c r="E87" s="260" t="e">
        <f>E86/D86-1</f>
        <v>#DIV/0!</v>
      </c>
      <c r="F87" s="260" t="e">
        <f t="shared" ref="F87:G87" si="135">F86/E86-1</f>
        <v>#DIV/0!</v>
      </c>
      <c r="G87" s="260">
        <f t="shared" si="135"/>
        <v>-0.23413442145579333</v>
      </c>
      <c r="H87" s="260"/>
      <c r="I87" s="260"/>
      <c r="J87" s="260">
        <f>J86/G86-1</f>
        <v>-8.1888986492513194E-3</v>
      </c>
      <c r="K87" s="260">
        <f t="shared" ref="K87" si="136">K86/J86-1</f>
        <v>0.2838541364472158</v>
      </c>
      <c r="L87" s="260">
        <f>L86/K86-1</f>
        <v>6.387804020824106E-2</v>
      </c>
      <c r="M87" s="260">
        <f t="shared" ref="M87" si="137">M86/L86-1</f>
        <v>3.8540808717999253E-2</v>
      </c>
      <c r="N87" s="260">
        <f t="shared" ref="N87" si="138">N86/M86-1</f>
        <v>4.0176337141383245E-2</v>
      </c>
      <c r="O87" s="1766">
        <f t="shared" ref="O87" si="139">O86/N86-1</f>
        <v>4.1819445402001776E-2</v>
      </c>
    </row>
    <row r="88" spans="2:15" s="825" customFormat="1" ht="13.5" customHeight="1" outlineLevel="1" x14ac:dyDescent="0.3">
      <c r="B88" s="861" t="s">
        <v>4402</v>
      </c>
      <c r="C88" s="182"/>
      <c r="D88" s="182" t="e">
        <f t="shared" ref="D88:O88" si="140">D86/D$75</f>
        <v>#DIV/0!</v>
      </c>
      <c r="E88" s="182" t="e">
        <f t="shared" si="140"/>
        <v>#DIV/0!</v>
      </c>
      <c r="F88" s="182">
        <f t="shared" si="140"/>
        <v>0.74044093167824998</v>
      </c>
      <c r="G88" s="182">
        <f t="shared" si="140"/>
        <v>0.74018033173832609</v>
      </c>
      <c r="H88" s="182">
        <f t="shared" si="140"/>
        <v>0.77225182033912865</v>
      </c>
      <c r="I88" s="182"/>
      <c r="J88" s="182">
        <f t="shared" si="140"/>
        <v>0.77225182033912865</v>
      </c>
      <c r="K88" s="182">
        <f t="shared" si="140"/>
        <v>0.84326113633229827</v>
      </c>
      <c r="L88" s="182">
        <f t="shared" si="140"/>
        <v>0.84326113633229827</v>
      </c>
      <c r="M88" s="182">
        <f t="shared" si="140"/>
        <v>0.84326113633229827</v>
      </c>
      <c r="N88" s="182">
        <f t="shared" si="140"/>
        <v>0.84326113633229827</v>
      </c>
      <c r="O88" s="787">
        <f t="shared" si="140"/>
        <v>0.84326113633229827</v>
      </c>
    </row>
    <row r="89" spans="2:15" s="825" customFormat="1" ht="13.5" customHeight="1" outlineLevel="1" x14ac:dyDescent="0.3">
      <c r="B89" s="1657" t="s">
        <v>4000</v>
      </c>
      <c r="C89" s="1122"/>
      <c r="D89" s="1123"/>
      <c r="E89" s="1123"/>
      <c r="F89" s="1120">
        <v>3059.8395</v>
      </c>
      <c r="G89" s="1120">
        <v>1388.127753</v>
      </c>
      <c r="H89" s="1120">
        <v>922.02149999999995</v>
      </c>
      <c r="I89" s="1120"/>
      <c r="J89" s="1120">
        <f>H89+I89</f>
        <v>922.02149999999995</v>
      </c>
      <c r="K89" s="1120">
        <f>사업계획!N33/10^3</f>
        <v>719.4</v>
      </c>
      <c r="L89" s="1120">
        <f>L$75*$K91</f>
        <v>765.35386212580852</v>
      </c>
      <c r="M89" s="1120">
        <f t="shared" ref="M89:O89" si="141">M$75*$K91</f>
        <v>794.85121892758139</v>
      </c>
      <c r="N89" s="1120">
        <f t="shared" si="141"/>
        <v>826.78542947645519</v>
      </c>
      <c r="O89" s="1765">
        <f t="shared" si="141"/>
        <v>861.36113760361638</v>
      </c>
    </row>
    <row r="90" spans="2:15" s="825" customFormat="1" ht="13.5" customHeight="1" outlineLevel="1" x14ac:dyDescent="0.3">
      <c r="B90" s="863" t="s">
        <v>3809</v>
      </c>
      <c r="C90" s="260"/>
      <c r="D90" s="260" t="e">
        <f>D89/C89-1</f>
        <v>#DIV/0!</v>
      </c>
      <c r="E90" s="260" t="e">
        <f>E89/D89-1</f>
        <v>#DIV/0!</v>
      </c>
      <c r="F90" s="260" t="e">
        <f t="shared" ref="F90:G90" si="142">F89/E89-1</f>
        <v>#DIV/0!</v>
      </c>
      <c r="G90" s="260">
        <f t="shared" si="142"/>
        <v>-0.54633968448345094</v>
      </c>
      <c r="H90" s="260"/>
      <c r="I90" s="260"/>
      <c r="J90" s="260">
        <f>J89/G89-1</f>
        <v>-0.33578051587302282</v>
      </c>
      <c r="K90" s="260">
        <f t="shared" ref="K90" si="143">K89/J89-1</f>
        <v>-0.21975789067825424</v>
      </c>
      <c r="L90" s="260">
        <f>L89/K89-1</f>
        <v>6.387804020824106E-2</v>
      </c>
      <c r="M90" s="260">
        <f t="shared" ref="M90" si="144">M89/L89-1</f>
        <v>3.8540808717999475E-2</v>
      </c>
      <c r="N90" s="260">
        <f t="shared" ref="N90" si="145">N89/M89-1</f>
        <v>4.0176337141383023E-2</v>
      </c>
      <c r="O90" s="1766">
        <f t="shared" ref="O90" si="146">O89/N89-1</f>
        <v>4.1819445402001776E-2</v>
      </c>
    </row>
    <row r="91" spans="2:15" s="825" customFormat="1" ht="13.5" customHeight="1" outlineLevel="1" x14ac:dyDescent="0.3">
      <c r="B91" s="861" t="s">
        <v>4402</v>
      </c>
      <c r="C91" s="182"/>
      <c r="D91" s="182" t="e">
        <f t="shared" ref="D91:O91" si="147">D89/D$75</f>
        <v>#DIV/0!</v>
      </c>
      <c r="E91" s="182" t="e">
        <f t="shared" si="147"/>
        <v>#DIV/0!</v>
      </c>
      <c r="F91" s="182">
        <f t="shared" si="147"/>
        <v>0.1008609797504159</v>
      </c>
      <c r="G91" s="182">
        <f t="shared" si="147"/>
        <v>5.9723952905227813E-2</v>
      </c>
      <c r="H91" s="182">
        <f t="shared" si="147"/>
        <v>4.1730404097386181E-2</v>
      </c>
      <c r="I91" s="182"/>
      <c r="J91" s="182">
        <f t="shared" si="147"/>
        <v>4.1730404097386181E-2</v>
      </c>
      <c r="K91" s="182">
        <f t="shared" si="147"/>
        <v>2.7692963639069451E-2</v>
      </c>
      <c r="L91" s="182">
        <f t="shared" si="147"/>
        <v>2.7692963639069451E-2</v>
      </c>
      <c r="M91" s="182">
        <f t="shared" si="147"/>
        <v>2.7692963639069455E-2</v>
      </c>
      <c r="N91" s="182">
        <f t="shared" si="147"/>
        <v>2.7692963639069451E-2</v>
      </c>
      <c r="O91" s="787">
        <f t="shared" si="147"/>
        <v>2.7692963639069451E-2</v>
      </c>
    </row>
    <row r="92" spans="2:15" s="825" customFormat="1" ht="13.5" customHeight="1" outlineLevel="1" x14ac:dyDescent="0.3">
      <c r="B92" s="1657" t="s">
        <v>3847</v>
      </c>
      <c r="C92" s="1122"/>
      <c r="D92" s="1123"/>
      <c r="E92" s="1123"/>
      <c r="F92" s="1120">
        <v>752.00849000000005</v>
      </c>
      <c r="G92" s="1120">
        <v>1732.6389999999999</v>
      </c>
      <c r="H92" s="1120">
        <v>2485.0349999999999</v>
      </c>
      <c r="I92" s="1120"/>
      <c r="J92" s="1120">
        <f>H92+I92</f>
        <v>2485.0349999999999</v>
      </c>
      <c r="K92" s="1120">
        <f>사업계획!N34/10^3</f>
        <v>163.679</v>
      </c>
      <c r="L92" s="1120">
        <f>L$75*$K94</f>
        <v>174.13449374324469</v>
      </c>
      <c r="M92" s="1120">
        <f t="shared" ref="M92:O92" si="148">M$75*$K94</f>
        <v>180.84577795780871</v>
      </c>
      <c r="N92" s="1120">
        <f t="shared" si="148"/>
        <v>188.11149890363737</v>
      </c>
      <c r="O92" s="1765">
        <f t="shared" si="148"/>
        <v>195.97821746152673</v>
      </c>
    </row>
    <row r="93" spans="2:15" s="825" customFormat="1" ht="13.5" customHeight="1" outlineLevel="1" x14ac:dyDescent="0.3">
      <c r="B93" s="863" t="s">
        <v>3809</v>
      </c>
      <c r="C93" s="260"/>
      <c r="D93" s="260" t="e">
        <f>D92/C92-1</f>
        <v>#DIV/0!</v>
      </c>
      <c r="E93" s="260" t="e">
        <f>E92/D92-1</f>
        <v>#DIV/0!</v>
      </c>
      <c r="F93" s="260" t="e">
        <f t="shared" ref="F93:G93" si="149">F92/E92-1</f>
        <v>#DIV/0!</v>
      </c>
      <c r="G93" s="260">
        <f t="shared" si="149"/>
        <v>1.3040152113176271</v>
      </c>
      <c r="H93" s="260"/>
      <c r="I93" s="260"/>
      <c r="J93" s="260">
        <f>J92/G92-1</f>
        <v>0.43424856533876932</v>
      </c>
      <c r="K93" s="260">
        <f t="shared" ref="K93" si="150">K92/J92-1</f>
        <v>-0.93413412688352482</v>
      </c>
      <c r="L93" s="260">
        <f>L92/K92-1</f>
        <v>6.387804020824106E-2</v>
      </c>
      <c r="M93" s="260">
        <f t="shared" ref="M93" si="151">M92/L92-1</f>
        <v>3.8540808717999253E-2</v>
      </c>
      <c r="N93" s="260">
        <f t="shared" ref="N93" si="152">N92/M92-1</f>
        <v>4.0176337141383245E-2</v>
      </c>
      <c r="O93" s="1766">
        <f t="shared" ref="O93" si="153">O92/N92-1</f>
        <v>4.1819445402001554E-2</v>
      </c>
    </row>
    <row r="94" spans="2:15" s="825" customFormat="1" ht="13.5" customHeight="1" outlineLevel="1" x14ac:dyDescent="0.3">
      <c r="B94" s="861" t="s">
        <v>4402</v>
      </c>
      <c r="C94" s="182"/>
      <c r="D94" s="182" t="e">
        <f t="shared" ref="D94:O94" si="154">D92/D$75</f>
        <v>#DIV/0!</v>
      </c>
      <c r="E94" s="182" t="e">
        <f t="shared" si="154"/>
        <v>#DIV/0!</v>
      </c>
      <c r="F94" s="182">
        <f t="shared" si="154"/>
        <v>2.4788330591206123E-2</v>
      </c>
      <c r="G94" s="182">
        <f t="shared" si="154"/>
        <v>7.454648883297775E-2</v>
      </c>
      <c r="H94" s="182">
        <f t="shared" si="154"/>
        <v>0.11247190520627563</v>
      </c>
      <c r="I94" s="182"/>
      <c r="J94" s="182">
        <f t="shared" si="154"/>
        <v>0.11247190520627563</v>
      </c>
      <c r="K94" s="182">
        <f t="shared" si="154"/>
        <v>6.3007458930765207E-3</v>
      </c>
      <c r="L94" s="182">
        <f t="shared" si="154"/>
        <v>6.3007458930765207E-3</v>
      </c>
      <c r="M94" s="182">
        <f t="shared" si="154"/>
        <v>6.3007458930765198E-3</v>
      </c>
      <c r="N94" s="182">
        <f t="shared" si="154"/>
        <v>6.3007458930765207E-3</v>
      </c>
      <c r="O94" s="787">
        <f t="shared" si="154"/>
        <v>6.3007458930765198E-3</v>
      </c>
    </row>
    <row r="95" spans="2:15" s="825" customFormat="1" ht="13.5" customHeight="1" outlineLevel="1" x14ac:dyDescent="0.3">
      <c r="B95" s="1658"/>
      <c r="C95" s="1125"/>
      <c r="D95" s="1125"/>
      <c r="E95" s="1125"/>
      <c r="F95" s="1125"/>
      <c r="G95" s="1125"/>
      <c r="H95" s="1125"/>
      <c r="I95" s="1125"/>
      <c r="J95" s="1125"/>
      <c r="K95" s="1125"/>
      <c r="L95" s="1125"/>
      <c r="M95" s="1125"/>
      <c r="N95" s="1125"/>
      <c r="O95" s="1659"/>
    </row>
    <row r="96" spans="2:15" ht="13.5" customHeight="1" x14ac:dyDescent="0.3">
      <c r="B96" s="1657" t="s">
        <v>2015</v>
      </c>
      <c r="C96" s="1120"/>
      <c r="D96" s="1120"/>
      <c r="E96" s="1120"/>
      <c r="F96" s="1120">
        <v>41437.582393500001</v>
      </c>
      <c r="G96" s="1120">
        <v>45994.372731000003</v>
      </c>
      <c r="H96" s="1120">
        <v>21217.276969999999</v>
      </c>
      <c r="I96" s="1120"/>
      <c r="J96" s="1120">
        <f>H96+I96</f>
        <v>21217.276969999999</v>
      </c>
      <c r="K96" s="1808">
        <f>(K133+K194)*K99</f>
        <v>26047.028419865539</v>
      </c>
      <c r="L96" s="1808">
        <f t="shared" ref="L96:O96" si="155">(L133+L194)*L99</f>
        <v>26626.79346399902</v>
      </c>
      <c r="M96" s="1808">
        <f t="shared" si="155"/>
        <v>27477.005938702572</v>
      </c>
      <c r="N96" s="1808">
        <f t="shared" si="155"/>
        <v>28298.530840653861</v>
      </c>
      <c r="O96" s="1823">
        <f t="shared" si="155"/>
        <v>29131.174341775142</v>
      </c>
    </row>
    <row r="97" spans="2:15" ht="13.5" customHeight="1" x14ac:dyDescent="0.3">
      <c r="B97" s="863" t="s">
        <v>3814</v>
      </c>
      <c r="C97" s="401"/>
      <c r="D97" s="260"/>
      <c r="E97" s="260" t="e">
        <f>E96/D96-1</f>
        <v>#DIV/0!</v>
      </c>
      <c r="F97" s="260" t="e">
        <f t="shared" ref="F97:G97" si="156">F96/E96-1</f>
        <v>#DIV/0!</v>
      </c>
      <c r="G97" s="260">
        <f t="shared" si="156"/>
        <v>0.109967572292895</v>
      </c>
      <c r="H97" s="260"/>
      <c r="I97" s="260"/>
      <c r="J97" s="260">
        <f>J96/G96-1</f>
        <v>-0.53869841656304085</v>
      </c>
      <c r="K97" s="260">
        <f t="shared" ref="K97" si="157">K96/J96-1</f>
        <v>0.22763295481764834</v>
      </c>
      <c r="L97" s="260">
        <f>L96/K96-1</f>
        <v>2.2258394884358657E-2</v>
      </c>
      <c r="M97" s="260">
        <f t="shared" ref="M97" si="158">M96/L96-1</f>
        <v>3.1930712042104847E-2</v>
      </c>
      <c r="N97" s="260">
        <f t="shared" ref="N97" si="159">N96/M96-1</f>
        <v>2.9898632470509945E-2</v>
      </c>
      <c r="O97" s="1766">
        <f t="shared" ref="O97" si="160">O96/N96-1</f>
        <v>2.9423559329274429E-2</v>
      </c>
    </row>
    <row r="98" spans="2:15" ht="13.5" customHeight="1" x14ac:dyDescent="0.3">
      <c r="B98" s="861" t="s">
        <v>2016</v>
      </c>
      <c r="C98" s="182"/>
      <c r="D98" s="182">
        <f>D96/D$71</f>
        <v>0</v>
      </c>
      <c r="E98" s="182">
        <f t="shared" ref="E98:O98" si="161">E96/E$71</f>
        <v>0</v>
      </c>
      <c r="F98" s="182">
        <f t="shared" si="161"/>
        <v>0.57732788929012069</v>
      </c>
      <c r="G98" s="182">
        <f t="shared" si="161"/>
        <v>0.66430559509874076</v>
      </c>
      <c r="H98" s="182">
        <f t="shared" si="161"/>
        <v>0.48987069537280398</v>
      </c>
      <c r="I98" s="182"/>
      <c r="J98" s="182">
        <f t="shared" si="161"/>
        <v>0.48987069537280398</v>
      </c>
      <c r="K98" s="182">
        <f t="shared" si="161"/>
        <v>0.5006661293387783</v>
      </c>
      <c r="L98" s="182">
        <f t="shared" si="161"/>
        <v>0.49069058866878318</v>
      </c>
      <c r="M98" s="182">
        <f t="shared" si="161"/>
        <v>0.48909495878582437</v>
      </c>
      <c r="N98" s="182">
        <f t="shared" si="161"/>
        <v>0.48661396083714908</v>
      </c>
      <c r="O98" s="787">
        <f t="shared" si="161"/>
        <v>0.48362420613826718</v>
      </c>
    </row>
    <row r="99" spans="2:15" s="825" customFormat="1" ht="13.5" customHeight="1" x14ac:dyDescent="0.3">
      <c r="B99" s="861" t="s">
        <v>4412</v>
      </c>
      <c r="C99" s="182"/>
      <c r="D99" s="182" t="e">
        <f>D96/(D133+D194)</f>
        <v>#DIV/0!</v>
      </c>
      <c r="E99" s="182" t="e">
        <f t="shared" ref="E99:J99" si="162">E96/(E133+E194)</f>
        <v>#DIV/0!</v>
      </c>
      <c r="F99" s="182">
        <f t="shared" si="162"/>
        <v>1.0435364557041402</v>
      </c>
      <c r="G99" s="182">
        <f t="shared" si="162"/>
        <v>0.57334620205169384</v>
      </c>
      <c r="H99" s="182">
        <f t="shared" si="162"/>
        <v>0.29244934217945329</v>
      </c>
      <c r="I99" s="182"/>
      <c r="J99" s="182">
        <f t="shared" si="162"/>
        <v>0.29244934217945329</v>
      </c>
      <c r="K99" s="182">
        <f>J99</f>
        <v>0.29244934217945329</v>
      </c>
      <c r="L99" s="182">
        <f t="shared" ref="L99:O99" si="163">K99</f>
        <v>0.29244934217945329</v>
      </c>
      <c r="M99" s="182">
        <f t="shared" si="163"/>
        <v>0.29244934217945329</v>
      </c>
      <c r="N99" s="182">
        <f t="shared" si="163"/>
        <v>0.29244934217945329</v>
      </c>
      <c r="O99" s="787">
        <f t="shared" si="163"/>
        <v>0.29244934217945329</v>
      </c>
    </row>
    <row r="100" spans="2:15" ht="13.5" customHeight="1" x14ac:dyDescent="0.3">
      <c r="B100" s="1660"/>
      <c r="C100" s="1661"/>
      <c r="D100" s="1661"/>
      <c r="E100" s="1661"/>
      <c r="F100" s="1661"/>
      <c r="G100" s="1661"/>
      <c r="H100" s="1661"/>
      <c r="I100" s="1661"/>
      <c r="J100" s="1661"/>
      <c r="K100" s="1661"/>
      <c r="L100" s="1661"/>
      <c r="M100" s="1661"/>
      <c r="N100" s="1661"/>
      <c r="O100" s="1662"/>
    </row>
    <row r="101" spans="2:15" ht="13.5" customHeight="1" x14ac:dyDescent="0.3">
      <c r="B101" s="1126"/>
      <c r="C101" s="1126"/>
      <c r="D101" s="1127"/>
      <c r="E101" s="1127"/>
      <c r="F101" s="1127"/>
      <c r="G101" s="1126"/>
      <c r="H101" s="1126"/>
      <c r="I101" s="1126"/>
      <c r="J101" s="1126"/>
      <c r="K101" s="1126"/>
      <c r="L101" s="1126"/>
      <c r="M101" s="1126"/>
      <c r="N101" s="1126"/>
      <c r="O101" s="1132"/>
    </row>
    <row r="102" spans="2:15" s="825" customFormat="1" ht="13.5" customHeight="1" x14ac:dyDescent="0.3">
      <c r="B102" s="1126" t="s">
        <v>3850</v>
      </c>
      <c r="C102" s="1126"/>
      <c r="D102" s="1127"/>
      <c r="E102" s="1127"/>
      <c r="F102" s="1127"/>
      <c r="G102" s="1126"/>
      <c r="H102" s="1126"/>
      <c r="I102" s="1126"/>
      <c r="J102" s="1126"/>
      <c r="K102" s="1126"/>
      <c r="L102" s="1126"/>
      <c r="M102" s="1126"/>
      <c r="N102" s="1126"/>
      <c r="O102" s="1132"/>
    </row>
    <row r="103" spans="2:15" s="825" customFormat="1" ht="13.5" customHeight="1" x14ac:dyDescent="0.3">
      <c r="B103" s="1126"/>
      <c r="C103" s="1126"/>
      <c r="D103" s="1127"/>
      <c r="E103" s="1127"/>
      <c r="F103" s="1127"/>
      <c r="G103" s="1126"/>
      <c r="H103" s="1126"/>
      <c r="I103" s="1126"/>
      <c r="J103" s="1126"/>
      <c r="K103" s="1126"/>
      <c r="L103" s="1126"/>
      <c r="M103" s="1126"/>
      <c r="N103" s="1126"/>
      <c r="O103" s="1132"/>
    </row>
    <row r="104" spans="2:15" s="825" customFormat="1" ht="13.5" customHeight="1" x14ac:dyDescent="0.3">
      <c r="B104" s="1709" t="s">
        <v>3851</v>
      </c>
      <c r="C104" s="1710"/>
      <c r="D104" s="1711"/>
      <c r="E104" s="1711"/>
      <c r="F104" s="1711"/>
      <c r="G104" s="1710"/>
      <c r="H104" s="1710"/>
      <c r="I104" s="1710"/>
      <c r="J104" s="1710"/>
      <c r="K104" s="1710"/>
      <c r="L104" s="1710"/>
      <c r="M104" s="1710"/>
      <c r="N104" s="1710"/>
      <c r="O104" s="1712"/>
    </row>
    <row r="105" spans="2:15" s="825" customFormat="1" ht="13.5" customHeight="1" x14ac:dyDescent="0.3">
      <c r="B105" s="1713" t="s">
        <v>3852</v>
      </c>
      <c r="C105" s="1714"/>
      <c r="D105" s="1715"/>
      <c r="E105" s="1715"/>
      <c r="F105" s="1715"/>
      <c r="G105" s="1714"/>
      <c r="H105" s="1714"/>
      <c r="I105" s="1714"/>
      <c r="J105" s="1714"/>
      <c r="K105" s="1714"/>
      <c r="L105" s="1714"/>
      <c r="M105" s="1714"/>
      <c r="N105" s="1714"/>
      <c r="O105" s="1716"/>
    </row>
    <row r="106" spans="2:15" ht="13.5" customHeight="1" x14ac:dyDescent="0.3">
      <c r="B106" s="1129"/>
      <c r="C106" s="1130"/>
      <c r="D106" s="1130"/>
      <c r="E106" s="1130"/>
      <c r="F106" s="1130"/>
      <c r="G106" s="1130"/>
      <c r="H106" s="1129"/>
      <c r="I106" s="1129"/>
      <c r="J106" s="1129"/>
      <c r="K106" s="1129"/>
      <c r="L106" s="1129"/>
      <c r="M106" s="1129"/>
      <c r="N106" s="1129"/>
      <c r="O106" s="1133"/>
    </row>
    <row r="107" spans="2:15" s="825" customFormat="1" ht="13.5" customHeight="1" x14ac:dyDescent="0.3">
      <c r="B107" s="834" t="s">
        <v>3858</v>
      </c>
      <c r="C107" s="838"/>
      <c r="D107" s="838"/>
      <c r="E107" s="838"/>
      <c r="F107" s="838"/>
      <c r="G107" s="838"/>
      <c r="H107" s="838"/>
      <c r="I107" s="838"/>
      <c r="J107" s="838"/>
      <c r="K107" s="838"/>
      <c r="L107" s="838"/>
      <c r="M107" s="838"/>
      <c r="N107" s="838"/>
      <c r="O107" s="1617"/>
    </row>
    <row r="108" spans="2:15" s="825" customFormat="1" ht="13.5" customHeight="1" x14ac:dyDescent="0.3">
      <c r="B108" s="1628" t="str">
        <f>Des!$C$13</f>
        <v>KRW Millions</v>
      </c>
      <c r="C108" s="1596">
        <f>'Pro forma'!C$5</f>
        <v>2010</v>
      </c>
      <c r="D108" s="1596">
        <f>'Pro forma'!D$5</f>
        <v>2011</v>
      </c>
      <c r="E108" s="1596">
        <f>'Pro forma'!E$5</f>
        <v>2012</v>
      </c>
      <c r="F108" s="1596">
        <f>'Pro forma'!F$5</f>
        <v>2013</v>
      </c>
      <c r="G108" s="1596">
        <f>'Pro forma'!G$5</f>
        <v>2014</v>
      </c>
      <c r="H108" s="1597" t="str">
        <f>'Pro forma'!H$5</f>
        <v>2015/12A</v>
      </c>
      <c r="I108" s="1598" t="str">
        <f>'Pro forma'!I$5</f>
        <v>2015/0E</v>
      </c>
      <c r="J108" s="1596">
        <f>'Pro forma'!J$5</f>
        <v>2015</v>
      </c>
      <c r="K108" s="1599">
        <f>'Pro forma'!K$5</f>
        <v>2016</v>
      </c>
      <c r="L108" s="1599">
        <f>'Pro forma'!L$5</f>
        <v>2017</v>
      </c>
      <c r="M108" s="1599">
        <f>'Pro forma'!M$5</f>
        <v>2018</v>
      </c>
      <c r="N108" s="1599">
        <f>'Pro forma'!N$5</f>
        <v>2019</v>
      </c>
      <c r="O108" s="1618">
        <f>'Pro forma'!O$5</f>
        <v>2020</v>
      </c>
    </row>
    <row r="109" spans="2:15" s="825" customFormat="1" ht="13.5" customHeight="1" x14ac:dyDescent="0.3">
      <c r="B109" s="1632" t="s">
        <v>3859</v>
      </c>
      <c r="C109" s="1120">
        <f>IS!J9</f>
        <v>32345.633293999999</v>
      </c>
      <c r="D109" s="1120">
        <f>IS!K9</f>
        <v>31656.878968000001</v>
      </c>
      <c r="E109" s="1120">
        <f>IS!L9</f>
        <v>52687.668978000002</v>
      </c>
      <c r="F109" s="1120">
        <f>IS!M9</f>
        <v>60245.229018999999</v>
      </c>
      <c r="G109" s="1120">
        <f>IS!N9</f>
        <v>90980.180334999997</v>
      </c>
      <c r="H109" s="1120">
        <f t="shared" ref="H109:O109" si="164">H113+H133</f>
        <v>76214.068412999986</v>
      </c>
      <c r="I109" s="1120"/>
      <c r="J109" s="1120">
        <f t="shared" si="164"/>
        <v>76214.068412999986</v>
      </c>
      <c r="K109" s="1120">
        <f t="shared" si="164"/>
        <v>96372.274896384057</v>
      </c>
      <c r="L109" s="1120">
        <f t="shared" si="164"/>
        <v>98768.886153573054</v>
      </c>
      <c r="M109" s="1120">
        <f t="shared" si="164"/>
        <v>102065.24518974527</v>
      </c>
      <c r="N109" s="1120">
        <f t="shared" si="164"/>
        <v>105326.77066974621</v>
      </c>
      <c r="O109" s="1655">
        <f t="shared" si="164"/>
        <v>108650.35600510516</v>
      </c>
    </row>
    <row r="110" spans="2:15" s="825" customFormat="1" ht="13.5" customHeight="1" x14ac:dyDescent="0.3">
      <c r="B110" s="863" t="s">
        <v>3809</v>
      </c>
      <c r="C110" s="260"/>
      <c r="D110" s="260">
        <f>D109/C109-1</f>
        <v>-2.1293579870262147E-2</v>
      </c>
      <c r="E110" s="260">
        <f>E109/D109-1</f>
        <v>0.66433554714154663</v>
      </c>
      <c r="F110" s="260">
        <f t="shared" ref="F110:G110" si="165">F109/E109-1</f>
        <v>0.1434407744278019</v>
      </c>
      <c r="G110" s="260">
        <f t="shared" si="165"/>
        <v>0.5101640713542126</v>
      </c>
      <c r="H110" s="260"/>
      <c r="I110" s="260"/>
      <c r="J110" s="260">
        <f>J109/G109-1</f>
        <v>-0.16230031494364383</v>
      </c>
      <c r="K110" s="260">
        <f t="shared" ref="K110" si="166">K109/J109-1</f>
        <v>0.26449455990392501</v>
      </c>
      <c r="L110" s="260">
        <f t="shared" ref="L110" si="167">L109/K109-1</f>
        <v>2.4868264859014166E-2</v>
      </c>
      <c r="M110" s="260">
        <f t="shared" ref="M110" si="168">M109/L109-1</f>
        <v>3.3374468059169882E-2</v>
      </c>
      <c r="N110" s="260">
        <f t="shared" ref="N110" si="169">N109/M109-1</f>
        <v>3.1955299513929392E-2</v>
      </c>
      <c r="O110" s="783">
        <f t="shared" ref="O110" si="170">O109/N109-1</f>
        <v>3.1554991330552618E-2</v>
      </c>
    </row>
    <row r="111" spans="2:15" s="825" customFormat="1" ht="13.5" customHeight="1" x14ac:dyDescent="0.3">
      <c r="B111" s="861" t="s">
        <v>3810</v>
      </c>
      <c r="C111" s="182"/>
      <c r="D111" s="182">
        <f>D109/D$6</f>
        <v>0.26360754262217961</v>
      </c>
      <c r="E111" s="182">
        <f t="shared" ref="E111:O111" si="171">E109/E$6</f>
        <v>0.28904916049345891</v>
      </c>
      <c r="F111" s="182">
        <f t="shared" si="171"/>
        <v>0.28460067230739361</v>
      </c>
      <c r="G111" s="182">
        <f t="shared" si="171"/>
        <v>0.36130380213274266</v>
      </c>
      <c r="H111" s="182">
        <f t="shared" si="171"/>
        <v>0.35466859301608017</v>
      </c>
      <c r="I111" s="182"/>
      <c r="J111" s="182">
        <f t="shared" si="171"/>
        <v>0.35466859301608017</v>
      </c>
      <c r="K111" s="182">
        <f t="shared" si="171"/>
        <v>0.38913505999771625</v>
      </c>
      <c r="L111" s="182">
        <f t="shared" si="171"/>
        <v>0.38548163896791815</v>
      </c>
      <c r="M111" s="182">
        <f t="shared" si="171"/>
        <v>0.384688514411894</v>
      </c>
      <c r="N111" s="182">
        <f t="shared" si="171"/>
        <v>0.38338186883733139</v>
      </c>
      <c r="O111" s="787">
        <f t="shared" si="171"/>
        <v>0.38167188431284438</v>
      </c>
    </row>
    <row r="112" spans="2:15" s="825" customFormat="1" ht="13.5" customHeight="1" x14ac:dyDescent="0.3">
      <c r="B112" s="861"/>
      <c r="C112" s="182"/>
      <c r="D112" s="182"/>
      <c r="E112" s="182"/>
      <c r="F112" s="182"/>
      <c r="G112" s="182"/>
      <c r="H112" s="182"/>
      <c r="I112" s="182"/>
      <c r="J112" s="182"/>
      <c r="K112" s="182"/>
      <c r="L112" s="182"/>
      <c r="M112" s="182"/>
      <c r="N112" s="182"/>
      <c r="O112" s="787"/>
    </row>
    <row r="113" spans="2:17" s="825" customFormat="1" ht="13.5" customHeight="1" x14ac:dyDescent="0.3">
      <c r="B113" s="1657" t="s">
        <v>2014</v>
      </c>
      <c r="C113" s="1120"/>
      <c r="D113" s="1120">
        <f>SUM(D117,D120,D123,D126,D129)</f>
        <v>0</v>
      </c>
      <c r="E113" s="1120">
        <f t="shared" ref="E113:O113" si="172">SUM(E117,E120,E123,E126,E129)</f>
        <v>0</v>
      </c>
      <c r="F113" s="1120">
        <f t="shared" si="172"/>
        <v>32703.735044000001</v>
      </c>
      <c r="G113" s="1120">
        <f t="shared" si="172"/>
        <v>26138.876601073949</v>
      </c>
      <c r="H113" s="1120">
        <f t="shared" si="172"/>
        <v>18225.235499275146</v>
      </c>
      <c r="I113" s="1120"/>
      <c r="J113" s="1120">
        <f t="shared" si="172"/>
        <v>18225.235499275146</v>
      </c>
      <c r="K113" s="1120">
        <f t="shared" si="172"/>
        <v>22292.753331166663</v>
      </c>
      <c r="L113" s="1120">
        <f t="shared" si="172"/>
        <v>23095.958155147324</v>
      </c>
      <c r="M113" s="1120">
        <f t="shared" si="172"/>
        <v>23857.956749059744</v>
      </c>
      <c r="N113" s="1120">
        <f t="shared" si="172"/>
        <v>24649.932052897442</v>
      </c>
      <c r="O113" s="1655">
        <f t="shared" si="172"/>
        <v>25473.270564641403</v>
      </c>
    </row>
    <row r="114" spans="2:17" s="825" customFormat="1" ht="13.5" customHeight="1" x14ac:dyDescent="0.3">
      <c r="B114" s="863" t="s">
        <v>3809</v>
      </c>
      <c r="C114" s="401"/>
      <c r="D114" s="260" t="e">
        <f>D113/C113-1</f>
        <v>#DIV/0!</v>
      </c>
      <c r="E114" s="260" t="e">
        <f>E113/D113-1</f>
        <v>#DIV/0!</v>
      </c>
      <c r="F114" s="260" t="e">
        <f t="shared" ref="F114:G114" si="173">F113/E113-1</f>
        <v>#DIV/0!</v>
      </c>
      <c r="G114" s="260">
        <f t="shared" si="173"/>
        <v>-0.20073726851363038</v>
      </c>
      <c r="H114" s="260"/>
      <c r="I114" s="260"/>
      <c r="J114" s="260">
        <f>J113/G113-1</f>
        <v>-0.30275368075587694</v>
      </c>
      <c r="K114" s="260">
        <f t="shared" ref="K114" si="174">K113/J113-1</f>
        <v>0.22318053624345713</v>
      </c>
      <c r="L114" s="260">
        <f t="shared" ref="L114" si="175">L113/K113-1</f>
        <v>3.6029861903945637E-2</v>
      </c>
      <c r="M114" s="260">
        <f t="shared" ref="M114" si="176">M113/L113-1</f>
        <v>3.2992724908561311E-2</v>
      </c>
      <c r="N114" s="260">
        <f t="shared" ref="N114" si="177">N113/M113-1</f>
        <v>3.3195437151964491E-2</v>
      </c>
      <c r="O114" s="783">
        <f t="shared" ref="O114" si="178">O113/N113-1</f>
        <v>3.3401248732739752E-2</v>
      </c>
    </row>
    <row r="115" spans="2:17" s="825" customFormat="1" ht="13.5" customHeight="1" x14ac:dyDescent="0.3">
      <c r="B115" s="861" t="s">
        <v>4001</v>
      </c>
      <c r="C115" s="182"/>
      <c r="D115" s="182">
        <f>D113/D$109</f>
        <v>0</v>
      </c>
      <c r="E115" s="182">
        <f t="shared" ref="E115:O115" si="179">E113/E$109</f>
        <v>0</v>
      </c>
      <c r="F115" s="182">
        <f t="shared" si="179"/>
        <v>0.54284356747462892</v>
      </c>
      <c r="G115" s="182">
        <f t="shared" si="179"/>
        <v>0.28730297637163887</v>
      </c>
      <c r="H115" s="182">
        <f t="shared" si="179"/>
        <v>0.23913216914905477</v>
      </c>
      <c r="I115" s="182"/>
      <c r="J115" s="182">
        <f t="shared" si="179"/>
        <v>0.23913216914905477</v>
      </c>
      <c r="K115" s="182">
        <f t="shared" si="179"/>
        <v>0.23131915641853443</v>
      </c>
      <c r="L115" s="182">
        <f t="shared" si="179"/>
        <v>0.23383839845309226</v>
      </c>
      <c r="M115" s="182">
        <f t="shared" si="179"/>
        <v>0.23375201523992231</v>
      </c>
      <c r="N115" s="182">
        <f t="shared" si="179"/>
        <v>0.23403292340736148</v>
      </c>
      <c r="O115" s="787">
        <f t="shared" si="179"/>
        <v>0.23445179105942818</v>
      </c>
    </row>
    <row r="116" spans="2:17" s="825" customFormat="1" ht="13.5" customHeight="1" outlineLevel="1" x14ac:dyDescent="0.3">
      <c r="B116" s="1630"/>
      <c r="C116" s="1122"/>
      <c r="D116" s="1123"/>
      <c r="E116" s="1123"/>
      <c r="F116" s="1123"/>
      <c r="G116" s="1123"/>
      <c r="H116" s="1123"/>
      <c r="I116" s="1123"/>
      <c r="J116" s="1123"/>
      <c r="K116" s="1123"/>
      <c r="L116" s="1123"/>
      <c r="M116" s="1123"/>
      <c r="N116" s="1123"/>
      <c r="O116" s="1656"/>
    </row>
    <row r="117" spans="2:17" s="825" customFormat="1" ht="13.5" customHeight="1" outlineLevel="1" x14ac:dyDescent="0.3">
      <c r="B117" s="1770" t="s">
        <v>3844</v>
      </c>
      <c r="C117" s="1122"/>
      <c r="D117" s="1123"/>
      <c r="E117" s="1123"/>
      <c r="F117" s="1120">
        <v>22369.630230999999</v>
      </c>
      <c r="G117" s="1120">
        <v>7282.1321208551744</v>
      </c>
      <c r="H117" s="1120">
        <v>3396.9490253952104</v>
      </c>
      <c r="I117" s="1120"/>
      <c r="J117" s="1120">
        <f>H117+I117</f>
        <v>3396.9490253952104</v>
      </c>
      <c r="K117" s="1120">
        <f>사업계획!S6</f>
        <v>5319.9751999999989</v>
      </c>
      <c r="L117" s="1120">
        <f>K117*(1+L118)</f>
        <v>5418.4932592592586</v>
      </c>
      <c r="M117" s="1120">
        <f t="shared" ref="M117:O117" si="180">L117*(1+M118)</f>
        <v>5541.6408333333329</v>
      </c>
      <c r="N117" s="1120">
        <f t="shared" si="180"/>
        <v>5667.5872159090904</v>
      </c>
      <c r="O117" s="1655">
        <f t="shared" si="180"/>
        <v>5796.3960162706608</v>
      </c>
    </row>
    <row r="118" spans="2:17" s="825" customFormat="1" ht="13.5" customHeight="1" outlineLevel="1" x14ac:dyDescent="0.3">
      <c r="B118" s="865" t="s">
        <v>3809</v>
      </c>
      <c r="C118" s="260"/>
      <c r="D118" s="260" t="e">
        <f>D117/C117-1</f>
        <v>#DIV/0!</v>
      </c>
      <c r="E118" s="260" t="e">
        <f>E117/D117-1</f>
        <v>#DIV/0!</v>
      </c>
      <c r="F118" s="260" t="e">
        <f t="shared" ref="F118:G118" si="181">F117/E117-1</f>
        <v>#DIV/0!</v>
      </c>
      <c r="G118" s="260">
        <f t="shared" si="181"/>
        <v>-0.67446345578106426</v>
      </c>
      <c r="H118" s="260"/>
      <c r="I118" s="260"/>
      <c r="J118" s="260">
        <f>J117/G117-1</f>
        <v>-0.53352274182629211</v>
      </c>
      <c r="K118" s="260">
        <f t="shared" ref="K118" si="182">K117/J117-1</f>
        <v>0.56610392450062119</v>
      </c>
      <c r="L118" s="1812">
        <f>L$29</f>
        <v>1.8518518518518517E-2</v>
      </c>
      <c r="M118" s="1812">
        <f t="shared" ref="M118:O118" si="183">M$29</f>
        <v>2.2727272727272728E-2</v>
      </c>
      <c r="N118" s="1812">
        <f t="shared" si="183"/>
        <v>2.2727272727272728E-2</v>
      </c>
      <c r="O118" s="1813">
        <f t="shared" si="183"/>
        <v>2.2727272727272728E-2</v>
      </c>
    </row>
    <row r="119" spans="2:17" s="825" customFormat="1" ht="13.5" customHeight="1" outlineLevel="1" x14ac:dyDescent="0.3">
      <c r="B119" s="862" t="s">
        <v>3810</v>
      </c>
      <c r="C119" s="182"/>
      <c r="D119" s="182">
        <f>D117/D$6</f>
        <v>0</v>
      </c>
      <c r="E119" s="182">
        <f t="shared" ref="E119:O119" si="184">E117/E$6</f>
        <v>0</v>
      </c>
      <c r="F119" s="182">
        <f t="shared" si="184"/>
        <v>0.10567495396195725</v>
      </c>
      <c r="G119" s="182">
        <f t="shared" si="184"/>
        <v>2.8919068012506238E-2</v>
      </c>
      <c r="H119" s="182">
        <f t="shared" si="184"/>
        <v>1.5807988688591783E-2</v>
      </c>
      <c r="I119" s="182"/>
      <c r="J119" s="182">
        <f t="shared" si="184"/>
        <v>1.5807988688591783E-2</v>
      </c>
      <c r="K119" s="182">
        <f t="shared" si="184"/>
        <v>2.1481166350635111E-2</v>
      </c>
      <c r="L119" s="182">
        <f t="shared" si="184"/>
        <v>2.1147648248945185E-2</v>
      </c>
      <c r="M119" s="182">
        <f t="shared" si="184"/>
        <v>2.0886694345525147E-2</v>
      </c>
      <c r="N119" s="182">
        <f t="shared" si="184"/>
        <v>2.0629609783127233E-2</v>
      </c>
      <c r="O119" s="787">
        <f t="shared" si="184"/>
        <v>2.036184206933972E-2</v>
      </c>
    </row>
    <row r="120" spans="2:17" s="825" customFormat="1" ht="13.5" customHeight="1" outlineLevel="1" x14ac:dyDescent="0.3">
      <c r="B120" s="1770" t="s">
        <v>3845</v>
      </c>
      <c r="C120" s="1122"/>
      <c r="D120" s="1123"/>
      <c r="E120" s="1123"/>
      <c r="F120" s="1120">
        <v>3868.4098829999998</v>
      </c>
      <c r="G120" s="1120">
        <v>6346.4436016615446</v>
      </c>
      <c r="H120" s="1120">
        <v>3302.5459983384562</v>
      </c>
      <c r="I120" s="1120"/>
      <c r="J120" s="1120">
        <f>H120+I120</f>
        <v>3302.5459983384562</v>
      </c>
      <c r="K120" s="1120">
        <f>사업계획!S7</f>
        <v>5153.6589999999997</v>
      </c>
      <c r="L120" s="1120">
        <f>K120*(1+L121)</f>
        <v>5395.3157590739647</v>
      </c>
      <c r="M120" s="1120">
        <f t="shared" ref="M120" si="185">L120*(1+M121)</f>
        <v>5568.2625799935786</v>
      </c>
      <c r="N120" s="1120">
        <f t="shared" ref="N120" si="186">M120*(1+N121)</f>
        <v>5746.7532104327547</v>
      </c>
      <c r="O120" s="1655">
        <f t="shared" ref="O120" si="187">N120*(1+O121)</f>
        <v>5930.9653571791978</v>
      </c>
    </row>
    <row r="121" spans="2:17" s="825" customFormat="1" ht="13.5" customHeight="1" outlineLevel="1" x14ac:dyDescent="0.3">
      <c r="B121" s="865" t="s">
        <v>3809</v>
      </c>
      <c r="C121" s="260"/>
      <c r="D121" s="260" t="e">
        <f>D120/C120-1</f>
        <v>#DIV/0!</v>
      </c>
      <c r="E121" s="260" t="e">
        <f>E120/D120-1</f>
        <v>#DIV/0!</v>
      </c>
      <c r="F121" s="260" t="e">
        <f t="shared" ref="F121:G121" si="188">F120/E120-1</f>
        <v>#DIV/0!</v>
      </c>
      <c r="G121" s="260">
        <f t="shared" si="188"/>
        <v>0.64058199456873455</v>
      </c>
      <c r="H121" s="260"/>
      <c r="I121" s="260"/>
      <c r="J121" s="260">
        <f>J120/G120-1</f>
        <v>-0.47962257200649727</v>
      </c>
      <c r="K121" s="260">
        <f t="shared" ref="K121" si="189">K120/J120-1</f>
        <v>0.56051089147368627</v>
      </c>
      <c r="L121" s="1812">
        <f>그룹사EE!L7</f>
        <v>4.6890327643712038E-2</v>
      </c>
      <c r="M121" s="1812">
        <f>그룹사EE!M7</f>
        <v>3.2054995229657823E-2</v>
      </c>
      <c r="N121" s="1812">
        <f>M121</f>
        <v>3.2054995229657823E-2</v>
      </c>
      <c r="O121" s="1813">
        <f>N121</f>
        <v>3.2054995229657823E-2</v>
      </c>
      <c r="Q121" s="825" t="s">
        <v>4430</v>
      </c>
    </row>
    <row r="122" spans="2:17" s="825" customFormat="1" ht="13.5" customHeight="1" outlineLevel="1" x14ac:dyDescent="0.3">
      <c r="B122" s="862" t="s">
        <v>3810</v>
      </c>
      <c r="C122" s="182"/>
      <c r="D122" s="182">
        <f>D120/D$6</f>
        <v>0</v>
      </c>
      <c r="E122" s="182">
        <f t="shared" ref="E122:O122" si="190">E120/E$6</f>
        <v>0</v>
      </c>
      <c r="F122" s="182">
        <f t="shared" si="190"/>
        <v>1.8274510220803543E-2</v>
      </c>
      <c r="G122" s="182">
        <f t="shared" si="190"/>
        <v>2.5203227723425609E-2</v>
      </c>
      <c r="H122" s="182">
        <f t="shared" si="190"/>
        <v>1.5368676243004416E-2</v>
      </c>
      <c r="I122" s="182"/>
      <c r="J122" s="182">
        <f t="shared" si="190"/>
        <v>1.5368676243004416E-2</v>
      </c>
      <c r="K122" s="182">
        <f t="shared" si="190"/>
        <v>2.0809609468376435E-2</v>
      </c>
      <c r="L122" s="182">
        <f t="shared" si="190"/>
        <v>2.1057189592312019E-2</v>
      </c>
      <c r="M122" s="182">
        <f t="shared" si="190"/>
        <v>2.0987032909888962E-2</v>
      </c>
      <c r="N122" s="182">
        <f t="shared" si="190"/>
        <v>2.0917768308598539E-2</v>
      </c>
      <c r="O122" s="787">
        <f t="shared" si="190"/>
        <v>2.0834563336013578E-2</v>
      </c>
    </row>
    <row r="123" spans="2:17" s="825" customFormat="1" ht="13.5" customHeight="1" outlineLevel="1" x14ac:dyDescent="0.3">
      <c r="B123" s="1770" t="s">
        <v>3846</v>
      </c>
      <c r="C123" s="1122"/>
      <c r="D123" s="1123"/>
      <c r="E123" s="1123"/>
      <c r="F123" s="1120">
        <v>3057.7020299999999</v>
      </c>
      <c r="G123" s="1120">
        <v>2795.1350169494235</v>
      </c>
      <c r="H123" s="1120">
        <v>5258.9598947172435</v>
      </c>
      <c r="I123" s="1120"/>
      <c r="J123" s="1120">
        <f>H123+I123</f>
        <v>5258.9598947172435</v>
      </c>
      <c r="K123" s="1120">
        <f>사업계획!S8</f>
        <v>3416.3980000000001</v>
      </c>
      <c r="L123" s="1120">
        <f>K123*(1+L124)</f>
        <v>3688.2260721611324</v>
      </c>
      <c r="M123" s="1120">
        <f t="shared" ref="M123" si="191">L123*(1+M124)</f>
        <v>3909.0181197775914</v>
      </c>
      <c r="N123" s="1120">
        <f t="shared" ref="N123" si="192">M123*(1+N124)</f>
        <v>4143.0276674433644</v>
      </c>
      <c r="O123" s="1655">
        <f t="shared" ref="O123" si="193">N123*(1+O124)</f>
        <v>4391.0459678753832</v>
      </c>
    </row>
    <row r="124" spans="2:17" s="825" customFormat="1" ht="13.5" customHeight="1" outlineLevel="1" x14ac:dyDescent="0.3">
      <c r="B124" s="865" t="s">
        <v>3809</v>
      </c>
      <c r="C124" s="260"/>
      <c r="D124" s="260" t="e">
        <f>D123/C123-1</f>
        <v>#DIV/0!</v>
      </c>
      <c r="E124" s="260" t="e">
        <f>E123/D123-1</f>
        <v>#DIV/0!</v>
      </c>
      <c r="F124" s="260" t="e">
        <f t="shared" ref="F124:G124" si="194">F123/E123-1</f>
        <v>#DIV/0!</v>
      </c>
      <c r="G124" s="260">
        <f t="shared" si="194"/>
        <v>-8.5870699785150828E-2</v>
      </c>
      <c r="H124" s="260"/>
      <c r="I124" s="260"/>
      <c r="J124" s="260">
        <f>J123/G123-1</f>
        <v>0.88146900340320888</v>
      </c>
      <c r="K124" s="260">
        <f t="shared" ref="K124" si="195">K123/J123-1</f>
        <v>-0.35036621910126042</v>
      </c>
      <c r="L124" s="1812">
        <f>그룹사EE!L9</f>
        <v>7.9565692334772509E-2</v>
      </c>
      <c r="M124" s="1812">
        <f>그룹사EE!M9</f>
        <v>5.9864022241750803E-2</v>
      </c>
      <c r="N124" s="1812">
        <f>M124</f>
        <v>5.9864022241750803E-2</v>
      </c>
      <c r="O124" s="1813">
        <f>N124</f>
        <v>5.9864022241750803E-2</v>
      </c>
      <c r="Q124" s="825" t="s">
        <v>4430</v>
      </c>
    </row>
    <row r="125" spans="2:17" s="825" customFormat="1" ht="13.5" customHeight="1" outlineLevel="1" x14ac:dyDescent="0.3">
      <c r="B125" s="862" t="s">
        <v>3810</v>
      </c>
      <c r="C125" s="182"/>
      <c r="D125" s="182">
        <f>D123/D$6</f>
        <v>0</v>
      </c>
      <c r="E125" s="182">
        <f t="shared" ref="E125:O125" si="196">E123/E$6</f>
        <v>0</v>
      </c>
      <c r="F125" s="182">
        <f t="shared" si="196"/>
        <v>1.4444696578034967E-2</v>
      </c>
      <c r="G125" s="182">
        <f t="shared" si="196"/>
        <v>1.1100141870236432E-2</v>
      </c>
      <c r="H125" s="182">
        <f t="shared" si="196"/>
        <v>2.4473013256292839E-2</v>
      </c>
      <c r="I125" s="182"/>
      <c r="J125" s="182">
        <f t="shared" si="196"/>
        <v>2.4473013256292839E-2</v>
      </c>
      <c r="K125" s="182">
        <f t="shared" si="196"/>
        <v>1.3794841328955277E-2</v>
      </c>
      <c r="L125" s="182">
        <f t="shared" si="196"/>
        <v>1.4394648826658328E-2</v>
      </c>
      <c r="M125" s="182">
        <f t="shared" si="196"/>
        <v>1.4733265672471069E-2</v>
      </c>
      <c r="N125" s="182">
        <f t="shared" si="196"/>
        <v>1.5080322691840051E-2</v>
      </c>
      <c r="O125" s="787">
        <f t="shared" si="196"/>
        <v>1.5425064862047646E-2</v>
      </c>
    </row>
    <row r="126" spans="2:17" s="825" customFormat="1" ht="13.5" customHeight="1" outlineLevel="1" x14ac:dyDescent="0.3">
      <c r="B126" s="1770" t="s">
        <v>3999</v>
      </c>
      <c r="C126" s="1122"/>
      <c r="D126" s="1123"/>
      <c r="E126" s="1123"/>
      <c r="F126" s="1120">
        <v>3067.3238999999999</v>
      </c>
      <c r="G126" s="1120">
        <v>8274.572969607807</v>
      </c>
      <c r="H126" s="1120">
        <v>3976.7689649167673</v>
      </c>
      <c r="I126" s="1120"/>
      <c r="J126" s="1120">
        <f>H126+I126</f>
        <v>3976.7689649167673</v>
      </c>
      <c r="K126" s="1120">
        <f>사업계획!S9</f>
        <v>1385.3140000000001</v>
      </c>
      <c r="L126" s="1120">
        <f>K126*(1+L127)</f>
        <v>1446.5639495758071</v>
      </c>
      <c r="M126" s="1120">
        <f t="shared" ref="M126" si="197">L126*(1+M127)</f>
        <v>1529.2361209899643</v>
      </c>
      <c r="N126" s="1120">
        <f t="shared" ref="N126" si="198">M126*(1+N127)</f>
        <v>1616.6330665341113</v>
      </c>
      <c r="O126" s="1655">
        <f t="shared" ref="O126" si="199">N126*(1+O127)</f>
        <v>1709.0248104521693</v>
      </c>
    </row>
    <row r="127" spans="2:17" s="825" customFormat="1" ht="13.5" customHeight="1" outlineLevel="1" x14ac:dyDescent="0.3">
      <c r="B127" s="865" t="s">
        <v>3809</v>
      </c>
      <c r="C127" s="260"/>
      <c r="D127" s="260" t="e">
        <f>D126/C126-1</f>
        <v>#DIV/0!</v>
      </c>
      <c r="E127" s="260" t="e">
        <f>E126/D126-1</f>
        <v>#DIV/0!</v>
      </c>
      <c r="F127" s="260" t="e">
        <f t="shared" ref="F127:G127" si="200">F126/E126-1</f>
        <v>#DIV/0!</v>
      </c>
      <c r="G127" s="260">
        <f t="shared" si="200"/>
        <v>1.697652168265571</v>
      </c>
      <c r="H127" s="260"/>
      <c r="I127" s="260"/>
      <c r="J127" s="260">
        <f>J126/G126-1</f>
        <v>-0.51939888867700013</v>
      </c>
      <c r="K127" s="260">
        <f t="shared" ref="K127" si="201">K126/J126-1</f>
        <v>-0.65164835769407237</v>
      </c>
      <c r="L127" s="1812">
        <f>그룹사EE!L11</f>
        <v>4.4213766392173115E-2</v>
      </c>
      <c r="M127" s="1812">
        <f>그룹사EE!M11</f>
        <v>5.7150720117420395E-2</v>
      </c>
      <c r="N127" s="1812">
        <f>M127</f>
        <v>5.7150720117420395E-2</v>
      </c>
      <c r="O127" s="1813">
        <f>N127</f>
        <v>5.7150720117420395E-2</v>
      </c>
      <c r="Q127" s="825" t="s">
        <v>4430</v>
      </c>
    </row>
    <row r="128" spans="2:17" s="825" customFormat="1" ht="13.5" customHeight="1" outlineLevel="1" x14ac:dyDescent="0.3">
      <c r="B128" s="862" t="s">
        <v>3810</v>
      </c>
      <c r="C128" s="182"/>
      <c r="D128" s="182">
        <f>D126/D$6</f>
        <v>0</v>
      </c>
      <c r="E128" s="182">
        <f t="shared" ref="E128:O128" si="202">E126/E$6</f>
        <v>0</v>
      </c>
      <c r="F128" s="182">
        <f t="shared" si="202"/>
        <v>1.449015064494524E-2</v>
      </c>
      <c r="G128" s="182">
        <f t="shared" si="202"/>
        <v>3.2860285217460823E-2</v>
      </c>
      <c r="H128" s="182">
        <f t="shared" si="202"/>
        <v>1.8506229662140206E-2</v>
      </c>
      <c r="I128" s="182"/>
      <c r="J128" s="182">
        <f t="shared" si="202"/>
        <v>1.8506229662140206E-2</v>
      </c>
      <c r="K128" s="182">
        <f t="shared" si="202"/>
        <v>5.5936652640530609E-3</v>
      </c>
      <c r="L128" s="182">
        <f t="shared" si="202"/>
        <v>5.6457439571339588E-3</v>
      </c>
      <c r="M128" s="182">
        <f t="shared" si="202"/>
        <v>5.7637599407613293E-3</v>
      </c>
      <c r="N128" s="182">
        <f t="shared" si="202"/>
        <v>5.884428073992966E-3</v>
      </c>
      <c r="O128" s="787">
        <f t="shared" si="202"/>
        <v>6.003539645208637E-3</v>
      </c>
    </row>
    <row r="129" spans="2:15" s="825" customFormat="1" ht="13.5" customHeight="1" outlineLevel="1" x14ac:dyDescent="0.3">
      <c r="B129" s="1770" t="s">
        <v>3847</v>
      </c>
      <c r="C129" s="1122"/>
      <c r="D129" s="1123"/>
      <c r="E129" s="1123"/>
      <c r="F129" s="1120">
        <v>340.66899999999998</v>
      </c>
      <c r="G129" s="1120">
        <v>1440.5928919999999</v>
      </c>
      <c r="H129" s="1120">
        <v>2290.0116159074669</v>
      </c>
      <c r="I129" s="1120"/>
      <c r="J129" s="1120">
        <f>H129+I129</f>
        <v>2290.0116159074669</v>
      </c>
      <c r="K129" s="1120">
        <f>사업계획!S10+사업계획!S11+사업계획!S15</f>
        <v>7017.4071311666667</v>
      </c>
      <c r="L129" s="1120">
        <f>K129*(1+L130)</f>
        <v>7147.3591150771608</v>
      </c>
      <c r="M129" s="1120">
        <f t="shared" ref="M129" si="203">L129*(1+M130)</f>
        <v>7309.7990949652776</v>
      </c>
      <c r="N129" s="1120">
        <f t="shared" ref="N129" si="204">M129*(1+N130)</f>
        <v>7475.9308925781243</v>
      </c>
      <c r="O129" s="1655">
        <f t="shared" ref="O129" si="205">N129*(1+O130)</f>
        <v>7645.8384128639909</v>
      </c>
    </row>
    <row r="130" spans="2:15" s="825" customFormat="1" ht="13.5" customHeight="1" outlineLevel="1" x14ac:dyDescent="0.3">
      <c r="B130" s="865" t="s">
        <v>3809</v>
      </c>
      <c r="C130" s="260"/>
      <c r="D130" s="260" t="e">
        <f>D129/C129-1</f>
        <v>#DIV/0!</v>
      </c>
      <c r="E130" s="260" t="e">
        <f>E129/D129-1</f>
        <v>#DIV/0!</v>
      </c>
      <c r="F130" s="260" t="e">
        <f t="shared" ref="F130:G130" si="206">F129/E129-1</f>
        <v>#DIV/0!</v>
      </c>
      <c r="G130" s="260">
        <f t="shared" si="206"/>
        <v>3.2287172944999396</v>
      </c>
      <c r="H130" s="260"/>
      <c r="I130" s="260"/>
      <c r="J130" s="260">
        <f>J129/G129-1</f>
        <v>0.58963134458355149</v>
      </c>
      <c r="K130" s="260">
        <f t="shared" ref="K130" si="207">K129/J129-1</f>
        <v>2.0643543824933248</v>
      </c>
      <c r="L130" s="1812">
        <f>L$29</f>
        <v>1.8518518518518517E-2</v>
      </c>
      <c r="M130" s="1812">
        <f t="shared" ref="M130:O130" si="208">M$29</f>
        <v>2.2727272727272728E-2</v>
      </c>
      <c r="N130" s="1812">
        <f t="shared" si="208"/>
        <v>2.2727272727272728E-2</v>
      </c>
      <c r="O130" s="1813">
        <f t="shared" si="208"/>
        <v>2.2727272727272728E-2</v>
      </c>
    </row>
    <row r="131" spans="2:15" s="825" customFormat="1" ht="13.5" customHeight="1" outlineLevel="1" x14ac:dyDescent="0.3">
      <c r="B131" s="862" t="s">
        <v>3810</v>
      </c>
      <c r="C131" s="182"/>
      <c r="D131" s="182">
        <f>D129/D$6</f>
        <v>0</v>
      </c>
      <c r="E131" s="182">
        <f t="shared" ref="E131:O131" si="209">E129/E$6</f>
        <v>0</v>
      </c>
      <c r="F131" s="182">
        <f t="shared" si="209"/>
        <v>1.6093328552823684E-3</v>
      </c>
      <c r="G131" s="182">
        <f t="shared" si="209"/>
        <v>5.7209349034975567E-3</v>
      </c>
      <c r="H131" s="182">
        <f t="shared" si="209"/>
        <v>1.0656762126949304E-2</v>
      </c>
      <c r="I131" s="182"/>
      <c r="J131" s="182">
        <f t="shared" si="209"/>
        <v>1.0656762126949304E-2</v>
      </c>
      <c r="K131" s="182">
        <f t="shared" si="209"/>
        <v>2.8335111399527633E-2</v>
      </c>
      <c r="L131" s="182">
        <f t="shared" si="209"/>
        <v>2.7895178464281606E-2</v>
      </c>
      <c r="M131" s="182">
        <f t="shared" si="209"/>
        <v>2.7550962614785623E-2</v>
      </c>
      <c r="N131" s="182">
        <f t="shared" si="209"/>
        <v>2.7211850687819502E-2</v>
      </c>
      <c r="O131" s="787">
        <f t="shared" si="209"/>
        <v>2.6858646961563652E-2</v>
      </c>
    </row>
    <row r="132" spans="2:15" s="825" customFormat="1" ht="13.5" customHeight="1" x14ac:dyDescent="0.3">
      <c r="B132" s="1658"/>
      <c r="C132" s="1125"/>
      <c r="D132" s="1125"/>
      <c r="E132" s="1125"/>
      <c r="F132" s="1125"/>
      <c r="G132" s="1125"/>
      <c r="H132" s="1125"/>
      <c r="I132" s="1125"/>
      <c r="J132" s="1125"/>
      <c r="K132" s="1125"/>
      <c r="L132" s="1125"/>
      <c r="M132" s="1125"/>
      <c r="N132" s="1125"/>
      <c r="O132" s="1659"/>
    </row>
    <row r="133" spans="2:15" s="825" customFormat="1" ht="13.5" customHeight="1" x14ac:dyDescent="0.3">
      <c r="B133" s="1657" t="s">
        <v>2015</v>
      </c>
      <c r="C133" s="1120"/>
      <c r="D133" s="1120"/>
      <c r="E133" s="1120"/>
      <c r="F133" s="1120">
        <f>F136+F139</f>
        <v>27541.493975000001</v>
      </c>
      <c r="G133" s="1120">
        <f t="shared" ref="G133:O133" si="210">G136+G139</f>
        <v>64841.303733926063</v>
      </c>
      <c r="H133" s="1120">
        <f t="shared" si="210"/>
        <v>57988.832913724844</v>
      </c>
      <c r="I133" s="1120"/>
      <c r="J133" s="1120">
        <f t="shared" si="210"/>
        <v>57988.832913724844</v>
      </c>
      <c r="K133" s="1120">
        <f t="shared" si="210"/>
        <v>74079.521565217394</v>
      </c>
      <c r="L133" s="1120">
        <f t="shared" si="210"/>
        <v>75672.92799842573</v>
      </c>
      <c r="M133" s="1120">
        <f t="shared" si="210"/>
        <v>78207.28844068553</v>
      </c>
      <c r="N133" s="1120">
        <f t="shared" si="210"/>
        <v>80676.838616848778</v>
      </c>
      <c r="O133" s="1655">
        <f t="shared" si="210"/>
        <v>83177.085440463765</v>
      </c>
    </row>
    <row r="134" spans="2:15" s="825" customFormat="1" ht="13.5" customHeight="1" x14ac:dyDescent="0.3">
      <c r="B134" s="863" t="s">
        <v>3809</v>
      </c>
      <c r="C134" s="401"/>
      <c r="D134" s="260"/>
      <c r="E134" s="260" t="e">
        <f>E133/D133-1</f>
        <v>#DIV/0!</v>
      </c>
      <c r="F134" s="260" t="e">
        <f t="shared" ref="F134:G134" si="211">F133/E133-1</f>
        <v>#DIV/0!</v>
      </c>
      <c r="G134" s="260">
        <f t="shared" si="211"/>
        <v>1.3543132334354806</v>
      </c>
      <c r="H134" s="260"/>
      <c r="I134" s="260"/>
      <c r="J134" s="260">
        <f>J133/G133-1</f>
        <v>-0.10568064529239085</v>
      </c>
      <c r="K134" s="260">
        <f t="shared" ref="K134" si="212">K133/J133-1</f>
        <v>0.27747909111107827</v>
      </c>
      <c r="L134" s="260">
        <f t="shared" ref="L134" si="213">L133/K133-1</f>
        <v>2.1509405022352324E-2</v>
      </c>
      <c r="M134" s="260">
        <f t="shared" ref="M134" si="214">M133/L133-1</f>
        <v>3.3490978997304355E-2</v>
      </c>
      <c r="N134" s="260">
        <f t="shared" ref="N134" si="215">N133/M133-1</f>
        <v>3.1576982470581605E-2</v>
      </c>
      <c r="O134" s="783">
        <f t="shared" ref="O134" si="216">O133/N133-1</f>
        <v>3.0990887427917002E-2</v>
      </c>
    </row>
    <row r="135" spans="2:15" s="825" customFormat="1" ht="13.5" customHeight="1" x14ac:dyDescent="0.3">
      <c r="B135" s="861" t="s">
        <v>3860</v>
      </c>
      <c r="C135" s="182"/>
      <c r="D135" s="182">
        <f>D133/D$6</f>
        <v>0</v>
      </c>
      <c r="E135" s="182">
        <f t="shared" ref="E135:O135" si="217">E133/E$6</f>
        <v>0</v>
      </c>
      <c r="F135" s="182">
        <f t="shared" si="217"/>
        <v>0.13010702804637023</v>
      </c>
      <c r="G135" s="182">
        <f t="shared" si="217"/>
        <v>0.25750014440561608</v>
      </c>
      <c r="H135" s="182">
        <f t="shared" si="217"/>
        <v>0.26985592303910166</v>
      </c>
      <c r="I135" s="182"/>
      <c r="J135" s="182">
        <f t="shared" si="217"/>
        <v>0.26985592303910166</v>
      </c>
      <c r="K135" s="182">
        <f t="shared" si="217"/>
        <v>0.29912066618616873</v>
      </c>
      <c r="L135" s="182">
        <f t="shared" si="217"/>
        <v>0.29534122987858702</v>
      </c>
      <c r="M135" s="182">
        <f t="shared" si="217"/>
        <v>0.29476679892846191</v>
      </c>
      <c r="N135" s="182">
        <f t="shared" si="217"/>
        <v>0.29365788929195313</v>
      </c>
      <c r="O135" s="787">
        <f t="shared" si="217"/>
        <v>0.29218822743867118</v>
      </c>
    </row>
    <row r="136" spans="2:15" s="825" customFormat="1" ht="13.5" customHeight="1" x14ac:dyDescent="0.3">
      <c r="B136" s="1770" t="s">
        <v>2865</v>
      </c>
      <c r="C136" s="1122"/>
      <c r="D136" s="1123"/>
      <c r="E136" s="1123"/>
      <c r="F136" s="1120">
        <v>27541.493975000001</v>
      </c>
      <c r="G136" s="1120">
        <v>23705.672281090559</v>
      </c>
      <c r="H136" s="1120">
        <v>15527.704178604508</v>
      </c>
      <c r="I136" s="1120"/>
      <c r="J136" s="1120">
        <f>H136+I136</f>
        <v>15527.704178604508</v>
      </c>
      <c r="K136" s="1120">
        <f>사업계획!S12</f>
        <v>25143.93</v>
      </c>
      <c r="L136" s="1120">
        <f>K136*(1+L137)</f>
        <v>25609.558333333334</v>
      </c>
      <c r="M136" s="1120">
        <f t="shared" ref="M136" si="218">L136*(1+M137)</f>
        <v>26191.59375</v>
      </c>
      <c r="N136" s="1120">
        <f t="shared" ref="N136" si="219">M136*(1+N137)</f>
        <v>26786.85724431818</v>
      </c>
      <c r="O136" s="1655">
        <f t="shared" ref="O136" si="220">N136*(1+O137)</f>
        <v>27395.649454416322</v>
      </c>
    </row>
    <row r="137" spans="2:15" s="825" customFormat="1" ht="13.5" customHeight="1" x14ac:dyDescent="0.3">
      <c r="B137" s="865" t="s">
        <v>109</v>
      </c>
      <c r="C137" s="260"/>
      <c r="D137" s="260" t="e">
        <f>D136/C136-1</f>
        <v>#DIV/0!</v>
      </c>
      <c r="E137" s="260" t="e">
        <f>E136/D136-1</f>
        <v>#DIV/0!</v>
      </c>
      <c r="F137" s="260" t="e">
        <f t="shared" ref="F137:G137" si="221">F136/E136-1</f>
        <v>#DIV/0!</v>
      </c>
      <c r="G137" s="260">
        <f t="shared" si="221"/>
        <v>-0.13927427819969751</v>
      </c>
      <c r="H137" s="260"/>
      <c r="I137" s="260"/>
      <c r="J137" s="260">
        <f>J136/G136-1</f>
        <v>-0.34497937900750519</v>
      </c>
      <c r="K137" s="260">
        <f t="shared" ref="K137" si="222">K136/J136-1</f>
        <v>0.6192947592758502</v>
      </c>
      <c r="L137" s="1812">
        <f>L$29</f>
        <v>1.8518518518518517E-2</v>
      </c>
      <c r="M137" s="1812">
        <f t="shared" ref="M137:O137" si="223">M$29</f>
        <v>2.2727272727272728E-2</v>
      </c>
      <c r="N137" s="1812">
        <f t="shared" si="223"/>
        <v>2.2727272727272728E-2</v>
      </c>
      <c r="O137" s="1813">
        <f t="shared" si="223"/>
        <v>2.2727272727272728E-2</v>
      </c>
    </row>
    <row r="138" spans="2:15" s="825" customFormat="1" ht="13.5" customHeight="1" x14ac:dyDescent="0.3">
      <c r="B138" s="862" t="s">
        <v>133</v>
      </c>
      <c r="C138" s="182"/>
      <c r="D138" s="182">
        <f>D136/D$6</f>
        <v>0</v>
      </c>
      <c r="E138" s="182">
        <f t="shared" ref="E138:O138" si="224">E136/E$6</f>
        <v>0</v>
      </c>
      <c r="F138" s="182">
        <f t="shared" si="224"/>
        <v>0.13010702804637023</v>
      </c>
      <c r="G138" s="182">
        <f t="shared" si="224"/>
        <v>9.4140828208227431E-2</v>
      </c>
      <c r="H138" s="182">
        <f t="shared" si="224"/>
        <v>7.2259480545670454E-2</v>
      </c>
      <c r="I138" s="182"/>
      <c r="J138" s="182">
        <f t="shared" si="224"/>
        <v>7.2259480545670454E-2</v>
      </c>
      <c r="K138" s="182">
        <f t="shared" si="224"/>
        <v>0.10152696633599435</v>
      </c>
      <c r="L138" s="182">
        <f t="shared" si="224"/>
        <v>9.9950651506063484E-2</v>
      </c>
      <c r="M138" s="182">
        <f t="shared" si="224"/>
        <v>9.8717298636144049E-2</v>
      </c>
      <c r="N138" s="182">
        <f t="shared" si="224"/>
        <v>9.7502233528131185E-2</v>
      </c>
      <c r="O138" s="787">
        <f t="shared" si="224"/>
        <v>9.6236676378215646E-2</v>
      </c>
    </row>
    <row r="139" spans="2:15" s="825" customFormat="1" ht="13.5" customHeight="1" x14ac:dyDescent="0.3">
      <c r="B139" s="1770" t="s">
        <v>4002</v>
      </c>
      <c r="C139" s="1122"/>
      <c r="D139" s="1123"/>
      <c r="E139" s="1123"/>
      <c r="F139" s="1120"/>
      <c r="G139" s="1120">
        <f>SUM(G142,G145,G148,G151,G154)</f>
        <v>41135.6314528355</v>
      </c>
      <c r="H139" s="1120">
        <f>SUM(H142,H145,H148,H151,H154)</f>
        <v>42461.128735120335</v>
      </c>
      <c r="I139" s="1120"/>
      <c r="J139" s="1120">
        <f>H139+I139</f>
        <v>42461.128735120335</v>
      </c>
      <c r="K139" s="1120">
        <f>사업계획!S16</f>
        <v>48935.591565217394</v>
      </c>
      <c r="L139" s="1120">
        <f>L154+L157</f>
        <v>50063.369665092388</v>
      </c>
      <c r="M139" s="1120">
        <f t="shared" ref="M139:O139" si="225">M154+M157</f>
        <v>52015.69469068553</v>
      </c>
      <c r="N139" s="1120">
        <f t="shared" si="225"/>
        <v>53889.981372530601</v>
      </c>
      <c r="O139" s="1655">
        <f t="shared" si="225"/>
        <v>55781.435986047436</v>
      </c>
    </row>
    <row r="140" spans="2:15" s="825" customFormat="1" ht="13.5" customHeight="1" x14ac:dyDescent="0.3">
      <c r="B140" s="865" t="s">
        <v>109</v>
      </c>
      <c r="C140" s="260"/>
      <c r="D140" s="260" t="e">
        <f>D139/C139-1</f>
        <v>#DIV/0!</v>
      </c>
      <c r="E140" s="260" t="e">
        <f>E139/D139-1</f>
        <v>#DIV/0!</v>
      </c>
      <c r="F140" s="260" t="e">
        <f t="shared" ref="F140:G140" si="226">F139/E139-1</f>
        <v>#DIV/0!</v>
      </c>
      <c r="G140" s="260" t="e">
        <f t="shared" si="226"/>
        <v>#DIV/0!</v>
      </c>
      <c r="H140" s="260"/>
      <c r="I140" s="260"/>
      <c r="J140" s="260">
        <f>J139/G139-1</f>
        <v>3.2222606909647178E-2</v>
      </c>
      <c r="K140" s="260">
        <f t="shared" ref="K140" si="227">K139/J139-1</f>
        <v>0.15247976261973273</v>
      </c>
      <c r="L140" s="260">
        <f t="shared" ref="L140" si="228">L139/K139-1</f>
        <v>2.3046172812113408E-2</v>
      </c>
      <c r="M140" s="260">
        <f t="shared" ref="M140" si="229">M139/L139-1</f>
        <v>3.8997075879102061E-2</v>
      </c>
      <c r="N140" s="260">
        <f t="shared" ref="N140" si="230">N139/M139-1</f>
        <v>3.6033099105772459E-2</v>
      </c>
      <c r="O140" s="783">
        <f t="shared" ref="O140" si="231">O139/N139-1</f>
        <v>3.5098446229580027E-2</v>
      </c>
    </row>
    <row r="141" spans="2:15" s="825" customFormat="1" ht="13.5" customHeight="1" x14ac:dyDescent="0.3">
      <c r="B141" s="862" t="s">
        <v>133</v>
      </c>
      <c r="C141" s="182"/>
      <c r="D141" s="182">
        <f>D139/D$6</f>
        <v>0</v>
      </c>
      <c r="E141" s="182">
        <f t="shared" ref="E141:O141" si="232">E139/E$6</f>
        <v>0</v>
      </c>
      <c r="F141" s="182">
        <f t="shared" si="232"/>
        <v>0</v>
      </c>
      <c r="G141" s="182">
        <f t="shared" si="232"/>
        <v>0.16335931619738864</v>
      </c>
      <c r="H141" s="182">
        <f t="shared" si="232"/>
        <v>0.1975964424934312</v>
      </c>
      <c r="I141" s="182"/>
      <c r="J141" s="182">
        <f t="shared" si="232"/>
        <v>0.1975964424934312</v>
      </c>
      <c r="K141" s="182">
        <f t="shared" si="232"/>
        <v>0.19759369985017439</v>
      </c>
      <c r="L141" s="182">
        <f t="shared" si="232"/>
        <v>0.19539057837252352</v>
      </c>
      <c r="M141" s="182">
        <f t="shared" si="232"/>
        <v>0.19604950029231785</v>
      </c>
      <c r="N141" s="182">
        <f t="shared" si="232"/>
        <v>0.19615565576382196</v>
      </c>
      <c r="O141" s="787">
        <f t="shared" si="232"/>
        <v>0.1959515510604555</v>
      </c>
    </row>
    <row r="142" spans="2:15" s="825" customFormat="1" ht="13.5" customHeight="1" outlineLevel="1" x14ac:dyDescent="0.3">
      <c r="B142" s="1663" t="s">
        <v>3855</v>
      </c>
      <c r="C142" s="1122"/>
      <c r="D142" s="1123"/>
      <c r="E142" s="1123"/>
      <c r="F142" s="1120"/>
      <c r="G142" s="1120">
        <v>9755.3424348354984</v>
      </c>
      <c r="H142" s="1120">
        <v>12062.036832312649</v>
      </c>
      <c r="I142" s="1120"/>
      <c r="J142" s="1120">
        <f>H142+I142</f>
        <v>12062.036832312649</v>
      </c>
      <c r="K142" s="1120"/>
      <c r="L142" s="1120"/>
      <c r="M142" s="1120"/>
      <c r="N142" s="1120"/>
      <c r="O142" s="1655"/>
    </row>
    <row r="143" spans="2:15" s="825" customFormat="1" ht="13.5" customHeight="1" outlineLevel="1" x14ac:dyDescent="0.3">
      <c r="B143" s="1771" t="s">
        <v>109</v>
      </c>
      <c r="C143" s="260"/>
      <c r="D143" s="260" t="e">
        <f>D142/C142-1</f>
        <v>#DIV/0!</v>
      </c>
      <c r="E143" s="260" t="e">
        <f>E142/D142-1</f>
        <v>#DIV/0!</v>
      </c>
      <c r="F143" s="260" t="e">
        <f t="shared" ref="F143:G143" si="233">F142/E142-1</f>
        <v>#DIV/0!</v>
      </c>
      <c r="G143" s="260" t="e">
        <f t="shared" si="233"/>
        <v>#DIV/0!</v>
      </c>
      <c r="H143" s="260"/>
      <c r="I143" s="260"/>
      <c r="J143" s="260">
        <f>J142/G142-1</f>
        <v>0.23645447741948478</v>
      </c>
      <c r="K143" s="260">
        <f t="shared" ref="K143" si="234">K142/J142-1</f>
        <v>-1</v>
      </c>
      <c r="L143" s="260" t="e">
        <f t="shared" ref="L143" si="235">L142/K142-1</f>
        <v>#DIV/0!</v>
      </c>
      <c r="M143" s="260" t="e">
        <f t="shared" ref="M143" si="236">M142/L142-1</f>
        <v>#DIV/0!</v>
      </c>
      <c r="N143" s="260" t="e">
        <f t="shared" ref="N143" si="237">N142/M142-1</f>
        <v>#DIV/0!</v>
      </c>
      <c r="O143" s="783" t="e">
        <f t="shared" ref="O143" si="238">O142/N142-1</f>
        <v>#DIV/0!</v>
      </c>
    </row>
    <row r="144" spans="2:15" s="825" customFormat="1" ht="13.5" customHeight="1" outlineLevel="1" x14ac:dyDescent="0.3">
      <c r="B144" s="1772" t="s">
        <v>133</v>
      </c>
      <c r="C144" s="182"/>
      <c r="D144" s="182">
        <f>D142/D$6</f>
        <v>0</v>
      </c>
      <c r="E144" s="182">
        <f t="shared" ref="E144:O144" si="239">E142/E$6</f>
        <v>0</v>
      </c>
      <c r="F144" s="182">
        <f t="shared" si="239"/>
        <v>0</v>
      </c>
      <c r="G144" s="182">
        <f t="shared" si="239"/>
        <v>3.8740770790240193E-2</v>
      </c>
      <c r="H144" s="182">
        <f t="shared" si="239"/>
        <v>5.6131705357101137E-2</v>
      </c>
      <c r="I144" s="182"/>
      <c r="J144" s="182">
        <f t="shared" si="239"/>
        <v>5.6131705357101137E-2</v>
      </c>
      <c r="K144" s="182">
        <f t="shared" si="239"/>
        <v>0</v>
      </c>
      <c r="L144" s="182">
        <f t="shared" si="239"/>
        <v>0</v>
      </c>
      <c r="M144" s="182">
        <f t="shared" si="239"/>
        <v>0</v>
      </c>
      <c r="N144" s="182">
        <f t="shared" si="239"/>
        <v>0</v>
      </c>
      <c r="O144" s="787">
        <f t="shared" si="239"/>
        <v>0</v>
      </c>
    </row>
    <row r="145" spans="2:15" s="825" customFormat="1" ht="13.5" customHeight="1" outlineLevel="1" x14ac:dyDescent="0.3">
      <c r="B145" s="1663" t="s">
        <v>3856</v>
      </c>
      <c r="C145" s="1122"/>
      <c r="D145" s="1123"/>
      <c r="E145" s="1123"/>
      <c r="F145" s="1120"/>
      <c r="G145" s="1120">
        <v>1448.786664</v>
      </c>
      <c r="H145" s="1120">
        <v>1523.8892596666672</v>
      </c>
      <c r="I145" s="1120"/>
      <c r="J145" s="1120">
        <f>H145+I145</f>
        <v>1523.8892596666672</v>
      </c>
      <c r="K145" s="1120"/>
      <c r="L145" s="1120"/>
      <c r="M145" s="1120"/>
      <c r="N145" s="1120"/>
      <c r="O145" s="1655"/>
    </row>
    <row r="146" spans="2:15" s="825" customFormat="1" ht="13.5" customHeight="1" outlineLevel="1" x14ac:dyDescent="0.3">
      <c r="B146" s="1771" t="s">
        <v>109</v>
      </c>
      <c r="C146" s="260"/>
      <c r="D146" s="260" t="e">
        <f>D145/C145-1</f>
        <v>#DIV/0!</v>
      </c>
      <c r="E146" s="260" t="e">
        <f>E145/D145-1</f>
        <v>#DIV/0!</v>
      </c>
      <c r="F146" s="260" t="e">
        <f t="shared" ref="F146:G146" si="240">F145/E145-1</f>
        <v>#DIV/0!</v>
      </c>
      <c r="G146" s="260" t="e">
        <f t="shared" si="240"/>
        <v>#DIV/0!</v>
      </c>
      <c r="H146" s="260"/>
      <c r="I146" s="260"/>
      <c r="J146" s="260">
        <f>J145/G145-1</f>
        <v>5.1838270970353983E-2</v>
      </c>
      <c r="K146" s="260">
        <f t="shared" ref="K146" si="241">K145/J145-1</f>
        <v>-1</v>
      </c>
      <c r="L146" s="260" t="e">
        <f t="shared" ref="L146" si="242">L145/K145-1</f>
        <v>#DIV/0!</v>
      </c>
      <c r="M146" s="260" t="e">
        <f t="shared" ref="M146" si="243">M145/L145-1</f>
        <v>#DIV/0!</v>
      </c>
      <c r="N146" s="260" t="e">
        <f t="shared" ref="N146" si="244">N145/M145-1</f>
        <v>#DIV/0!</v>
      </c>
      <c r="O146" s="783" t="e">
        <f t="shared" ref="O146" si="245">O145/N145-1</f>
        <v>#DIV/0!</v>
      </c>
    </row>
    <row r="147" spans="2:15" s="825" customFormat="1" ht="13.5" customHeight="1" outlineLevel="1" x14ac:dyDescent="0.3">
      <c r="B147" s="1772" t="s">
        <v>133</v>
      </c>
      <c r="C147" s="182"/>
      <c r="D147" s="182">
        <f>D145/D$6</f>
        <v>0</v>
      </c>
      <c r="E147" s="182">
        <f t="shared" ref="E147:O147" si="246">E145/E$6</f>
        <v>0</v>
      </c>
      <c r="F147" s="182">
        <f t="shared" si="246"/>
        <v>0</v>
      </c>
      <c r="G147" s="182">
        <f t="shared" si="246"/>
        <v>5.7534743089648586E-3</v>
      </c>
      <c r="H147" s="182">
        <f t="shared" si="246"/>
        <v>7.0915471499236075E-3</v>
      </c>
      <c r="I147" s="182"/>
      <c r="J147" s="182">
        <f t="shared" si="246"/>
        <v>7.0915471499236075E-3</v>
      </c>
      <c r="K147" s="182">
        <f t="shared" si="246"/>
        <v>0</v>
      </c>
      <c r="L147" s="182">
        <f t="shared" si="246"/>
        <v>0</v>
      </c>
      <c r="M147" s="182">
        <f t="shared" si="246"/>
        <v>0</v>
      </c>
      <c r="N147" s="182">
        <f t="shared" si="246"/>
        <v>0</v>
      </c>
      <c r="O147" s="787">
        <f t="shared" si="246"/>
        <v>0</v>
      </c>
    </row>
    <row r="148" spans="2:15" s="825" customFormat="1" ht="13.5" customHeight="1" outlineLevel="1" x14ac:dyDescent="0.3">
      <c r="B148" s="1663" t="s">
        <v>3854</v>
      </c>
      <c r="C148" s="1122"/>
      <c r="D148" s="1123"/>
      <c r="E148" s="1123"/>
      <c r="F148" s="1120"/>
      <c r="G148" s="1120">
        <v>0</v>
      </c>
      <c r="H148" s="1120">
        <v>2408.1799999999998</v>
      </c>
      <c r="I148" s="1120"/>
      <c r="J148" s="1120">
        <f>H148+I148</f>
        <v>2408.1799999999998</v>
      </c>
      <c r="K148" s="1120"/>
      <c r="L148" s="1120"/>
      <c r="M148" s="1120"/>
      <c r="N148" s="1120"/>
      <c r="O148" s="1655"/>
    </row>
    <row r="149" spans="2:15" s="825" customFormat="1" ht="13.5" customHeight="1" outlineLevel="1" x14ac:dyDescent="0.3">
      <c r="B149" s="1771" t="s">
        <v>109</v>
      </c>
      <c r="C149" s="260"/>
      <c r="D149" s="260" t="e">
        <f>D148/C148-1</f>
        <v>#DIV/0!</v>
      </c>
      <c r="E149" s="260" t="e">
        <f>E148/D148-1</f>
        <v>#DIV/0!</v>
      </c>
      <c r="F149" s="260" t="e">
        <f t="shared" ref="F149:G149" si="247">F148/E148-1</f>
        <v>#DIV/0!</v>
      </c>
      <c r="G149" s="260" t="e">
        <f t="shared" si="247"/>
        <v>#DIV/0!</v>
      </c>
      <c r="H149" s="260"/>
      <c r="I149" s="260"/>
      <c r="J149" s="260" t="e">
        <f>J148/G148-1</f>
        <v>#DIV/0!</v>
      </c>
      <c r="K149" s="260">
        <f t="shared" ref="K149" si="248">K148/J148-1</f>
        <v>-1</v>
      </c>
      <c r="L149" s="260" t="e">
        <f t="shared" ref="L149" si="249">L148/K148-1</f>
        <v>#DIV/0!</v>
      </c>
      <c r="M149" s="260" t="e">
        <f t="shared" ref="M149" si="250">M148/L148-1</f>
        <v>#DIV/0!</v>
      </c>
      <c r="N149" s="260" t="e">
        <f t="shared" ref="N149" si="251">N148/M148-1</f>
        <v>#DIV/0!</v>
      </c>
      <c r="O149" s="783" t="e">
        <f t="shared" ref="O149" si="252">O148/N148-1</f>
        <v>#DIV/0!</v>
      </c>
    </row>
    <row r="150" spans="2:15" s="825" customFormat="1" ht="13.5" customHeight="1" outlineLevel="1" x14ac:dyDescent="0.3">
      <c r="B150" s="1772" t="s">
        <v>133</v>
      </c>
      <c r="C150" s="182"/>
      <c r="D150" s="182">
        <f>D148/D$6</f>
        <v>0</v>
      </c>
      <c r="E150" s="182">
        <f t="shared" ref="E150:O150" si="253">E148/E$6</f>
        <v>0</v>
      </c>
      <c r="F150" s="182">
        <f t="shared" si="253"/>
        <v>0</v>
      </c>
      <c r="G150" s="182">
        <f t="shared" si="253"/>
        <v>0</v>
      </c>
      <c r="H150" s="182">
        <f t="shared" si="253"/>
        <v>1.1206668665174911E-2</v>
      </c>
      <c r="I150" s="182"/>
      <c r="J150" s="182">
        <f t="shared" si="253"/>
        <v>1.1206668665174911E-2</v>
      </c>
      <c r="K150" s="182">
        <f t="shared" si="253"/>
        <v>0</v>
      </c>
      <c r="L150" s="182">
        <f t="shared" si="253"/>
        <v>0</v>
      </c>
      <c r="M150" s="182">
        <f t="shared" si="253"/>
        <v>0</v>
      </c>
      <c r="N150" s="182">
        <f t="shared" si="253"/>
        <v>0</v>
      </c>
      <c r="O150" s="787">
        <f t="shared" si="253"/>
        <v>0</v>
      </c>
    </row>
    <row r="151" spans="2:15" s="825" customFormat="1" ht="13.5" customHeight="1" outlineLevel="1" x14ac:dyDescent="0.3">
      <c r="B151" s="1663" t="s">
        <v>3853</v>
      </c>
      <c r="C151" s="1122"/>
      <c r="D151" s="1123"/>
      <c r="E151" s="1123"/>
      <c r="F151" s="1120"/>
      <c r="G151" s="1120">
        <v>532.50235399999997</v>
      </c>
      <c r="H151" s="1120">
        <v>2975.6336429743587</v>
      </c>
      <c r="I151" s="1120"/>
      <c r="J151" s="1120">
        <f>H151+I151</f>
        <v>2975.6336429743587</v>
      </c>
      <c r="K151" s="1120"/>
      <c r="L151" s="1120"/>
      <c r="M151" s="1120"/>
      <c r="N151" s="1120"/>
      <c r="O151" s="1655"/>
    </row>
    <row r="152" spans="2:15" s="825" customFormat="1" ht="13.5" customHeight="1" outlineLevel="1" x14ac:dyDescent="0.3">
      <c r="B152" s="1771" t="s">
        <v>109</v>
      </c>
      <c r="C152" s="260"/>
      <c r="D152" s="260" t="e">
        <f>D151/C151-1</f>
        <v>#DIV/0!</v>
      </c>
      <c r="E152" s="260" t="e">
        <f>E151/D151-1</f>
        <v>#DIV/0!</v>
      </c>
      <c r="F152" s="260" t="e">
        <f t="shared" ref="F152:G152" si="254">F151/E151-1</f>
        <v>#DIV/0!</v>
      </c>
      <c r="G152" s="260" t="e">
        <f t="shared" si="254"/>
        <v>#DIV/0!</v>
      </c>
      <c r="H152" s="260"/>
      <c r="I152" s="260"/>
      <c r="J152" s="260">
        <f>J151/G151-1</f>
        <v>4.5880196972319087</v>
      </c>
      <c r="K152" s="260">
        <f t="shared" ref="K152" si="255">K151/J151-1</f>
        <v>-1</v>
      </c>
      <c r="L152" s="260" t="e">
        <f t="shared" ref="L152" si="256">L151/K151-1</f>
        <v>#DIV/0!</v>
      </c>
      <c r="M152" s="260" t="e">
        <f t="shared" ref="M152" si="257">M151/L151-1</f>
        <v>#DIV/0!</v>
      </c>
      <c r="N152" s="260" t="e">
        <f t="shared" ref="N152" si="258">N151/M151-1</f>
        <v>#DIV/0!</v>
      </c>
      <c r="O152" s="783" t="e">
        <f t="shared" ref="O152" si="259">O151/N151-1</f>
        <v>#DIV/0!</v>
      </c>
    </row>
    <row r="153" spans="2:15" s="825" customFormat="1" ht="13.5" customHeight="1" outlineLevel="1" x14ac:dyDescent="0.3">
      <c r="B153" s="1772" t="s">
        <v>133</v>
      </c>
      <c r="C153" s="182"/>
      <c r="D153" s="182">
        <f>D151/D$6</f>
        <v>0</v>
      </c>
      <c r="E153" s="182">
        <f t="shared" ref="E153:O153" si="260">E151/E$6</f>
        <v>0</v>
      </c>
      <c r="F153" s="182">
        <f t="shared" si="260"/>
        <v>0</v>
      </c>
      <c r="G153" s="182">
        <f t="shared" si="260"/>
        <v>2.1146927213862802E-3</v>
      </c>
      <c r="H153" s="182">
        <f t="shared" si="260"/>
        <v>1.3847362035130687E-2</v>
      </c>
      <c r="I153" s="182"/>
      <c r="J153" s="182">
        <f t="shared" si="260"/>
        <v>1.3847362035130687E-2</v>
      </c>
      <c r="K153" s="182">
        <f t="shared" si="260"/>
        <v>0</v>
      </c>
      <c r="L153" s="182">
        <f t="shared" si="260"/>
        <v>0</v>
      </c>
      <c r="M153" s="182">
        <f t="shared" si="260"/>
        <v>0</v>
      </c>
      <c r="N153" s="182">
        <f t="shared" si="260"/>
        <v>0</v>
      </c>
      <c r="O153" s="787">
        <f t="shared" si="260"/>
        <v>0</v>
      </c>
    </row>
    <row r="154" spans="2:15" s="825" customFormat="1" ht="13.5" customHeight="1" outlineLevel="1" x14ac:dyDescent="0.3">
      <c r="B154" s="1663" t="s">
        <v>3857</v>
      </c>
      <c r="C154" s="1122"/>
      <c r="D154" s="1123"/>
      <c r="E154" s="1123"/>
      <c r="F154" s="1120"/>
      <c r="G154" s="1120">
        <v>29399</v>
      </c>
      <c r="H154" s="1120">
        <v>23491.389000166659</v>
      </c>
      <c r="I154" s="1120"/>
      <c r="J154" s="1120">
        <f>H154+I154</f>
        <v>23491.389000166659</v>
      </c>
      <c r="K154" s="1120">
        <f>사업계획!V16</f>
        <v>13800</v>
      </c>
      <c r="L154" s="1120">
        <f>K154*(1+L155)</f>
        <v>14015.625</v>
      </c>
      <c r="M154" s="1120">
        <f t="shared" ref="M154:O154" si="261">L154*(1+M155)</f>
        <v>15093.75</v>
      </c>
      <c r="N154" s="1120">
        <f t="shared" si="261"/>
        <v>16171.875</v>
      </c>
      <c r="O154" s="1655">
        <f t="shared" si="261"/>
        <v>17250</v>
      </c>
    </row>
    <row r="155" spans="2:15" s="825" customFormat="1" ht="13.5" customHeight="1" outlineLevel="1" x14ac:dyDescent="0.3">
      <c r="B155" s="1771" t="s">
        <v>109</v>
      </c>
      <c r="C155" s="260"/>
      <c r="D155" s="260" t="e">
        <f>D154/C154-1</f>
        <v>#DIV/0!</v>
      </c>
      <c r="E155" s="260" t="e">
        <f>E154/D154-1</f>
        <v>#DIV/0!</v>
      </c>
      <c r="F155" s="260" t="e">
        <f t="shared" ref="F155:G155" si="262">F154/E154-1</f>
        <v>#DIV/0!</v>
      </c>
      <c r="G155" s="260" t="e">
        <f t="shared" si="262"/>
        <v>#DIV/0!</v>
      </c>
      <c r="H155" s="260"/>
      <c r="I155" s="260"/>
      <c r="J155" s="260">
        <f>J154/G154-1</f>
        <v>-0.20094598455162904</v>
      </c>
      <c r="K155" s="260">
        <f t="shared" ref="K155" si="263">K154/J154-1</f>
        <v>-0.41255070102912617</v>
      </c>
      <c r="L155" s="1812">
        <f>태양광산업전망자료!P7</f>
        <v>1.5625E-2</v>
      </c>
      <c r="M155" s="1812">
        <f>태양광산업전망자료!Q7</f>
        <v>7.6923076923076872E-2</v>
      </c>
      <c r="N155" s="1812">
        <f>태양광산업전망자료!R7</f>
        <v>7.1428571428571397E-2</v>
      </c>
      <c r="O155" s="1813">
        <f>태양광산업전망자료!S7</f>
        <v>6.6666666666666652E-2</v>
      </c>
    </row>
    <row r="156" spans="2:15" s="825" customFormat="1" ht="13.5" customHeight="1" outlineLevel="1" x14ac:dyDescent="0.3">
      <c r="B156" s="1772" t="s">
        <v>133</v>
      </c>
      <c r="C156" s="182"/>
      <c r="D156" s="182">
        <f>D154/D$6</f>
        <v>0</v>
      </c>
      <c r="E156" s="182">
        <f t="shared" ref="E156:O156" si="264">E154/E$6</f>
        <v>0</v>
      </c>
      <c r="F156" s="182">
        <f t="shared" si="264"/>
        <v>0</v>
      </c>
      <c r="G156" s="182">
        <f t="shared" si="264"/>
        <v>0.11675037837679729</v>
      </c>
      <c r="H156" s="182">
        <f t="shared" si="264"/>
        <v>0.10931915928610084</v>
      </c>
      <c r="I156" s="182"/>
      <c r="J156" s="182">
        <f t="shared" si="264"/>
        <v>0.10931915928610084</v>
      </c>
      <c r="K156" s="182">
        <f t="shared" si="264"/>
        <v>5.5722082245564721E-2</v>
      </c>
      <c r="L156" s="182">
        <f t="shared" si="264"/>
        <v>5.4701093700288507E-2</v>
      </c>
      <c r="M156" s="182">
        <f t="shared" si="264"/>
        <v>5.688902479595382E-2</v>
      </c>
      <c r="N156" s="182">
        <f t="shared" si="264"/>
        <v>5.8864461719271066E-2</v>
      </c>
      <c r="O156" s="787">
        <f t="shared" si="264"/>
        <v>6.0596580135339917E-2</v>
      </c>
    </row>
    <row r="157" spans="2:15" s="825" customFormat="1" ht="13.5" customHeight="1" outlineLevel="1" x14ac:dyDescent="0.3">
      <c r="B157" s="1663" t="s">
        <v>4443</v>
      </c>
      <c r="C157" s="1122"/>
      <c r="D157" s="1123"/>
      <c r="E157" s="1123"/>
      <c r="F157" s="1120"/>
      <c r="G157" s="1120">
        <f>G142+G145+G151</f>
        <v>11736.631452835498</v>
      </c>
      <c r="H157" s="1120">
        <f t="shared" ref="H157:J157" si="265">H142+H145+H151</f>
        <v>16561.559734953677</v>
      </c>
      <c r="I157" s="1120"/>
      <c r="J157" s="1120">
        <f t="shared" si="265"/>
        <v>16561.559734953677</v>
      </c>
      <c r="K157" s="1120">
        <f>K139-K154</f>
        <v>35135.591565217394</v>
      </c>
      <c r="L157" s="1120">
        <f>K157*(1+L158)</f>
        <v>36047.744665092388</v>
      </c>
      <c r="M157" s="1120">
        <f t="shared" ref="M157:O157" si="266">L157*(1+M158)</f>
        <v>36921.94469068553</v>
      </c>
      <c r="N157" s="1120">
        <f t="shared" si="266"/>
        <v>37718.106372530601</v>
      </c>
      <c r="O157" s="1655">
        <f t="shared" si="266"/>
        <v>38531.435986047436</v>
      </c>
    </row>
    <row r="158" spans="2:15" s="825" customFormat="1" ht="13.5" customHeight="1" outlineLevel="1" x14ac:dyDescent="0.3">
      <c r="B158" s="1771" t="s">
        <v>109</v>
      </c>
      <c r="C158" s="260"/>
      <c r="D158" s="260"/>
      <c r="E158" s="260"/>
      <c r="F158" s="260"/>
      <c r="G158" s="260"/>
      <c r="H158" s="260"/>
      <c r="I158" s="260"/>
      <c r="J158" s="260"/>
      <c r="K158" s="260"/>
      <c r="L158" s="1812">
        <f>L30</f>
        <v>2.5960943284017025E-2</v>
      </c>
      <c r="M158" s="1812">
        <f t="shared" ref="M158:O158" si="267">M30</f>
        <v>2.4251171154119146E-2</v>
      </c>
      <c r="N158" s="1812">
        <f t="shared" si="267"/>
        <v>2.156337344944664E-2</v>
      </c>
      <c r="O158" s="1813">
        <f t="shared" si="267"/>
        <v>2.156337344944664E-2</v>
      </c>
    </row>
    <row r="159" spans="2:15" s="825" customFormat="1" ht="13.5" customHeight="1" outlineLevel="1" x14ac:dyDescent="0.3">
      <c r="B159" s="1772" t="s">
        <v>133</v>
      </c>
      <c r="C159" s="182"/>
      <c r="D159" s="182"/>
      <c r="E159" s="182"/>
      <c r="F159" s="182"/>
      <c r="G159" s="182"/>
      <c r="H159" s="182"/>
      <c r="I159" s="182"/>
      <c r="J159" s="182"/>
      <c r="K159" s="182"/>
      <c r="L159" s="182">
        <f t="shared" ref="L159:O159" si="268">L157/L$6</f>
        <v>0.14068948467223502</v>
      </c>
      <c r="M159" s="182">
        <f t="shared" si="268"/>
        <v>0.13916047549636404</v>
      </c>
      <c r="N159" s="182">
        <f t="shared" si="268"/>
        <v>0.1372911940445509</v>
      </c>
      <c r="O159" s="787">
        <f t="shared" si="268"/>
        <v>0.13535497092511559</v>
      </c>
    </row>
    <row r="160" spans="2:15" s="825" customFormat="1" ht="13.5" customHeight="1" x14ac:dyDescent="0.3">
      <c r="B160" s="1767"/>
      <c r="C160" s="1768"/>
      <c r="D160" s="1768"/>
      <c r="E160" s="1768"/>
      <c r="F160" s="1768"/>
      <c r="G160" s="1768"/>
      <c r="H160" s="1768"/>
      <c r="I160" s="1768"/>
      <c r="J160" s="1768"/>
      <c r="K160" s="1768"/>
      <c r="L160" s="1768"/>
      <c r="M160" s="1768"/>
      <c r="N160" s="1768"/>
      <c r="O160" s="1769"/>
    </row>
    <row r="161" spans="2:15" s="825" customFormat="1" ht="13.5" customHeight="1" x14ac:dyDescent="0.3">
      <c r="B161" s="1133"/>
      <c r="C161" s="1133"/>
      <c r="D161" s="1133"/>
      <c r="E161" s="1133"/>
      <c r="F161" s="1133"/>
      <c r="G161" s="1133"/>
      <c r="H161" s="1133"/>
      <c r="I161" s="1133"/>
      <c r="J161" s="1133"/>
      <c r="K161" s="1133"/>
      <c r="L161" s="1133"/>
      <c r="M161" s="1133"/>
      <c r="N161" s="1133"/>
      <c r="O161" s="1133"/>
    </row>
    <row r="162" spans="2:15" s="825" customFormat="1" ht="13.5" customHeight="1" x14ac:dyDescent="0.3">
      <c r="B162" s="1129" t="s">
        <v>3839</v>
      </c>
      <c r="C162" s="1130"/>
      <c r="D162" s="1130"/>
      <c r="E162" s="1130"/>
      <c r="F162" s="1130"/>
      <c r="G162" s="1130"/>
      <c r="H162" s="1129"/>
      <c r="I162" s="1129"/>
      <c r="J162" s="1129"/>
      <c r="K162" s="1129"/>
      <c r="L162" s="1129"/>
      <c r="M162" s="1129"/>
      <c r="N162" s="1129"/>
      <c r="O162" s="1133"/>
    </row>
    <row r="163" spans="2:15" s="825" customFormat="1" ht="13.5" customHeight="1" x14ac:dyDescent="0.3">
      <c r="B163" s="1129"/>
      <c r="C163" s="1130"/>
      <c r="D163" s="1130"/>
      <c r="E163" s="1130"/>
      <c r="F163" s="1130"/>
      <c r="G163" s="1130"/>
      <c r="H163" s="1129"/>
      <c r="I163" s="1129"/>
      <c r="J163" s="1129"/>
      <c r="K163" s="1129"/>
      <c r="L163" s="1129"/>
      <c r="M163" s="1129"/>
      <c r="N163" s="1129"/>
      <c r="O163" s="1133"/>
    </row>
    <row r="164" spans="2:15" s="825" customFormat="1" ht="13.5" customHeight="1" x14ac:dyDescent="0.3">
      <c r="B164" s="1693" t="s">
        <v>3840</v>
      </c>
      <c r="C164" s="1694"/>
      <c r="D164" s="1694"/>
      <c r="E164" s="1694"/>
      <c r="F164" s="1694"/>
      <c r="G164" s="1694"/>
      <c r="H164" s="1695"/>
      <c r="I164" s="1695"/>
      <c r="J164" s="1695"/>
      <c r="K164" s="1695"/>
      <c r="L164" s="1695"/>
      <c r="M164" s="1695"/>
      <c r="N164" s="1695"/>
      <c r="O164" s="1696"/>
    </row>
    <row r="165" spans="2:15" s="825" customFormat="1" ht="13.5" customHeight="1" x14ac:dyDescent="0.3">
      <c r="B165" s="1697" t="s">
        <v>3841</v>
      </c>
      <c r="C165" s="1120"/>
      <c r="D165" s="1120"/>
      <c r="E165" s="1120"/>
      <c r="F165" s="1120"/>
      <c r="G165" s="1120"/>
      <c r="H165" s="1133"/>
      <c r="I165" s="1133"/>
      <c r="J165" s="1133"/>
      <c r="K165" s="1133"/>
      <c r="L165" s="1133"/>
      <c r="M165" s="1133"/>
      <c r="N165" s="1133"/>
      <c r="O165" s="1698"/>
    </row>
    <row r="166" spans="2:15" s="825" customFormat="1" ht="13.5" customHeight="1" x14ac:dyDescent="0.3">
      <c r="B166" s="1699" t="s">
        <v>3842</v>
      </c>
      <c r="C166" s="1700"/>
      <c r="D166" s="1700"/>
      <c r="E166" s="1700"/>
      <c r="F166" s="1700"/>
      <c r="G166" s="1700"/>
      <c r="H166" s="1701"/>
      <c r="I166" s="1701"/>
      <c r="J166" s="1701"/>
      <c r="K166" s="1701"/>
      <c r="L166" s="1701"/>
      <c r="M166" s="1701"/>
      <c r="N166" s="1701"/>
      <c r="O166" s="1702"/>
    </row>
    <row r="167" spans="2:15" s="825" customFormat="1" ht="13.5" customHeight="1" x14ac:dyDescent="0.3">
      <c r="B167" s="1129"/>
      <c r="C167" s="1130"/>
      <c r="D167" s="1130"/>
      <c r="E167" s="1130"/>
      <c r="F167" s="1130"/>
      <c r="G167" s="1130"/>
      <c r="H167" s="1129"/>
      <c r="I167" s="1129"/>
      <c r="J167" s="1129"/>
      <c r="K167" s="1129"/>
      <c r="L167" s="1129"/>
      <c r="M167" s="1129"/>
      <c r="N167" s="1129"/>
      <c r="O167" s="1133"/>
    </row>
    <row r="168" spans="2:15" ht="13.5" customHeight="1" x14ac:dyDescent="0.3">
      <c r="B168" s="834" t="s">
        <v>3795</v>
      </c>
      <c r="C168" s="838"/>
      <c r="D168" s="838"/>
      <c r="E168" s="838"/>
      <c r="F168" s="838"/>
      <c r="G168" s="838"/>
      <c r="H168" s="838"/>
      <c r="I168" s="838"/>
      <c r="J168" s="838"/>
      <c r="K168" s="838"/>
      <c r="L168" s="838"/>
      <c r="M168" s="838"/>
      <c r="N168" s="838"/>
      <c r="O168" s="1617"/>
    </row>
    <row r="169" spans="2:15" ht="13.5" customHeight="1" x14ac:dyDescent="0.3">
      <c r="B169" s="1684" t="str">
        <f>Des!$C$13</f>
        <v>KRW Millions</v>
      </c>
      <c r="C169" s="1685">
        <f>'Pro forma'!C$5</f>
        <v>2010</v>
      </c>
      <c r="D169" s="1685">
        <f>'Pro forma'!D$5</f>
        <v>2011</v>
      </c>
      <c r="E169" s="1685">
        <f>'Pro forma'!E$5</f>
        <v>2012</v>
      </c>
      <c r="F169" s="1685">
        <f>'Pro forma'!F$5</f>
        <v>2013</v>
      </c>
      <c r="G169" s="1685">
        <f>'Pro forma'!G$5</f>
        <v>2014</v>
      </c>
      <c r="H169" s="1686" t="str">
        <f>'Pro forma'!H$5</f>
        <v>2015/12A</v>
      </c>
      <c r="I169" s="1687" t="str">
        <f>'Pro forma'!I$5</f>
        <v>2015/0E</v>
      </c>
      <c r="J169" s="1596">
        <f>'Pro forma'!J$5</f>
        <v>2015</v>
      </c>
      <c r="K169" s="1688">
        <f>'Pro forma'!K$5</f>
        <v>2016</v>
      </c>
      <c r="L169" s="1688">
        <f>'Pro forma'!L$5</f>
        <v>2017</v>
      </c>
      <c r="M169" s="1688">
        <f>'Pro forma'!M$5</f>
        <v>2018</v>
      </c>
      <c r="N169" s="1688">
        <f>'Pro forma'!N$5</f>
        <v>2019</v>
      </c>
      <c r="O169" s="1689">
        <f>'Pro forma'!O$5</f>
        <v>2020</v>
      </c>
    </row>
    <row r="170" spans="2:15" ht="13.5" customHeight="1" x14ac:dyDescent="0.3">
      <c r="B170" s="1690" t="s">
        <v>2017</v>
      </c>
      <c r="C170" s="1691">
        <f>IS!J10</f>
        <v>40189.430041</v>
      </c>
      <c r="D170" s="1691">
        <f>IS!K10</f>
        <v>54615.106054999997</v>
      </c>
      <c r="E170" s="1691">
        <f>IS!L10</f>
        <v>56695.629685</v>
      </c>
      <c r="F170" s="1691">
        <f>IS!M10</f>
        <v>79663.359314999994</v>
      </c>
      <c r="G170" s="1691">
        <f>IS!N10</f>
        <v>91593.798192000002</v>
      </c>
      <c r="H170" s="1691">
        <f>H174+H194</f>
        <v>95362.060357000024</v>
      </c>
      <c r="I170" s="1691"/>
      <c r="J170" s="1691">
        <f t="shared" ref="J170:O170" si="269">J174+J194</f>
        <v>95362.060357000024</v>
      </c>
      <c r="K170" s="1691">
        <f t="shared" si="269"/>
        <v>99260.629723853664</v>
      </c>
      <c r="L170" s="1691">
        <f t="shared" si="269"/>
        <v>103189.22171133169</v>
      </c>
      <c r="M170" s="1691">
        <f t="shared" si="269"/>
        <v>107074.65843150967</v>
      </c>
      <c r="N170" s="1691">
        <f t="shared" si="269"/>
        <v>111249.96901729822</v>
      </c>
      <c r="O170" s="1692">
        <f t="shared" si="269"/>
        <v>115784.02888395221</v>
      </c>
    </row>
    <row r="171" spans="2:15" ht="13.5" customHeight="1" x14ac:dyDescent="0.3">
      <c r="B171" s="863" t="s">
        <v>109</v>
      </c>
      <c r="C171" s="1121"/>
      <c r="D171" s="260">
        <f>D170/C170-1</f>
        <v>0.35894204021513554</v>
      </c>
      <c r="E171" s="260">
        <f>E170/D170-1</f>
        <v>3.8094288929967801E-2</v>
      </c>
      <c r="F171" s="260">
        <f t="shared" ref="F171:G171" si="270">F170/E170-1</f>
        <v>0.4051058213412273</v>
      </c>
      <c r="G171" s="260">
        <f t="shared" si="270"/>
        <v>0.14976068018705302</v>
      </c>
      <c r="H171" s="260"/>
      <c r="I171" s="260"/>
      <c r="J171" s="260">
        <f>J170/G170-1</f>
        <v>4.1141018708504173E-2</v>
      </c>
      <c r="K171" s="260">
        <f t="shared" ref="K171" si="271">K170/J170-1</f>
        <v>4.0881765266594039E-2</v>
      </c>
      <c r="L171" s="260">
        <f t="shared" ref="L171" si="272">L170/K170-1</f>
        <v>3.9578551923431293E-2</v>
      </c>
      <c r="M171" s="260">
        <f t="shared" ref="M171" si="273">M170/L170-1</f>
        <v>3.765351318422927E-2</v>
      </c>
      <c r="N171" s="260">
        <f t="shared" ref="N171" si="274">N170/M170-1</f>
        <v>3.8994386225002842E-2</v>
      </c>
      <c r="O171" s="783">
        <f t="shared" ref="O171" si="275">O170/N170-1</f>
        <v>4.0755605657283311E-2</v>
      </c>
    </row>
    <row r="172" spans="2:15" ht="13.5" customHeight="1" x14ac:dyDescent="0.3">
      <c r="B172" s="861" t="s">
        <v>133</v>
      </c>
      <c r="C172" s="1122"/>
      <c r="D172" s="182">
        <f>D170/D$6</f>
        <v>0.45478121553805956</v>
      </c>
      <c r="E172" s="182">
        <f t="shared" ref="E172:O172" si="276">E170/E$6</f>
        <v>0.31103718349999682</v>
      </c>
      <c r="F172" s="182">
        <f t="shared" si="276"/>
        <v>0.37633263228469338</v>
      </c>
      <c r="G172" s="182">
        <f t="shared" si="276"/>
        <v>0.36374062369073817</v>
      </c>
      <c r="H172" s="182">
        <f t="shared" si="276"/>
        <v>0.44377538790676396</v>
      </c>
      <c r="I172" s="182"/>
      <c r="J172" s="182">
        <f t="shared" si="276"/>
        <v>0.44377538790676396</v>
      </c>
      <c r="K172" s="182">
        <f t="shared" si="276"/>
        <v>0.40079775168254489</v>
      </c>
      <c r="L172" s="182">
        <f t="shared" si="276"/>
        <v>0.40273361235702293</v>
      </c>
      <c r="M172" s="182">
        <f t="shared" si="276"/>
        <v>0.40356921895012438</v>
      </c>
      <c r="N172" s="182">
        <f t="shared" si="276"/>
        <v>0.4049418847529333</v>
      </c>
      <c r="O172" s="787">
        <f t="shared" si="276"/>
        <v>0.4067313730237056</v>
      </c>
    </row>
    <row r="173" spans="2:15" ht="13.5" customHeight="1" x14ac:dyDescent="0.3">
      <c r="B173" s="1630"/>
      <c r="C173" s="1122"/>
      <c r="D173" s="1123"/>
      <c r="E173" s="1123"/>
      <c r="F173" s="1123"/>
      <c r="G173" s="1123"/>
      <c r="H173" s="1123"/>
      <c r="I173" s="1123"/>
      <c r="J173" s="1123"/>
      <c r="K173" s="1123"/>
      <c r="L173" s="1123"/>
      <c r="M173" s="1123"/>
      <c r="N173" s="1123"/>
      <c r="O173" s="1656"/>
    </row>
    <row r="174" spans="2:15" ht="13.5" customHeight="1" x14ac:dyDescent="0.3">
      <c r="B174" s="1657" t="s">
        <v>2014</v>
      </c>
      <c r="C174" s="1120">
        <f t="shared" ref="C174:E174" si="277">SUM(C178,C181,C184,C187,C190)</f>
        <v>0</v>
      </c>
      <c r="D174" s="1120">
        <f t="shared" si="277"/>
        <v>0</v>
      </c>
      <c r="E174" s="1120">
        <f t="shared" si="277"/>
        <v>0</v>
      </c>
      <c r="F174" s="1120">
        <f>SUM(F178,F181,F184,F187,F190)</f>
        <v>67496.051391421919</v>
      </c>
      <c r="G174" s="1120">
        <f t="shared" ref="G174:O174" si="278">SUM(G178,G181,G184,G187,G190)</f>
        <v>76214.159384733342</v>
      </c>
      <c r="H174" s="1120">
        <f t="shared" si="278"/>
        <v>80800.629310887962</v>
      </c>
      <c r="I174" s="1120"/>
      <c r="J174" s="1120">
        <f t="shared" si="278"/>
        <v>80800.629310887962</v>
      </c>
      <c r="K174" s="1120">
        <f t="shared" si="278"/>
        <v>84275.056371256127</v>
      </c>
      <c r="L174" s="1120">
        <f t="shared" si="278"/>
        <v>87814.608738848896</v>
      </c>
      <c r="M174" s="1120">
        <f t="shared" si="278"/>
        <v>91327.193088402855</v>
      </c>
      <c r="N174" s="1120">
        <f t="shared" si="278"/>
        <v>95162.935198115782</v>
      </c>
      <c r="O174" s="1655">
        <f t="shared" si="278"/>
        <v>99350.104346832857</v>
      </c>
    </row>
    <row r="175" spans="2:15" ht="13.5" customHeight="1" x14ac:dyDescent="0.3">
      <c r="B175" s="863" t="s">
        <v>109</v>
      </c>
      <c r="C175" s="1124"/>
      <c r="D175" s="260" t="e">
        <f>D174/C174-1</f>
        <v>#DIV/0!</v>
      </c>
      <c r="E175" s="260" t="e">
        <f>E174/D174-1</f>
        <v>#DIV/0!</v>
      </c>
      <c r="F175" s="260" t="e">
        <f t="shared" ref="F175:G175" si="279">F174/E174-1</f>
        <v>#DIV/0!</v>
      </c>
      <c r="G175" s="260">
        <f t="shared" si="279"/>
        <v>0.12916471132145979</v>
      </c>
      <c r="H175" s="260"/>
      <c r="I175" s="260"/>
      <c r="J175" s="260">
        <f>J174/G174-1</f>
        <v>6.0178711714208744E-2</v>
      </c>
      <c r="K175" s="260">
        <f t="shared" ref="K175" si="280">K174/J174-1</f>
        <v>4.2999999999999705E-2</v>
      </c>
      <c r="L175" s="260">
        <f t="shared" ref="L175" si="281">L174/K174-1</f>
        <v>4.2000000000000037E-2</v>
      </c>
      <c r="M175" s="260">
        <f t="shared" ref="M175" si="282">M174/L174-1</f>
        <v>4.0000000000000036E-2</v>
      </c>
      <c r="N175" s="260">
        <f t="shared" ref="N175" si="283">N174/M174-1</f>
        <v>4.2000000000000037E-2</v>
      </c>
      <c r="O175" s="783">
        <f t="shared" ref="O175" si="284">O174/N174-1</f>
        <v>4.3999999999999817E-2</v>
      </c>
    </row>
    <row r="176" spans="2:15" ht="13.5" customHeight="1" x14ac:dyDescent="0.3">
      <c r="B176" s="861" t="s">
        <v>2158</v>
      </c>
      <c r="C176" s="1128"/>
      <c r="D176" s="182">
        <f>D174/D$6</f>
        <v>0</v>
      </c>
      <c r="E176" s="182">
        <f t="shared" ref="E176:O176" si="285">E174/E$6</f>
        <v>0</v>
      </c>
      <c r="F176" s="182">
        <f t="shared" si="285"/>
        <v>0.31885382323029837</v>
      </c>
      <c r="G176" s="182">
        <f t="shared" si="285"/>
        <v>0.30266444252651975</v>
      </c>
      <c r="H176" s="182">
        <f t="shared" si="285"/>
        <v>0.37601254085024444</v>
      </c>
      <c r="I176" s="182"/>
      <c r="J176" s="182">
        <f t="shared" si="285"/>
        <v>0.37601254085024444</v>
      </c>
      <c r="K176" s="182">
        <f t="shared" si="285"/>
        <v>0.34028852336005339</v>
      </c>
      <c r="L176" s="182">
        <f t="shared" si="285"/>
        <v>0.34272857192440204</v>
      </c>
      <c r="M176" s="182">
        <f t="shared" si="285"/>
        <v>0.34421631152967369</v>
      </c>
      <c r="N176" s="182">
        <f t="shared" si="285"/>
        <v>0.34638623882901393</v>
      </c>
      <c r="O176" s="787">
        <f t="shared" si="285"/>
        <v>0.34900153968157915</v>
      </c>
    </row>
    <row r="177" spans="2:15" ht="13.5" customHeight="1" x14ac:dyDescent="0.3">
      <c r="B177" s="1630"/>
      <c r="C177" s="1122"/>
      <c r="D177" s="1123"/>
      <c r="E177" s="1123"/>
      <c r="F177" s="1123"/>
      <c r="G177" s="1123"/>
      <c r="H177" s="1123"/>
      <c r="I177" s="1123"/>
      <c r="J177" s="1123"/>
      <c r="K177" s="1123"/>
      <c r="L177" s="1123"/>
      <c r="M177" s="1123"/>
      <c r="N177" s="1123"/>
      <c r="O177" s="1656"/>
    </row>
    <row r="178" spans="2:15" s="825" customFormat="1" ht="13.5" customHeight="1" x14ac:dyDescent="0.3">
      <c r="B178" s="1770" t="s">
        <v>3834</v>
      </c>
      <c r="C178" s="1122"/>
      <c r="D178" s="1123"/>
      <c r="E178" s="1123"/>
      <c r="F178" s="1683">
        <v>30222.31824342192</v>
      </c>
      <c r="G178" s="1683">
        <v>28230.196749333332</v>
      </c>
      <c r="H178" s="1683">
        <v>27002.365711520204</v>
      </c>
      <c r="I178" s="1120"/>
      <c r="J178" s="1120">
        <f>H178+I178</f>
        <v>27002.365711520204</v>
      </c>
      <c r="K178" s="1120">
        <f>J178*(1+K179)</f>
        <v>28163.467437115571</v>
      </c>
      <c r="L178" s="1120">
        <f>K178*(1+L179)</f>
        <v>29346.333069474425</v>
      </c>
      <c r="M178" s="1120">
        <f t="shared" ref="M178:O178" si="286">L178*(1+M179)</f>
        <v>30520.186392253403</v>
      </c>
      <c r="N178" s="1120">
        <f t="shared" si="286"/>
        <v>31802.034220728048</v>
      </c>
      <c r="O178" s="1655">
        <f t="shared" si="286"/>
        <v>33201.323726440081</v>
      </c>
    </row>
    <row r="179" spans="2:15" s="825" customFormat="1" ht="13.5" customHeight="1" x14ac:dyDescent="0.3">
      <c r="B179" s="865" t="s">
        <v>109</v>
      </c>
      <c r="C179" s="1124"/>
      <c r="D179" s="260" t="e">
        <f>D178/C178-1</f>
        <v>#DIV/0!</v>
      </c>
      <c r="E179" s="260" t="e">
        <f>E178/D178-1</f>
        <v>#DIV/0!</v>
      </c>
      <c r="F179" s="260" t="e">
        <f t="shared" ref="F179:G179" si="287">F178/E178-1</f>
        <v>#DIV/0!</v>
      </c>
      <c r="G179" s="260">
        <f t="shared" si="287"/>
        <v>-6.5915575305748986E-2</v>
      </c>
      <c r="H179" s="260"/>
      <c r="I179" s="260"/>
      <c r="J179" s="260">
        <f>J178/G178-1</f>
        <v>-4.3493534555054891E-2</v>
      </c>
      <c r="K179" s="1812">
        <f>K$27</f>
        <v>4.2999999999999997E-2</v>
      </c>
      <c r="L179" s="1812">
        <f t="shared" ref="L179:O179" si="288">L$27</f>
        <v>4.2000000000000003E-2</v>
      </c>
      <c r="M179" s="1812">
        <f t="shared" si="288"/>
        <v>0.04</v>
      </c>
      <c r="N179" s="1812">
        <f t="shared" si="288"/>
        <v>4.2000000000000003E-2</v>
      </c>
      <c r="O179" s="1813">
        <f t="shared" si="288"/>
        <v>4.4000000000000004E-2</v>
      </c>
    </row>
    <row r="180" spans="2:15" s="825" customFormat="1" ht="13.5" customHeight="1" x14ac:dyDescent="0.3">
      <c r="B180" s="1811" t="s">
        <v>2158</v>
      </c>
      <c r="C180" s="1128"/>
      <c r="D180" s="182">
        <f>D178/D$6</f>
        <v>0</v>
      </c>
      <c r="E180" s="182">
        <f t="shared" ref="E180:O180" si="289">E178/E$6</f>
        <v>0</v>
      </c>
      <c r="F180" s="182">
        <f t="shared" si="289"/>
        <v>0.14277134025091398</v>
      </c>
      <c r="G180" s="182">
        <f t="shared" si="289"/>
        <v>0.11210878438505049</v>
      </c>
      <c r="H180" s="182">
        <f t="shared" si="289"/>
        <v>0.12565778542504585</v>
      </c>
      <c r="I180" s="182"/>
      <c r="J180" s="182">
        <f t="shared" si="289"/>
        <v>0.12565778542504585</v>
      </c>
      <c r="K180" s="182">
        <f t="shared" si="289"/>
        <v>0.11371935136603172</v>
      </c>
      <c r="L180" s="182">
        <f t="shared" si="289"/>
        <v>0.11453477921913548</v>
      </c>
      <c r="M180" s="182">
        <f t="shared" si="289"/>
        <v>0.11503195961547238</v>
      </c>
      <c r="N180" s="182">
        <f t="shared" si="289"/>
        <v>0.1157571169688731</v>
      </c>
      <c r="O180" s="787">
        <f t="shared" si="289"/>
        <v>0.11663111152397618</v>
      </c>
    </row>
    <row r="181" spans="2:15" s="825" customFormat="1" ht="13.5" customHeight="1" x14ac:dyDescent="0.3">
      <c r="B181" s="1770" t="s">
        <v>3835</v>
      </c>
      <c r="C181" s="1122"/>
      <c r="D181" s="1123"/>
      <c r="E181" s="1123"/>
      <c r="F181" s="1683">
        <v>20179.857566999999</v>
      </c>
      <c r="G181" s="1683">
        <v>21715.207999999999</v>
      </c>
      <c r="H181" s="1683">
        <v>21695.597139285717</v>
      </c>
      <c r="I181" s="1120"/>
      <c r="J181" s="1120">
        <f>H181+I181</f>
        <v>21695.597139285717</v>
      </c>
      <c r="K181" s="1120">
        <f>J181*(1+K182)</f>
        <v>22628.507816275003</v>
      </c>
      <c r="L181" s="1120">
        <f>K181*(1+L182)</f>
        <v>23578.905144558554</v>
      </c>
      <c r="M181" s="1120">
        <f t="shared" ref="M181" si="290">L181*(1+M182)</f>
        <v>24522.061350340897</v>
      </c>
      <c r="N181" s="1120">
        <f t="shared" ref="N181" si="291">M181*(1+N182)</f>
        <v>25551.987927055216</v>
      </c>
      <c r="O181" s="1655">
        <f t="shared" ref="O181" si="292">N181*(1+O182)</f>
        <v>26676.275395845645</v>
      </c>
    </row>
    <row r="182" spans="2:15" s="825" customFormat="1" ht="13.5" customHeight="1" x14ac:dyDescent="0.3">
      <c r="B182" s="865" t="s">
        <v>109</v>
      </c>
      <c r="C182" s="1124"/>
      <c r="D182" s="260" t="e">
        <f>D181/C181-1</f>
        <v>#DIV/0!</v>
      </c>
      <c r="E182" s="260" t="e">
        <f>E181/D181-1</f>
        <v>#DIV/0!</v>
      </c>
      <c r="F182" s="260" t="e">
        <f t="shared" ref="F182:G182" si="293">F181/E181-1</f>
        <v>#DIV/0!</v>
      </c>
      <c r="G182" s="260">
        <f t="shared" si="293"/>
        <v>7.6083313665739061E-2</v>
      </c>
      <c r="H182" s="260"/>
      <c r="I182" s="260"/>
      <c r="J182" s="260">
        <f>J181/G181-1</f>
        <v>-9.0309338571759046E-4</v>
      </c>
      <c r="K182" s="1812">
        <f>K$27</f>
        <v>4.2999999999999997E-2</v>
      </c>
      <c r="L182" s="1812">
        <f t="shared" ref="L182:O182" si="294">L$27</f>
        <v>4.2000000000000003E-2</v>
      </c>
      <c r="M182" s="1812">
        <f t="shared" si="294"/>
        <v>0.04</v>
      </c>
      <c r="N182" s="1812">
        <f t="shared" si="294"/>
        <v>4.2000000000000003E-2</v>
      </c>
      <c r="O182" s="1813">
        <f t="shared" si="294"/>
        <v>4.4000000000000004E-2</v>
      </c>
    </row>
    <row r="183" spans="2:15" s="825" customFormat="1" ht="13.5" customHeight="1" x14ac:dyDescent="0.3">
      <c r="B183" s="1811" t="s">
        <v>2158</v>
      </c>
      <c r="C183" s="1128"/>
      <c r="D183" s="182">
        <f>D181/D$6</f>
        <v>0</v>
      </c>
      <c r="E183" s="182">
        <f t="shared" ref="E183:O183" si="295">E181/E$6</f>
        <v>0</v>
      </c>
      <c r="F183" s="182">
        <f t="shared" si="295"/>
        <v>9.5330387553583154E-2</v>
      </c>
      <c r="G183" s="182">
        <f t="shared" si="295"/>
        <v>8.6236224039282133E-2</v>
      </c>
      <c r="H183" s="182">
        <f t="shared" si="295"/>
        <v>0.10096229045714677</v>
      </c>
      <c r="I183" s="182"/>
      <c r="J183" s="182">
        <f t="shared" si="295"/>
        <v>0.10096229045714677</v>
      </c>
      <c r="K183" s="182">
        <f t="shared" si="295"/>
        <v>9.1370114031368105E-2</v>
      </c>
      <c r="L183" s="182">
        <f t="shared" si="295"/>
        <v>9.2025286040594845E-2</v>
      </c>
      <c r="M183" s="182">
        <f t="shared" si="295"/>
        <v>9.2424755690762347E-2</v>
      </c>
      <c r="N183" s="182">
        <f t="shared" si="295"/>
        <v>9.3007398040327316E-2</v>
      </c>
      <c r="O183" s="787">
        <f t="shared" si="295"/>
        <v>9.3709626651406211E-2</v>
      </c>
    </row>
    <row r="184" spans="2:15" s="825" customFormat="1" ht="13.5" customHeight="1" x14ac:dyDescent="0.3">
      <c r="B184" s="1770" t="s">
        <v>3836</v>
      </c>
      <c r="C184" s="1122"/>
      <c r="D184" s="1123"/>
      <c r="E184" s="1123"/>
      <c r="F184" s="1683">
        <v>12291.224083999999</v>
      </c>
      <c r="G184" s="1683">
        <v>20081.751549000001</v>
      </c>
      <c r="H184" s="1683">
        <v>26307.9560210487</v>
      </c>
      <c r="I184" s="1120"/>
      <c r="J184" s="1120">
        <f>H184+I184</f>
        <v>26307.9560210487</v>
      </c>
      <c r="K184" s="1120">
        <f>J184*(1+K185)</f>
        <v>27439.198129953791</v>
      </c>
      <c r="L184" s="1120">
        <f>K184*(1+L185)</f>
        <v>28591.644451411852</v>
      </c>
      <c r="M184" s="1120">
        <f t="shared" ref="M184" si="296">L184*(1+M185)</f>
        <v>29735.310229468327</v>
      </c>
      <c r="N184" s="1120">
        <f t="shared" ref="N184" si="297">M184*(1+N185)</f>
        <v>30984.193259105996</v>
      </c>
      <c r="O184" s="1655">
        <f t="shared" ref="O184" si="298">N184*(1+O185)</f>
        <v>32347.49776250666</v>
      </c>
    </row>
    <row r="185" spans="2:15" s="825" customFormat="1" ht="13.5" customHeight="1" x14ac:dyDescent="0.3">
      <c r="B185" s="865" t="s">
        <v>109</v>
      </c>
      <c r="C185" s="1124"/>
      <c r="D185" s="260" t="e">
        <f>D184/C184-1</f>
        <v>#DIV/0!</v>
      </c>
      <c r="E185" s="260" t="e">
        <f>E184/D184-1</f>
        <v>#DIV/0!</v>
      </c>
      <c r="F185" s="260" t="e">
        <f t="shared" ref="F185:G185" si="299">F184/E184-1</f>
        <v>#DIV/0!</v>
      </c>
      <c r="G185" s="260">
        <f t="shared" si="299"/>
        <v>0.63382844635802038</v>
      </c>
      <c r="H185" s="260"/>
      <c r="I185" s="260"/>
      <c r="J185" s="260">
        <f>J184/G184-1</f>
        <v>0.31004289923897321</v>
      </c>
      <c r="K185" s="1812">
        <f>K$27</f>
        <v>4.2999999999999997E-2</v>
      </c>
      <c r="L185" s="1812">
        <f t="shared" ref="L185:O185" si="300">L$27</f>
        <v>4.2000000000000003E-2</v>
      </c>
      <c r="M185" s="1812">
        <f t="shared" si="300"/>
        <v>0.04</v>
      </c>
      <c r="N185" s="1812">
        <f t="shared" si="300"/>
        <v>4.2000000000000003E-2</v>
      </c>
      <c r="O185" s="1813">
        <f t="shared" si="300"/>
        <v>4.4000000000000004E-2</v>
      </c>
    </row>
    <row r="186" spans="2:15" s="825" customFormat="1" ht="13.5" customHeight="1" x14ac:dyDescent="0.3">
      <c r="B186" s="1811" t="s">
        <v>2158</v>
      </c>
      <c r="C186" s="1128"/>
      <c r="D186" s="182">
        <f>D184/D$6</f>
        <v>0</v>
      </c>
      <c r="E186" s="182">
        <f t="shared" ref="E186:O186" si="301">E184/E$6</f>
        <v>0</v>
      </c>
      <c r="F186" s="182">
        <f t="shared" si="301"/>
        <v>5.8064193542761836E-2</v>
      </c>
      <c r="G186" s="182">
        <f t="shared" si="301"/>
        <v>7.9749382353637377E-2</v>
      </c>
      <c r="H186" s="182">
        <f t="shared" si="301"/>
        <v>0.12242629138431767</v>
      </c>
      <c r="I186" s="182"/>
      <c r="J186" s="182">
        <f t="shared" si="301"/>
        <v>0.12242629138431767</v>
      </c>
      <c r="K186" s="182">
        <f t="shared" si="301"/>
        <v>0.11079487354707469</v>
      </c>
      <c r="L186" s="182">
        <f t="shared" si="301"/>
        <v>0.11158933134854947</v>
      </c>
      <c r="M186" s="182">
        <f t="shared" si="301"/>
        <v>0.11207372594349337</v>
      </c>
      <c r="N186" s="182">
        <f t="shared" si="301"/>
        <v>0.1127802346977788</v>
      </c>
      <c r="O186" s="787">
        <f t="shared" si="301"/>
        <v>0.1136317530633892</v>
      </c>
    </row>
    <row r="187" spans="2:15" s="825" customFormat="1" ht="13.5" customHeight="1" x14ac:dyDescent="0.3">
      <c r="B187" s="1770" t="s">
        <v>3837</v>
      </c>
      <c r="C187" s="1122"/>
      <c r="D187" s="1123"/>
      <c r="E187" s="1123"/>
      <c r="F187" s="1683">
        <v>2611.48459</v>
      </c>
      <c r="G187" s="1683">
        <v>2434.4207564000003</v>
      </c>
      <c r="H187" s="1683">
        <v>2347.3610953333337</v>
      </c>
      <c r="I187" s="1120"/>
      <c r="J187" s="1120">
        <f>H187+I187</f>
        <v>2347.3610953333337</v>
      </c>
      <c r="K187" s="1120">
        <f>J187*(1+K188)</f>
        <v>2448.2976224326667</v>
      </c>
      <c r="L187" s="1120">
        <f>K187*(1+L188)</f>
        <v>2551.126122574839</v>
      </c>
      <c r="M187" s="1120">
        <f t="shared" ref="M187" si="302">L187*(1+M188)</f>
        <v>2653.1711674778326</v>
      </c>
      <c r="N187" s="1120">
        <f t="shared" ref="N187" si="303">M187*(1+N188)</f>
        <v>2764.6043565119016</v>
      </c>
      <c r="O187" s="1655">
        <f t="shared" ref="O187" si="304">N187*(1+O188)</f>
        <v>2886.2469481984253</v>
      </c>
    </row>
    <row r="188" spans="2:15" s="825" customFormat="1" ht="13.5" customHeight="1" x14ac:dyDescent="0.3">
      <c r="B188" s="865" t="s">
        <v>109</v>
      </c>
      <c r="C188" s="1124"/>
      <c r="D188" s="260" t="e">
        <f>D187/C187-1</f>
        <v>#DIV/0!</v>
      </c>
      <c r="E188" s="260" t="e">
        <f>E187/D187-1</f>
        <v>#DIV/0!</v>
      </c>
      <c r="F188" s="260" t="e">
        <f t="shared" ref="F188:G188" si="305">F187/E187-1</f>
        <v>#DIV/0!</v>
      </c>
      <c r="G188" s="260">
        <f t="shared" si="305"/>
        <v>-6.7801982932627514E-2</v>
      </c>
      <c r="H188" s="260"/>
      <c r="I188" s="260"/>
      <c r="J188" s="260">
        <f>J187/G187-1</f>
        <v>-3.5761961377379081E-2</v>
      </c>
      <c r="K188" s="1812">
        <f>K$27</f>
        <v>4.2999999999999997E-2</v>
      </c>
      <c r="L188" s="1812">
        <f t="shared" ref="L188:O188" si="306">L$27</f>
        <v>4.2000000000000003E-2</v>
      </c>
      <c r="M188" s="1812">
        <f t="shared" si="306"/>
        <v>0.04</v>
      </c>
      <c r="N188" s="1812">
        <f t="shared" si="306"/>
        <v>4.2000000000000003E-2</v>
      </c>
      <c r="O188" s="1813">
        <f t="shared" si="306"/>
        <v>4.4000000000000004E-2</v>
      </c>
    </row>
    <row r="189" spans="2:15" s="825" customFormat="1" ht="13.5" customHeight="1" x14ac:dyDescent="0.3">
      <c r="B189" s="1811" t="s">
        <v>2158</v>
      </c>
      <c r="C189" s="1128"/>
      <c r="D189" s="182">
        <f>D187/D$6</f>
        <v>0</v>
      </c>
      <c r="E189" s="182">
        <f t="shared" ref="E189:O189" si="307">E187/E$6</f>
        <v>0</v>
      </c>
      <c r="F189" s="182">
        <f t="shared" si="307"/>
        <v>1.2336749019577964E-2</v>
      </c>
      <c r="G189" s="182">
        <f t="shared" si="307"/>
        <v>9.6676602754525356E-3</v>
      </c>
      <c r="H189" s="182">
        <f t="shared" si="307"/>
        <v>1.0923642764628363E-2</v>
      </c>
      <c r="I189" s="182"/>
      <c r="J189" s="182">
        <f t="shared" si="307"/>
        <v>1.0923642764628363E-2</v>
      </c>
      <c r="K189" s="182">
        <f t="shared" si="307"/>
        <v>9.8858145999140296E-3</v>
      </c>
      <c r="L189" s="182">
        <f t="shared" si="307"/>
        <v>9.9567011155207111E-3</v>
      </c>
      <c r="M189" s="182">
        <f t="shared" si="307"/>
        <v>9.9999218441113816E-3</v>
      </c>
      <c r="N189" s="182">
        <f t="shared" si="307"/>
        <v>1.0062960993256802E-2</v>
      </c>
      <c r="O189" s="787">
        <f t="shared" si="307"/>
        <v>1.013893881083398E-2</v>
      </c>
    </row>
    <row r="190" spans="2:15" s="825" customFormat="1" ht="13.5" customHeight="1" x14ac:dyDescent="0.3">
      <c r="B190" s="1770" t="s">
        <v>3838</v>
      </c>
      <c r="C190" s="1122"/>
      <c r="D190" s="1123"/>
      <c r="E190" s="1123"/>
      <c r="F190" s="1683">
        <v>2191.1669069999998</v>
      </c>
      <c r="G190" s="1683">
        <v>3752.5823300000002</v>
      </c>
      <c r="H190" s="1683">
        <v>3447.3493436999997</v>
      </c>
      <c r="I190" s="1120"/>
      <c r="J190" s="1120">
        <f>H190+I190</f>
        <v>3447.3493436999997</v>
      </c>
      <c r="K190" s="1120">
        <f>J190*(1+K191)</f>
        <v>3595.5853654790994</v>
      </c>
      <c r="L190" s="1120">
        <f>K190*(1+L191)</f>
        <v>3746.5999508292216</v>
      </c>
      <c r="M190" s="1120">
        <f t="shared" ref="M190" si="308">L190*(1+M191)</f>
        <v>3896.4639488623907</v>
      </c>
      <c r="N190" s="1120">
        <f t="shared" ref="N190" si="309">M190*(1+N191)</f>
        <v>4060.1154347146112</v>
      </c>
      <c r="O190" s="1655">
        <f t="shared" ref="O190" si="310">N190*(1+O191)</f>
        <v>4238.760513842054</v>
      </c>
    </row>
    <row r="191" spans="2:15" s="825" customFormat="1" ht="13.5" customHeight="1" x14ac:dyDescent="0.3">
      <c r="B191" s="865" t="s">
        <v>109</v>
      </c>
      <c r="C191" s="1124"/>
      <c r="D191" s="260" t="e">
        <f>D190/C190-1</f>
        <v>#DIV/0!</v>
      </c>
      <c r="E191" s="260" t="e">
        <f>E190/D190-1</f>
        <v>#DIV/0!</v>
      </c>
      <c r="F191" s="260" t="e">
        <f t="shared" ref="F191:G191" si="311">F190/E190-1</f>
        <v>#DIV/0!</v>
      </c>
      <c r="G191" s="260">
        <f t="shared" si="311"/>
        <v>0.71259538377100928</v>
      </c>
      <c r="H191" s="260"/>
      <c r="I191" s="260"/>
      <c r="J191" s="260">
        <f>J190/G190-1</f>
        <v>-8.133945093217998E-2</v>
      </c>
      <c r="K191" s="1812">
        <f>K$27</f>
        <v>4.2999999999999997E-2</v>
      </c>
      <c r="L191" s="1812">
        <f t="shared" ref="L191:O191" si="312">L$27</f>
        <v>4.2000000000000003E-2</v>
      </c>
      <c r="M191" s="1812">
        <f t="shared" si="312"/>
        <v>0.04</v>
      </c>
      <c r="N191" s="1812">
        <f t="shared" si="312"/>
        <v>4.2000000000000003E-2</v>
      </c>
      <c r="O191" s="1813">
        <f t="shared" si="312"/>
        <v>4.4000000000000004E-2</v>
      </c>
    </row>
    <row r="192" spans="2:15" s="825" customFormat="1" ht="13.5" customHeight="1" x14ac:dyDescent="0.3">
      <c r="B192" s="1811" t="s">
        <v>2158</v>
      </c>
      <c r="C192" s="1128"/>
      <c r="D192" s="182">
        <f>D190/D$6</f>
        <v>0</v>
      </c>
      <c r="E192" s="182">
        <f t="shared" ref="E192:O192" si="313">E190/E$6</f>
        <v>0</v>
      </c>
      <c r="F192" s="182">
        <f t="shared" si="313"/>
        <v>1.035115286346144E-2</v>
      </c>
      <c r="G192" s="182">
        <f t="shared" si="313"/>
        <v>1.4902391473097167E-2</v>
      </c>
      <c r="H192" s="182">
        <f t="shared" si="313"/>
        <v>1.6042530819105751E-2</v>
      </c>
      <c r="I192" s="182"/>
      <c r="J192" s="182">
        <f t="shared" si="313"/>
        <v>1.6042530819105751E-2</v>
      </c>
      <c r="K192" s="182">
        <f t="shared" si="313"/>
        <v>1.4518369815664874E-2</v>
      </c>
      <c r="L192" s="182">
        <f t="shared" si="313"/>
        <v>1.4622474200601511E-2</v>
      </c>
      <c r="M192" s="182">
        <f t="shared" si="313"/>
        <v>1.4685948435834215E-2</v>
      </c>
      <c r="N192" s="182">
        <f t="shared" si="313"/>
        <v>1.4778528128777883E-2</v>
      </c>
      <c r="O192" s="787">
        <f t="shared" si="313"/>
        <v>1.4890109631973602E-2</v>
      </c>
    </row>
    <row r="193" spans="2:15" s="825" customFormat="1" ht="13.5" customHeight="1" x14ac:dyDescent="0.3">
      <c r="B193" s="1663"/>
      <c r="C193" s="1122"/>
      <c r="D193" s="1123"/>
      <c r="E193" s="1123"/>
      <c r="F193" s="1123"/>
      <c r="G193" s="1123"/>
      <c r="H193" s="1123"/>
      <c r="I193" s="1123"/>
      <c r="J193" s="1123"/>
      <c r="K193" s="1123"/>
      <c r="L193" s="1123"/>
      <c r="M193" s="1123"/>
      <c r="N193" s="1123"/>
      <c r="O193" s="1656"/>
    </row>
    <row r="194" spans="2:15" ht="13.5" customHeight="1" x14ac:dyDescent="0.3">
      <c r="B194" s="1657" t="s">
        <v>2015</v>
      </c>
      <c r="C194" s="1120"/>
      <c r="D194" s="1120"/>
      <c r="E194" s="1120"/>
      <c r="F194" s="1120">
        <v>12167.307923578079</v>
      </c>
      <c r="G194" s="1120">
        <v>15379.638807266663</v>
      </c>
      <c r="H194" s="1120">
        <v>14561.43104611206</v>
      </c>
      <c r="I194" s="1120"/>
      <c r="J194" s="1120">
        <f>H194+I194</f>
        <v>14561.43104611206</v>
      </c>
      <c r="K194" s="1120">
        <f>J194*(1+K195)</f>
        <v>14985.57335259753</v>
      </c>
      <c r="L194" s="1120">
        <f>K194*(1+L195)</f>
        <v>15374.612972482793</v>
      </c>
      <c r="M194" s="1120">
        <f t="shared" ref="M194" si="314">L194*(1+M195)</f>
        <v>15747.465343106815</v>
      </c>
      <c r="N194" s="1120">
        <f t="shared" ref="N194" si="315">M194*(1+N195)</f>
        <v>16087.033819182447</v>
      </c>
      <c r="O194" s="1655">
        <f t="shared" ref="O194" si="316">N194*(1+O195)</f>
        <v>16433.924537119357</v>
      </c>
    </row>
    <row r="195" spans="2:15" ht="13.5" customHeight="1" x14ac:dyDescent="0.3">
      <c r="B195" s="863" t="s">
        <v>109</v>
      </c>
      <c r="C195" s="1124"/>
      <c r="D195" s="260" t="e">
        <f>D194/C194-1</f>
        <v>#DIV/0!</v>
      </c>
      <c r="E195" s="260" t="e">
        <f>E194/D194-1</f>
        <v>#DIV/0!</v>
      </c>
      <c r="F195" s="260" t="e">
        <f t="shared" ref="F195:G195" si="317">F194/E194-1</f>
        <v>#DIV/0!</v>
      </c>
      <c r="G195" s="260">
        <f t="shared" si="317"/>
        <v>0.26401328082308639</v>
      </c>
      <c r="H195" s="260"/>
      <c r="I195" s="260"/>
      <c r="J195" s="260">
        <f>J194/G194-1</f>
        <v>-5.3200713710390368E-2</v>
      </c>
      <c r="K195" s="1812">
        <f>K$30</f>
        <v>2.9127790060079053E-2</v>
      </c>
      <c r="L195" s="1812">
        <f t="shared" ref="L195:O195" si="318">L$30</f>
        <v>2.5960943284017025E-2</v>
      </c>
      <c r="M195" s="1812">
        <f t="shared" si="318"/>
        <v>2.4251171154119146E-2</v>
      </c>
      <c r="N195" s="1812">
        <f t="shared" si="318"/>
        <v>2.156337344944664E-2</v>
      </c>
      <c r="O195" s="1813">
        <f t="shared" si="318"/>
        <v>2.156337344944664E-2</v>
      </c>
    </row>
    <row r="196" spans="2:15" ht="13.5" customHeight="1" x14ac:dyDescent="0.3">
      <c r="B196" s="861" t="s">
        <v>2158</v>
      </c>
      <c r="C196" s="1128"/>
      <c r="D196" s="182">
        <f>D194/D$6</f>
        <v>0</v>
      </c>
      <c r="E196" s="182">
        <f t="shared" ref="E196:O196" si="319">E194/E$6</f>
        <v>0</v>
      </c>
      <c r="F196" s="182">
        <f t="shared" si="319"/>
        <v>5.7478809054395015E-2</v>
      </c>
      <c r="G196" s="182">
        <f t="shared" si="319"/>
        <v>6.1076181164218452E-2</v>
      </c>
      <c r="H196" s="182">
        <f t="shared" si="319"/>
        <v>6.7762847056519512E-2</v>
      </c>
      <c r="I196" s="182"/>
      <c r="J196" s="182">
        <f t="shared" si="319"/>
        <v>6.7762847056519512E-2</v>
      </c>
      <c r="K196" s="182">
        <f t="shared" si="319"/>
        <v>6.050922832249149E-2</v>
      </c>
      <c r="L196" s="182">
        <f t="shared" si="319"/>
        <v>6.0005040432620907E-2</v>
      </c>
      <c r="M196" s="182">
        <f t="shared" si="319"/>
        <v>5.935290742045065E-2</v>
      </c>
      <c r="N196" s="182">
        <f t="shared" si="319"/>
        <v>5.855564592391941E-2</v>
      </c>
      <c r="O196" s="787">
        <f t="shared" si="319"/>
        <v>5.7729833342126502E-2</v>
      </c>
    </row>
    <row r="197" spans="2:15" ht="13.5" customHeight="1" x14ac:dyDescent="0.3">
      <c r="B197" s="1660"/>
      <c r="C197" s="1661"/>
      <c r="D197" s="1661"/>
      <c r="E197" s="1661"/>
      <c r="F197" s="1661"/>
      <c r="G197" s="1661"/>
      <c r="H197" s="1661"/>
      <c r="I197" s="1661"/>
      <c r="J197" s="1661"/>
      <c r="K197" s="1661"/>
      <c r="L197" s="1661"/>
      <c r="M197" s="1661"/>
      <c r="N197" s="1661"/>
      <c r="O197" s="1662"/>
    </row>
  </sheetData>
  <phoneticPr fontId="1" type="noConversion"/>
  <pageMargins left="0.70866141732283472" right="0.70866141732283472" top="0.74803149606299213" bottom="0.74803149606299213" header="0.31496062992125984" footer="0.31496062992125984"/>
  <pageSetup paperSize="9" scale="73" fitToHeight="10" orientation="landscape"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8" tint="-0.499984740745262"/>
    <pageSetUpPr fitToPage="1"/>
  </sheetPr>
  <dimension ref="B1:U315"/>
  <sheetViews>
    <sheetView showGridLines="0" topLeftCell="A44" zoomScale="85" zoomScaleNormal="85" workbookViewId="0">
      <selection activeCell="K88" sqref="K88"/>
    </sheetView>
  </sheetViews>
  <sheetFormatPr defaultColWidth="8.5" defaultRowHeight="13.5" customHeight="1" outlineLevelRow="1" outlineLevelCol="1" x14ac:dyDescent="0.3"/>
  <cols>
    <col min="1" max="1" width="1.625" style="403" customWidth="1"/>
    <col min="2" max="2" width="18.25" style="403" customWidth="1"/>
    <col min="3" max="4" width="9" style="403" customWidth="1" outlineLevel="1"/>
    <col min="5" max="14" width="8.625" style="403" customWidth="1"/>
    <col min="15" max="15" width="8.625" style="825" customWidth="1"/>
    <col min="16" max="16" width="1.625" style="825" customWidth="1"/>
    <col min="17" max="17" width="1.625" style="1256" customWidth="1"/>
    <col min="18" max="18" width="12.625" style="825" customWidth="1"/>
    <col min="19" max="19" width="30" style="825" bestFit="1" customWidth="1"/>
    <col min="20" max="21" width="12.625" style="825" customWidth="1"/>
    <col min="22" max="16384" width="8.5" style="403"/>
  </cols>
  <sheetData>
    <row r="1" spans="2:21" customFormat="1" ht="30" customHeight="1" x14ac:dyDescent="0.3">
      <c r="B1" s="58" t="str">
        <f>"Project"&amp;" "&amp;Title!L6</f>
        <v>Project IT</v>
      </c>
      <c r="C1" s="59"/>
      <c r="D1" s="59"/>
      <c r="E1" s="59"/>
      <c r="F1" s="59"/>
      <c r="G1" s="59"/>
      <c r="H1" s="59"/>
      <c r="I1" s="59"/>
      <c r="J1" s="59"/>
      <c r="K1" s="59"/>
      <c r="L1" s="59"/>
      <c r="M1" s="59"/>
      <c r="N1" s="61"/>
      <c r="O1" s="61" t="str">
        <f>Des!C12</f>
        <v>DRAFT - For Discussion Purposes Only</v>
      </c>
      <c r="P1" s="691"/>
      <c r="Q1" s="1256"/>
      <c r="R1" s="691"/>
      <c r="S1" s="691"/>
      <c r="T1" s="691"/>
      <c r="U1" s="691"/>
    </row>
    <row r="2" spans="2:21" customFormat="1" ht="20.100000000000001" customHeight="1" x14ac:dyDescent="0.3">
      <c r="B2" s="51" t="s">
        <v>153</v>
      </c>
      <c r="C2" s="60"/>
      <c r="D2" s="60"/>
      <c r="E2" s="60"/>
      <c r="F2" s="60"/>
      <c r="G2" s="60"/>
      <c r="H2" s="60"/>
      <c r="I2" s="60"/>
      <c r="J2" s="60"/>
      <c r="K2" s="60"/>
      <c r="L2" s="60"/>
      <c r="M2" s="60"/>
      <c r="N2" s="60"/>
      <c r="O2" s="60"/>
      <c r="P2" s="691"/>
      <c r="Q2" s="1256"/>
      <c r="R2" s="691"/>
      <c r="S2" s="691"/>
      <c r="T2" s="691"/>
      <c r="U2" s="691"/>
    </row>
    <row r="3" spans="2:21" customFormat="1" ht="14.1" customHeight="1" x14ac:dyDescent="0.3">
      <c r="C3" s="210"/>
      <c r="D3" s="210"/>
      <c r="E3" s="210"/>
      <c r="F3" s="210"/>
      <c r="G3" s="210"/>
      <c r="H3" s="210"/>
      <c r="I3" s="210"/>
      <c r="J3" s="210"/>
      <c r="K3" s="210"/>
      <c r="L3" s="210"/>
      <c r="O3" s="691"/>
      <c r="P3" s="691"/>
      <c r="Q3" s="1256"/>
      <c r="R3" s="691"/>
      <c r="S3" s="691"/>
      <c r="T3" s="691"/>
      <c r="U3" s="691"/>
    </row>
    <row r="4" spans="2:21" ht="13.5" customHeight="1" x14ac:dyDescent="0.3">
      <c r="B4" s="834" t="s">
        <v>72</v>
      </c>
      <c r="C4" s="835"/>
      <c r="D4" s="835"/>
      <c r="E4" s="835"/>
      <c r="F4" s="835"/>
      <c r="G4" s="835"/>
      <c r="H4" s="835"/>
      <c r="I4" s="835"/>
      <c r="J4" s="836"/>
      <c r="K4" s="835"/>
      <c r="L4" s="835"/>
      <c r="M4" s="835"/>
      <c r="N4" s="835"/>
      <c r="O4" s="837"/>
      <c r="Q4" s="1258"/>
    </row>
    <row r="5" spans="2:21" s="294" customFormat="1" ht="13.5" customHeight="1" x14ac:dyDescent="0.3">
      <c r="B5" s="870" t="str">
        <f>unit</f>
        <v>KRW Millions</v>
      </c>
      <c r="C5" s="871">
        <f>'Pro forma'!C$5</f>
        <v>2010</v>
      </c>
      <c r="D5" s="871">
        <f>'Pro forma'!D$5</f>
        <v>2011</v>
      </c>
      <c r="E5" s="871">
        <f>'Pro forma'!E$5</f>
        <v>2012</v>
      </c>
      <c r="F5" s="871">
        <f>'Pro forma'!F$5</f>
        <v>2013</v>
      </c>
      <c r="G5" s="871">
        <f>'Pro forma'!G$5</f>
        <v>2014</v>
      </c>
      <c r="H5" s="871" t="str">
        <f>'Pro forma'!H$5</f>
        <v>2015/12A</v>
      </c>
      <c r="I5" s="871" t="str">
        <f>'Pro forma'!I$5</f>
        <v>2015/0E</v>
      </c>
      <c r="J5" s="872">
        <f>'Pro forma'!J$5</f>
        <v>2015</v>
      </c>
      <c r="K5" s="873">
        <f>'Pro forma'!K$5</f>
        <v>2016</v>
      </c>
      <c r="L5" s="873">
        <f>'Pro forma'!L$5</f>
        <v>2017</v>
      </c>
      <c r="M5" s="873">
        <f>'Pro forma'!M$5</f>
        <v>2018</v>
      </c>
      <c r="N5" s="873">
        <f>'Pro forma'!N$5</f>
        <v>2019</v>
      </c>
      <c r="O5" s="874">
        <f>'Pro forma'!O$5</f>
        <v>2020</v>
      </c>
      <c r="Q5" s="1258"/>
    </row>
    <row r="6" spans="2:21" s="294" customFormat="1" ht="13.5" customHeight="1" x14ac:dyDescent="0.3">
      <c r="B6" s="778" t="s">
        <v>72</v>
      </c>
      <c r="C6" s="859">
        <f>SUM(C9,C13,C17)</f>
        <v>86101.882786000002</v>
      </c>
      <c r="D6" s="859">
        <f t="shared" ref="D6:O6" si="0">SUM(D9,D13,D17)</f>
        <v>106369.49906500001</v>
      </c>
      <c r="E6" s="859">
        <f t="shared" si="0"/>
        <v>165640.95678199999</v>
      </c>
      <c r="F6" s="859">
        <f t="shared" si="0"/>
        <v>194029.19071600001</v>
      </c>
      <c r="G6" s="859">
        <f t="shared" si="0"/>
        <v>233681.982112</v>
      </c>
      <c r="H6" s="859">
        <f t="shared" ca="1" si="0"/>
        <v>193423.41107566666</v>
      </c>
      <c r="I6" s="849"/>
      <c r="J6" s="859">
        <f t="shared" ca="1" si="0"/>
        <v>193443.27590900002</v>
      </c>
      <c r="K6" s="849">
        <f t="shared" ca="1" si="0"/>
        <v>225185.41900383399</v>
      </c>
      <c r="L6" s="859">
        <f t="shared" ca="1" si="0"/>
        <v>233133.6254357842</v>
      </c>
      <c r="M6" s="859">
        <f t="shared" ca="1" si="0"/>
        <v>241478.05395453639</v>
      </c>
      <c r="N6" s="859">
        <f t="shared" ca="1" si="0"/>
        <v>250207.64864942932</v>
      </c>
      <c r="O6" s="860">
        <f t="shared" ca="1" si="0"/>
        <v>259472.67973348708</v>
      </c>
      <c r="Q6" s="1258"/>
    </row>
    <row r="7" spans="2:21" s="317" customFormat="1" ht="13.5" customHeight="1" x14ac:dyDescent="0.3">
      <c r="B7" s="863" t="s">
        <v>109</v>
      </c>
      <c r="C7" s="260"/>
      <c r="D7" s="260">
        <f>D6/C6-1</f>
        <v>0.23539109277521497</v>
      </c>
      <c r="E7" s="260">
        <f t="shared" ref="E7" si="1">E6/D6-1</f>
        <v>0.55722230750358737</v>
      </c>
      <c r="F7" s="260">
        <f t="shared" ref="F7" si="2">F6/E6-1</f>
        <v>0.17138414608025809</v>
      </c>
      <c r="G7" s="260">
        <f t="shared" ref="G7" si="3">G6/F6-1</f>
        <v>0.20436508161310463</v>
      </c>
      <c r="H7" s="260"/>
      <c r="I7" s="260"/>
      <c r="J7" s="260">
        <f ca="1">J6/G6-1</f>
        <v>-0.17219430372562583</v>
      </c>
      <c r="K7" s="260">
        <f ca="1">K6/J6-1</f>
        <v>0.16409018584738067</v>
      </c>
      <c r="L7" s="260">
        <f t="shared" ref="L7:O7" ca="1" si="4">L6/K6-1</f>
        <v>3.529627480816111E-2</v>
      </c>
      <c r="M7" s="260">
        <f t="shared" ca="1" si="4"/>
        <v>3.5792470962326517E-2</v>
      </c>
      <c r="N7" s="260">
        <f t="shared" ca="1" si="4"/>
        <v>3.615067519359938E-2</v>
      </c>
      <c r="O7" s="783">
        <f t="shared" ca="1" si="4"/>
        <v>3.7029367943260505E-2</v>
      </c>
      <c r="Q7" s="1258"/>
    </row>
    <row r="8" spans="2:21" s="825" customFormat="1" ht="13.5" customHeight="1" x14ac:dyDescent="0.3">
      <c r="B8" s="861"/>
      <c r="C8" s="182"/>
      <c r="D8" s="182"/>
      <c r="E8" s="182"/>
      <c r="F8" s="182"/>
      <c r="G8" s="182"/>
      <c r="H8" s="182"/>
      <c r="I8" s="209"/>
      <c r="J8" s="182"/>
      <c r="K8" s="209"/>
      <c r="L8" s="182"/>
      <c r="M8" s="182"/>
      <c r="N8" s="182"/>
      <c r="O8" s="787"/>
      <c r="Q8" s="1258"/>
    </row>
    <row r="9" spans="2:21" s="317" customFormat="1" ht="13.5" customHeight="1" x14ac:dyDescent="0.3">
      <c r="B9" s="1134" t="s">
        <v>1978</v>
      </c>
      <c r="C9" s="1137">
        <f>C74</f>
        <v>27235.239343000001</v>
      </c>
      <c r="D9" s="1137">
        <f t="shared" ref="D9:O9" si="5">D74</f>
        <v>32097.449906000002</v>
      </c>
      <c r="E9" s="1137">
        <f t="shared" si="5"/>
        <v>69801.337933999996</v>
      </c>
      <c r="F9" s="1137">
        <f t="shared" si="5"/>
        <v>69822.706085999991</v>
      </c>
      <c r="G9" s="1137">
        <f t="shared" si="5"/>
        <v>67182.468760999996</v>
      </c>
      <c r="H9" s="1137">
        <f t="shared" ca="1" si="5"/>
        <v>41356.111594666669</v>
      </c>
      <c r="I9" s="1137"/>
      <c r="J9" s="1137">
        <f t="shared" ca="1" si="5"/>
        <v>41356.111594666669</v>
      </c>
      <c r="K9" s="1137">
        <f t="shared" ca="1" si="5"/>
        <v>49675.412843078149</v>
      </c>
      <c r="L9" s="1137">
        <f t="shared" ca="1" si="5"/>
        <v>51813.467125641138</v>
      </c>
      <c r="M9" s="1137">
        <f t="shared" ca="1" si="5"/>
        <v>53642.342436895204</v>
      </c>
      <c r="N9" s="1137">
        <f t="shared" ca="1" si="5"/>
        <v>55527.847363978559</v>
      </c>
      <c r="O9" s="1138">
        <f t="shared" ca="1" si="5"/>
        <v>57515.046546788733</v>
      </c>
      <c r="P9" s="825"/>
      <c r="Q9" s="1258"/>
      <c r="R9" s="825"/>
      <c r="S9" s="825"/>
      <c r="T9" s="825"/>
      <c r="U9" s="825"/>
    </row>
    <row r="10" spans="2:21" s="317" customFormat="1" ht="13.5" customHeight="1" x14ac:dyDescent="0.3">
      <c r="B10" s="1142" t="s">
        <v>2012</v>
      </c>
      <c r="C10" s="1143"/>
      <c r="D10" s="1143">
        <f>D9/C9-1</f>
        <v>0.17852644883217028</v>
      </c>
      <c r="E10" s="1143">
        <f t="shared" ref="E10:G10" si="6">E9/D9-1</f>
        <v>1.1746692693163756</v>
      </c>
      <c r="F10" s="1143">
        <f t="shared" si="6"/>
        <v>3.061281149108197E-4</v>
      </c>
      <c r="G10" s="1143">
        <f t="shared" si="6"/>
        <v>-3.7813448847829556E-2</v>
      </c>
      <c r="H10" s="1143"/>
      <c r="I10" s="1143"/>
      <c r="J10" s="1143">
        <f ca="1">J9/G9-1</f>
        <v>-0.38442107952611815</v>
      </c>
      <c r="K10" s="1143">
        <f t="shared" ref="K10" ca="1" si="7">K9/J9-1</f>
        <v>0.20116255923548554</v>
      </c>
      <c r="L10" s="1143">
        <f t="shared" ref="L10" ca="1" si="8">L9/K9-1</f>
        <v>4.3040493479480135E-2</v>
      </c>
      <c r="M10" s="1143">
        <f t="shared" ref="M10" ca="1" si="9">M9/L9-1</f>
        <v>3.5297296488947083E-2</v>
      </c>
      <c r="N10" s="1143">
        <f t="shared" ref="N10" ca="1" si="10">N9/M9-1</f>
        <v>3.5149563598969591E-2</v>
      </c>
      <c r="O10" s="1301">
        <f t="shared" ref="O10" ca="1" si="11">O9/N9-1</f>
        <v>3.5787434182065647E-2</v>
      </c>
      <c r="P10" s="825"/>
      <c r="Q10" s="1258"/>
      <c r="R10" s="825"/>
      <c r="S10" s="825"/>
      <c r="T10" s="825"/>
      <c r="U10" s="825"/>
    </row>
    <row r="11" spans="2:21" s="317" customFormat="1" ht="13.5" customHeight="1" x14ac:dyDescent="0.3">
      <c r="B11" s="1135" t="s">
        <v>3865</v>
      </c>
      <c r="C11" s="1123">
        <f>C9/C$6</f>
        <v>0.31631409745929967</v>
      </c>
      <c r="D11" s="1123">
        <f t="shared" ref="D11:O11" si="12">D9/D$6</f>
        <v>0.30175426403377131</v>
      </c>
      <c r="E11" s="1123">
        <f t="shared" si="12"/>
        <v>0.42140144134681323</v>
      </c>
      <c r="F11" s="1123">
        <f t="shared" si="12"/>
        <v>0.35985670933503655</v>
      </c>
      <c r="G11" s="1123">
        <f t="shared" si="12"/>
        <v>0.28749528805691371</v>
      </c>
      <c r="H11" s="1123">
        <f t="shared" ca="1" si="12"/>
        <v>0.21381130321648747</v>
      </c>
      <c r="I11" s="1123"/>
      <c r="J11" s="1123">
        <f t="shared" ca="1" si="12"/>
        <v>0.2137893467753384</v>
      </c>
      <c r="K11" s="1123">
        <f t="shared" ca="1" si="12"/>
        <v>0.22059782139905063</v>
      </c>
      <c r="L11" s="1123">
        <f t="shared" ca="1" si="12"/>
        <v>0.2222479362588258</v>
      </c>
      <c r="M11" s="1123">
        <f t="shared" ca="1" si="12"/>
        <v>0.22214168765412765</v>
      </c>
      <c r="N11" s="1123">
        <f t="shared" ca="1" si="12"/>
        <v>0.22192705804041857</v>
      </c>
      <c r="O11" s="1140">
        <f t="shared" ca="1" si="12"/>
        <v>0.22166128089425186</v>
      </c>
      <c r="Q11" s="1258"/>
    </row>
    <row r="12" spans="2:21" s="317" customFormat="1" ht="13.5" customHeight="1" x14ac:dyDescent="0.3">
      <c r="B12" s="1136"/>
      <c r="C12" s="260"/>
      <c r="D12" s="260"/>
      <c r="E12" s="260"/>
      <c r="F12" s="260"/>
      <c r="G12" s="260"/>
      <c r="H12" s="260"/>
      <c r="I12" s="260"/>
      <c r="J12" s="260"/>
      <c r="K12" s="260"/>
      <c r="L12" s="260"/>
      <c r="M12" s="260"/>
      <c r="N12" s="260"/>
      <c r="O12" s="1139"/>
      <c r="P12" s="825"/>
      <c r="Q12" s="1258"/>
      <c r="R12" s="825"/>
      <c r="S12" s="825"/>
      <c r="T12" s="825"/>
      <c r="U12" s="825"/>
    </row>
    <row r="13" spans="2:21" s="317" customFormat="1" ht="13.5" customHeight="1" x14ac:dyDescent="0.3">
      <c r="B13" s="1136" t="s">
        <v>2865</v>
      </c>
      <c r="C13" s="1137">
        <f>C81</f>
        <v>29500.793291999998</v>
      </c>
      <c r="D13" s="1137">
        <f t="shared" ref="D13:O13" si="13">D81</f>
        <v>29493.783499999998</v>
      </c>
      <c r="E13" s="1137">
        <f t="shared" si="13"/>
        <v>49020.706045999999</v>
      </c>
      <c r="F13" s="1137">
        <f t="shared" si="13"/>
        <v>56234.131072000011</v>
      </c>
      <c r="G13" s="1137">
        <f t="shared" si="13"/>
        <v>86626.579138000001</v>
      </c>
      <c r="H13" s="1137">
        <f t="shared" si="13"/>
        <v>71978.98256199999</v>
      </c>
      <c r="I13" s="1137"/>
      <c r="J13" s="1137">
        <f t="shared" si="13"/>
        <v>71978.98256199999</v>
      </c>
      <c r="K13" s="1137">
        <f t="shared" si="13"/>
        <v>88058.883160520752</v>
      </c>
      <c r="L13" s="1137">
        <f t="shared" si="13"/>
        <v>90412.234757720667</v>
      </c>
      <c r="M13" s="1137">
        <f t="shared" si="13"/>
        <v>93482.624941118513</v>
      </c>
      <c r="N13" s="1137">
        <f t="shared" si="13"/>
        <v>96566.988716446926</v>
      </c>
      <c r="O13" s="1138">
        <f t="shared" si="13"/>
        <v>99746.058615036251</v>
      </c>
      <c r="P13" s="825"/>
      <c r="Q13" s="1258"/>
      <c r="R13" s="825"/>
      <c r="S13" s="825"/>
      <c r="T13" s="825"/>
      <c r="U13" s="825"/>
    </row>
    <row r="14" spans="2:21" s="317" customFormat="1" ht="13.5" customHeight="1" x14ac:dyDescent="0.3">
      <c r="B14" s="1142" t="s">
        <v>2012</v>
      </c>
      <c r="C14" s="260"/>
      <c r="D14" s="1143">
        <f>D13/C13-1</f>
        <v>-2.376136780668503E-4</v>
      </c>
      <c r="E14" s="1143">
        <f t="shared" ref="E14:G14" si="14">E13/D13-1</f>
        <v>0.66206909486536381</v>
      </c>
      <c r="F14" s="1143">
        <f t="shared" si="14"/>
        <v>0.14715057386629815</v>
      </c>
      <c r="G14" s="1143">
        <f t="shared" si="14"/>
        <v>0.54046266007181076</v>
      </c>
      <c r="H14" s="1143"/>
      <c r="I14" s="1143"/>
      <c r="J14" s="1143">
        <f>J13/G13-1</f>
        <v>-0.16908894154374643</v>
      </c>
      <c r="K14" s="1143">
        <f>K13/J13-1</f>
        <v>0.22339716436905932</v>
      </c>
      <c r="L14" s="1143">
        <f t="shared" ref="L14" si="15">L13/K13-1</f>
        <v>2.6724749539578374E-2</v>
      </c>
      <c r="M14" s="1143">
        <f t="shared" ref="M14" si="16">M13/L13-1</f>
        <v>3.3959897038554843E-2</v>
      </c>
      <c r="N14" s="1143">
        <f t="shared" ref="N14" si="17">N13/M13-1</f>
        <v>3.2993979119340544E-2</v>
      </c>
      <c r="O14" s="1144">
        <f t="shared" ref="O14" si="18">O13/N13-1</f>
        <v>3.29208763869E-2</v>
      </c>
      <c r="P14" s="825"/>
      <c r="Q14" s="1258"/>
      <c r="R14" s="825"/>
      <c r="S14" s="825"/>
      <c r="T14" s="825"/>
      <c r="U14" s="825"/>
    </row>
    <row r="15" spans="2:21" s="498" customFormat="1" ht="13.5" customHeight="1" x14ac:dyDescent="0.3">
      <c r="B15" s="1135" t="s">
        <v>3865</v>
      </c>
      <c r="C15" s="1123">
        <f t="shared" ref="C15:O15" si="19">C13/C$6</f>
        <v>0.34262657606828512</v>
      </c>
      <c r="D15" s="1123">
        <f t="shared" si="19"/>
        <v>0.27727669829465879</v>
      </c>
      <c r="E15" s="1123">
        <f t="shared" si="19"/>
        <v>0.29594556200563449</v>
      </c>
      <c r="F15" s="1123">
        <f t="shared" si="19"/>
        <v>0.28982304602975822</v>
      </c>
      <c r="G15" s="1123">
        <f t="shared" si="19"/>
        <v>0.37070286016523635</v>
      </c>
      <c r="H15" s="1123">
        <f t="shared" ca="1" si="19"/>
        <v>0.37213169885542979</v>
      </c>
      <c r="I15" s="1123"/>
      <c r="J15" s="1123">
        <f t="shared" ca="1" si="19"/>
        <v>0.37209348437554629</v>
      </c>
      <c r="K15" s="1123">
        <f t="shared" ca="1" si="19"/>
        <v>0.39105055536043154</v>
      </c>
      <c r="L15" s="1123">
        <f t="shared" ca="1" si="19"/>
        <v>0.38781293169836795</v>
      </c>
      <c r="M15" s="1123">
        <f t="shared" ca="1" si="19"/>
        <v>0.38712679438239422</v>
      </c>
      <c r="N15" s="1123">
        <f t="shared" ca="1" si="19"/>
        <v>0.38594738904944015</v>
      </c>
      <c r="O15" s="1140">
        <f t="shared" ca="1" si="19"/>
        <v>0.38441834692380217</v>
      </c>
      <c r="P15" s="317"/>
      <c r="Q15" s="1258"/>
      <c r="R15" s="317"/>
      <c r="S15" s="317"/>
      <c r="T15" s="317"/>
      <c r="U15" s="317"/>
    </row>
    <row r="16" spans="2:21" s="825" customFormat="1" ht="13.5" customHeight="1" x14ac:dyDescent="0.3">
      <c r="B16" s="1136"/>
      <c r="C16" s="336"/>
      <c r="D16" s="336"/>
      <c r="E16" s="336"/>
      <c r="F16" s="336"/>
      <c r="G16" s="336"/>
      <c r="H16" s="336"/>
      <c r="I16" s="336"/>
      <c r="J16" s="336"/>
      <c r="K16" s="336"/>
      <c r="L16" s="336"/>
      <c r="M16" s="336"/>
      <c r="N16" s="336"/>
      <c r="O16" s="621"/>
      <c r="Q16" s="1258"/>
    </row>
    <row r="17" spans="2:21" s="317" customFormat="1" ht="13.5" customHeight="1" x14ac:dyDescent="0.3">
      <c r="B17" s="1136" t="s">
        <v>2866</v>
      </c>
      <c r="C17" s="1137">
        <f t="shared" ref="C17:O17" si="20">C195</f>
        <v>29365.850150999999</v>
      </c>
      <c r="D17" s="1137">
        <f t="shared" si="20"/>
        <v>44778.265659000004</v>
      </c>
      <c r="E17" s="1137">
        <f t="shared" si="20"/>
        <v>46818.912802000006</v>
      </c>
      <c r="F17" s="1137">
        <f t="shared" si="20"/>
        <v>67972.353558000003</v>
      </c>
      <c r="G17" s="1137">
        <f t="shared" si="20"/>
        <v>79872.934212999986</v>
      </c>
      <c r="H17" s="1137">
        <f t="shared" si="20"/>
        <v>80088.316919000004</v>
      </c>
      <c r="I17" s="1137"/>
      <c r="J17" s="1137">
        <f t="shared" ca="1" si="20"/>
        <v>80108.181752333345</v>
      </c>
      <c r="K17" s="1137">
        <f t="shared" ca="1" si="20"/>
        <v>87451.123000235093</v>
      </c>
      <c r="L17" s="1137">
        <f t="shared" ca="1" si="20"/>
        <v>90907.923552422406</v>
      </c>
      <c r="M17" s="1137">
        <f t="shared" ca="1" si="20"/>
        <v>94353.086576522663</v>
      </c>
      <c r="N17" s="1137">
        <f t="shared" ca="1" si="20"/>
        <v>98112.812569003829</v>
      </c>
      <c r="O17" s="1138">
        <f t="shared" ca="1" si="20"/>
        <v>102211.5745716621</v>
      </c>
      <c r="P17" s="825"/>
      <c r="Q17" s="1258"/>
      <c r="R17" s="825"/>
      <c r="S17" s="825"/>
      <c r="T17" s="825"/>
      <c r="U17" s="825"/>
    </row>
    <row r="18" spans="2:21" s="498" customFormat="1" ht="13.5" customHeight="1" x14ac:dyDescent="0.3">
      <c r="B18" s="1142" t="s">
        <v>2012</v>
      </c>
      <c r="C18" s="500"/>
      <c r="D18" s="1143">
        <f>D17/C17-1</f>
        <v>0.52484145457219689</v>
      </c>
      <c r="E18" s="1143">
        <f t="shared" ref="E18:G18" si="21">E17/D17-1</f>
        <v>4.557226844246598E-2</v>
      </c>
      <c r="F18" s="1143">
        <f t="shared" si="21"/>
        <v>0.45181401040769931</v>
      </c>
      <c r="G18" s="1143">
        <f t="shared" si="21"/>
        <v>0.17507972038728004</v>
      </c>
      <c r="H18" s="1143"/>
      <c r="I18" s="1143"/>
      <c r="J18" s="1143">
        <f ca="1">J17/G17-1</f>
        <v>2.9452722834246714E-3</v>
      </c>
      <c r="K18" s="1143">
        <f ca="1">K17/J17-1</f>
        <v>9.1662812552699924E-2</v>
      </c>
      <c r="L18" s="1143">
        <f t="shared" ref="L18" ca="1" si="22">L17/K17-1</f>
        <v>3.9528372347808816E-2</v>
      </c>
      <c r="M18" s="1143">
        <f t="shared" ref="M18" ca="1" si="23">M17/L17-1</f>
        <v>3.7897279901169423E-2</v>
      </c>
      <c r="N18" s="1143">
        <f t="shared" ref="N18" ca="1" si="24">N17/M17-1</f>
        <v>3.9847408589351652E-2</v>
      </c>
      <c r="O18" s="1144">
        <f t="shared" ref="O18" ca="1" si="25">O17/N17-1</f>
        <v>4.1776011667951751E-2</v>
      </c>
      <c r="P18" s="825"/>
      <c r="Q18" s="1258"/>
      <c r="R18" s="825"/>
      <c r="S18" s="825"/>
      <c r="T18" s="825"/>
      <c r="U18" s="825"/>
    </row>
    <row r="19" spans="2:21" s="294" customFormat="1" ht="13.5" customHeight="1" x14ac:dyDescent="0.3">
      <c r="B19" s="1135" t="s">
        <v>3865</v>
      </c>
      <c r="C19" s="1123">
        <f t="shared" ref="C19:O19" si="26">C17/C$6</f>
        <v>0.34105932647241516</v>
      </c>
      <c r="D19" s="1123">
        <f t="shared" si="26"/>
        <v>0.42096903767156985</v>
      </c>
      <c r="E19" s="1123">
        <f t="shared" si="26"/>
        <v>0.28265299664755233</v>
      </c>
      <c r="F19" s="1123">
        <f t="shared" si="26"/>
        <v>0.35032024463520517</v>
      </c>
      <c r="G19" s="1123">
        <f t="shared" si="26"/>
        <v>0.34180185177784989</v>
      </c>
      <c r="H19" s="1123">
        <f t="shared" ca="1" si="26"/>
        <v>0.4140569979280827</v>
      </c>
      <c r="I19" s="1123"/>
      <c r="J19" s="1123">
        <f t="shared" ca="1" si="26"/>
        <v>0.4141171688491152</v>
      </c>
      <c r="K19" s="1123">
        <f t="shared" ca="1" si="26"/>
        <v>0.38835162324051786</v>
      </c>
      <c r="L19" s="1123">
        <f t="shared" ca="1" si="26"/>
        <v>0.38993913204280634</v>
      </c>
      <c r="M19" s="1123">
        <f t="shared" ca="1" si="26"/>
        <v>0.3907315179634781</v>
      </c>
      <c r="N19" s="1123">
        <f t="shared" ca="1" si="26"/>
        <v>0.39212555291014123</v>
      </c>
      <c r="O19" s="1140">
        <f t="shared" ca="1" si="26"/>
        <v>0.39392037218194598</v>
      </c>
      <c r="P19" s="317"/>
      <c r="Q19" s="1258"/>
      <c r="R19" s="317"/>
      <c r="S19" s="317"/>
      <c r="T19" s="317"/>
      <c r="U19" s="317"/>
    </row>
    <row r="20" spans="2:21" s="825" customFormat="1" ht="13.5" customHeight="1" x14ac:dyDescent="0.3">
      <c r="B20" s="861"/>
      <c r="C20" s="182"/>
      <c r="D20" s="182"/>
      <c r="E20" s="182"/>
      <c r="F20" s="182"/>
      <c r="G20" s="182"/>
      <c r="H20" s="182"/>
      <c r="I20" s="209"/>
      <c r="J20" s="182"/>
      <c r="K20" s="209"/>
      <c r="L20" s="182"/>
      <c r="M20" s="182"/>
      <c r="N20" s="182"/>
      <c r="O20" s="787"/>
      <c r="Q20" s="1258"/>
    </row>
    <row r="21" spans="2:21" ht="13.5" customHeight="1" thickBot="1" x14ac:dyDescent="0.35">
      <c r="B21" s="875"/>
      <c r="C21" s="790"/>
      <c r="D21" s="790"/>
      <c r="E21" s="790"/>
      <c r="F21" s="790"/>
      <c r="G21" s="790"/>
      <c r="H21" s="790"/>
      <c r="I21" s="790"/>
      <c r="J21" s="790"/>
      <c r="K21" s="790"/>
      <c r="L21" s="790"/>
      <c r="M21" s="790"/>
      <c r="N21" s="790"/>
      <c r="O21" s="791"/>
      <c r="Q21" s="1258"/>
    </row>
    <row r="22" spans="2:21" s="825" customFormat="1" ht="13.5" customHeight="1" x14ac:dyDescent="0.3">
      <c r="B22" s="1649"/>
      <c r="C22" s="1875">
        <f>C6-IS!J11</f>
        <v>0</v>
      </c>
      <c r="D22" s="1875">
        <f>D6-IS!K11</f>
        <v>0</v>
      </c>
      <c r="E22" s="1875">
        <f>E6-IS!L11</f>
        <v>0</v>
      </c>
      <c r="F22" s="1875">
        <f>F6-IS!M11</f>
        <v>0</v>
      </c>
      <c r="G22" s="1875">
        <f>G6-IS!N11</f>
        <v>0</v>
      </c>
      <c r="H22" s="1875">
        <f ca="1">H6-IS!O11</f>
        <v>-25.60327133332612</v>
      </c>
      <c r="I22" s="182"/>
      <c r="J22" s="182"/>
      <c r="K22" s="182"/>
      <c r="L22" s="182"/>
      <c r="M22" s="182"/>
      <c r="N22" s="182"/>
      <c r="O22" s="182"/>
      <c r="Q22" s="1258"/>
    </row>
    <row r="23" spans="2:21" s="825" customFormat="1" ht="13.5" customHeight="1" x14ac:dyDescent="0.3">
      <c r="B23" s="1649"/>
      <c r="C23" s="182"/>
      <c r="D23" s="182"/>
      <c r="E23" s="182"/>
      <c r="F23" s="182"/>
      <c r="G23" s="182"/>
      <c r="H23" s="182"/>
      <c r="I23" s="182"/>
      <c r="J23" s="182"/>
      <c r="K23" s="182"/>
      <c r="L23" s="182"/>
      <c r="M23" s="182"/>
      <c r="N23" s="182"/>
      <c r="O23" s="182"/>
      <c r="Q23" s="1258"/>
    </row>
    <row r="24" spans="2:21" s="825" customFormat="1" ht="13.5" customHeight="1" x14ac:dyDescent="0.3">
      <c r="B24" s="834" t="s">
        <v>72</v>
      </c>
      <c r="C24" s="835"/>
      <c r="D24" s="835"/>
      <c r="E24" s="835"/>
      <c r="F24" s="835"/>
      <c r="G24" s="835"/>
      <c r="H24" s="835"/>
      <c r="I24" s="835"/>
      <c r="J24" s="836"/>
      <c r="K24" s="835"/>
      <c r="L24" s="835"/>
      <c r="M24" s="835"/>
      <c r="N24" s="835"/>
      <c r="O24" s="837"/>
      <c r="Q24" s="1258"/>
    </row>
    <row r="25" spans="2:21" s="825" customFormat="1" ht="13.5" customHeight="1" x14ac:dyDescent="0.3">
      <c r="B25" s="870" t="str">
        <f>unit</f>
        <v>KRW Millions</v>
      </c>
      <c r="C25" s="871">
        <f>'Pro forma'!C$5</f>
        <v>2010</v>
      </c>
      <c r="D25" s="871">
        <f>'Pro forma'!D$5</f>
        <v>2011</v>
      </c>
      <c r="E25" s="871">
        <f>'Pro forma'!E$5</f>
        <v>2012</v>
      </c>
      <c r="F25" s="871">
        <f>'Pro forma'!F$5</f>
        <v>2013</v>
      </c>
      <c r="G25" s="871">
        <f>'Pro forma'!G$5</f>
        <v>2014</v>
      </c>
      <c r="H25" s="871" t="str">
        <f>'Pro forma'!H$5</f>
        <v>2015/12A</v>
      </c>
      <c r="I25" s="871" t="str">
        <f>'Pro forma'!I$5</f>
        <v>2015/0E</v>
      </c>
      <c r="J25" s="872">
        <f>'Pro forma'!J$5</f>
        <v>2015</v>
      </c>
      <c r="K25" s="873">
        <f>'Pro forma'!K$5</f>
        <v>2016</v>
      </c>
      <c r="L25" s="873">
        <f>'Pro forma'!L$5</f>
        <v>2017</v>
      </c>
      <c r="M25" s="873">
        <f>'Pro forma'!M$5</f>
        <v>2018</v>
      </c>
      <c r="N25" s="873">
        <f>'Pro forma'!N$5</f>
        <v>2019</v>
      </c>
      <c r="O25" s="874">
        <f>'Pro forma'!O$5</f>
        <v>2020</v>
      </c>
      <c r="Q25" s="1258"/>
    </row>
    <row r="26" spans="2:21" s="825" customFormat="1" ht="13.5" customHeight="1" x14ac:dyDescent="0.3">
      <c r="B26" s="778" t="s">
        <v>72</v>
      </c>
      <c r="C26" s="859">
        <f>SUM(C29,C33,C37,C41,C45,C49)</f>
        <v>86101.882786000002</v>
      </c>
      <c r="D26" s="859">
        <f t="shared" ref="D26:O26" si="27">SUM(D29,D33,D37,D41,D45,D49)</f>
        <v>106369.49906500001</v>
      </c>
      <c r="E26" s="859">
        <f t="shared" si="27"/>
        <v>165640.95678199999</v>
      </c>
      <c r="F26" s="859">
        <f t="shared" si="27"/>
        <v>194029.19071599998</v>
      </c>
      <c r="G26" s="859">
        <f t="shared" si="27"/>
        <v>233681.982112</v>
      </c>
      <c r="H26" s="859">
        <f t="shared" ca="1" si="27"/>
        <v>193423.41107566669</v>
      </c>
      <c r="I26" s="849"/>
      <c r="J26" s="859">
        <f t="shared" ca="1" si="27"/>
        <v>193443.27590900002</v>
      </c>
      <c r="K26" s="849">
        <f t="shared" ca="1" si="27"/>
        <v>225185.41900383393</v>
      </c>
      <c r="L26" s="859">
        <f t="shared" ca="1" si="27"/>
        <v>233133.62543578423</v>
      </c>
      <c r="M26" s="859">
        <f t="shared" ca="1" si="27"/>
        <v>241478.05395453636</v>
      </c>
      <c r="N26" s="859">
        <f t="shared" ca="1" si="27"/>
        <v>250207.64864942935</v>
      </c>
      <c r="O26" s="860">
        <f t="shared" ca="1" si="27"/>
        <v>259472.67973348711</v>
      </c>
      <c r="Q26" s="1258"/>
    </row>
    <row r="27" spans="2:21" s="825" customFormat="1" ht="13.5" customHeight="1" x14ac:dyDescent="0.3">
      <c r="B27" s="863" t="s">
        <v>109</v>
      </c>
      <c r="C27" s="260"/>
      <c r="D27" s="260">
        <f>D26/C26-1</f>
        <v>0.23539109277521497</v>
      </c>
      <c r="E27" s="260">
        <f t="shared" ref="E27" si="28">E26/D26-1</f>
        <v>0.55722230750358737</v>
      </c>
      <c r="F27" s="260">
        <f t="shared" ref="F27" si="29">F26/E26-1</f>
        <v>0.17138414608025809</v>
      </c>
      <c r="G27" s="260">
        <f t="shared" ref="G27:H27" si="30">G26/F26-1</f>
        <v>0.20436508161310485</v>
      </c>
      <c r="H27" s="260">
        <f t="shared" ca="1" si="30"/>
        <v>-0.17227931170593214</v>
      </c>
      <c r="I27" s="260"/>
      <c r="J27" s="260">
        <f ca="1">J26/G26-1</f>
        <v>-0.17219430372562583</v>
      </c>
      <c r="K27" s="260">
        <f ca="1">K26/J26-1</f>
        <v>0.16409018584738044</v>
      </c>
      <c r="L27" s="260">
        <f t="shared" ref="L27" ca="1" si="31">L26/K26-1</f>
        <v>3.5296274808161332E-2</v>
      </c>
      <c r="M27" s="260">
        <f t="shared" ref="M27" ca="1" si="32">M26/L26-1</f>
        <v>3.5792470962326073E-2</v>
      </c>
      <c r="N27" s="260">
        <f t="shared" ref="N27" ca="1" si="33">N26/M26-1</f>
        <v>3.6150675193599824E-2</v>
      </c>
      <c r="O27" s="783">
        <f t="shared" ref="O27" ca="1" si="34">O26/N26-1</f>
        <v>3.7029367943260505E-2</v>
      </c>
      <c r="Q27" s="1258"/>
    </row>
    <row r="28" spans="2:21" s="825" customFormat="1" ht="13.5" customHeight="1" x14ac:dyDescent="0.3">
      <c r="B28" s="861"/>
      <c r="C28" s="182"/>
      <c r="D28" s="182"/>
      <c r="E28" s="182"/>
      <c r="F28" s="182"/>
      <c r="G28" s="182"/>
      <c r="H28" s="182"/>
      <c r="I28" s="209"/>
      <c r="J28" s="182"/>
      <c r="K28" s="209"/>
      <c r="L28" s="182"/>
      <c r="M28" s="182"/>
      <c r="N28" s="182"/>
      <c r="O28" s="787"/>
      <c r="Q28" s="1258"/>
    </row>
    <row r="29" spans="2:21" s="825" customFormat="1" ht="13.5" customHeight="1" x14ac:dyDescent="0.3">
      <c r="B29" s="1134" t="s">
        <v>4553</v>
      </c>
      <c r="C29" s="1137">
        <f>C74</f>
        <v>27235.239343000001</v>
      </c>
      <c r="D29" s="1137">
        <f t="shared" ref="D29:O29" si="35">D74</f>
        <v>32097.449906000002</v>
      </c>
      <c r="E29" s="1137">
        <f t="shared" si="35"/>
        <v>69801.337933999996</v>
      </c>
      <c r="F29" s="1137">
        <f t="shared" si="35"/>
        <v>69822.706085999991</v>
      </c>
      <c r="G29" s="1137">
        <f t="shared" si="35"/>
        <v>67182.468760999996</v>
      </c>
      <c r="H29" s="1137">
        <f t="shared" ca="1" si="35"/>
        <v>41356.111594666669</v>
      </c>
      <c r="I29" s="1137"/>
      <c r="J29" s="1137">
        <f t="shared" ca="1" si="35"/>
        <v>41356.111594666669</v>
      </c>
      <c r="K29" s="1137">
        <f t="shared" ca="1" si="35"/>
        <v>49675.412843078149</v>
      </c>
      <c r="L29" s="1137">
        <f t="shared" ca="1" si="35"/>
        <v>51813.467125641138</v>
      </c>
      <c r="M29" s="1137">
        <f t="shared" ca="1" si="35"/>
        <v>53642.342436895204</v>
      </c>
      <c r="N29" s="1137">
        <f t="shared" ca="1" si="35"/>
        <v>55527.847363978559</v>
      </c>
      <c r="O29" s="1138">
        <f t="shared" ca="1" si="35"/>
        <v>57515.046546788733</v>
      </c>
      <c r="Q29" s="1258"/>
    </row>
    <row r="30" spans="2:21" s="825" customFormat="1" ht="13.5" customHeight="1" x14ac:dyDescent="0.3">
      <c r="B30" s="1142" t="s">
        <v>2012</v>
      </c>
      <c r="C30" s="1143"/>
      <c r="D30" s="1143">
        <f>D29/C29-1</f>
        <v>0.17852644883217028</v>
      </c>
      <c r="E30" s="1143">
        <f t="shared" ref="E30" si="36">E29/D29-1</f>
        <v>1.1746692693163756</v>
      </c>
      <c r="F30" s="1143">
        <f t="shared" ref="F30" si="37">F29/E29-1</f>
        <v>3.061281149108197E-4</v>
      </c>
      <c r="G30" s="1143">
        <f t="shared" ref="G30:H30" si="38">G29/F29-1</f>
        <v>-3.7813448847829556E-2</v>
      </c>
      <c r="H30" s="1143">
        <f t="shared" ca="1" si="38"/>
        <v>-0.38442107952611815</v>
      </c>
      <c r="I30" s="1143"/>
      <c r="J30" s="1143">
        <f ca="1">J29/G29-1</f>
        <v>-0.38442107952611815</v>
      </c>
      <c r="K30" s="1143">
        <f t="shared" ref="K30" ca="1" si="39">K29/J29-1</f>
        <v>0.20116255923548554</v>
      </c>
      <c r="L30" s="1143">
        <f t="shared" ref="L30" ca="1" si="40">L29/K29-1</f>
        <v>4.3040493479480135E-2</v>
      </c>
      <c r="M30" s="1143">
        <f t="shared" ref="M30" ca="1" si="41">M29/L29-1</f>
        <v>3.5297296488947083E-2</v>
      </c>
      <c r="N30" s="1143">
        <f t="shared" ref="N30" ca="1" si="42">N29/M29-1</f>
        <v>3.5149563598969591E-2</v>
      </c>
      <c r="O30" s="1301">
        <f t="shared" ref="O30" ca="1" si="43">O29/N29-1</f>
        <v>3.5787434182065647E-2</v>
      </c>
      <c r="Q30" s="1258"/>
    </row>
    <row r="31" spans="2:21" s="825" customFormat="1" ht="13.5" customHeight="1" x14ac:dyDescent="0.3">
      <c r="B31" s="1135" t="s">
        <v>3865</v>
      </c>
      <c r="C31" s="1123">
        <f>C29/C$26</f>
        <v>0.31631409745929967</v>
      </c>
      <c r="D31" s="1123">
        <f t="shared" ref="D31:O31" si="44">D29/D$26</f>
        <v>0.30175426403377131</v>
      </c>
      <c r="E31" s="1123">
        <f t="shared" si="44"/>
        <v>0.42140144134681323</v>
      </c>
      <c r="F31" s="1123">
        <f t="shared" si="44"/>
        <v>0.35985670933503661</v>
      </c>
      <c r="G31" s="1123">
        <f t="shared" si="44"/>
        <v>0.28749528805691371</v>
      </c>
      <c r="H31" s="1123">
        <f t="shared" ca="1" si="44"/>
        <v>0.21381130321648745</v>
      </c>
      <c r="I31" s="1123"/>
      <c r="J31" s="1123">
        <f t="shared" ca="1" si="44"/>
        <v>0.2137893467753384</v>
      </c>
      <c r="K31" s="1123">
        <f t="shared" ca="1" si="44"/>
        <v>0.22059782139905068</v>
      </c>
      <c r="L31" s="1123">
        <f t="shared" ca="1" si="44"/>
        <v>0.22224793625882577</v>
      </c>
      <c r="M31" s="1123">
        <f t="shared" ca="1" si="44"/>
        <v>0.22214168765412767</v>
      </c>
      <c r="N31" s="1123">
        <f t="shared" ca="1" si="44"/>
        <v>0.22192705804041854</v>
      </c>
      <c r="O31" s="1140">
        <f t="shared" ca="1" si="44"/>
        <v>0.22166128089425186</v>
      </c>
      <c r="Q31" s="1258"/>
    </row>
    <row r="32" spans="2:21" s="825" customFormat="1" ht="13.5" customHeight="1" x14ac:dyDescent="0.3">
      <c r="B32" s="1136"/>
      <c r="C32" s="260"/>
      <c r="D32" s="260"/>
      <c r="E32" s="260"/>
      <c r="F32" s="260"/>
      <c r="G32" s="260"/>
      <c r="H32" s="260"/>
      <c r="I32" s="260"/>
      <c r="J32" s="260"/>
      <c r="K32" s="260"/>
      <c r="L32" s="260"/>
      <c r="M32" s="260"/>
      <c r="N32" s="260"/>
      <c r="O32" s="1139"/>
      <c r="Q32" s="1258"/>
    </row>
    <row r="33" spans="2:18" s="825" customFormat="1" ht="13.5" customHeight="1" x14ac:dyDescent="0.3">
      <c r="B33" s="1134" t="s">
        <v>4551</v>
      </c>
      <c r="C33" s="1137">
        <f t="shared" ref="C33:H33" si="45">C86+C200</f>
        <v>46281.226242000004</v>
      </c>
      <c r="D33" s="1137">
        <f t="shared" si="45"/>
        <v>56836.967874000002</v>
      </c>
      <c r="E33" s="1137">
        <f t="shared" si="45"/>
        <v>71014.951016999999</v>
      </c>
      <c r="F33" s="1137">
        <f t="shared" si="45"/>
        <v>94637.465014999994</v>
      </c>
      <c r="G33" s="1137">
        <f t="shared" si="45"/>
        <v>135546.489378</v>
      </c>
      <c r="H33" s="1137">
        <f t="shared" si="45"/>
        <v>124020.142404</v>
      </c>
      <c r="I33" s="1137"/>
      <c r="J33" s="1137">
        <f t="shared" ref="J33:O33" si="46">J86+J200</f>
        <v>124020.142404</v>
      </c>
      <c r="K33" s="1137">
        <f t="shared" si="46"/>
        <v>140571.78862956102</v>
      </c>
      <c r="L33" s="1137">
        <f t="shared" si="46"/>
        <v>145009.07189616666</v>
      </c>
      <c r="M33" s="1137">
        <f t="shared" si="46"/>
        <v>150133.38500387623</v>
      </c>
      <c r="N33" s="1137">
        <f t="shared" si="46"/>
        <v>155416.93336812474</v>
      </c>
      <c r="O33" s="1138">
        <f t="shared" si="46"/>
        <v>160981.11042667116</v>
      </c>
      <c r="Q33" s="1258"/>
      <c r="R33" s="825" t="s">
        <v>4552</v>
      </c>
    </row>
    <row r="34" spans="2:18" s="825" customFormat="1" ht="13.5" customHeight="1" x14ac:dyDescent="0.3">
      <c r="B34" s="1142" t="s">
        <v>2012</v>
      </c>
      <c r="C34" s="260"/>
      <c r="D34" s="1143">
        <f>D33/C33-1</f>
        <v>0.22807826172982226</v>
      </c>
      <c r="E34" s="1143">
        <f t="shared" ref="E34" si="47">E33/D33-1</f>
        <v>0.24945002651145476</v>
      </c>
      <c r="F34" s="1143">
        <f t="shared" ref="F34" si="48">F33/E33-1</f>
        <v>0.33264141789445278</v>
      </c>
      <c r="G34" s="1143">
        <f t="shared" ref="G34:H34" si="49">G33/F33-1</f>
        <v>0.43227092311185578</v>
      </c>
      <c r="H34" s="1143">
        <f t="shared" si="49"/>
        <v>-8.5036115851413574E-2</v>
      </c>
      <c r="I34" s="1143"/>
      <c r="J34" s="1143">
        <f>J33/G33-1</f>
        <v>-8.5036115851413574E-2</v>
      </c>
      <c r="K34" s="1143">
        <f>K33/J33-1</f>
        <v>0.13345933898094908</v>
      </c>
      <c r="L34" s="1143">
        <f t="shared" ref="L34" si="50">L33/K33-1</f>
        <v>3.156595864550682E-2</v>
      </c>
      <c r="M34" s="1143">
        <f t="shared" ref="M34" si="51">M33/L33-1</f>
        <v>3.5337879490593638E-2</v>
      </c>
      <c r="N34" s="1143">
        <f t="shared" ref="N34" si="52">N33/M33-1</f>
        <v>3.5192361539787331E-2</v>
      </c>
      <c r="O34" s="1144">
        <f t="shared" ref="O34" si="53">O33/N33-1</f>
        <v>3.5801614006673033E-2</v>
      </c>
      <c r="Q34" s="1258"/>
    </row>
    <row r="35" spans="2:18" s="825" customFormat="1" ht="13.5" customHeight="1" x14ac:dyDescent="0.3">
      <c r="B35" s="1135" t="s">
        <v>3865</v>
      </c>
      <c r="C35" s="1123">
        <f>C33/C$26</f>
        <v>0.53751700595245566</v>
      </c>
      <c r="D35" s="1123">
        <f t="shared" ref="D35:O35" si="54">D33/D$26</f>
        <v>0.53433520298208992</v>
      </c>
      <c r="E35" s="1123">
        <f t="shared" si="54"/>
        <v>0.42872821068319927</v>
      </c>
      <c r="F35" s="1123">
        <f t="shared" si="54"/>
        <v>0.48774859424899941</v>
      </c>
      <c r="G35" s="1123">
        <f t="shared" si="54"/>
        <v>0.58004681470492991</v>
      </c>
      <c r="H35" s="1123">
        <f t="shared" ca="1" si="54"/>
        <v>0.641184754804493</v>
      </c>
      <c r="I35" s="1123"/>
      <c r="J35" s="1123">
        <f t="shared" ca="1" si="54"/>
        <v>0.64111891106694141</v>
      </c>
      <c r="K35" s="1123">
        <f t="shared" ca="1" si="54"/>
        <v>0.62424907106071414</v>
      </c>
      <c r="L35" s="1123">
        <f t="shared" ca="1" si="54"/>
        <v>0.62199981502071588</v>
      </c>
      <c r="M35" s="1123">
        <f t="shared" ca="1" si="54"/>
        <v>0.62172683001719986</v>
      </c>
      <c r="N35" s="1123">
        <f t="shared" ca="1" si="54"/>
        <v>0.62115180813629856</v>
      </c>
      <c r="O35" s="1140">
        <f t="shared" ca="1" si="54"/>
        <v>0.62041641760519883</v>
      </c>
      <c r="Q35" s="1258"/>
    </row>
    <row r="36" spans="2:18" s="825" customFormat="1" ht="13.5" customHeight="1" x14ac:dyDescent="0.3">
      <c r="B36" s="1136"/>
      <c r="C36" s="336"/>
      <c r="D36" s="336"/>
      <c r="E36" s="336"/>
      <c r="F36" s="336"/>
      <c r="G36" s="336"/>
      <c r="H36" s="336"/>
      <c r="I36" s="336"/>
      <c r="J36" s="336"/>
      <c r="K36" s="336"/>
      <c r="L36" s="336"/>
      <c r="M36" s="336"/>
      <c r="N36" s="336"/>
      <c r="O36" s="621"/>
      <c r="Q36" s="1258"/>
    </row>
    <row r="37" spans="2:18" s="825" customFormat="1" ht="13.5" customHeight="1" x14ac:dyDescent="0.3">
      <c r="B37" s="1136" t="s">
        <v>4454</v>
      </c>
      <c r="C37" s="1137">
        <f t="shared" ref="C37:H37" si="55">C92+C206</f>
        <v>11251.560092</v>
      </c>
      <c r="D37" s="1137">
        <f t="shared" si="55"/>
        <v>16073.506701</v>
      </c>
      <c r="E37" s="1137">
        <f t="shared" si="55"/>
        <v>22926.020167000002</v>
      </c>
      <c r="F37" s="1137">
        <f t="shared" si="55"/>
        <v>27053.05343</v>
      </c>
      <c r="G37" s="1137">
        <f t="shared" si="55"/>
        <v>28287.173879999995</v>
      </c>
      <c r="H37" s="1137">
        <f t="shared" si="55"/>
        <v>25541.976533000001</v>
      </c>
      <c r="I37" s="1137"/>
      <c r="J37" s="1137">
        <f t="shared" ref="J37:O37" si="56">J92+J206</f>
        <v>25541.976533000001</v>
      </c>
      <c r="K37" s="1137">
        <f t="shared" si="56"/>
        <v>32254.035124274156</v>
      </c>
      <c r="L37" s="1137">
        <f t="shared" si="56"/>
        <v>33608.704599493678</v>
      </c>
      <c r="M37" s="1137">
        <f t="shared" si="56"/>
        <v>34953.052783473424</v>
      </c>
      <c r="N37" s="1137">
        <f t="shared" si="56"/>
        <v>36421.081000379316</v>
      </c>
      <c r="O37" s="1138">
        <f t="shared" si="56"/>
        <v>38023.608564396003</v>
      </c>
      <c r="Q37" s="1258"/>
    </row>
    <row r="38" spans="2:18" s="825" customFormat="1" ht="13.5" customHeight="1" x14ac:dyDescent="0.3">
      <c r="B38" s="1142" t="s">
        <v>2012</v>
      </c>
      <c r="C38" s="500"/>
      <c r="D38" s="1143">
        <f>D37/C37-1</f>
        <v>0.42855804613517234</v>
      </c>
      <c r="E38" s="1143">
        <f t="shared" ref="E38" si="57">E37/D37-1</f>
        <v>0.42632348954529498</v>
      </c>
      <c r="F38" s="1143">
        <f t="shared" ref="F38" si="58">F37/E37-1</f>
        <v>0.18001525048558142</v>
      </c>
      <c r="G38" s="1143">
        <f t="shared" ref="G38:H38" si="59">G37/F37-1</f>
        <v>4.5618527061771053E-2</v>
      </c>
      <c r="H38" s="1143">
        <f t="shared" si="59"/>
        <v>-9.7047423636086316E-2</v>
      </c>
      <c r="I38" s="1143"/>
      <c r="J38" s="1143">
        <f>J37/G37-1</f>
        <v>-9.7047423636086316E-2</v>
      </c>
      <c r="K38" s="1143">
        <f>K37/J37-1</f>
        <v>0.26278540278988349</v>
      </c>
      <c r="L38" s="1143">
        <f t="shared" ref="L38" si="60">L37/K37-1</f>
        <v>4.2000000000000259E-2</v>
      </c>
      <c r="M38" s="1143">
        <f t="shared" ref="M38" si="61">M37/L37-1</f>
        <v>4.0000000000000036E-2</v>
      </c>
      <c r="N38" s="1143">
        <f t="shared" ref="N38" si="62">N37/M37-1</f>
        <v>4.2000000000000259E-2</v>
      </c>
      <c r="O38" s="1144">
        <f t="shared" ref="O38" si="63">O37/N37-1</f>
        <v>4.4000000000000039E-2</v>
      </c>
      <c r="Q38" s="1258"/>
    </row>
    <row r="39" spans="2:18" s="825" customFormat="1" ht="13.5" customHeight="1" x14ac:dyDescent="0.3">
      <c r="B39" s="1135" t="s">
        <v>3865</v>
      </c>
      <c r="C39" s="1123">
        <f>C37/C$26</f>
        <v>0.13067728286459121</v>
      </c>
      <c r="D39" s="1123">
        <f t="shared" ref="D39:O39" si="64">D37/D$26</f>
        <v>0.15111010996843974</v>
      </c>
      <c r="E39" s="1123">
        <f t="shared" si="64"/>
        <v>0.13840791922720497</v>
      </c>
      <c r="F39" s="1123">
        <f t="shared" si="64"/>
        <v>0.13942774966060381</v>
      </c>
      <c r="G39" s="1123">
        <f t="shared" si="64"/>
        <v>0.1210498713865</v>
      </c>
      <c r="H39" s="1123">
        <f t="shared" ca="1" si="64"/>
        <v>0.13205214607143936</v>
      </c>
      <c r="I39" s="1123"/>
      <c r="J39" s="1123">
        <f t="shared" ca="1" si="64"/>
        <v>0.13203858553871631</v>
      </c>
      <c r="K39" s="1123">
        <f t="shared" ca="1" si="64"/>
        <v>0.14323323093901125</v>
      </c>
      <c r="L39" s="1123">
        <f t="shared" ca="1" si="64"/>
        <v>0.14416069126309311</v>
      </c>
      <c r="M39" s="1123">
        <f t="shared" ca="1" si="64"/>
        <v>0.14474629147895202</v>
      </c>
      <c r="N39" s="1123">
        <f t="shared" ca="1" si="64"/>
        <v>0.14556341981139664</v>
      </c>
      <c r="O39" s="1764">
        <f t="shared" ca="1" si="64"/>
        <v>0.14654185790755042</v>
      </c>
      <c r="Q39" s="1258"/>
    </row>
    <row r="40" spans="2:18" s="825" customFormat="1" ht="13.5" customHeight="1" x14ac:dyDescent="0.3">
      <c r="B40" s="1612"/>
      <c r="C40" s="182"/>
      <c r="D40" s="182"/>
      <c r="E40" s="182"/>
      <c r="F40" s="182"/>
      <c r="G40" s="182"/>
      <c r="H40" s="182"/>
      <c r="I40" s="182"/>
      <c r="J40" s="182"/>
      <c r="K40" s="182"/>
      <c r="L40" s="182"/>
      <c r="M40" s="182"/>
      <c r="N40" s="182"/>
      <c r="O40" s="1623"/>
      <c r="Q40" s="1258"/>
    </row>
    <row r="41" spans="2:18" s="825" customFormat="1" ht="13.5" customHeight="1" x14ac:dyDescent="0.3">
      <c r="B41" s="1136" t="s">
        <v>3792</v>
      </c>
      <c r="C41" s="1137">
        <f>C110</f>
        <v>35.700155000000002</v>
      </c>
      <c r="D41" s="1137">
        <f t="shared" ref="D41:H41" si="65">D110</f>
        <v>0</v>
      </c>
      <c r="E41" s="1137">
        <f t="shared" si="65"/>
        <v>63.092370000000003</v>
      </c>
      <c r="F41" s="1137">
        <f t="shared" si="65"/>
        <v>22.67268</v>
      </c>
      <c r="G41" s="1137">
        <f t="shared" si="65"/>
        <v>112.17493399999999</v>
      </c>
      <c r="H41" s="1137">
        <f t="shared" si="65"/>
        <v>6.8234250000000003</v>
      </c>
      <c r="I41" s="1137"/>
      <c r="J41" s="1137">
        <f t="shared" ref="J41:O41" si="66">J110</f>
        <v>6.8234250000000003</v>
      </c>
      <c r="K41" s="1137">
        <f t="shared" si="66"/>
        <v>192.74454979276811</v>
      </c>
      <c r="L41" s="1137">
        <f t="shared" si="66"/>
        <v>197.5377723071461</v>
      </c>
      <c r="M41" s="1137">
        <f t="shared" si="66"/>
        <v>204.13049037949054</v>
      </c>
      <c r="N41" s="1137">
        <f t="shared" si="66"/>
        <v>210.65354133949242</v>
      </c>
      <c r="O41" s="2034">
        <f t="shared" si="66"/>
        <v>217.30071201021033</v>
      </c>
      <c r="Q41" s="1258"/>
    </row>
    <row r="42" spans="2:18" s="825" customFormat="1" ht="13.5" customHeight="1" x14ac:dyDescent="0.3">
      <c r="B42" s="1142" t="s">
        <v>2012</v>
      </c>
      <c r="C42" s="500"/>
      <c r="D42" s="1143">
        <f>D41/C41-1</f>
        <v>-1</v>
      </c>
      <c r="E42" s="1143" t="e">
        <f t="shared" ref="E42" si="67">E41/D41-1</f>
        <v>#DIV/0!</v>
      </c>
      <c r="F42" s="1143">
        <f t="shared" ref="F42" si="68">F41/E41-1</f>
        <v>-0.64064307617545513</v>
      </c>
      <c r="G42" s="1143">
        <f t="shared" ref="G42:H42" si="69">G41/F41-1</f>
        <v>3.9475815827683363</v>
      </c>
      <c r="H42" s="1143">
        <f t="shared" si="69"/>
        <v>-0.93917157107487137</v>
      </c>
      <c r="I42" s="1143"/>
      <c r="J42" s="1143">
        <f>J41/G41-1</f>
        <v>-0.93917157107487137</v>
      </c>
      <c r="K42" s="1143">
        <f>K41/J41-1</f>
        <v>27.24747832544039</v>
      </c>
      <c r="L42" s="1143">
        <f t="shared" ref="L42" si="70">L41/K41-1</f>
        <v>2.4868264859014166E-2</v>
      </c>
      <c r="M42" s="1143">
        <f t="shared" ref="M42" si="71">M41/L41-1</f>
        <v>3.3374468059169882E-2</v>
      </c>
      <c r="N42" s="1143">
        <f t="shared" ref="N42" si="72">N41/M41-1</f>
        <v>3.1955299513929392E-2</v>
      </c>
      <c r="O42" s="2035">
        <f t="shared" ref="O42" si="73">O41/N41-1</f>
        <v>3.1554991330552618E-2</v>
      </c>
      <c r="Q42" s="1258"/>
    </row>
    <row r="43" spans="2:18" s="825" customFormat="1" ht="13.5" customHeight="1" x14ac:dyDescent="0.3">
      <c r="B43" s="1135" t="s">
        <v>3865</v>
      </c>
      <c r="C43" s="1123">
        <f>C41/C$26</f>
        <v>4.1462687974814854E-4</v>
      </c>
      <c r="D43" s="1123">
        <f t="shared" ref="D43:O43" si="74">D41/D$26</f>
        <v>0</v>
      </c>
      <c r="E43" s="1123">
        <f t="shared" si="74"/>
        <v>3.8089836732249649E-4</v>
      </c>
      <c r="F43" s="1123">
        <f t="shared" si="74"/>
        <v>1.1685190210985285E-4</v>
      </c>
      <c r="G43" s="1123">
        <f t="shared" si="74"/>
        <v>4.8003244831360751E-4</v>
      </c>
      <c r="H43" s="1123">
        <f t="shared" ca="1" si="74"/>
        <v>3.5277141283227062E-5</v>
      </c>
      <c r="I43" s="1123"/>
      <c r="J43" s="1123">
        <f t="shared" ca="1" si="74"/>
        <v>3.5273518647450378E-5</v>
      </c>
      <c r="K43" s="1123">
        <f t="shared" ca="1" si="74"/>
        <v>8.5593707907653869E-4</v>
      </c>
      <c r="L43" s="1123">
        <f t="shared" ca="1" si="74"/>
        <v>8.4731566258577798E-4</v>
      </c>
      <c r="M43" s="1123">
        <f t="shared" ca="1" si="74"/>
        <v>8.4533764885285463E-4</v>
      </c>
      <c r="N43" s="1123">
        <f t="shared" ca="1" si="74"/>
        <v>8.4191487541071563E-4</v>
      </c>
      <c r="O43" s="1764">
        <f t="shared" ca="1" si="74"/>
        <v>8.3747048912204169E-4</v>
      </c>
      <c r="Q43" s="1258"/>
    </row>
    <row r="44" spans="2:18" s="825" customFormat="1" ht="13.5" customHeight="1" x14ac:dyDescent="0.3">
      <c r="B44" s="1612"/>
      <c r="C44" s="182"/>
      <c r="D44" s="182"/>
      <c r="E44" s="182"/>
      <c r="F44" s="182"/>
      <c r="G44" s="182"/>
      <c r="H44" s="182"/>
      <c r="I44" s="182"/>
      <c r="J44" s="182"/>
      <c r="K44" s="182"/>
      <c r="L44" s="182"/>
      <c r="M44" s="182"/>
      <c r="N44" s="182"/>
      <c r="O44" s="1623"/>
      <c r="Q44" s="1258"/>
    </row>
    <row r="45" spans="2:18" s="825" customFormat="1" ht="13.5" customHeight="1" x14ac:dyDescent="0.3">
      <c r="B45" s="1136" t="s">
        <v>2018</v>
      </c>
      <c r="C45" s="1137">
        <f>C122+C224</f>
        <v>1298.156954</v>
      </c>
      <c r="D45" s="1137">
        <f t="shared" ref="D45:H45" si="75">D122+D224</f>
        <v>1304.538362</v>
      </c>
      <c r="E45" s="1137">
        <f t="shared" si="75"/>
        <v>1636.416103</v>
      </c>
      <c r="F45" s="1137">
        <f t="shared" si="75"/>
        <v>2264.1417759999999</v>
      </c>
      <c r="G45" s="1137">
        <f t="shared" si="75"/>
        <v>2299.0054040000005</v>
      </c>
      <c r="H45" s="1137">
        <f t="shared" si="75"/>
        <v>2269.1617969999998</v>
      </c>
      <c r="I45" s="1137"/>
      <c r="J45" s="1137">
        <f t="shared" ref="J45:O45" si="76">J122+J224</f>
        <v>2269.1617969999998</v>
      </c>
      <c r="K45" s="1137">
        <f t="shared" si="76"/>
        <v>2298.6609003609992</v>
      </c>
      <c r="L45" s="1137">
        <f t="shared" si="76"/>
        <v>2333.1408138664146</v>
      </c>
      <c r="M45" s="1137">
        <f t="shared" si="76"/>
        <v>2375.1373485160102</v>
      </c>
      <c r="N45" s="1137">
        <f t="shared" si="76"/>
        <v>2422.6400954863302</v>
      </c>
      <c r="O45" s="2034">
        <f t="shared" si="76"/>
        <v>2475.9381775870297</v>
      </c>
      <c r="Q45" s="1258"/>
    </row>
    <row r="46" spans="2:18" s="825" customFormat="1" ht="13.5" customHeight="1" x14ac:dyDescent="0.3">
      <c r="B46" s="1142" t="s">
        <v>2012</v>
      </c>
      <c r="C46" s="500"/>
      <c r="D46" s="1143">
        <f>D45/C45-1</f>
        <v>4.9157445718230885E-3</v>
      </c>
      <c r="E46" s="1143">
        <f t="shared" ref="E46" si="77">E45/D45-1</f>
        <v>0.25440243895257719</v>
      </c>
      <c r="F46" s="1143">
        <f t="shared" ref="F46" si="78">F45/E45-1</f>
        <v>0.38359783422395211</v>
      </c>
      <c r="G46" s="1143">
        <f t="shared" ref="G46:H46" si="79">G45/F45-1</f>
        <v>1.5398164712809193E-2</v>
      </c>
      <c r="H46" s="1143">
        <f t="shared" si="79"/>
        <v>-1.298109475866227E-2</v>
      </c>
      <c r="I46" s="1143"/>
      <c r="J46" s="1143">
        <f>J45/G45-1</f>
        <v>-1.298109475866227E-2</v>
      </c>
      <c r="K46" s="1143">
        <f>K45/J45-1</f>
        <v>1.2999999999999678E-2</v>
      </c>
      <c r="L46" s="1143">
        <f t="shared" ref="L46" si="80">L45/K45-1</f>
        <v>1.5000000000000124E-2</v>
      </c>
      <c r="M46" s="1143">
        <f t="shared" ref="M46" si="81">M45/L45-1</f>
        <v>1.8000000000000016E-2</v>
      </c>
      <c r="N46" s="1143">
        <f t="shared" ref="N46" si="82">N45/M45-1</f>
        <v>2.0000000000000018E-2</v>
      </c>
      <c r="O46" s="2035">
        <f t="shared" ref="O46" si="83">O45/N45-1</f>
        <v>2.200000000000002E-2</v>
      </c>
      <c r="Q46" s="1258"/>
    </row>
    <row r="47" spans="2:18" s="825" customFormat="1" ht="13.5" customHeight="1" x14ac:dyDescent="0.3">
      <c r="B47" s="1135" t="s">
        <v>3865</v>
      </c>
      <c r="C47" s="1123">
        <f>C45/C$26</f>
        <v>1.5076986843905321E-2</v>
      </c>
      <c r="D47" s="1123">
        <f t="shared" ref="D47:O47" si="84">D45/D$26</f>
        <v>1.2264214586578301E-2</v>
      </c>
      <c r="E47" s="1123">
        <f t="shared" si="84"/>
        <v>9.8792963696393444E-3</v>
      </c>
      <c r="F47" s="1123">
        <f t="shared" si="84"/>
        <v>1.1669078078638272E-2</v>
      </c>
      <c r="G47" s="1123">
        <f t="shared" si="84"/>
        <v>9.8381800052437258E-3</v>
      </c>
      <c r="H47" s="1123">
        <f t="shared" ca="1" si="84"/>
        <v>1.1731577808398333E-2</v>
      </c>
      <c r="I47" s="1123"/>
      <c r="J47" s="1123">
        <f t="shared" ca="1" si="84"/>
        <v>1.1730373083980771E-2</v>
      </c>
      <c r="K47" s="1123">
        <f t="shared" ca="1" si="84"/>
        <v>1.0207858530670954E-2</v>
      </c>
      <c r="L47" s="1123">
        <f t="shared" ca="1" si="84"/>
        <v>1.000774045144796E-2</v>
      </c>
      <c r="M47" s="1123">
        <f t="shared" ca="1" si="84"/>
        <v>9.8358310812094868E-3</v>
      </c>
      <c r="N47" s="1123">
        <f t="shared" ca="1" si="84"/>
        <v>9.6825181346903468E-3</v>
      </c>
      <c r="O47" s="1764">
        <f t="shared" ca="1" si="84"/>
        <v>9.5421921881338224E-3</v>
      </c>
      <c r="Q47" s="1258"/>
    </row>
    <row r="48" spans="2:18" s="825" customFormat="1" ht="13.5" customHeight="1" x14ac:dyDescent="0.3">
      <c r="B48" s="1135"/>
      <c r="C48" s="1123"/>
      <c r="D48" s="1123"/>
      <c r="E48" s="1123"/>
      <c r="F48" s="1123"/>
      <c r="G48" s="1123"/>
      <c r="H48" s="1123"/>
      <c r="I48" s="1123"/>
      <c r="J48" s="1123"/>
      <c r="K48" s="1123"/>
      <c r="L48" s="1123"/>
      <c r="M48" s="1123"/>
      <c r="N48" s="1123"/>
      <c r="O48" s="1764"/>
      <c r="Q48" s="1258"/>
    </row>
    <row r="49" spans="2:21" s="825" customFormat="1" ht="13.5" customHeight="1" x14ac:dyDescent="0.3">
      <c r="B49" s="1136" t="s">
        <v>1166</v>
      </c>
      <c r="C49" s="1137">
        <f t="shared" ref="C49:H49" si="85">C303+C307</f>
        <v>0</v>
      </c>
      <c r="D49" s="1137">
        <f t="shared" si="85"/>
        <v>57.036222000000002</v>
      </c>
      <c r="E49" s="1137">
        <f t="shared" si="85"/>
        <v>199.13919099999998</v>
      </c>
      <c r="F49" s="1137">
        <f t="shared" si="85"/>
        <v>229.15172899999999</v>
      </c>
      <c r="G49" s="1137">
        <f t="shared" si="85"/>
        <v>254.66975500000001</v>
      </c>
      <c r="H49" s="1137">
        <f t="shared" si="85"/>
        <v>229.195322</v>
      </c>
      <c r="I49" s="1137"/>
      <c r="J49" s="1137">
        <f t="shared" ref="J49:O49" ca="1" si="86">J303+J307</f>
        <v>249.06015533333334</v>
      </c>
      <c r="K49" s="1137">
        <f t="shared" ca="1" si="86"/>
        <v>192.77695676688353</v>
      </c>
      <c r="L49" s="1137">
        <f t="shared" ca="1" si="86"/>
        <v>171.70322830918684</v>
      </c>
      <c r="M49" s="1137">
        <f t="shared" ca="1" si="86"/>
        <v>170.00589139598853</v>
      </c>
      <c r="N49" s="1137">
        <f t="shared" ca="1" si="86"/>
        <v>208.49328012087918</v>
      </c>
      <c r="O49" s="2034">
        <f t="shared" ca="1" si="86"/>
        <v>259.67530603395329</v>
      </c>
      <c r="Q49" s="1258"/>
    </row>
    <row r="50" spans="2:21" s="825" customFormat="1" ht="13.5" customHeight="1" x14ac:dyDescent="0.3">
      <c r="B50" s="1142" t="s">
        <v>2012</v>
      </c>
      <c r="C50" s="500"/>
      <c r="D50" s="1143" t="e">
        <f>D49/C49-1</f>
        <v>#DIV/0!</v>
      </c>
      <c r="E50" s="1143">
        <f t="shared" ref="E50" si="87">E49/D49-1</f>
        <v>2.491451292128009</v>
      </c>
      <c r="F50" s="1143">
        <f t="shared" ref="F50" si="88">F49/E49-1</f>
        <v>0.15071135846886108</v>
      </c>
      <c r="G50" s="1143">
        <f t="shared" ref="G50:H50" si="89">G49/F49-1</f>
        <v>0.11135864482174607</v>
      </c>
      <c r="H50" s="1143">
        <f t="shared" si="89"/>
        <v>-0.10002928302184921</v>
      </c>
      <c r="I50" s="1143"/>
      <c r="J50" s="1143">
        <f ca="1">J49/G49-1</f>
        <v>-2.2026956701892919E-2</v>
      </c>
      <c r="K50" s="1143">
        <f ca="1">K49/J49-1</f>
        <v>-0.22598234748196622</v>
      </c>
      <c r="L50" s="1143">
        <f t="shared" ref="L50" ca="1" si="90">L49/K49-1</f>
        <v>-0.10931663623666488</v>
      </c>
      <c r="M50" s="1143">
        <f t="shared" ref="M50" ca="1" si="91">M49/L49-1</f>
        <v>-9.8852941200494593E-3</v>
      </c>
      <c r="N50" s="1143">
        <f t="shared" ref="N50" ca="1" si="92">N49/M49-1</f>
        <v>0.22638855870731778</v>
      </c>
      <c r="O50" s="2035">
        <f t="shared" ref="O50" ca="1" si="93">O49/N49-1</f>
        <v>0.24548525440915925</v>
      </c>
      <c r="Q50" s="1258"/>
    </row>
    <row r="51" spans="2:21" s="825" customFormat="1" ht="13.5" customHeight="1" x14ac:dyDescent="0.3">
      <c r="B51" s="1135" t="s">
        <v>3865</v>
      </c>
      <c r="C51" s="1123">
        <f>C49/C$26</f>
        <v>0</v>
      </c>
      <c r="D51" s="1123">
        <f t="shared" ref="D51:O51" si="94">D49/D$26</f>
        <v>5.3620842912070548E-4</v>
      </c>
      <c r="E51" s="1123">
        <f t="shared" si="94"/>
        <v>1.2022340058207162E-3</v>
      </c>
      <c r="F51" s="1123">
        <f t="shared" si="94"/>
        <v>1.1810167746120674E-3</v>
      </c>
      <c r="G51" s="1123">
        <f t="shared" si="94"/>
        <v>1.0898133980990494E-3</v>
      </c>
      <c r="H51" s="1123">
        <f t="shared" ca="1" si="94"/>
        <v>1.1849409578985216E-3</v>
      </c>
      <c r="I51" s="1123"/>
      <c r="J51" s="1123">
        <f t="shared" ca="1" si="94"/>
        <v>1.2875100163755328E-3</v>
      </c>
      <c r="K51" s="1123">
        <f t="shared" ca="1" si="94"/>
        <v>8.5608099147663457E-4</v>
      </c>
      <c r="L51" s="1123">
        <f t="shared" ca="1" si="94"/>
        <v>7.3650134333145287E-4</v>
      </c>
      <c r="M51" s="1123">
        <f t="shared" ca="1" si="94"/>
        <v>7.0402211965811166E-4</v>
      </c>
      <c r="N51" s="1123">
        <f t="shared" ca="1" si="94"/>
        <v>8.332810017850535E-4</v>
      </c>
      <c r="O51" s="1764">
        <f t="shared" ca="1" si="94"/>
        <v>1.000780915742938E-3</v>
      </c>
      <c r="Q51" s="1258"/>
    </row>
    <row r="52" spans="2:21" s="825" customFormat="1" ht="13.5" customHeight="1" x14ac:dyDescent="0.3">
      <c r="B52" s="1767"/>
      <c r="C52" s="1768"/>
      <c r="D52" s="1768"/>
      <c r="E52" s="1768"/>
      <c r="F52" s="1768"/>
      <c r="G52" s="1768"/>
      <c r="H52" s="1768"/>
      <c r="I52" s="1768"/>
      <c r="J52" s="1768"/>
      <c r="K52" s="1768"/>
      <c r="L52" s="1768"/>
      <c r="M52" s="1768"/>
      <c r="N52" s="1768"/>
      <c r="O52" s="1769"/>
      <c r="Q52" s="1258"/>
    </row>
    <row r="53" spans="2:21" s="825" customFormat="1" ht="13.5" customHeight="1" x14ac:dyDescent="0.3">
      <c r="B53" s="1649"/>
      <c r="C53" s="182"/>
      <c r="D53" s="182"/>
      <c r="E53" s="182"/>
      <c r="F53" s="182"/>
      <c r="G53" s="182"/>
      <c r="H53" s="182"/>
      <c r="I53" s="182"/>
      <c r="J53" s="182"/>
      <c r="K53" s="182"/>
      <c r="L53" s="182"/>
      <c r="M53" s="182"/>
      <c r="N53" s="182"/>
      <c r="O53" s="182"/>
      <c r="Q53" s="1258"/>
    </row>
    <row r="54" spans="2:21" ht="13.5" customHeight="1" x14ac:dyDescent="0.3">
      <c r="B54" s="270"/>
      <c r="H54" s="182"/>
      <c r="I54" s="182"/>
      <c r="J54" s="182"/>
      <c r="K54" s="182"/>
      <c r="L54" s="182"/>
      <c r="M54" s="182"/>
      <c r="N54" s="182"/>
      <c r="O54" s="182"/>
      <c r="Q54" s="1258"/>
    </row>
    <row r="55" spans="2:21" s="294" customFormat="1" ht="13.5" customHeight="1" x14ac:dyDescent="0.3">
      <c r="B55" s="262" t="s">
        <v>14</v>
      </c>
      <c r="C55" s="263">
        <f t="shared" ref="C55:O55" si="95">C5</f>
        <v>2010</v>
      </c>
      <c r="D55" s="263">
        <f t="shared" si="95"/>
        <v>2011</v>
      </c>
      <c r="E55" s="263">
        <f t="shared" si="95"/>
        <v>2012</v>
      </c>
      <c r="F55" s="263">
        <f t="shared" si="95"/>
        <v>2013</v>
      </c>
      <c r="G55" s="263">
        <f t="shared" si="95"/>
        <v>2014</v>
      </c>
      <c r="H55" s="264" t="str">
        <f t="shared" si="95"/>
        <v>2015/12A</v>
      </c>
      <c r="I55" s="264" t="str">
        <f t="shared" si="95"/>
        <v>2015/0E</v>
      </c>
      <c r="J55" s="264">
        <f t="shared" si="95"/>
        <v>2015</v>
      </c>
      <c r="K55" s="266">
        <f t="shared" si="95"/>
        <v>2016</v>
      </c>
      <c r="L55" s="266">
        <f t="shared" si="95"/>
        <v>2017</v>
      </c>
      <c r="M55" s="266">
        <f t="shared" si="95"/>
        <v>2018</v>
      </c>
      <c r="N55" s="266">
        <f t="shared" si="95"/>
        <v>2019</v>
      </c>
      <c r="O55" s="267">
        <f t="shared" si="95"/>
        <v>2020</v>
      </c>
      <c r="P55" s="317"/>
      <c r="Q55" s="1258"/>
      <c r="R55" s="317"/>
      <c r="S55" s="317"/>
      <c r="T55" s="317"/>
      <c r="U55" s="317"/>
    </row>
    <row r="56" spans="2:21" ht="13.5" customHeight="1" x14ac:dyDescent="0.3">
      <c r="B56" s="310" t="s">
        <v>3811</v>
      </c>
      <c r="C56" s="318">
        <f>Macro!H27/Macro!G27-1</f>
        <v>9.8636216582018266E-2</v>
      </c>
      <c r="D56" s="318">
        <f>Macro!I27/Macro!H27-1</f>
        <v>5.3246407455450173E-2</v>
      </c>
      <c r="E56" s="318">
        <f>Macro!J27/Macro!I27-1</f>
        <v>3.3598137888962265E-2</v>
      </c>
      <c r="F56" s="318">
        <f>Macro!K27/Macro!J27-1</f>
        <v>3.7742604739778862E-2</v>
      </c>
      <c r="G56" s="318">
        <f>Macro!L27/Macro!K27-1</f>
        <v>3.8919010127983933E-2</v>
      </c>
      <c r="H56" s="318"/>
      <c r="I56" s="319"/>
      <c r="J56" s="318">
        <f>Macro!M27/Macro!L27-1</f>
        <v>2.3003842222428794E-2</v>
      </c>
      <c r="K56" s="318">
        <f>Macro!N27/Macro!M27-1</f>
        <v>3.7334115303008231E-2</v>
      </c>
      <c r="L56" s="323">
        <f>Macro!O27/Macro!N27-1</f>
        <v>2.856531891672387E-2</v>
      </c>
      <c r="M56" s="318">
        <f>Macro!P27/Macro!O27-1</f>
        <v>3.9323857488979819E-2</v>
      </c>
      <c r="N56" s="318">
        <f>Macro!Q27/Macro!P27-1</f>
        <v>4.0235566615218099E-2</v>
      </c>
      <c r="O56" s="320">
        <f>Macro!R27/Macro!Q27-1</f>
        <v>3.7923737348549702E-2</v>
      </c>
      <c r="Q56" s="1258"/>
    </row>
    <row r="57" spans="2:21" ht="13.5" customHeight="1" x14ac:dyDescent="0.3">
      <c r="B57" s="310" t="s">
        <v>2023</v>
      </c>
      <c r="C57" s="318">
        <f>Macro!H87/100</f>
        <v>2.9380000000000003E-2</v>
      </c>
      <c r="D57" s="318">
        <f>Macro!I87/100</f>
        <v>4.0250000000000001E-2</v>
      </c>
      <c r="E57" s="318">
        <f>Macro!J87/100</f>
        <v>2.1829999999999999E-2</v>
      </c>
      <c r="F57" s="318">
        <f>Macro!K87/100</f>
        <v>1.3009999999999999E-2</v>
      </c>
      <c r="G57" s="318">
        <f>Macro!L87/100</f>
        <v>1.2749999999999999E-2</v>
      </c>
      <c r="H57" s="318"/>
      <c r="I57" s="319"/>
      <c r="J57" s="318">
        <f>Macro!M87/100</f>
        <v>6.0000000000000001E-3</v>
      </c>
      <c r="K57" s="318">
        <f>Macro!N87/100</f>
        <v>1.3000000000000001E-2</v>
      </c>
      <c r="L57" s="318">
        <f>Macro!O87/100</f>
        <v>1.4999999999999999E-2</v>
      </c>
      <c r="M57" s="318">
        <f>Macro!P87/100</f>
        <v>1.8000000000000002E-2</v>
      </c>
      <c r="N57" s="318">
        <f>Macro!Q87/100</f>
        <v>0.02</v>
      </c>
      <c r="O57" s="320">
        <f>Macro!R87/100</f>
        <v>2.2000000000000002E-2</v>
      </c>
      <c r="Q57" s="1258"/>
    </row>
    <row r="58" spans="2:21" ht="13.5" customHeight="1" x14ac:dyDescent="0.3">
      <c r="B58" s="310" t="s">
        <v>3812</v>
      </c>
      <c r="C58" s="318">
        <f>Macro!H90/100</f>
        <v>6.8440000000000001E-2</v>
      </c>
      <c r="D58" s="318">
        <f>Macro!I90/100</f>
        <v>9.2300000000000004E-3</v>
      </c>
      <c r="E58" s="318">
        <f>Macro!J90/100</f>
        <v>5.3710000000000008E-2</v>
      </c>
      <c r="F58" s="318">
        <f>Macro!K90/100</f>
        <v>3.8559999999999997E-2</v>
      </c>
      <c r="G58" s="318">
        <f>Macro!L90/100</f>
        <v>2.5539999999999997E-2</v>
      </c>
      <c r="H58" s="318"/>
      <c r="I58" s="319"/>
      <c r="J58" s="318">
        <f>Macro!M90/100</f>
        <v>4.2000000000000003E-2</v>
      </c>
      <c r="K58" s="318">
        <f>Macro!N90/100</f>
        <v>4.2999999999999997E-2</v>
      </c>
      <c r="L58" s="318">
        <f>Macro!O90/100</f>
        <v>4.2000000000000003E-2</v>
      </c>
      <c r="M58" s="318">
        <f>Macro!P90/100</f>
        <v>0.04</v>
      </c>
      <c r="N58" s="318">
        <f>Macro!Q90/100</f>
        <v>4.2000000000000003E-2</v>
      </c>
      <c r="O58" s="320">
        <f>Macro!R90/100</f>
        <v>4.4000000000000004E-2</v>
      </c>
      <c r="Q58" s="1258"/>
    </row>
    <row r="59" spans="2:21" ht="13.5" customHeight="1" x14ac:dyDescent="0.3">
      <c r="B59" s="310"/>
      <c r="C59" s="318"/>
      <c r="D59" s="318"/>
      <c r="E59" s="318"/>
      <c r="F59" s="318"/>
      <c r="G59" s="318"/>
      <c r="H59" s="319"/>
      <c r="I59" s="319"/>
      <c r="J59" s="318"/>
      <c r="K59" s="318"/>
      <c r="L59" s="318"/>
      <c r="M59" s="318"/>
      <c r="N59" s="318"/>
      <c r="O59" s="320"/>
      <c r="Q59" s="1258"/>
    </row>
    <row r="60" spans="2:21" ht="13.5" customHeight="1" x14ac:dyDescent="0.3">
      <c r="B60" s="341"/>
      <c r="C60" s="342"/>
      <c r="D60" s="342"/>
      <c r="E60" s="342"/>
      <c r="F60" s="342"/>
      <c r="G60" s="342"/>
      <c r="H60" s="343"/>
      <c r="I60" s="343"/>
      <c r="J60" s="342"/>
      <c r="K60" s="342"/>
      <c r="L60" s="342"/>
      <c r="M60" s="342"/>
      <c r="N60" s="342"/>
      <c r="O60" s="344"/>
      <c r="Q60" s="1258"/>
    </row>
    <row r="61" spans="2:21" ht="13.5" customHeight="1" x14ac:dyDescent="0.3">
      <c r="B61" s="310" t="s">
        <v>148</v>
      </c>
      <c r="C61" s="311">
        <f>매출액!C6</f>
        <v>101202.82810300001</v>
      </c>
      <c r="D61" s="311">
        <f>매출액!D6</f>
        <v>120090.945248</v>
      </c>
      <c r="E61" s="311">
        <f>매출액!E6</f>
        <v>182279.26657199999</v>
      </c>
      <c r="F61" s="311">
        <f>매출액!F6</f>
        <v>211683.36859699996</v>
      </c>
      <c r="G61" s="311">
        <f>매출액!G6</f>
        <v>251810.747072</v>
      </c>
      <c r="H61" s="311">
        <f>매출액!H6</f>
        <v>214888.123487</v>
      </c>
      <c r="I61" s="311"/>
      <c r="J61" s="311">
        <f>매출액!J6</f>
        <v>214888.123487</v>
      </c>
      <c r="K61" s="311">
        <f>매출액!K6</f>
        <v>247657.65104010326</v>
      </c>
      <c r="L61" s="311">
        <f>매출액!L6</f>
        <v>256222.02504382611</v>
      </c>
      <c r="M61" s="311">
        <f>매출액!M6</f>
        <v>265319.19037349237</v>
      </c>
      <c r="N61" s="311">
        <f>매출액!N6</f>
        <v>274730.70385192439</v>
      </c>
      <c r="O61" s="314">
        <f>매출액!O6</f>
        <v>284669.53021891415</v>
      </c>
      <c r="Q61" s="1258"/>
    </row>
    <row r="62" spans="2:21" s="825" customFormat="1" ht="13.5" customHeight="1" x14ac:dyDescent="0.3">
      <c r="B62" s="310" t="s">
        <v>3861</v>
      </c>
      <c r="C62" s="311">
        <f>매출액!C9</f>
        <v>28667.764768000001</v>
      </c>
      <c r="D62" s="311">
        <f>매출액!D9</f>
        <v>33818.960225000003</v>
      </c>
      <c r="E62" s="311">
        <f>매출액!E9</f>
        <v>72895.967908999999</v>
      </c>
      <c r="F62" s="311">
        <f>매출액!F9</f>
        <v>71774.780262999993</v>
      </c>
      <c r="G62" s="311">
        <f>매출액!G9</f>
        <v>69236.768544999999</v>
      </c>
      <c r="H62" s="311">
        <f>매출액!H9</f>
        <v>43311.994716999994</v>
      </c>
      <c r="I62" s="311"/>
      <c r="J62" s="311">
        <f>매출액!J9</f>
        <v>43311.994716999994</v>
      </c>
      <c r="K62" s="311">
        <f>매출액!K9</f>
        <v>52024.746419865536</v>
      </c>
      <c r="L62" s="311">
        <f>매출액!L9</f>
        <v>54263.917178921365</v>
      </c>
      <c r="M62" s="311">
        <f>매출액!M9</f>
        <v>56179.286752237422</v>
      </c>
      <c r="N62" s="311">
        <f>매출액!N9</f>
        <v>58153.964164879944</v>
      </c>
      <c r="O62" s="314">
        <f>매출액!O9</f>
        <v>60235.145329856794</v>
      </c>
      <c r="Q62" s="1258"/>
    </row>
    <row r="63" spans="2:21" s="825" customFormat="1" ht="13.5" customHeight="1" x14ac:dyDescent="0.3">
      <c r="B63" s="310" t="s">
        <v>3862</v>
      </c>
      <c r="C63" s="311">
        <f>매출액!C13</f>
        <v>32345.633293999999</v>
      </c>
      <c r="D63" s="311">
        <f>매출액!D13</f>
        <v>31656.878968000001</v>
      </c>
      <c r="E63" s="311">
        <f>매출액!E13</f>
        <v>52687.668978000002</v>
      </c>
      <c r="F63" s="311">
        <f>매출액!F13</f>
        <v>60245.229018999999</v>
      </c>
      <c r="G63" s="311">
        <f>매출액!G13</f>
        <v>90980.180334999997</v>
      </c>
      <c r="H63" s="311">
        <f>매출액!H13</f>
        <v>76214.068412999986</v>
      </c>
      <c r="I63" s="311"/>
      <c r="J63" s="311">
        <f>매출액!J13</f>
        <v>76214.068412999986</v>
      </c>
      <c r="K63" s="311">
        <f>매출액!K13</f>
        <v>96372.274896384057</v>
      </c>
      <c r="L63" s="311">
        <f>매출액!L13</f>
        <v>98768.886153573054</v>
      </c>
      <c r="M63" s="311">
        <f>매출액!M13</f>
        <v>102065.24518974527</v>
      </c>
      <c r="N63" s="311">
        <f>매출액!N13</f>
        <v>105326.77066974621</v>
      </c>
      <c r="O63" s="314">
        <f>매출액!O13</f>
        <v>108650.35600510516</v>
      </c>
      <c r="Q63" s="1258"/>
    </row>
    <row r="64" spans="2:21" s="825" customFormat="1" ht="13.5" customHeight="1" x14ac:dyDescent="0.3">
      <c r="B64" s="310" t="s">
        <v>3863</v>
      </c>
      <c r="C64" s="311">
        <f>매출액!C17</f>
        <v>40189.430041</v>
      </c>
      <c r="D64" s="311">
        <f>매출액!D17</f>
        <v>54615.106054999997</v>
      </c>
      <c r="E64" s="311">
        <f>매출액!E17</f>
        <v>56695.629685</v>
      </c>
      <c r="F64" s="311">
        <f>매출액!F17</f>
        <v>79663.359314999994</v>
      </c>
      <c r="G64" s="311">
        <f>매출액!G17</f>
        <v>91593.798192000002</v>
      </c>
      <c r="H64" s="311">
        <f>매출액!H17</f>
        <v>95362.060357000024</v>
      </c>
      <c r="I64" s="311"/>
      <c r="J64" s="311">
        <f>매출액!J17</f>
        <v>95362.060357000024</v>
      </c>
      <c r="K64" s="311">
        <f>매출액!K17</f>
        <v>99260.629723853664</v>
      </c>
      <c r="L64" s="311">
        <f>매출액!L17</f>
        <v>103189.22171133169</v>
      </c>
      <c r="M64" s="311">
        <f>매출액!M17</f>
        <v>107074.65843150967</v>
      </c>
      <c r="N64" s="311">
        <f>매출액!N17</f>
        <v>111249.96901729822</v>
      </c>
      <c r="O64" s="314">
        <f>매출액!O17</f>
        <v>115784.02888395221</v>
      </c>
      <c r="Q64" s="1258"/>
    </row>
    <row r="65" spans="2:21" ht="13.5" customHeight="1" x14ac:dyDescent="0.3">
      <c r="B65" s="324"/>
      <c r="C65" s="313"/>
      <c r="D65" s="313"/>
      <c r="E65" s="313"/>
      <c r="F65" s="313"/>
      <c r="G65" s="313"/>
      <c r="H65" s="313"/>
      <c r="I65" s="313"/>
      <c r="J65" s="313"/>
      <c r="K65" s="313"/>
      <c r="L65" s="313"/>
      <c r="M65" s="313"/>
      <c r="N65" s="313"/>
      <c r="O65" s="316"/>
      <c r="Q65" s="1258"/>
    </row>
    <row r="66" spans="2:21" ht="13.5" customHeight="1" x14ac:dyDescent="0.3">
      <c r="Q66" s="1258"/>
    </row>
    <row r="67" spans="2:21" ht="13.5" customHeight="1" x14ac:dyDescent="0.3">
      <c r="B67" s="401" t="s">
        <v>3866</v>
      </c>
      <c r="C67" s="318"/>
      <c r="D67" s="318"/>
      <c r="E67" s="318"/>
      <c r="F67" s="318"/>
      <c r="G67" s="318"/>
      <c r="H67" s="319"/>
      <c r="I67" s="319"/>
      <c r="J67" s="318"/>
      <c r="K67" s="318"/>
      <c r="L67" s="318"/>
      <c r="M67" s="318"/>
      <c r="N67" s="318"/>
      <c r="O67" s="318"/>
      <c r="Q67" s="1258"/>
    </row>
    <row r="68" spans="2:21" ht="13.5" customHeight="1" x14ac:dyDescent="0.3">
      <c r="B68" s="401"/>
      <c r="C68" s="318"/>
      <c r="D68" s="318"/>
      <c r="E68" s="318"/>
      <c r="F68" s="318"/>
      <c r="G68" s="318"/>
      <c r="H68" s="319"/>
      <c r="I68" s="319"/>
      <c r="J68" s="318"/>
      <c r="K68" s="318"/>
      <c r="L68" s="318"/>
      <c r="M68" s="318"/>
      <c r="N68" s="318"/>
      <c r="O68" s="318"/>
      <c r="Q68" s="1258"/>
    </row>
    <row r="69" spans="2:21" ht="13.5" customHeight="1" x14ac:dyDescent="0.3">
      <c r="B69" s="1693" t="s">
        <v>3848</v>
      </c>
      <c r="C69" s="1703"/>
      <c r="D69" s="1703"/>
      <c r="E69" s="1703"/>
      <c r="F69" s="1703"/>
      <c r="G69" s="1703"/>
      <c r="H69" s="1704"/>
      <c r="I69" s="1704"/>
      <c r="J69" s="1703"/>
      <c r="K69" s="1703"/>
      <c r="L69" s="1703"/>
      <c r="M69" s="1703"/>
      <c r="N69" s="1703"/>
      <c r="O69" s="1705"/>
      <c r="Q69" s="1258"/>
    </row>
    <row r="70" spans="2:21" ht="13.5" customHeight="1" x14ac:dyDescent="0.3">
      <c r="B70" s="1699" t="s">
        <v>3849</v>
      </c>
      <c r="C70" s="1706"/>
      <c r="D70" s="1706"/>
      <c r="E70" s="1706"/>
      <c r="F70" s="1706"/>
      <c r="G70" s="1706"/>
      <c r="H70" s="1707"/>
      <c r="I70" s="1707"/>
      <c r="J70" s="1706"/>
      <c r="K70" s="1706"/>
      <c r="L70" s="1706"/>
      <c r="M70" s="1706"/>
      <c r="N70" s="1706"/>
      <c r="O70" s="1708"/>
      <c r="Q70" s="1258"/>
    </row>
    <row r="71" spans="2:21" ht="13.5" customHeight="1" x14ac:dyDescent="0.3">
      <c r="B71" s="825"/>
      <c r="C71" s="825"/>
      <c r="D71" s="825"/>
      <c r="E71" s="825"/>
      <c r="F71" s="825"/>
      <c r="G71" s="825"/>
      <c r="H71" s="825"/>
      <c r="I71" s="825"/>
      <c r="J71" s="825"/>
      <c r="K71" s="825"/>
      <c r="L71" s="825"/>
      <c r="M71" s="825"/>
      <c r="N71" s="825"/>
      <c r="Q71" s="1258"/>
      <c r="S71" s="321"/>
      <c r="T71" s="322"/>
    </row>
    <row r="72" spans="2:21" ht="13.5" customHeight="1" x14ac:dyDescent="0.3">
      <c r="B72" s="834" t="s">
        <v>3868</v>
      </c>
      <c r="C72" s="838"/>
      <c r="D72" s="838"/>
      <c r="E72" s="838"/>
      <c r="F72" s="838"/>
      <c r="G72" s="838"/>
      <c r="H72" s="838"/>
      <c r="I72" s="838"/>
      <c r="J72" s="838"/>
      <c r="K72" s="838"/>
      <c r="L72" s="838"/>
      <c r="M72" s="838"/>
      <c r="N72" s="838"/>
      <c r="O72" s="1617"/>
      <c r="Q72" s="1258"/>
      <c r="R72" s="2139"/>
      <c r="S72" s="2139"/>
      <c r="T72" s="1867"/>
      <c r="U72" s="1868"/>
    </row>
    <row r="73" spans="2:21" ht="13.5" customHeight="1" x14ac:dyDescent="0.3">
      <c r="B73" s="1628" t="str">
        <f>Des!$C$13</f>
        <v>KRW Millions</v>
      </c>
      <c r="C73" s="1596">
        <f>'Pro forma'!C$5</f>
        <v>2010</v>
      </c>
      <c r="D73" s="1596">
        <f>'Pro forma'!D$5</f>
        <v>2011</v>
      </c>
      <c r="E73" s="1596">
        <f>'Pro forma'!E$5</f>
        <v>2012</v>
      </c>
      <c r="F73" s="1596">
        <f>'Pro forma'!F$5</f>
        <v>2013</v>
      </c>
      <c r="G73" s="1596">
        <f>'Pro forma'!G$5</f>
        <v>2014</v>
      </c>
      <c r="H73" s="1597" t="str">
        <f>'Pro forma'!H$5</f>
        <v>2015/12A</v>
      </c>
      <c r="I73" s="1598" t="str">
        <f>'Pro forma'!I$5</f>
        <v>2015/0E</v>
      </c>
      <c r="J73" s="1599">
        <f>'Pro forma'!J$5</f>
        <v>2015</v>
      </c>
      <c r="K73" s="1599">
        <f>'Pro forma'!K$5</f>
        <v>2016</v>
      </c>
      <c r="L73" s="1599">
        <f>'Pro forma'!L$5</f>
        <v>2017</v>
      </c>
      <c r="M73" s="1599">
        <f>'Pro forma'!M$5</f>
        <v>2018</v>
      </c>
      <c r="N73" s="1599">
        <f>'Pro forma'!N$5</f>
        <v>2019</v>
      </c>
      <c r="O73" s="1618">
        <f>'Pro forma'!O$5</f>
        <v>2020</v>
      </c>
      <c r="P73" s="294"/>
      <c r="Q73" s="1258"/>
      <c r="R73" s="1867"/>
      <c r="S73" s="1867"/>
      <c r="T73" s="1867"/>
      <c r="U73" s="1867"/>
    </row>
    <row r="74" spans="2:21" ht="13.5" customHeight="1" x14ac:dyDescent="0.3">
      <c r="B74" s="1632" t="s">
        <v>3867</v>
      </c>
      <c r="C74" s="1120">
        <f>IS!J12-'CapEx&amp;Dep'!C59</f>
        <v>27235.239343000001</v>
      </c>
      <c r="D74" s="1120">
        <f>IS!K12-'CapEx&amp;Dep'!D59</f>
        <v>32097.449906000002</v>
      </c>
      <c r="E74" s="1120">
        <f>IS!L12-'CapEx&amp;Dep'!E59</f>
        <v>69801.337933999996</v>
      </c>
      <c r="F74" s="1120">
        <f>IS!M12-'CapEx&amp;Dep'!F59</f>
        <v>69822.706085999991</v>
      </c>
      <c r="G74" s="1120">
        <f>IS!N12-'CapEx&amp;Dep'!G59</f>
        <v>67182.468760999996</v>
      </c>
      <c r="H74" s="1120">
        <f ca="1">IS!O12-'CapEx&amp;Dep'!J59</f>
        <v>41356.111594666669</v>
      </c>
      <c r="I74" s="1120"/>
      <c r="J74" s="1120">
        <f ca="1">H74+I74</f>
        <v>41356.111594666669</v>
      </c>
      <c r="K74" s="1120">
        <f ca="1">K62*K76</f>
        <v>49675.412843078149</v>
      </c>
      <c r="L74" s="1120">
        <f t="shared" ref="L74:O74" ca="1" si="96">L62*L76</f>
        <v>51813.467125641138</v>
      </c>
      <c r="M74" s="1120">
        <f t="shared" ca="1" si="96"/>
        <v>53642.342436895204</v>
      </c>
      <c r="N74" s="1120">
        <f t="shared" ca="1" si="96"/>
        <v>55527.847363978559</v>
      </c>
      <c r="O74" s="1655">
        <f t="shared" ca="1" si="96"/>
        <v>57515.046546788733</v>
      </c>
      <c r="P74" s="294"/>
      <c r="Q74" s="1258"/>
      <c r="R74" s="1869" t="s">
        <v>4453</v>
      </c>
      <c r="S74" s="1869"/>
      <c r="T74" s="1450"/>
      <c r="U74" s="1450"/>
    </row>
    <row r="75" spans="2:21" ht="13.5" customHeight="1" x14ac:dyDescent="0.3">
      <c r="B75" s="863" t="s">
        <v>3809</v>
      </c>
      <c r="C75" s="260"/>
      <c r="D75" s="260">
        <f>D74/C74-1</f>
        <v>0.17852644883217028</v>
      </c>
      <c r="E75" s="260">
        <f>E74/D74-1</f>
        <v>1.1746692693163756</v>
      </c>
      <c r="F75" s="260">
        <f t="shared" ref="F75:H75" si="97">F74/E74-1</f>
        <v>3.061281149108197E-4</v>
      </c>
      <c r="G75" s="260">
        <f t="shared" si="97"/>
        <v>-3.7813448847829556E-2</v>
      </c>
      <c r="H75" s="260">
        <f t="shared" ca="1" si="97"/>
        <v>-0.38442107952611815</v>
      </c>
      <c r="I75" s="260"/>
      <c r="J75" s="260">
        <f ca="1">J74/G74-1</f>
        <v>-0.38442107952611815</v>
      </c>
      <c r="K75" s="260">
        <f t="shared" ref="K75:O75" ca="1" si="98">K74/J74-1</f>
        <v>0.20116255923548554</v>
      </c>
      <c r="L75" s="260">
        <f t="shared" ca="1" si="98"/>
        <v>4.3040493479480135E-2</v>
      </c>
      <c r="M75" s="260">
        <f t="shared" ca="1" si="98"/>
        <v>3.5297296488947083E-2</v>
      </c>
      <c r="N75" s="260">
        <f t="shared" ca="1" si="98"/>
        <v>3.5149563598969591E-2</v>
      </c>
      <c r="O75" s="783">
        <f t="shared" ca="1" si="98"/>
        <v>3.5787434182065647E-2</v>
      </c>
      <c r="P75" s="317"/>
      <c r="Q75" s="1258"/>
      <c r="R75" s="1870"/>
      <c r="S75" s="1869"/>
      <c r="T75" s="1450"/>
      <c r="U75" s="1450"/>
    </row>
    <row r="76" spans="2:21" ht="13.5" customHeight="1" x14ac:dyDescent="0.3">
      <c r="B76" s="861" t="s">
        <v>3810</v>
      </c>
      <c r="C76" s="182">
        <f>C74/C$62</f>
        <v>0.95003009698896945</v>
      </c>
      <c r="D76" s="182">
        <f t="shared" ref="D76:J76" si="99">D74/D$62</f>
        <v>0.94909629664700901</v>
      </c>
      <c r="E76" s="182">
        <f t="shared" si="99"/>
        <v>0.95754730935374643</v>
      </c>
      <c r="F76" s="182">
        <f t="shared" si="99"/>
        <v>0.9728027843506154</v>
      </c>
      <c r="G76" s="182">
        <f t="shared" si="99"/>
        <v>0.97032935206002824</v>
      </c>
      <c r="H76" s="182">
        <f t="shared" ca="1" si="99"/>
        <v>0.95484199850149964</v>
      </c>
      <c r="I76" s="182"/>
      <c r="J76" s="182">
        <f t="shared" ca="1" si="99"/>
        <v>0.95484199850149964</v>
      </c>
      <c r="K76" s="1872">
        <f ca="1">J76</f>
        <v>0.95484199850149964</v>
      </c>
      <c r="L76" s="1872">
        <f ca="1">K76</f>
        <v>0.95484199850149964</v>
      </c>
      <c r="M76" s="1872">
        <f t="shared" ref="M76:O76" ca="1" si="100">L76</f>
        <v>0.95484199850149964</v>
      </c>
      <c r="N76" s="1872">
        <f t="shared" ca="1" si="100"/>
        <v>0.95484199850149964</v>
      </c>
      <c r="O76" s="1873">
        <f t="shared" ca="1" si="100"/>
        <v>0.95484199850149964</v>
      </c>
      <c r="Q76" s="1258"/>
      <c r="R76" s="1869" t="s">
        <v>4598</v>
      </c>
      <c r="S76" s="1869"/>
      <c r="T76" s="1450"/>
      <c r="U76" s="1450"/>
    </row>
    <row r="77" spans="2:21" ht="13.5" customHeight="1" x14ac:dyDescent="0.3">
      <c r="B77" s="1660"/>
      <c r="C77" s="1661"/>
      <c r="D77" s="1661"/>
      <c r="E77" s="1661"/>
      <c r="F77" s="1661"/>
      <c r="G77" s="1661"/>
      <c r="H77" s="1661"/>
      <c r="I77" s="1661"/>
      <c r="J77" s="1661"/>
      <c r="K77" s="1661"/>
      <c r="L77" s="1661"/>
      <c r="M77" s="1661"/>
      <c r="N77" s="1661"/>
      <c r="O77" s="1662"/>
      <c r="Q77" s="1258"/>
      <c r="R77" s="1869"/>
      <c r="S77" s="1869"/>
      <c r="T77" s="1450"/>
      <c r="U77" s="1450"/>
    </row>
    <row r="78" spans="2:21" ht="13.5" customHeight="1" x14ac:dyDescent="0.3">
      <c r="Q78" s="1258"/>
      <c r="R78" s="1869"/>
      <c r="S78" s="1869"/>
      <c r="T78" s="1450"/>
      <c r="U78" s="1450"/>
    </row>
    <row r="79" spans="2:21" ht="13.5" customHeight="1" x14ac:dyDescent="0.3">
      <c r="B79" s="834" t="s">
        <v>3869</v>
      </c>
      <c r="C79" s="838"/>
      <c r="D79" s="838"/>
      <c r="E79" s="838"/>
      <c r="F79" s="838"/>
      <c r="G79" s="838"/>
      <c r="H79" s="838"/>
      <c r="I79" s="838"/>
      <c r="J79" s="838"/>
      <c r="K79" s="838"/>
      <c r="L79" s="838"/>
      <c r="M79" s="838"/>
      <c r="N79" s="838"/>
      <c r="O79" s="1617"/>
      <c r="Q79" s="1258"/>
    </row>
    <row r="80" spans="2:21" ht="13.5" customHeight="1" x14ac:dyDescent="0.3">
      <c r="B80" s="1628" t="str">
        <f>Des!$C$13</f>
        <v>KRW Millions</v>
      </c>
      <c r="C80" s="1596">
        <f>'Pro forma'!C$5</f>
        <v>2010</v>
      </c>
      <c r="D80" s="1596">
        <f>'Pro forma'!D$5</f>
        <v>2011</v>
      </c>
      <c r="E80" s="1596">
        <f>'Pro forma'!E$5</f>
        <v>2012</v>
      </c>
      <c r="F80" s="1596">
        <f>'Pro forma'!F$5</f>
        <v>2013</v>
      </c>
      <c r="G80" s="1596">
        <f>'Pro forma'!G$5</f>
        <v>2014</v>
      </c>
      <c r="H80" s="1597" t="str">
        <f>'Pro forma'!H$5</f>
        <v>2015/12A</v>
      </c>
      <c r="I80" s="1598" t="str">
        <f>'Pro forma'!I$5</f>
        <v>2015/0E</v>
      </c>
      <c r="J80" s="1599">
        <f>'Pro forma'!J$5</f>
        <v>2015</v>
      </c>
      <c r="K80" s="1599">
        <f>'Pro forma'!K$5</f>
        <v>2016</v>
      </c>
      <c r="L80" s="1599">
        <f>'Pro forma'!L$5</f>
        <v>2017</v>
      </c>
      <c r="M80" s="1599">
        <f>'Pro forma'!M$5</f>
        <v>2018</v>
      </c>
      <c r="N80" s="1599">
        <f>'Pro forma'!N$5</f>
        <v>2019</v>
      </c>
      <c r="O80" s="1618">
        <f>'Pro forma'!O$5</f>
        <v>2020</v>
      </c>
      <c r="Q80" s="1258"/>
    </row>
    <row r="81" spans="2:21" ht="13.5" customHeight="1" x14ac:dyDescent="0.3">
      <c r="B81" s="1632" t="s">
        <v>3869</v>
      </c>
      <c r="C81" s="1120">
        <f>C86+C92+C97+C102</f>
        <v>29500.793291999998</v>
      </c>
      <c r="D81" s="1120">
        <f t="shared" ref="D81:H81" si="101">D86+D92+D97+D102</f>
        <v>29493.783499999998</v>
      </c>
      <c r="E81" s="1120">
        <f t="shared" si="101"/>
        <v>49020.706045999999</v>
      </c>
      <c r="F81" s="1120">
        <f t="shared" si="101"/>
        <v>56234.131072000011</v>
      </c>
      <c r="G81" s="1120">
        <f t="shared" si="101"/>
        <v>86626.579138000001</v>
      </c>
      <c r="H81" s="1120">
        <f t="shared" si="101"/>
        <v>71978.98256199999</v>
      </c>
      <c r="I81" s="1120"/>
      <c r="J81" s="1120">
        <f t="shared" ref="J81:O81" si="102">J86+J92+J97+J102</f>
        <v>71978.98256199999</v>
      </c>
      <c r="K81" s="1120">
        <f t="shared" si="102"/>
        <v>88058.883160520752</v>
      </c>
      <c r="L81" s="1120">
        <f t="shared" si="102"/>
        <v>90412.234757720667</v>
      </c>
      <c r="M81" s="1120">
        <f t="shared" si="102"/>
        <v>93482.624941118513</v>
      </c>
      <c r="N81" s="1120">
        <f t="shared" si="102"/>
        <v>96566.988716446926</v>
      </c>
      <c r="O81" s="1655">
        <f t="shared" si="102"/>
        <v>99746.058615036251</v>
      </c>
      <c r="Q81" s="1258"/>
    </row>
    <row r="82" spans="2:21" ht="13.5" customHeight="1" x14ac:dyDescent="0.3">
      <c r="B82" s="863" t="s">
        <v>109</v>
      </c>
      <c r="C82" s="260"/>
      <c r="D82" s="260">
        <f>D81/C81-1</f>
        <v>-2.376136780668503E-4</v>
      </c>
      <c r="E82" s="260">
        <f>E81/D81-1</f>
        <v>0.66206909486536381</v>
      </c>
      <c r="F82" s="260">
        <f t="shared" ref="F82:G82" si="103">F81/E81-1</f>
        <v>0.14715057386629815</v>
      </c>
      <c r="G82" s="260">
        <f t="shared" si="103"/>
        <v>0.54046266007181076</v>
      </c>
      <c r="H82" s="260"/>
      <c r="I82" s="260"/>
      <c r="J82" s="260">
        <f>J81/G81-1</f>
        <v>-0.16908894154374643</v>
      </c>
      <c r="K82" s="260">
        <f t="shared" ref="K82" si="104">K81/J81-1</f>
        <v>0.22339716436905932</v>
      </c>
      <c r="L82" s="260">
        <f t="shared" ref="L82" si="105">L81/K81-1</f>
        <v>2.6724749539578374E-2</v>
      </c>
      <c r="M82" s="260">
        <f t="shared" ref="M82" si="106">M81/L81-1</f>
        <v>3.3959897038554843E-2</v>
      </c>
      <c r="N82" s="260">
        <f t="shared" ref="N82" si="107">N81/M81-1</f>
        <v>3.2993979119340544E-2</v>
      </c>
      <c r="O82" s="783">
        <f t="shared" ref="O82" si="108">O81/N81-1</f>
        <v>3.29208763869E-2</v>
      </c>
      <c r="Q82" s="1260"/>
      <c r="R82" s="1869"/>
      <c r="S82" s="1869"/>
      <c r="T82" s="1450"/>
      <c r="U82" s="1450"/>
    </row>
    <row r="83" spans="2:21" ht="13.5" customHeight="1" x14ac:dyDescent="0.3">
      <c r="B83" s="861" t="s">
        <v>133</v>
      </c>
      <c r="C83" s="182"/>
      <c r="D83" s="182">
        <f>D81/D$63</f>
        <v>0.93167060245621358</v>
      </c>
      <c r="E83" s="182">
        <f t="shared" ref="E83:O83" si="109">E81/E$63</f>
        <v>0.93040187574950106</v>
      </c>
      <c r="F83" s="182">
        <f t="shared" si="109"/>
        <v>0.93342048802345867</v>
      </c>
      <c r="G83" s="182">
        <f t="shared" si="109"/>
        <v>0.95214780646763386</v>
      </c>
      <c r="H83" s="182">
        <f t="shared" si="109"/>
        <v>0.94443170481268246</v>
      </c>
      <c r="I83" s="182"/>
      <c r="J83" s="182">
        <f t="shared" si="109"/>
        <v>0.94443170481268246</v>
      </c>
      <c r="K83" s="182">
        <f t="shared" si="109"/>
        <v>0.91373668677219089</v>
      </c>
      <c r="L83" s="182">
        <f t="shared" si="109"/>
        <v>0.91539186355854152</v>
      </c>
      <c r="M83" s="182">
        <f t="shared" si="109"/>
        <v>0.91591045284150185</v>
      </c>
      <c r="N83" s="182">
        <f t="shared" si="109"/>
        <v>0.9168323314424428</v>
      </c>
      <c r="O83" s="787">
        <f t="shared" si="109"/>
        <v>0.91804631188092445</v>
      </c>
      <c r="Q83" s="1260"/>
      <c r="R83" s="1871"/>
      <c r="S83" s="1871"/>
      <c r="T83" s="1871"/>
      <c r="U83" s="1871"/>
    </row>
    <row r="84" spans="2:21" s="825" customFormat="1" ht="13.5" customHeight="1" x14ac:dyDescent="0.3">
      <c r="B84" s="861" t="s">
        <v>3865</v>
      </c>
      <c r="C84" s="182"/>
      <c r="D84" s="182">
        <f>D81/D$6</f>
        <v>0.27727669829465879</v>
      </c>
      <c r="E84" s="182">
        <f t="shared" ref="E84:O84" si="110">E81/E$6</f>
        <v>0.29594556200563449</v>
      </c>
      <c r="F84" s="182">
        <f t="shared" si="110"/>
        <v>0.28982304602975822</v>
      </c>
      <c r="G84" s="182">
        <f t="shared" si="110"/>
        <v>0.37070286016523635</v>
      </c>
      <c r="H84" s="182">
        <f t="shared" ca="1" si="110"/>
        <v>0.37213169885542979</v>
      </c>
      <c r="I84" s="182"/>
      <c r="J84" s="182">
        <f t="shared" ca="1" si="110"/>
        <v>0.37209348437554629</v>
      </c>
      <c r="K84" s="182">
        <f t="shared" ca="1" si="110"/>
        <v>0.39105055536043154</v>
      </c>
      <c r="L84" s="182">
        <f t="shared" ca="1" si="110"/>
        <v>0.38781293169836795</v>
      </c>
      <c r="M84" s="182">
        <f t="shared" ca="1" si="110"/>
        <v>0.38712679438239422</v>
      </c>
      <c r="N84" s="182">
        <f t="shared" ca="1" si="110"/>
        <v>0.38594738904944015</v>
      </c>
      <c r="O84" s="787">
        <f t="shared" ca="1" si="110"/>
        <v>0.38441834692380217</v>
      </c>
      <c r="Q84" s="1260"/>
      <c r="R84" s="1871"/>
      <c r="S84" s="1871"/>
      <c r="T84" s="1871"/>
      <c r="U84" s="1871"/>
    </row>
    <row r="85" spans="2:21" ht="13.5" customHeight="1" x14ac:dyDescent="0.3">
      <c r="B85" s="861"/>
      <c r="C85" s="182"/>
      <c r="D85" s="182"/>
      <c r="E85" s="182"/>
      <c r="F85" s="182"/>
      <c r="G85" s="182"/>
      <c r="H85" s="182"/>
      <c r="I85" s="182"/>
      <c r="J85" s="182"/>
      <c r="K85" s="182"/>
      <c r="L85" s="182"/>
      <c r="M85" s="182"/>
      <c r="N85" s="182"/>
      <c r="O85" s="787"/>
      <c r="Q85" s="1260"/>
      <c r="R85" s="2139"/>
      <c r="S85" s="2139"/>
      <c r="T85" s="1867"/>
      <c r="U85" s="1868"/>
    </row>
    <row r="86" spans="2:21" ht="13.5" customHeight="1" x14ac:dyDescent="0.3">
      <c r="B86" s="1657" t="s">
        <v>4551</v>
      </c>
      <c r="C86" s="1120">
        <f>원가구분!U7+원가구분!U8</f>
        <v>24990.994598000001</v>
      </c>
      <c r="D86" s="1120">
        <f>원가구분!V7+원가구분!V8</f>
        <v>23680.118053999999</v>
      </c>
      <c r="E86" s="1120">
        <f>원가구분!W7+원가구분!W8</f>
        <v>38805.206600999998</v>
      </c>
      <c r="F86" s="1120">
        <f>원가구분!X7+원가구분!X8</f>
        <v>44305.388398000003</v>
      </c>
      <c r="G86" s="1120">
        <f>원가구분!Y7+원가구분!Y8</f>
        <v>75287.260355000006</v>
      </c>
      <c r="H86" s="1120">
        <f>원가구분!Z7+원가구분!Z8</f>
        <v>62540.686088999995</v>
      </c>
      <c r="I86" s="1808"/>
      <c r="J86" s="1120">
        <f>H86+I86</f>
        <v>62540.686088999995</v>
      </c>
      <c r="K86" s="1120">
        <f>K63*K88</f>
        <v>76568.496842157634</v>
      </c>
      <c r="L86" s="1120">
        <f t="shared" ref="L86:O86" si="111">L63*L88</f>
        <v>78472.622501484992</v>
      </c>
      <c r="M86" s="1120">
        <f t="shared" si="111"/>
        <v>81091.604534680111</v>
      </c>
      <c r="N86" s="1120">
        <f t="shared" si="111"/>
        <v>83682.911045650922</v>
      </c>
      <c r="O86" s="1655">
        <f t="shared" si="111"/>
        <v>86323.524578211844</v>
      </c>
      <c r="P86" s="294"/>
      <c r="Q86" s="1260"/>
      <c r="R86" s="2044" t="s">
        <v>4563</v>
      </c>
      <c r="S86" s="1867"/>
      <c r="T86" s="1867"/>
      <c r="U86" s="1867"/>
    </row>
    <row r="87" spans="2:21" s="825" customFormat="1" ht="13.5" customHeight="1" x14ac:dyDescent="0.3">
      <c r="B87" s="863" t="s">
        <v>109</v>
      </c>
      <c r="C87" s="260"/>
      <c r="D87" s="260">
        <f>D86/C86-1</f>
        <v>-5.2453956518597744E-2</v>
      </c>
      <c r="E87" s="260">
        <f>E86/D86-1</f>
        <v>0.63872521718467956</v>
      </c>
      <c r="F87" s="260">
        <f t="shared" ref="F87:G87" si="112">F86/E86-1</f>
        <v>0.14173824284853231</v>
      </c>
      <c r="G87" s="260">
        <f t="shared" si="112"/>
        <v>0.69927999905308491</v>
      </c>
      <c r="H87" s="260"/>
      <c r="I87" s="260"/>
      <c r="J87" s="260">
        <f>J86/G86-1</f>
        <v>-0.16930585873222681</v>
      </c>
      <c r="K87" s="260">
        <f t="shared" ref="K87" si="113">K86/J86-1</f>
        <v>0.22429895849231696</v>
      </c>
      <c r="L87" s="260">
        <f t="shared" ref="L87" si="114">L86/K86-1</f>
        <v>2.4868264859014166E-2</v>
      </c>
      <c r="M87" s="260">
        <f t="shared" ref="M87" si="115">M86/L86-1</f>
        <v>3.3374468059170104E-2</v>
      </c>
      <c r="N87" s="260">
        <f t="shared" ref="N87" si="116">N86/M86-1</f>
        <v>3.1955299513929392E-2</v>
      </c>
      <c r="O87" s="783">
        <f t="shared" ref="O87" si="117">O86/N86-1</f>
        <v>3.1554991330552618E-2</v>
      </c>
      <c r="P87" s="405"/>
      <c r="Q87" s="1260"/>
      <c r="R87" s="1869"/>
      <c r="S87" s="1869"/>
      <c r="T87" s="1450"/>
      <c r="U87" s="1450"/>
    </row>
    <row r="88" spans="2:21" s="825" customFormat="1" ht="13.5" customHeight="1" x14ac:dyDescent="0.3">
      <c r="B88" s="861" t="s">
        <v>133</v>
      </c>
      <c r="C88" s="182">
        <f>C86/C$63</f>
        <v>0.77262344412455031</v>
      </c>
      <c r="D88" s="182">
        <f>D86/D$63</f>
        <v>0.74802440499383338</v>
      </c>
      <c r="E88" s="182">
        <f t="shared" ref="E88:J88" si="118">E86/E$63</f>
        <v>0.73651401463980704</v>
      </c>
      <c r="F88" s="182">
        <f t="shared" si="118"/>
        <v>0.73541737859486056</v>
      </c>
      <c r="G88" s="182">
        <f t="shared" si="118"/>
        <v>0.82751276242565397</v>
      </c>
      <c r="H88" s="182">
        <f t="shared" si="118"/>
        <v>0.8205924101846308</v>
      </c>
      <c r="I88" s="182"/>
      <c r="J88" s="182">
        <f t="shared" si="118"/>
        <v>0.8205924101846308</v>
      </c>
      <c r="K88" s="1872">
        <f>AVERAGE(F88:H88)</f>
        <v>0.79450751706838174</v>
      </c>
      <c r="L88" s="1872">
        <f>K88</f>
        <v>0.79450751706838174</v>
      </c>
      <c r="M88" s="1872">
        <f t="shared" ref="M88:O88" si="119">L88</f>
        <v>0.79450751706838174</v>
      </c>
      <c r="N88" s="1872">
        <f t="shared" si="119"/>
        <v>0.79450751706838174</v>
      </c>
      <c r="O88" s="1873">
        <f t="shared" si="119"/>
        <v>0.79450751706838174</v>
      </c>
      <c r="P88" s="1016"/>
      <c r="Q88" s="1260"/>
      <c r="R88" s="1869"/>
      <c r="S88" s="1869"/>
      <c r="T88" s="1450"/>
      <c r="U88" s="1450"/>
    </row>
    <row r="89" spans="2:21" s="825" customFormat="1" ht="13.5" customHeight="1" x14ac:dyDescent="0.3">
      <c r="B89" s="861" t="s">
        <v>3865</v>
      </c>
      <c r="C89" s="182">
        <f>C86/C$6</f>
        <v>0.29024910709691809</v>
      </c>
      <c r="D89" s="182">
        <f>D86/D$6</f>
        <v>0.2226213177851821</v>
      </c>
      <c r="E89" s="182">
        <f t="shared" ref="E89:O89" si="120">E86/E$6</f>
        <v>0.23427301649839849</v>
      </c>
      <c r="F89" s="182">
        <f t="shared" si="120"/>
        <v>0.2283439323459823</v>
      </c>
      <c r="G89" s="182">
        <f t="shared" si="120"/>
        <v>0.32217828552530864</v>
      </c>
      <c r="H89" s="182">
        <f t="shared" ca="1" si="120"/>
        <v>0.32333565901458672</v>
      </c>
      <c r="I89" s="182"/>
      <c r="J89" s="182">
        <f t="shared" ca="1" si="120"/>
        <v>0.32330245543618952</v>
      </c>
      <c r="K89" s="182">
        <f t="shared" ca="1" si="120"/>
        <v>0.34002422173193186</v>
      </c>
      <c r="L89" s="182">
        <f t="shared" ca="1" si="120"/>
        <v>0.33659933162708866</v>
      </c>
      <c r="M89" s="182">
        <f t="shared" ca="1" si="120"/>
        <v>0.33581355823725251</v>
      </c>
      <c r="N89" s="182">
        <f t="shared" ca="1" si="120"/>
        <v>0.3344538486227519</v>
      </c>
      <c r="O89" s="787">
        <f t="shared" ca="1" si="120"/>
        <v>0.33268829946519834</v>
      </c>
      <c r="P89" s="404"/>
      <c r="Q89" s="1260"/>
      <c r="R89" s="1869"/>
      <c r="S89" s="1869"/>
      <c r="T89" s="1450"/>
      <c r="U89" s="1450"/>
    </row>
    <row r="90" spans="2:21" s="825" customFormat="1" ht="13.5" customHeight="1" x14ac:dyDescent="0.3">
      <c r="B90" s="861" t="s">
        <v>4450</v>
      </c>
      <c r="C90" s="182">
        <f>C86/C$81</f>
        <v>0.84712957887735985</v>
      </c>
      <c r="D90" s="182">
        <f t="shared" ref="D90:O90" si="121">D86/D$81</f>
        <v>0.80288505725282755</v>
      </c>
      <c r="E90" s="182">
        <f t="shared" si="121"/>
        <v>0.79160847998774253</v>
      </c>
      <c r="F90" s="182">
        <f t="shared" si="121"/>
        <v>0.78787361969322678</v>
      </c>
      <c r="G90" s="182">
        <f t="shared" si="121"/>
        <v>0.86910115929966536</v>
      </c>
      <c r="H90" s="182">
        <f t="shared" si="121"/>
        <v>0.86887427222425373</v>
      </c>
      <c r="I90" s="182"/>
      <c r="J90" s="182">
        <f t="shared" si="121"/>
        <v>0.86887427222425373</v>
      </c>
      <c r="K90" s="182">
        <f t="shared" si="121"/>
        <v>0.86951473938844392</v>
      </c>
      <c r="L90" s="182">
        <f t="shared" si="121"/>
        <v>0.86794251587486504</v>
      </c>
      <c r="M90" s="182">
        <f t="shared" si="121"/>
        <v>0.8674510860789042</v>
      </c>
      <c r="N90" s="182">
        <f t="shared" si="121"/>
        <v>0.86657886051901256</v>
      </c>
      <c r="O90" s="787">
        <f t="shared" si="121"/>
        <v>0.865432938171243</v>
      </c>
      <c r="P90" s="404"/>
      <c r="Q90" s="1260"/>
      <c r="R90" s="1869"/>
      <c r="S90" s="1869"/>
      <c r="T90" s="1450"/>
      <c r="U90" s="1450"/>
    </row>
    <row r="91" spans="2:21" ht="13.5" customHeight="1" x14ac:dyDescent="0.3">
      <c r="B91" s="1630"/>
      <c r="C91" s="1122"/>
      <c r="D91" s="1123"/>
      <c r="E91" s="1123"/>
      <c r="F91" s="1123"/>
      <c r="G91" s="1123"/>
      <c r="H91" s="1123"/>
      <c r="I91" s="1123"/>
      <c r="J91" s="1123"/>
      <c r="K91" s="1123"/>
      <c r="L91" s="1123"/>
      <c r="M91" s="1123"/>
      <c r="N91" s="1123"/>
      <c r="O91" s="1656"/>
      <c r="P91" s="404"/>
      <c r="Q91" s="1260"/>
      <c r="R91" s="1869"/>
      <c r="S91" s="1869"/>
      <c r="T91" s="1450"/>
      <c r="U91" s="1450"/>
    </row>
    <row r="92" spans="2:21" s="825" customFormat="1" ht="13.5" customHeight="1" x14ac:dyDescent="0.3">
      <c r="B92" s="1657" t="s">
        <v>4454</v>
      </c>
      <c r="C92" s="1120">
        <f>노무비!C76</f>
        <v>3953.9628410000005</v>
      </c>
      <c r="D92" s="1120">
        <f>노무비!D76</f>
        <v>5141.6747479999995</v>
      </c>
      <c r="E92" s="1120">
        <f>노무비!E76</f>
        <v>9363.1906459999991</v>
      </c>
      <c r="F92" s="1120">
        <f>노무비!F76</f>
        <v>10962.727053000001</v>
      </c>
      <c r="G92" s="1120">
        <f>노무비!G76</f>
        <v>10189.763384</v>
      </c>
      <c r="H92" s="1120">
        <f>노무비!H76</f>
        <v>8332.12608</v>
      </c>
      <c r="I92" s="1120"/>
      <c r="J92" s="1120">
        <f>노무비!J76</f>
        <v>8332.12608</v>
      </c>
      <c r="K92" s="1120">
        <f>노무비!K76</f>
        <v>10184.003289986347</v>
      </c>
      <c r="L92" s="1120">
        <f>노무비!L76</f>
        <v>10611.731428165775</v>
      </c>
      <c r="M92" s="1120">
        <f>노무비!M76</f>
        <v>11036.200685292406</v>
      </c>
      <c r="N92" s="1120">
        <f>노무비!N76</f>
        <v>11499.721114074688</v>
      </c>
      <c r="O92" s="1655">
        <f>노무비!O76</f>
        <v>12005.708843093975</v>
      </c>
      <c r="P92" s="404"/>
      <c r="Q92" s="1260"/>
      <c r="R92" s="1869"/>
      <c r="S92" s="1869"/>
      <c r="T92" s="1450"/>
      <c r="U92" s="1450"/>
    </row>
    <row r="93" spans="2:21" s="825" customFormat="1" ht="13.5" customHeight="1" x14ac:dyDescent="0.3">
      <c r="B93" s="863" t="s">
        <v>109</v>
      </c>
      <c r="C93" s="260"/>
      <c r="D93" s="260">
        <f>D92/C92-1</f>
        <v>0.30038519701910338</v>
      </c>
      <c r="E93" s="260">
        <f>E92/D92-1</f>
        <v>0.82103907868580728</v>
      </c>
      <c r="F93" s="260">
        <f t="shared" ref="F93:G93" si="122">F92/E92-1</f>
        <v>0.17083240825426649</v>
      </c>
      <c r="G93" s="260">
        <f t="shared" si="122"/>
        <v>-7.0508338414617011E-2</v>
      </c>
      <c r="H93" s="260"/>
      <c r="I93" s="260"/>
      <c r="J93" s="260">
        <f>J92/G92-1</f>
        <v>-0.18230426301329705</v>
      </c>
      <c r="K93" s="260">
        <f t="shared" ref="K93" si="123">K92/J92-1</f>
        <v>0.22225746372603461</v>
      </c>
      <c r="L93" s="260">
        <f t="shared" ref="L93" si="124">L92/K92-1</f>
        <v>4.2000000000000037E-2</v>
      </c>
      <c r="M93" s="260">
        <f t="shared" ref="M93" si="125">M92/L92-1</f>
        <v>4.0000000000000036E-2</v>
      </c>
      <c r="N93" s="260">
        <f t="shared" ref="N93" si="126">N92/M92-1</f>
        <v>4.2000000000000037E-2</v>
      </c>
      <c r="O93" s="783">
        <f t="shared" ref="O93" si="127">O92/N92-1</f>
        <v>4.4000000000000039E-2</v>
      </c>
      <c r="P93" s="1016"/>
      <c r="Q93" s="1260"/>
      <c r="R93" s="1869"/>
      <c r="S93" s="1869"/>
      <c r="T93" s="1450"/>
      <c r="U93" s="1450"/>
    </row>
    <row r="94" spans="2:21" s="825" customFormat="1" ht="13.5" customHeight="1" x14ac:dyDescent="0.3">
      <c r="B94" s="861" t="s">
        <v>133</v>
      </c>
      <c r="C94" s="182">
        <f>C92/C$63</f>
        <v>0.12224100870312675</v>
      </c>
      <c r="D94" s="182">
        <f>D92/D$63</f>
        <v>0.1624188775272952</v>
      </c>
      <c r="E94" s="182">
        <f t="shared" ref="E94:O94" si="128">E92/E$63</f>
        <v>0.17771123353188478</v>
      </c>
      <c r="F94" s="182">
        <f t="shared" si="128"/>
        <v>0.18196838540596469</v>
      </c>
      <c r="G94" s="182">
        <f t="shared" si="128"/>
        <v>0.11199981519579387</v>
      </c>
      <c r="H94" s="182">
        <f t="shared" si="128"/>
        <v>0.10932530244742547</v>
      </c>
      <c r="I94" s="182"/>
      <c r="J94" s="182">
        <f t="shared" si="128"/>
        <v>0.10932530244742547</v>
      </c>
      <c r="K94" s="182">
        <f t="shared" si="128"/>
        <v>0.10567357988525035</v>
      </c>
      <c r="L94" s="182">
        <f t="shared" si="128"/>
        <v>0.10744002328492276</v>
      </c>
      <c r="M94" s="182">
        <f t="shared" si="128"/>
        <v>0.10812888035271422</v>
      </c>
      <c r="N94" s="182">
        <f t="shared" si="128"/>
        <v>0.10918136994945235</v>
      </c>
      <c r="O94" s="787">
        <f t="shared" si="128"/>
        <v>0.11049856884527706</v>
      </c>
      <c r="P94" s="404"/>
      <c r="Q94" s="1260"/>
      <c r="R94" s="1869"/>
      <c r="S94" s="1869"/>
      <c r="T94" s="1450"/>
      <c r="U94" s="1450"/>
    </row>
    <row r="95" spans="2:21" s="825" customFormat="1" ht="13.5" customHeight="1" x14ac:dyDescent="0.3">
      <c r="B95" s="861" t="s">
        <v>3865</v>
      </c>
      <c r="C95" s="182">
        <f>C92/C$6</f>
        <v>4.5921909173894479E-2</v>
      </c>
      <c r="D95" s="182">
        <f>D92/D$6</f>
        <v>4.8337867463849174E-2</v>
      </c>
      <c r="E95" s="182">
        <f t="shared" ref="E95:O95" si="129">E92/E$6</f>
        <v>5.6527025850997052E-2</v>
      </c>
      <c r="F95" s="182">
        <f t="shared" si="129"/>
        <v>5.6500400854869889E-2</v>
      </c>
      <c r="G95" s="182">
        <f t="shared" si="129"/>
        <v>4.3605259129975246E-2</v>
      </c>
      <c r="H95" s="182">
        <f t="shared" ca="1" si="129"/>
        <v>4.3077133391782117E-2</v>
      </c>
      <c r="I95" s="182"/>
      <c r="J95" s="182">
        <f t="shared" ca="1" si="129"/>
        <v>4.307270976903646E-2</v>
      </c>
      <c r="K95" s="182">
        <f t="shared" ca="1" si="129"/>
        <v>4.5224967651271215E-2</v>
      </c>
      <c r="L95" s="182">
        <f t="shared" ca="1" si="129"/>
        <v>4.5517807258947884E-2</v>
      </c>
      <c r="M95" s="182">
        <f t="shared" ca="1" si="129"/>
        <v>4.5702706745227521E-2</v>
      </c>
      <c r="N95" s="182">
        <f t="shared" ca="1" si="129"/>
        <v>4.5960709739082214E-2</v>
      </c>
      <c r="O95" s="787">
        <f t="shared" ca="1" si="129"/>
        <v>4.6269645249069895E-2</v>
      </c>
      <c r="P95" s="404"/>
      <c r="Q95" s="1260"/>
      <c r="R95" s="1869"/>
      <c r="S95" s="1869"/>
      <c r="T95" s="1450"/>
      <c r="U95" s="1450"/>
    </row>
    <row r="96" spans="2:21" s="825" customFormat="1" ht="13.5" customHeight="1" x14ac:dyDescent="0.3">
      <c r="B96" s="1630"/>
      <c r="C96" s="1122"/>
      <c r="D96" s="1123"/>
      <c r="E96" s="1123"/>
      <c r="F96" s="1123"/>
      <c r="G96" s="1123"/>
      <c r="H96" s="1123"/>
      <c r="I96" s="1123"/>
      <c r="J96" s="1123"/>
      <c r="K96" s="1123"/>
      <c r="L96" s="1123"/>
      <c r="M96" s="1123"/>
      <c r="N96" s="1123"/>
      <c r="O96" s="1656"/>
      <c r="P96" s="1016"/>
      <c r="Q96" s="1260"/>
      <c r="R96" s="1869"/>
      <c r="S96" s="1869"/>
      <c r="T96" s="1450"/>
      <c r="U96" s="1450"/>
    </row>
    <row r="97" spans="2:21" s="825" customFormat="1" ht="13.5" customHeight="1" x14ac:dyDescent="0.3">
      <c r="B97" s="1657" t="s">
        <v>3792</v>
      </c>
      <c r="C97" s="1120">
        <f>C110</f>
        <v>35.700155000000002</v>
      </c>
      <c r="D97" s="1120">
        <f t="shared" ref="D97:H97" si="130">D110</f>
        <v>0</v>
      </c>
      <c r="E97" s="1120">
        <f t="shared" si="130"/>
        <v>63.092370000000003</v>
      </c>
      <c r="F97" s="1120">
        <f t="shared" si="130"/>
        <v>22.67268</v>
      </c>
      <c r="G97" s="1120">
        <f t="shared" si="130"/>
        <v>112.17493399999999</v>
      </c>
      <c r="H97" s="1120">
        <f t="shared" si="130"/>
        <v>6.8234250000000003</v>
      </c>
      <c r="I97" s="1120"/>
      <c r="J97" s="1120">
        <f t="shared" ref="J97:O97" si="131">J110</f>
        <v>6.8234250000000003</v>
      </c>
      <c r="K97" s="1120">
        <f t="shared" si="131"/>
        <v>192.74454979276811</v>
      </c>
      <c r="L97" s="1120">
        <f t="shared" si="131"/>
        <v>197.5377723071461</v>
      </c>
      <c r="M97" s="1120">
        <f t="shared" si="131"/>
        <v>204.13049037949054</v>
      </c>
      <c r="N97" s="1120">
        <f t="shared" si="131"/>
        <v>210.65354133949242</v>
      </c>
      <c r="O97" s="1655">
        <f t="shared" si="131"/>
        <v>217.30071201021033</v>
      </c>
      <c r="P97" s="404"/>
      <c r="Q97" s="1260"/>
      <c r="R97" s="1869"/>
      <c r="S97" s="1869"/>
      <c r="T97" s="1450"/>
      <c r="U97" s="1450"/>
    </row>
    <row r="98" spans="2:21" s="825" customFormat="1" ht="13.5" customHeight="1" x14ac:dyDescent="0.3">
      <c r="B98" s="863" t="s">
        <v>109</v>
      </c>
      <c r="C98" s="260"/>
      <c r="D98" s="260">
        <f>D97/C97-1</f>
        <v>-1</v>
      </c>
      <c r="E98" s="260" t="e">
        <f>E97/D97-1</f>
        <v>#DIV/0!</v>
      </c>
      <c r="F98" s="260">
        <f t="shared" ref="F98" si="132">F97/E97-1</f>
        <v>-0.64064307617545513</v>
      </c>
      <c r="G98" s="260">
        <f t="shared" ref="G98" si="133">G97/F97-1</f>
        <v>3.9475815827683363</v>
      </c>
      <c r="H98" s="260"/>
      <c r="I98" s="260"/>
      <c r="J98" s="260">
        <f>J97/G97-1</f>
        <v>-0.93917157107487137</v>
      </c>
      <c r="K98" s="260">
        <f t="shared" ref="K98" si="134">K97/J97-1</f>
        <v>27.24747832544039</v>
      </c>
      <c r="L98" s="260">
        <f t="shared" ref="L98" si="135">L97/K97-1</f>
        <v>2.4868264859014166E-2</v>
      </c>
      <c r="M98" s="260">
        <f t="shared" ref="M98" si="136">M97/L97-1</f>
        <v>3.3374468059169882E-2</v>
      </c>
      <c r="N98" s="260">
        <f t="shared" ref="N98" si="137">N97/M97-1</f>
        <v>3.1955299513929392E-2</v>
      </c>
      <c r="O98" s="783">
        <f t="shared" ref="O98" si="138">O97/N97-1</f>
        <v>3.1554991330552618E-2</v>
      </c>
      <c r="P98" s="1016"/>
      <c r="Q98" s="1260"/>
      <c r="R98" s="1869"/>
      <c r="S98" s="1869"/>
      <c r="T98" s="1450"/>
      <c r="U98" s="1450"/>
    </row>
    <row r="99" spans="2:21" s="825" customFormat="1" ht="13.5" customHeight="1" x14ac:dyDescent="0.3">
      <c r="B99" s="861" t="s">
        <v>133</v>
      </c>
      <c r="C99" s="182">
        <f>C97/C$63</f>
        <v>1.1037086420757219E-3</v>
      </c>
      <c r="D99" s="182">
        <f>D97/D$63</f>
        <v>0</v>
      </c>
      <c r="E99" s="182">
        <f t="shared" ref="E99:H99" si="139">E97/E$63</f>
        <v>1.1974788641028044E-3</v>
      </c>
      <c r="F99" s="182">
        <f t="shared" si="139"/>
        <v>3.7633984249357811E-4</v>
      </c>
      <c r="G99" s="182">
        <f t="shared" si="139"/>
        <v>1.2329601193024498E-3</v>
      </c>
      <c r="H99" s="182">
        <f t="shared" si="139"/>
        <v>8.9529730430138211E-5</v>
      </c>
      <c r="I99" s="182"/>
      <c r="J99" s="182">
        <f t="shared" ref="J99:O99" si="140">J97/J$63</f>
        <v>8.9529730430138211E-5</v>
      </c>
      <c r="K99" s="182">
        <f t="shared" si="140"/>
        <v>2E-3</v>
      </c>
      <c r="L99" s="182">
        <f t="shared" si="140"/>
        <v>2E-3</v>
      </c>
      <c r="M99" s="182">
        <f t="shared" si="140"/>
        <v>2E-3</v>
      </c>
      <c r="N99" s="182">
        <f t="shared" si="140"/>
        <v>2E-3</v>
      </c>
      <c r="O99" s="787">
        <f t="shared" si="140"/>
        <v>2E-3</v>
      </c>
      <c r="P99" s="404"/>
      <c r="Q99" s="1260"/>
      <c r="R99" s="1869"/>
      <c r="S99" s="1869"/>
      <c r="T99" s="1450"/>
      <c r="U99" s="1450"/>
    </row>
    <row r="100" spans="2:21" s="825" customFormat="1" ht="13.5" customHeight="1" x14ac:dyDescent="0.3">
      <c r="B100" s="861" t="s">
        <v>3865</v>
      </c>
      <c r="C100" s="182">
        <f>C97/C$6</f>
        <v>4.1462687974814854E-4</v>
      </c>
      <c r="D100" s="182">
        <f>D97/D$6</f>
        <v>0</v>
      </c>
      <c r="E100" s="182">
        <f t="shared" ref="E100:H100" si="141">E97/E$6</f>
        <v>3.8089836732249649E-4</v>
      </c>
      <c r="F100" s="182">
        <f t="shared" si="141"/>
        <v>1.1685190210985284E-4</v>
      </c>
      <c r="G100" s="182">
        <f t="shared" si="141"/>
        <v>4.8003244831360751E-4</v>
      </c>
      <c r="H100" s="182">
        <f t="shared" ca="1" si="141"/>
        <v>3.5277141283227069E-5</v>
      </c>
      <c r="I100" s="182"/>
      <c r="J100" s="182">
        <f t="shared" ref="J100:O100" ca="1" si="142">J97/J$6</f>
        <v>3.5273518647450378E-5</v>
      </c>
      <c r="K100" s="182">
        <f t="shared" ca="1" si="142"/>
        <v>8.5593707907653848E-4</v>
      </c>
      <c r="L100" s="182">
        <f t="shared" ca="1" si="142"/>
        <v>8.4731566258577809E-4</v>
      </c>
      <c r="M100" s="182">
        <f t="shared" ca="1" si="142"/>
        <v>8.4533764885285452E-4</v>
      </c>
      <c r="N100" s="182">
        <f t="shared" ca="1" si="142"/>
        <v>8.4191487541071574E-4</v>
      </c>
      <c r="O100" s="787">
        <f t="shared" ca="1" si="142"/>
        <v>8.374704891220418E-4</v>
      </c>
      <c r="P100" s="404"/>
      <c r="Q100" s="1260"/>
      <c r="R100" s="1869"/>
      <c r="S100" s="1869"/>
      <c r="T100" s="1450"/>
      <c r="U100" s="1450"/>
    </row>
    <row r="101" spans="2:21" s="825" customFormat="1" ht="13.5" customHeight="1" x14ac:dyDescent="0.3">
      <c r="B101" s="861"/>
      <c r="C101" s="182"/>
      <c r="D101" s="182"/>
      <c r="E101" s="182"/>
      <c r="F101" s="182"/>
      <c r="G101" s="182"/>
      <c r="H101" s="182"/>
      <c r="I101" s="182"/>
      <c r="J101" s="182"/>
      <c r="K101" s="182"/>
      <c r="L101" s="182"/>
      <c r="M101" s="182"/>
      <c r="N101" s="182"/>
      <c r="O101" s="787"/>
      <c r="P101" s="404"/>
      <c r="Q101" s="1260"/>
      <c r="R101" s="1869"/>
      <c r="S101" s="1869"/>
      <c r="T101" s="1450"/>
      <c r="U101" s="1450"/>
    </row>
    <row r="102" spans="2:21" ht="13.5" customHeight="1" x14ac:dyDescent="0.3">
      <c r="B102" s="1657" t="s">
        <v>2018</v>
      </c>
      <c r="C102" s="1120">
        <f>C122</f>
        <v>520.13569799999993</v>
      </c>
      <c r="D102" s="1120">
        <f t="shared" ref="D102:O102" si="143">D122</f>
        <v>671.99069800000007</v>
      </c>
      <c r="E102" s="1120">
        <f t="shared" si="143"/>
        <v>789.21642900000006</v>
      </c>
      <c r="F102" s="1120">
        <f t="shared" si="143"/>
        <v>943.34294099999988</v>
      </c>
      <c r="G102" s="1120">
        <f t="shared" si="143"/>
        <v>1037.3804650000002</v>
      </c>
      <c r="H102" s="1120">
        <f t="shared" si="143"/>
        <v>1099.3469679999996</v>
      </c>
      <c r="I102" s="1120"/>
      <c r="J102" s="1120">
        <f t="shared" si="143"/>
        <v>1099.3469679999996</v>
      </c>
      <c r="K102" s="1120">
        <f t="shared" si="143"/>
        <v>1113.6384785839996</v>
      </c>
      <c r="L102" s="1120">
        <f t="shared" si="143"/>
        <v>1130.3430557627598</v>
      </c>
      <c r="M102" s="1120">
        <f t="shared" si="143"/>
        <v>1150.6892307664896</v>
      </c>
      <c r="N102" s="1120">
        <f t="shared" si="143"/>
        <v>1173.7030153818191</v>
      </c>
      <c r="O102" s="1655">
        <f t="shared" si="143"/>
        <v>1199.5244817202192</v>
      </c>
      <c r="P102" s="404"/>
      <c r="Q102" s="1260"/>
      <c r="R102" s="1869"/>
      <c r="S102" s="1869"/>
      <c r="T102" s="1450"/>
      <c r="U102" s="1450"/>
    </row>
    <row r="103" spans="2:21" s="825" customFormat="1" ht="13.5" customHeight="1" x14ac:dyDescent="0.3">
      <c r="B103" s="863" t="s">
        <v>109</v>
      </c>
      <c r="C103" s="260"/>
      <c r="D103" s="260">
        <f>D102/C102-1</f>
        <v>0.29195265886172672</v>
      </c>
      <c r="E103" s="260">
        <f>E102/D102-1</f>
        <v>0.17444546680317297</v>
      </c>
      <c r="F103" s="260">
        <f t="shared" ref="F103:G103" si="144">F102/E102-1</f>
        <v>0.19529055191525901</v>
      </c>
      <c r="G103" s="260">
        <f t="shared" si="144"/>
        <v>9.9685405924927917E-2</v>
      </c>
      <c r="H103" s="260"/>
      <c r="I103" s="260"/>
      <c r="J103" s="260">
        <f>J102/G102-1</f>
        <v>5.9733632057549224E-2</v>
      </c>
      <c r="K103" s="260">
        <f t="shared" ref="K103" si="145">K102/J102-1</f>
        <v>1.2999999999999901E-2</v>
      </c>
      <c r="L103" s="260">
        <f t="shared" ref="L103" si="146">L102/K102-1</f>
        <v>1.5000000000000124E-2</v>
      </c>
      <c r="M103" s="260">
        <f t="shared" ref="M103" si="147">M102/L102-1</f>
        <v>1.8000000000000016E-2</v>
      </c>
      <c r="N103" s="260">
        <f t="shared" ref="N103" si="148">N102/M102-1</f>
        <v>1.9999999999999796E-2</v>
      </c>
      <c r="O103" s="783">
        <f t="shared" ref="O103" si="149">O102/N102-1</f>
        <v>2.200000000000002E-2</v>
      </c>
      <c r="P103" s="404"/>
      <c r="Q103" s="1260"/>
      <c r="R103" s="1869"/>
      <c r="S103" s="1869"/>
      <c r="T103" s="1450"/>
      <c r="U103" s="1450"/>
    </row>
    <row r="104" spans="2:21" s="825" customFormat="1" ht="13.5" customHeight="1" x14ac:dyDescent="0.3">
      <c r="B104" s="861" t="s">
        <v>133</v>
      </c>
      <c r="C104" s="182">
        <f>C102/C$63</f>
        <v>1.6080553850107589E-2</v>
      </c>
      <c r="D104" s="182">
        <f>D102/D$63</f>
        <v>2.1227319935085018E-2</v>
      </c>
      <c r="E104" s="182">
        <f t="shared" ref="E104:O104" si="150">E102/E$63</f>
        <v>1.4979148713706453E-2</v>
      </c>
      <c r="F104" s="182">
        <f t="shared" si="150"/>
        <v>1.5658384180139651E-2</v>
      </c>
      <c r="G104" s="182">
        <f t="shared" si="150"/>
        <v>1.1402268726883593E-2</v>
      </c>
      <c r="H104" s="182">
        <f t="shared" si="150"/>
        <v>1.4424462450196161E-2</v>
      </c>
      <c r="I104" s="182"/>
      <c r="J104" s="182">
        <f t="shared" si="150"/>
        <v>1.4424462450196161E-2</v>
      </c>
      <c r="K104" s="182">
        <f t="shared" si="150"/>
        <v>1.155558981855874E-2</v>
      </c>
      <c r="L104" s="182">
        <f t="shared" si="150"/>
        <v>1.1444323205237125E-2</v>
      </c>
      <c r="M104" s="182">
        <f t="shared" si="150"/>
        <v>1.127405542040575E-2</v>
      </c>
      <c r="N104" s="182">
        <f t="shared" si="150"/>
        <v>1.1143444424608667E-2</v>
      </c>
      <c r="O104" s="787">
        <f t="shared" si="150"/>
        <v>1.1040225967265649E-2</v>
      </c>
      <c r="P104" s="1016"/>
      <c r="Q104" s="1260"/>
      <c r="R104" s="1869"/>
      <c r="S104" s="1869"/>
      <c r="T104" s="1450"/>
      <c r="U104" s="1450"/>
    </row>
    <row r="105" spans="2:21" s="825" customFormat="1" ht="13.5" customHeight="1" x14ac:dyDescent="0.3">
      <c r="B105" s="861" t="s">
        <v>3865</v>
      </c>
      <c r="C105" s="182">
        <f>C102/C$6</f>
        <v>6.0409329177244543E-3</v>
      </c>
      <c r="D105" s="182">
        <f>D102/D$6</f>
        <v>6.3175130456275029E-3</v>
      </c>
      <c r="E105" s="182">
        <f t="shared" ref="E105:O105" si="151">E102/E$6</f>
        <v>4.7646212889164092E-3</v>
      </c>
      <c r="F105" s="182">
        <f t="shared" si="151"/>
        <v>4.8618609267961554E-3</v>
      </c>
      <c r="G105" s="182">
        <f t="shared" si="151"/>
        <v>4.439283061638875E-3</v>
      </c>
      <c r="H105" s="182">
        <f t="shared" ca="1" si="151"/>
        <v>5.6836293077777347E-3</v>
      </c>
      <c r="I105" s="182"/>
      <c r="J105" s="182">
        <f t="shared" ca="1" si="151"/>
        <v>5.6830456516728791E-3</v>
      </c>
      <c r="K105" s="182">
        <f t="shared" ca="1" si="151"/>
        <v>4.9454288981518775E-3</v>
      </c>
      <c r="L105" s="182">
        <f t="shared" ca="1" si="151"/>
        <v>4.848477149745645E-3</v>
      </c>
      <c r="M105" s="182">
        <f t="shared" ca="1" si="151"/>
        <v>4.7651917510612889E-3</v>
      </c>
      <c r="N105" s="182">
        <f t="shared" ca="1" si="151"/>
        <v>4.69091581219532E-3</v>
      </c>
      <c r="O105" s="787">
        <f t="shared" ca="1" si="151"/>
        <v>4.6229317204119153E-3</v>
      </c>
      <c r="P105" s="404"/>
      <c r="Q105" s="1260"/>
      <c r="R105" s="1869"/>
      <c r="S105" s="1869"/>
      <c r="T105" s="1450"/>
      <c r="U105" s="1450"/>
    </row>
    <row r="106" spans="2:21" ht="13.5" customHeight="1" x14ac:dyDescent="0.3">
      <c r="B106" s="1660"/>
      <c r="C106" s="1661"/>
      <c r="D106" s="1661"/>
      <c r="E106" s="1661"/>
      <c r="F106" s="1661"/>
      <c r="G106" s="1661"/>
      <c r="H106" s="1661"/>
      <c r="I106" s="1661"/>
      <c r="J106" s="1661"/>
      <c r="K106" s="1661"/>
      <c r="L106" s="1661"/>
      <c r="M106" s="1661"/>
      <c r="N106" s="1661"/>
      <c r="O106" s="1662"/>
      <c r="P106" s="404"/>
      <c r="Q106" s="1260"/>
      <c r="R106" s="1869"/>
      <c r="S106" s="1869"/>
      <c r="T106" s="1450"/>
      <c r="U106" s="1450"/>
    </row>
    <row r="107" spans="2:21" ht="13.5" customHeight="1" x14ac:dyDescent="0.3">
      <c r="C107" s="2036">
        <f>C81-원가명세서!K40/10^6</f>
        <v>0</v>
      </c>
      <c r="D107" s="2036">
        <f>D81-원가명세서!L40/10^6</f>
        <v>0</v>
      </c>
      <c r="E107" s="2036">
        <f>E81-원가명세서!M40/10^6</f>
        <v>0</v>
      </c>
      <c r="F107" s="2036">
        <f>F81-원가명세서!N40/10^6</f>
        <v>0</v>
      </c>
      <c r="G107" s="2036">
        <f>G81-원가명세서!O40/10^6</f>
        <v>0</v>
      </c>
      <c r="P107" s="1016"/>
      <c r="Q107" s="1260"/>
      <c r="R107" s="1869"/>
      <c r="S107" s="1869"/>
      <c r="T107" s="1450"/>
      <c r="U107" s="1450"/>
    </row>
    <row r="108" spans="2:21" s="825" customFormat="1" ht="13.5" customHeight="1" x14ac:dyDescent="0.3">
      <c r="B108" s="834" t="s">
        <v>4564</v>
      </c>
      <c r="C108" s="838"/>
      <c r="D108" s="838"/>
      <c r="E108" s="838"/>
      <c r="F108" s="838"/>
      <c r="G108" s="838"/>
      <c r="H108" s="838"/>
      <c r="I108" s="838"/>
      <c r="J108" s="838"/>
      <c r="K108" s="838"/>
      <c r="L108" s="838"/>
      <c r="M108" s="838"/>
      <c r="N108" s="838"/>
      <c r="O108" s="1617"/>
      <c r="Q108" s="1258"/>
      <c r="R108" s="2137" t="s">
        <v>2159</v>
      </c>
      <c r="S108" s="2138"/>
      <c r="T108" s="1262" t="s">
        <v>2160</v>
      </c>
      <c r="U108" s="1263" t="s">
        <v>2161</v>
      </c>
    </row>
    <row r="109" spans="2:21" s="294" customFormat="1" ht="13.5" customHeight="1" x14ac:dyDescent="0.3">
      <c r="B109" s="1595" t="str">
        <f>unit</f>
        <v>KRW Millions</v>
      </c>
      <c r="C109" s="1596">
        <f>'Pro forma'!C$5</f>
        <v>2010</v>
      </c>
      <c r="D109" s="1596">
        <f>'Pro forma'!D$5</f>
        <v>2011</v>
      </c>
      <c r="E109" s="1596">
        <f>'Pro forma'!E$5</f>
        <v>2012</v>
      </c>
      <c r="F109" s="1596">
        <f>'Pro forma'!F$5</f>
        <v>2013</v>
      </c>
      <c r="G109" s="1596">
        <f>'Pro forma'!G$5</f>
        <v>2014</v>
      </c>
      <c r="H109" s="1597" t="str">
        <f>'Pro forma'!H$5</f>
        <v>2015/12A</v>
      </c>
      <c r="I109" s="1598" t="str">
        <f>'Pro forma'!I$5</f>
        <v>2015/0E</v>
      </c>
      <c r="J109" s="1596">
        <f>'Pro forma'!J$5</f>
        <v>2015</v>
      </c>
      <c r="K109" s="1599">
        <f>'Pro forma'!K$5</f>
        <v>2016</v>
      </c>
      <c r="L109" s="1599">
        <f>'Pro forma'!L$5</f>
        <v>2017</v>
      </c>
      <c r="M109" s="1599">
        <f>'Pro forma'!M$5</f>
        <v>2018</v>
      </c>
      <c r="N109" s="1599">
        <f>'Pro forma'!N$5</f>
        <v>2019</v>
      </c>
      <c r="O109" s="1618">
        <f>'Pro forma'!O$5</f>
        <v>2020</v>
      </c>
      <c r="Q109" s="1258"/>
      <c r="R109" s="1262" t="s">
        <v>2162</v>
      </c>
      <c r="S109" s="1262" t="s">
        <v>2163</v>
      </c>
      <c r="T109" s="1262" t="s">
        <v>2164</v>
      </c>
      <c r="U109" s="1262"/>
    </row>
    <row r="110" spans="2:21" s="294" customFormat="1" ht="13.5" customHeight="1" x14ac:dyDescent="0.3">
      <c r="B110" s="1670" t="s">
        <v>4569</v>
      </c>
      <c r="C110" s="1671">
        <f t="shared" ref="C110:H110" si="152">C115</f>
        <v>35.700155000000002</v>
      </c>
      <c r="D110" s="1671">
        <f t="shared" si="152"/>
        <v>0</v>
      </c>
      <c r="E110" s="1671">
        <f t="shared" si="152"/>
        <v>63.092370000000003</v>
      </c>
      <c r="F110" s="1671">
        <f t="shared" si="152"/>
        <v>22.67268</v>
      </c>
      <c r="G110" s="1671">
        <f t="shared" si="152"/>
        <v>112.17493399999999</v>
      </c>
      <c r="H110" s="1671">
        <f t="shared" si="152"/>
        <v>6.8234250000000003</v>
      </c>
      <c r="I110" s="1671"/>
      <c r="J110" s="1671">
        <f t="shared" ref="J110:O110" si="153">J115</f>
        <v>6.8234250000000003</v>
      </c>
      <c r="K110" s="1671">
        <f t="shared" si="153"/>
        <v>192.74454979276811</v>
      </c>
      <c r="L110" s="1671">
        <f t="shared" si="153"/>
        <v>197.5377723071461</v>
      </c>
      <c r="M110" s="1671">
        <f t="shared" si="153"/>
        <v>204.13049037949054</v>
      </c>
      <c r="N110" s="1671">
        <f t="shared" si="153"/>
        <v>210.65354133949242</v>
      </c>
      <c r="O110" s="1666">
        <f t="shared" si="153"/>
        <v>217.30071201021033</v>
      </c>
      <c r="Q110" s="1258"/>
      <c r="R110" s="1264"/>
      <c r="S110" s="1264"/>
      <c r="T110" s="1265"/>
      <c r="U110" s="1265"/>
    </row>
    <row r="111" spans="2:21" s="317" customFormat="1" ht="13.5" customHeight="1" x14ac:dyDescent="0.3">
      <c r="B111" s="1611" t="s">
        <v>109</v>
      </c>
      <c r="C111" s="260"/>
      <c r="D111" s="260">
        <f>D110/C110-1</f>
        <v>-1</v>
      </c>
      <c r="E111" s="260" t="e">
        <f t="shared" ref="E111:H111" si="154">E110/D110-1</f>
        <v>#DIV/0!</v>
      </c>
      <c r="F111" s="260">
        <f t="shared" si="154"/>
        <v>-0.64064307617545513</v>
      </c>
      <c r="G111" s="260">
        <f t="shared" si="154"/>
        <v>3.9475815827683363</v>
      </c>
      <c r="H111" s="260">
        <f t="shared" si="154"/>
        <v>-0.93917157107487137</v>
      </c>
      <c r="I111" s="260"/>
      <c r="J111" s="260">
        <f>J110/G110-1</f>
        <v>-0.93917157107487137</v>
      </c>
      <c r="K111" s="260">
        <f>K110/J110-1</f>
        <v>27.24747832544039</v>
      </c>
      <c r="L111" s="260">
        <f>L110/K110-1</f>
        <v>2.4868264859014166E-2</v>
      </c>
      <c r="M111" s="260">
        <f>M110/L110-1</f>
        <v>3.3374468059169882E-2</v>
      </c>
      <c r="N111" s="260">
        <f>N110/M110-1</f>
        <v>3.1955299513929392E-2</v>
      </c>
      <c r="O111" s="1667">
        <f>O110/N110-1</f>
        <v>3.1554991330552618E-2</v>
      </c>
      <c r="Q111" s="1258"/>
      <c r="S111" s="1264"/>
      <c r="T111" s="1265"/>
      <c r="U111" s="1265"/>
    </row>
    <row r="112" spans="2:21" s="825" customFormat="1" ht="13.5" customHeight="1" x14ac:dyDescent="0.3">
      <c r="B112" s="1135" t="s">
        <v>4566</v>
      </c>
      <c r="C112" s="182">
        <f>C110/C$63</f>
        <v>1.1037086420757219E-3</v>
      </c>
      <c r="D112" s="182">
        <f t="shared" ref="D112:O112" si="155">D110/D$63</f>
        <v>0</v>
      </c>
      <c r="E112" s="182">
        <f t="shared" si="155"/>
        <v>1.1974788641028044E-3</v>
      </c>
      <c r="F112" s="182">
        <f t="shared" si="155"/>
        <v>3.7633984249357811E-4</v>
      </c>
      <c r="G112" s="182">
        <f t="shared" si="155"/>
        <v>1.2329601193024498E-3</v>
      </c>
      <c r="H112" s="182">
        <f t="shared" si="155"/>
        <v>8.9529730430138211E-5</v>
      </c>
      <c r="I112" s="182"/>
      <c r="J112" s="182">
        <f t="shared" si="155"/>
        <v>8.9529730430138211E-5</v>
      </c>
      <c r="K112" s="182">
        <f t="shared" si="155"/>
        <v>2E-3</v>
      </c>
      <c r="L112" s="182">
        <f t="shared" si="155"/>
        <v>2E-3</v>
      </c>
      <c r="M112" s="182">
        <f t="shared" si="155"/>
        <v>2E-3</v>
      </c>
      <c r="N112" s="182">
        <f t="shared" si="155"/>
        <v>2E-3</v>
      </c>
      <c r="O112" s="1668">
        <f t="shared" si="155"/>
        <v>2E-3</v>
      </c>
      <c r="Q112" s="1258"/>
      <c r="R112" s="1264"/>
      <c r="S112" s="1264"/>
      <c r="T112" s="1265"/>
      <c r="U112" s="1265"/>
    </row>
    <row r="113" spans="2:21" s="825" customFormat="1" ht="13.5" customHeight="1" x14ac:dyDescent="0.3">
      <c r="B113" s="861" t="s">
        <v>4450</v>
      </c>
      <c r="C113" s="182"/>
      <c r="D113" s="182">
        <f>D110/D$13</f>
        <v>0</v>
      </c>
      <c r="E113" s="182">
        <f t="shared" ref="E113:H113" si="156">E110/E$13</f>
        <v>1.2870555136597879E-3</v>
      </c>
      <c r="F113" s="182">
        <f t="shared" si="156"/>
        <v>4.0318361051886397E-4</v>
      </c>
      <c r="G113" s="182">
        <f t="shared" si="156"/>
        <v>1.2949251270940796E-3</v>
      </c>
      <c r="H113" s="182">
        <f t="shared" si="156"/>
        <v>9.4797463886385976E-5</v>
      </c>
      <c r="I113" s="182"/>
      <c r="J113" s="182">
        <f t="shared" ref="J113:O113" si="157">J110/J$13</f>
        <v>9.4797463886385976E-5</v>
      </c>
      <c r="K113" s="182">
        <f t="shared" si="157"/>
        <v>2.1888143805028504E-3</v>
      </c>
      <c r="L113" s="182">
        <f t="shared" si="157"/>
        <v>2.1848566495064714E-3</v>
      </c>
      <c r="M113" s="182">
        <f t="shared" si="157"/>
        <v>2.1836195817999901E-3</v>
      </c>
      <c r="N113" s="182">
        <f t="shared" si="157"/>
        <v>2.1814239435180263E-3</v>
      </c>
      <c r="O113" s="1668">
        <f t="shared" si="157"/>
        <v>2.1785393330564467E-3</v>
      </c>
      <c r="Q113" s="1258"/>
      <c r="R113" s="1264"/>
      <c r="S113" s="1264"/>
      <c r="T113" s="1265"/>
      <c r="U113" s="1265"/>
    </row>
    <row r="114" spans="2:21" s="825" customFormat="1" ht="13.5" customHeight="1" x14ac:dyDescent="0.3">
      <c r="B114" s="1612"/>
      <c r="C114" s="182"/>
      <c r="D114" s="182"/>
      <c r="E114" s="182"/>
      <c r="F114" s="182"/>
      <c r="G114" s="182"/>
      <c r="H114" s="182"/>
      <c r="I114" s="182"/>
      <c r="J114" s="182"/>
      <c r="K114" s="182"/>
      <c r="L114" s="182"/>
      <c r="M114" s="182"/>
      <c r="N114" s="182"/>
      <c r="O114" s="1668"/>
      <c r="Q114" s="1258"/>
      <c r="R114" s="1264"/>
      <c r="S114" s="1264"/>
      <c r="T114" s="1265"/>
      <c r="U114" s="1265"/>
    </row>
    <row r="115" spans="2:21" s="825" customFormat="1" ht="13.5" customHeight="1" x14ac:dyDescent="0.3">
      <c r="B115" s="1136" t="s">
        <v>4565</v>
      </c>
      <c r="C115" s="1141">
        <f>원가명세서!K35/1000000</f>
        <v>35.700155000000002</v>
      </c>
      <c r="D115" s="1141">
        <f>원가명세서!L35/1000000</f>
        <v>0</v>
      </c>
      <c r="E115" s="1141">
        <f>원가명세서!M35/1000000</f>
        <v>63.092370000000003</v>
      </c>
      <c r="F115" s="1141">
        <f>원가명세서!N35/1000000</f>
        <v>22.67268</v>
      </c>
      <c r="G115" s="1141">
        <f>원가명세서!O35/1000000</f>
        <v>112.17493399999999</v>
      </c>
      <c r="H115" s="1141">
        <f>원가명세서!P35/1000000</f>
        <v>6.8234250000000003</v>
      </c>
      <c r="I115" s="1141"/>
      <c r="J115" s="1141">
        <f>H115+I115</f>
        <v>6.8234250000000003</v>
      </c>
      <c r="K115" s="1141">
        <f>K116*K$63</f>
        <v>192.74454979276811</v>
      </c>
      <c r="L115" s="1141">
        <f t="shared" ref="L115:O115" si="158">L116*L$63</f>
        <v>197.5377723071461</v>
      </c>
      <c r="M115" s="1141">
        <f t="shared" si="158"/>
        <v>204.13049037949054</v>
      </c>
      <c r="N115" s="1141">
        <f t="shared" si="158"/>
        <v>210.65354133949242</v>
      </c>
      <c r="O115" s="1669">
        <f t="shared" si="158"/>
        <v>217.30071201021033</v>
      </c>
      <c r="Q115" s="1258"/>
      <c r="R115" s="1264" t="s">
        <v>3815</v>
      </c>
      <c r="S115" s="1264" t="s">
        <v>4567</v>
      </c>
      <c r="T115" s="1265" t="s">
        <v>3815</v>
      </c>
      <c r="U115" s="1265"/>
    </row>
    <row r="116" spans="2:21" s="825" customFormat="1" ht="13.5" customHeight="1" x14ac:dyDescent="0.3">
      <c r="B116" s="1135" t="s">
        <v>4566</v>
      </c>
      <c r="C116" s="182">
        <f>C115/C$63</f>
        <v>1.1037086420757219E-3</v>
      </c>
      <c r="D116" s="182">
        <f t="shared" ref="D116:J116" si="159">D115/D$63</f>
        <v>0</v>
      </c>
      <c r="E116" s="182">
        <f t="shared" si="159"/>
        <v>1.1974788641028044E-3</v>
      </c>
      <c r="F116" s="182">
        <f t="shared" si="159"/>
        <v>3.7633984249357811E-4</v>
      </c>
      <c r="G116" s="182">
        <f t="shared" si="159"/>
        <v>1.2329601193024498E-3</v>
      </c>
      <c r="H116" s="182">
        <f t="shared" si="159"/>
        <v>8.9529730430138211E-5</v>
      </c>
      <c r="I116" s="182"/>
      <c r="J116" s="182">
        <f t="shared" si="159"/>
        <v>8.9529730430138211E-5</v>
      </c>
      <c r="K116" s="182">
        <v>2E-3</v>
      </c>
      <c r="L116" s="182">
        <f>K116</f>
        <v>2E-3</v>
      </c>
      <c r="M116" s="182">
        <f t="shared" ref="M116:O116" si="160">L116</f>
        <v>2E-3</v>
      </c>
      <c r="N116" s="182">
        <f t="shared" si="160"/>
        <v>2E-3</v>
      </c>
      <c r="O116" s="1668">
        <f t="shared" si="160"/>
        <v>2E-3</v>
      </c>
      <c r="Q116" s="1258"/>
      <c r="R116" s="1264"/>
      <c r="S116" s="1264"/>
      <c r="T116" s="1265"/>
      <c r="U116" s="1265"/>
    </row>
    <row r="117" spans="2:21" s="825" customFormat="1" ht="13.5" customHeight="1" x14ac:dyDescent="0.3">
      <c r="B117" s="1672"/>
      <c r="C117" s="1673"/>
      <c r="D117" s="1673"/>
      <c r="E117" s="1673"/>
      <c r="F117" s="1673"/>
      <c r="G117" s="1673"/>
      <c r="H117" s="1673"/>
      <c r="I117" s="1673"/>
      <c r="J117" s="1673"/>
      <c r="K117" s="1673"/>
      <c r="L117" s="1673"/>
      <c r="M117" s="1673"/>
      <c r="N117" s="1673"/>
      <c r="O117" s="1674"/>
      <c r="Q117" s="1260"/>
      <c r="R117" s="1264"/>
      <c r="S117" s="1264"/>
      <c r="T117" s="1265"/>
      <c r="U117" s="1265"/>
    </row>
    <row r="118" spans="2:21" s="825" customFormat="1" ht="13.5" customHeight="1" x14ac:dyDescent="0.3">
      <c r="B118" s="2045"/>
      <c r="C118" s="209"/>
      <c r="D118" s="209"/>
      <c r="E118" s="209"/>
      <c r="F118" s="209"/>
      <c r="G118" s="209"/>
      <c r="H118" s="209"/>
      <c r="I118" s="209"/>
      <c r="J118" s="209"/>
      <c r="K118" s="209"/>
      <c r="L118" s="209"/>
      <c r="M118" s="209"/>
      <c r="N118" s="209"/>
      <c r="O118" s="209"/>
      <c r="Q118" s="1260"/>
      <c r="R118" s="2046"/>
      <c r="S118" s="2046"/>
      <c r="T118" s="2047"/>
      <c r="U118" s="2047"/>
    </row>
    <row r="119" spans="2:21" s="825" customFormat="1" ht="13.5" customHeight="1" x14ac:dyDescent="0.3">
      <c r="C119" s="2036"/>
      <c r="D119" s="2036"/>
      <c r="E119" s="2036"/>
      <c r="F119" s="2036"/>
      <c r="G119" s="2036"/>
      <c r="P119" s="1016"/>
      <c r="Q119" s="1260"/>
      <c r="R119" s="1869"/>
      <c r="S119" s="1869"/>
      <c r="T119" s="1450"/>
      <c r="U119" s="1450"/>
    </row>
    <row r="120" spans="2:21" ht="13.5" customHeight="1" x14ac:dyDescent="0.3">
      <c r="B120" s="834" t="s">
        <v>4571</v>
      </c>
      <c r="C120" s="838"/>
      <c r="D120" s="838"/>
      <c r="E120" s="838"/>
      <c r="F120" s="838"/>
      <c r="G120" s="838"/>
      <c r="H120" s="838"/>
      <c r="I120" s="838"/>
      <c r="J120" s="838"/>
      <c r="K120" s="838"/>
      <c r="L120" s="838"/>
      <c r="M120" s="838"/>
      <c r="N120" s="838"/>
      <c r="O120" s="1617"/>
      <c r="P120" s="404"/>
      <c r="Q120" s="1260"/>
      <c r="R120" s="2137" t="s">
        <v>2159</v>
      </c>
      <c r="S120" s="2138"/>
      <c r="T120" s="1262" t="s">
        <v>2160</v>
      </c>
      <c r="U120" s="1263" t="s">
        <v>2161</v>
      </c>
    </row>
    <row r="121" spans="2:21" ht="13.5" customHeight="1" x14ac:dyDescent="0.3">
      <c r="B121" s="1628" t="str">
        <f>Des!$C$13</f>
        <v>KRW Millions</v>
      </c>
      <c r="C121" s="1596">
        <f>'Pro forma'!C$5</f>
        <v>2010</v>
      </c>
      <c r="D121" s="1596">
        <f>'Pro forma'!D$5</f>
        <v>2011</v>
      </c>
      <c r="E121" s="1596">
        <f>'Pro forma'!E$5</f>
        <v>2012</v>
      </c>
      <c r="F121" s="1596">
        <f>'Pro forma'!F$5</f>
        <v>2013</v>
      </c>
      <c r="G121" s="1596">
        <f>'Pro forma'!G$5</f>
        <v>2014</v>
      </c>
      <c r="H121" s="1597" t="str">
        <f>'Pro forma'!H$5</f>
        <v>2015/12A</v>
      </c>
      <c r="I121" s="1598" t="str">
        <f>'Pro forma'!I$5</f>
        <v>2015/0E</v>
      </c>
      <c r="J121" s="1599">
        <f>'Pro forma'!J$5</f>
        <v>2015</v>
      </c>
      <c r="K121" s="1599">
        <f>'Pro forma'!K$5</f>
        <v>2016</v>
      </c>
      <c r="L121" s="1599">
        <f>'Pro forma'!L$5</f>
        <v>2017</v>
      </c>
      <c r="M121" s="1599">
        <f>'Pro forma'!M$5</f>
        <v>2018</v>
      </c>
      <c r="N121" s="1599">
        <f>'Pro forma'!N$5</f>
        <v>2019</v>
      </c>
      <c r="O121" s="1618">
        <f>'Pro forma'!O$5</f>
        <v>2020</v>
      </c>
      <c r="P121" s="404"/>
      <c r="Q121" s="1260"/>
      <c r="R121" s="1262" t="s">
        <v>2162</v>
      </c>
      <c r="S121" s="1262" t="s">
        <v>2163</v>
      </c>
      <c r="T121" s="1262" t="s">
        <v>2164</v>
      </c>
      <c r="U121" s="1262"/>
    </row>
    <row r="122" spans="2:21" ht="13.5" customHeight="1" x14ac:dyDescent="0.3">
      <c r="B122" s="1670" t="s">
        <v>4570</v>
      </c>
      <c r="C122" s="1120">
        <f>C127+C131+C135+C139+C143+C147+C151+C155+C159+C163+C167+C171+C175+C179+C183+C187</f>
        <v>520.13569799999993</v>
      </c>
      <c r="D122" s="1120">
        <f t="shared" ref="D122:H122" si="161">D127+D131+D135+D139+D143+D147+D151+D155+D159+D163+D167+D171+D175+D179+D183+D187</f>
        <v>671.99069800000007</v>
      </c>
      <c r="E122" s="1120">
        <f t="shared" si="161"/>
        <v>789.21642900000006</v>
      </c>
      <c r="F122" s="1120">
        <f t="shared" si="161"/>
        <v>943.34294099999988</v>
      </c>
      <c r="G122" s="1120">
        <f t="shared" si="161"/>
        <v>1037.3804650000002</v>
      </c>
      <c r="H122" s="1120">
        <f t="shared" si="161"/>
        <v>1099.3469679999996</v>
      </c>
      <c r="I122" s="1120"/>
      <c r="J122" s="1120">
        <f t="shared" ref="J122:O122" si="162">J127+J131+J135+J139+J143+J147+J151+J155+J159+J163+J167+J171+J175+J179+J183+J187</f>
        <v>1099.3469679999996</v>
      </c>
      <c r="K122" s="1120">
        <f t="shared" si="162"/>
        <v>1113.6384785839996</v>
      </c>
      <c r="L122" s="1120">
        <f t="shared" si="162"/>
        <v>1130.3430557627598</v>
      </c>
      <c r="M122" s="1120">
        <f t="shared" si="162"/>
        <v>1150.6892307664896</v>
      </c>
      <c r="N122" s="1120">
        <f t="shared" si="162"/>
        <v>1173.7030153818191</v>
      </c>
      <c r="O122" s="1655">
        <f t="shared" si="162"/>
        <v>1199.5244817202192</v>
      </c>
      <c r="P122" s="1016"/>
      <c r="Q122" s="1260"/>
      <c r="R122" s="1265"/>
      <c r="S122" s="1264"/>
      <c r="T122" s="1265"/>
      <c r="U122" s="1265"/>
    </row>
    <row r="123" spans="2:21" ht="13.5" customHeight="1" x14ac:dyDescent="0.3">
      <c r="B123" s="863" t="s">
        <v>109</v>
      </c>
      <c r="C123" s="260"/>
      <c r="D123" s="260">
        <f>D122/C122-1</f>
        <v>0.29195265886172672</v>
      </c>
      <c r="E123" s="260">
        <f>E122/D122-1</f>
        <v>0.17444546680317297</v>
      </c>
      <c r="F123" s="260">
        <f t="shared" ref="F123:H123" si="163">F122/E122-1</f>
        <v>0.19529055191525901</v>
      </c>
      <c r="G123" s="260">
        <f t="shared" si="163"/>
        <v>9.9685405924927917E-2</v>
      </c>
      <c r="H123" s="260">
        <f t="shared" si="163"/>
        <v>5.9733632057549224E-2</v>
      </c>
      <c r="I123" s="260"/>
      <c r="J123" s="260">
        <f>J122/G122-1</f>
        <v>5.9733632057549224E-2</v>
      </c>
      <c r="K123" s="260">
        <f t="shared" ref="K123" si="164">K122/J122-1</f>
        <v>1.2999999999999901E-2</v>
      </c>
      <c r="L123" s="260">
        <f t="shared" ref="L123" si="165">L122/K122-1</f>
        <v>1.5000000000000124E-2</v>
      </c>
      <c r="M123" s="260">
        <f t="shared" ref="M123" si="166">M122/L122-1</f>
        <v>1.8000000000000016E-2</v>
      </c>
      <c r="N123" s="260">
        <f t="shared" ref="N123" si="167">N122/M122-1</f>
        <v>1.9999999999999796E-2</v>
      </c>
      <c r="O123" s="783">
        <f t="shared" ref="O123" si="168">O122/N122-1</f>
        <v>2.200000000000002E-2</v>
      </c>
      <c r="P123" s="404"/>
      <c r="Q123" s="1260"/>
      <c r="R123" s="1265"/>
      <c r="S123" s="1264"/>
      <c r="T123" s="1265"/>
      <c r="U123" s="1265"/>
    </row>
    <row r="124" spans="2:21" ht="13.5" customHeight="1" x14ac:dyDescent="0.3">
      <c r="B124" s="1135" t="s">
        <v>4566</v>
      </c>
      <c r="C124" s="182"/>
      <c r="D124" s="182">
        <f>D122/D$63</f>
        <v>2.1227319935085018E-2</v>
      </c>
      <c r="E124" s="182">
        <f t="shared" ref="E124:O124" si="169">E122/E$63</f>
        <v>1.4979148713706453E-2</v>
      </c>
      <c r="F124" s="182">
        <f t="shared" si="169"/>
        <v>1.5658384180139651E-2</v>
      </c>
      <c r="G124" s="182">
        <f t="shared" si="169"/>
        <v>1.1402268726883593E-2</v>
      </c>
      <c r="H124" s="182">
        <f t="shared" si="169"/>
        <v>1.4424462450196161E-2</v>
      </c>
      <c r="I124" s="182"/>
      <c r="J124" s="182">
        <f t="shared" si="169"/>
        <v>1.4424462450196161E-2</v>
      </c>
      <c r="K124" s="182">
        <f t="shared" si="169"/>
        <v>1.155558981855874E-2</v>
      </c>
      <c r="L124" s="182">
        <f t="shared" si="169"/>
        <v>1.1444323205237125E-2</v>
      </c>
      <c r="M124" s="182">
        <f t="shared" si="169"/>
        <v>1.127405542040575E-2</v>
      </c>
      <c r="N124" s="182">
        <f t="shared" si="169"/>
        <v>1.1143444424608667E-2</v>
      </c>
      <c r="O124" s="787">
        <f t="shared" si="169"/>
        <v>1.1040225967265649E-2</v>
      </c>
      <c r="P124" s="404"/>
      <c r="Q124" s="1260"/>
      <c r="R124" s="1265"/>
      <c r="S124" s="1264"/>
      <c r="T124" s="1265"/>
      <c r="U124" s="1265"/>
    </row>
    <row r="125" spans="2:21" ht="13.5" customHeight="1" x14ac:dyDescent="0.3">
      <c r="B125" s="861" t="s">
        <v>4450</v>
      </c>
      <c r="C125" s="182"/>
      <c r="D125" s="182">
        <f>D122/D$6</f>
        <v>6.3175130456275029E-3</v>
      </c>
      <c r="E125" s="182">
        <f t="shared" ref="E125:O125" si="170">E122/E$6</f>
        <v>4.7646212889164092E-3</v>
      </c>
      <c r="F125" s="182">
        <f t="shared" si="170"/>
        <v>4.8618609267961554E-3</v>
      </c>
      <c r="G125" s="182">
        <f t="shared" si="170"/>
        <v>4.439283061638875E-3</v>
      </c>
      <c r="H125" s="182">
        <f t="shared" ca="1" si="170"/>
        <v>5.6836293077777347E-3</v>
      </c>
      <c r="I125" s="182"/>
      <c r="J125" s="182">
        <f t="shared" ca="1" si="170"/>
        <v>5.6830456516728791E-3</v>
      </c>
      <c r="K125" s="182">
        <f t="shared" ca="1" si="170"/>
        <v>4.9454288981518775E-3</v>
      </c>
      <c r="L125" s="182">
        <f t="shared" ca="1" si="170"/>
        <v>4.848477149745645E-3</v>
      </c>
      <c r="M125" s="182">
        <f t="shared" ca="1" si="170"/>
        <v>4.7651917510612889E-3</v>
      </c>
      <c r="N125" s="182">
        <f t="shared" ca="1" si="170"/>
        <v>4.69091581219532E-3</v>
      </c>
      <c r="O125" s="787">
        <f t="shared" ca="1" si="170"/>
        <v>4.6229317204119153E-3</v>
      </c>
      <c r="P125" s="1016"/>
      <c r="Q125" s="1260"/>
      <c r="R125" s="1265"/>
      <c r="S125" s="1264"/>
      <c r="T125" s="1265"/>
      <c r="U125" s="1265"/>
    </row>
    <row r="126" spans="2:21" ht="13.5" customHeight="1" x14ac:dyDescent="0.3">
      <c r="B126" s="861"/>
      <c r="C126" s="182"/>
      <c r="D126" s="182"/>
      <c r="E126" s="182"/>
      <c r="F126" s="182"/>
      <c r="G126" s="182"/>
      <c r="H126" s="182"/>
      <c r="I126" s="182"/>
      <c r="J126" s="182"/>
      <c r="K126" s="182"/>
      <c r="L126" s="182"/>
      <c r="M126" s="182"/>
      <c r="N126" s="182"/>
      <c r="O126" s="787"/>
      <c r="P126" s="404"/>
      <c r="Q126" s="1260"/>
      <c r="R126" s="1265"/>
      <c r="S126" s="1264"/>
      <c r="T126" s="1265"/>
      <c r="U126" s="1265"/>
    </row>
    <row r="127" spans="2:21" s="825" customFormat="1" ht="13.5" customHeight="1" x14ac:dyDescent="0.3">
      <c r="B127" s="1657" t="s">
        <v>4568</v>
      </c>
      <c r="C127" s="1120">
        <f>원가명세서!K19/1000000</f>
        <v>8.6349999999999998</v>
      </c>
      <c r="D127" s="1120">
        <f>원가명세서!L19/1000000</f>
        <v>31.132449999999999</v>
      </c>
      <c r="E127" s="1120">
        <f>원가명세서!M19/1000000</f>
        <v>69.358000000000004</v>
      </c>
      <c r="F127" s="1120">
        <f>원가명세서!N19/1000000</f>
        <v>74.260740999999996</v>
      </c>
      <c r="G127" s="1120">
        <f>원가명세서!O19/1000000</f>
        <v>104.859354</v>
      </c>
      <c r="H127" s="1120">
        <f>원가명세서!P19/1000000</f>
        <v>178.06021200000001</v>
      </c>
      <c r="I127" s="1808"/>
      <c r="J127" s="1120">
        <f t="shared" ref="J127:J187" si="171">H127+I127</f>
        <v>178.06021200000001</v>
      </c>
      <c r="K127" s="1120">
        <f>J127*(1+K$57)</f>
        <v>180.37499475599998</v>
      </c>
      <c r="L127" s="1120">
        <f t="shared" ref="L127:O131" si="172">K127*(1+L$57)</f>
        <v>183.08061967733997</v>
      </c>
      <c r="M127" s="1120">
        <f t="shared" si="172"/>
        <v>186.3760708315321</v>
      </c>
      <c r="N127" s="1120">
        <f t="shared" si="172"/>
        <v>190.10359224816276</v>
      </c>
      <c r="O127" s="1655">
        <f t="shared" si="172"/>
        <v>194.28587127762233</v>
      </c>
      <c r="P127" s="1016"/>
      <c r="Q127" s="1260"/>
      <c r="R127" s="1267" t="s">
        <v>4446</v>
      </c>
      <c r="S127" s="1266" t="s">
        <v>4557</v>
      </c>
      <c r="T127" s="1265" t="s">
        <v>3818</v>
      </c>
      <c r="U127" s="1267"/>
    </row>
    <row r="128" spans="2:21" s="825" customFormat="1" ht="13.5" customHeight="1" outlineLevel="1" x14ac:dyDescent="0.3">
      <c r="B128" s="863" t="s">
        <v>109</v>
      </c>
      <c r="C128" s="260"/>
      <c r="D128" s="260">
        <f>D127/C127-1</f>
        <v>2.6053792704111176</v>
      </c>
      <c r="E128" s="260">
        <f>E127/D127-1</f>
        <v>1.2278362287580968</v>
      </c>
      <c r="F128" s="260">
        <f t="shared" ref="F128:H128" si="173">F127/E127-1</f>
        <v>7.0687462152887903E-2</v>
      </c>
      <c r="G128" s="260">
        <f t="shared" si="173"/>
        <v>0.41204292588462055</v>
      </c>
      <c r="H128" s="260">
        <f t="shared" si="173"/>
        <v>0.69808610493633227</v>
      </c>
      <c r="I128" s="260"/>
      <c r="J128" s="260">
        <f>J127/G127-1</f>
        <v>0.69808610493633227</v>
      </c>
      <c r="K128" s="260">
        <f t="shared" ref="K128" si="174">K127/J127-1</f>
        <v>1.2999999999999901E-2</v>
      </c>
      <c r="L128" s="260">
        <f t="shared" ref="L128" si="175">L127/K127-1</f>
        <v>1.4999999999999902E-2</v>
      </c>
      <c r="M128" s="260">
        <f t="shared" ref="M128" si="176">M127/L127-1</f>
        <v>1.8000000000000016E-2</v>
      </c>
      <c r="N128" s="260">
        <f t="shared" ref="N128" si="177">N127/M127-1</f>
        <v>2.0000000000000018E-2</v>
      </c>
      <c r="O128" s="783">
        <f t="shared" ref="O128" si="178">O127/N127-1</f>
        <v>2.200000000000002E-2</v>
      </c>
      <c r="P128" s="404"/>
      <c r="Q128" s="1260"/>
      <c r="R128" s="1265"/>
      <c r="S128" s="1264"/>
      <c r="T128" s="1265"/>
      <c r="U128" s="1265"/>
    </row>
    <row r="129" spans="2:21" s="825" customFormat="1" ht="13.5" customHeight="1" outlineLevel="1" x14ac:dyDescent="0.3">
      <c r="B129" s="861" t="s">
        <v>133</v>
      </c>
      <c r="C129" s="182"/>
      <c r="D129" s="182">
        <f>D127/D$63</f>
        <v>9.8343396490443318E-4</v>
      </c>
      <c r="E129" s="182">
        <f t="shared" ref="E129:O129" si="179">E127/E$63</f>
        <v>1.316399099549475E-3</v>
      </c>
      <c r="F129" s="182">
        <f t="shared" si="179"/>
        <v>1.2326410275007805E-3</v>
      </c>
      <c r="G129" s="182">
        <f t="shared" si="179"/>
        <v>1.1525516174390423E-3</v>
      </c>
      <c r="H129" s="182">
        <f t="shared" si="179"/>
        <v>2.3363168468464534E-3</v>
      </c>
      <c r="I129" s="182"/>
      <c r="J129" s="182">
        <f t="shared" si="179"/>
        <v>2.3363168468464534E-3</v>
      </c>
      <c r="K129" s="182">
        <f t="shared" si="179"/>
        <v>1.8716481991312602E-3</v>
      </c>
      <c r="L129" s="182">
        <f t="shared" si="179"/>
        <v>1.8536264486436842E-3</v>
      </c>
      <c r="M129" s="182">
        <f t="shared" si="179"/>
        <v>1.8260483329565129E-3</v>
      </c>
      <c r="N129" s="182">
        <f t="shared" si="179"/>
        <v>1.8048933907243358E-3</v>
      </c>
      <c r="O129" s="787">
        <f t="shared" si="179"/>
        <v>1.7881751926196489E-3</v>
      </c>
      <c r="P129" s="404"/>
      <c r="Q129" s="1260"/>
      <c r="R129" s="1265"/>
      <c r="S129" s="1264"/>
      <c r="T129" s="1265"/>
      <c r="U129" s="1265"/>
    </row>
    <row r="130" spans="2:21" s="825" customFormat="1" ht="13.5" customHeight="1" outlineLevel="1" x14ac:dyDescent="0.3">
      <c r="B130" s="861" t="s">
        <v>4558</v>
      </c>
      <c r="C130" s="182">
        <f>C127/C$13</f>
        <v>2.9270399322928149E-4</v>
      </c>
      <c r="D130" s="182">
        <f>D127/D$13</f>
        <v>1.0555597249840801E-3</v>
      </c>
      <c r="E130" s="182">
        <f t="shared" ref="E130:O130" si="180">E127/E$13</f>
        <v>1.4148715021549448E-3</v>
      </c>
      <c r="F130" s="182">
        <f t="shared" si="180"/>
        <v>1.3205635009264998E-3</v>
      </c>
      <c r="G130" s="182">
        <f t="shared" si="180"/>
        <v>1.2104755266043044E-3</v>
      </c>
      <c r="H130" s="182">
        <f t="shared" si="180"/>
        <v>2.4737806184829806E-3</v>
      </c>
      <c r="I130" s="182"/>
      <c r="J130" s="182">
        <f t="shared" si="180"/>
        <v>2.4737806184829806E-3</v>
      </c>
      <c r="K130" s="182">
        <f t="shared" si="180"/>
        <v>2.0483452467503823E-3</v>
      </c>
      <c r="L130" s="182">
        <f t="shared" si="180"/>
        <v>2.0249540360101096E-3</v>
      </c>
      <c r="M130" s="182">
        <f t="shared" si="180"/>
        <v>1.993697448578535E-3</v>
      </c>
      <c r="N130" s="182">
        <f t="shared" si="180"/>
        <v>1.9686188290117513E-3</v>
      </c>
      <c r="O130" s="787">
        <f t="shared" si="180"/>
        <v>1.9478049957588465E-3</v>
      </c>
      <c r="P130" s="1016"/>
      <c r="Q130" s="1260"/>
      <c r="R130" s="1265"/>
      <c r="S130" s="1264"/>
      <c r="T130" s="1265"/>
      <c r="U130" s="1265"/>
    </row>
    <row r="131" spans="2:21" s="825" customFormat="1" ht="13.5" customHeight="1" x14ac:dyDescent="0.3">
      <c r="B131" s="1657" t="s">
        <v>4572</v>
      </c>
      <c r="C131" s="1120">
        <f>원가명세서!K20/1000000</f>
        <v>4.0055399999999999</v>
      </c>
      <c r="D131" s="1120">
        <f>원가명세서!L20/1000000</f>
        <v>24.91095</v>
      </c>
      <c r="E131" s="1120">
        <f>원가명세서!M20/1000000</f>
        <v>94.361490000000003</v>
      </c>
      <c r="F131" s="1120">
        <f>원가명세서!N20/1000000</f>
        <v>70.251949999999994</v>
      </c>
      <c r="G131" s="1120">
        <f>원가명세서!O20/1000000</f>
        <v>34.557029999999997</v>
      </c>
      <c r="H131" s="1120">
        <f>원가명세서!P20/1000000</f>
        <v>7.5918239999999999</v>
      </c>
      <c r="I131" s="1808"/>
      <c r="J131" s="1120">
        <f t="shared" si="171"/>
        <v>7.5918239999999999</v>
      </c>
      <c r="K131" s="1120">
        <f>J131*(1+K$57)</f>
        <v>7.6905177119999992</v>
      </c>
      <c r="L131" s="1120">
        <f t="shared" si="172"/>
        <v>7.8058754776799981</v>
      </c>
      <c r="M131" s="1120">
        <f t="shared" si="172"/>
        <v>7.9463812362782384</v>
      </c>
      <c r="N131" s="1120">
        <f t="shared" si="172"/>
        <v>8.1053088610038042</v>
      </c>
      <c r="O131" s="1655">
        <f t="shared" si="172"/>
        <v>8.2836256559458885</v>
      </c>
      <c r="P131" s="404"/>
      <c r="Q131" s="1260"/>
      <c r="R131" s="1265" t="s">
        <v>3819</v>
      </c>
      <c r="S131" s="1264" t="s">
        <v>3824</v>
      </c>
      <c r="T131" s="1265" t="s">
        <v>3818</v>
      </c>
      <c r="U131" s="1265"/>
    </row>
    <row r="132" spans="2:21" s="825" customFormat="1" ht="13.5" customHeight="1" outlineLevel="1" x14ac:dyDescent="0.3">
      <c r="B132" s="863" t="s">
        <v>109</v>
      </c>
      <c r="C132" s="260"/>
      <c r="D132" s="260">
        <f>D131/C131-1</f>
        <v>5.2191240132416601</v>
      </c>
      <c r="E132" s="260">
        <f>E131/D131-1</f>
        <v>2.7879522860428851</v>
      </c>
      <c r="F132" s="260">
        <f t="shared" ref="F132:H132" si="181">F131/E131-1</f>
        <v>-0.25550190019254682</v>
      </c>
      <c r="G132" s="260">
        <f t="shared" si="181"/>
        <v>-0.50809863640795738</v>
      </c>
      <c r="H132" s="260">
        <f t="shared" si="181"/>
        <v>-0.78031028708196271</v>
      </c>
      <c r="I132" s="260"/>
      <c r="J132" s="260">
        <f>J131/G131-1</f>
        <v>-0.78031028708196271</v>
      </c>
      <c r="K132" s="260">
        <f t="shared" ref="K132" si="182">K131/J131-1</f>
        <v>1.2999999999999901E-2</v>
      </c>
      <c r="L132" s="260">
        <f t="shared" ref="L132" si="183">L131/K131-1</f>
        <v>1.4999999999999902E-2</v>
      </c>
      <c r="M132" s="260">
        <f t="shared" ref="M132" si="184">M131/L131-1</f>
        <v>1.8000000000000016E-2</v>
      </c>
      <c r="N132" s="260">
        <f t="shared" ref="N132" si="185">N131/M131-1</f>
        <v>2.0000000000000018E-2</v>
      </c>
      <c r="O132" s="783">
        <f t="shared" ref="O132" si="186">O131/N131-1</f>
        <v>2.200000000000002E-2</v>
      </c>
      <c r="P132" s="404"/>
      <c r="Q132" s="1260"/>
      <c r="R132" s="1265"/>
      <c r="S132" s="1264"/>
      <c r="T132" s="1265"/>
      <c r="U132" s="1265"/>
    </row>
    <row r="133" spans="2:21" s="825" customFormat="1" ht="13.5" customHeight="1" outlineLevel="1" x14ac:dyDescent="0.3">
      <c r="B133" s="861" t="s">
        <v>133</v>
      </c>
      <c r="C133" s="182"/>
      <c r="D133" s="182">
        <f>D131/D$63</f>
        <v>7.8690479959129742E-4</v>
      </c>
      <c r="E133" s="182">
        <f t="shared" ref="E133:O133" si="187">E131/E$63</f>
        <v>1.7909596653327199E-3</v>
      </c>
      <c r="F133" s="182">
        <f t="shared" si="187"/>
        <v>1.1660998081332566E-3</v>
      </c>
      <c r="G133" s="182">
        <f t="shared" si="187"/>
        <v>3.7983030889537532E-4</v>
      </c>
      <c r="H133" s="182">
        <f t="shared" si="187"/>
        <v>9.9611845399202539E-5</v>
      </c>
      <c r="I133" s="182"/>
      <c r="J133" s="182">
        <f t="shared" si="187"/>
        <v>9.9611845399202539E-5</v>
      </c>
      <c r="K133" s="182">
        <f t="shared" si="187"/>
        <v>7.9800105582944502E-5</v>
      </c>
      <c r="L133" s="182">
        <f t="shared" si="187"/>
        <v>7.9031725289914224E-5</v>
      </c>
      <c r="M133" s="182">
        <f t="shared" si="187"/>
        <v>7.7855897191109958E-5</v>
      </c>
      <c r="N133" s="182">
        <f t="shared" si="187"/>
        <v>7.6953929276139403E-5</v>
      </c>
      <c r="O133" s="787">
        <f t="shared" si="187"/>
        <v>7.6241127599772115E-5</v>
      </c>
      <c r="P133" s="404"/>
      <c r="Q133" s="1260"/>
      <c r="R133" s="1265"/>
      <c r="S133" s="1264"/>
      <c r="T133" s="1265"/>
      <c r="U133" s="1265"/>
    </row>
    <row r="134" spans="2:21" s="825" customFormat="1" ht="13.5" customHeight="1" outlineLevel="1" x14ac:dyDescent="0.3">
      <c r="B134" s="861" t="s">
        <v>4558</v>
      </c>
      <c r="C134" s="182">
        <f>C131/C$13</f>
        <v>1.3577736572549116E-4</v>
      </c>
      <c r="D134" s="182">
        <f>D131/D$13</f>
        <v>8.4461696818246472E-4</v>
      </c>
      <c r="E134" s="182">
        <f t="shared" ref="E134:O134" si="188">E131/E$13</f>
        <v>1.9249312711133366E-3</v>
      </c>
      <c r="F134" s="182">
        <f t="shared" si="188"/>
        <v>1.2492759941476132E-3</v>
      </c>
      <c r="G134" s="182">
        <f t="shared" si="188"/>
        <v>3.9891948110924605E-4</v>
      </c>
      <c r="H134" s="182">
        <f t="shared" si="188"/>
        <v>1.054727884415522E-4</v>
      </c>
      <c r="I134" s="182"/>
      <c r="J134" s="182">
        <f t="shared" si="188"/>
        <v>1.054727884415522E-4</v>
      </c>
      <c r="K134" s="182">
        <f t="shared" si="188"/>
        <v>8.7333809332797353E-5</v>
      </c>
      <c r="L134" s="182">
        <f t="shared" si="188"/>
        <v>8.6336495260818923E-5</v>
      </c>
      <c r="M134" s="182">
        <f t="shared" si="188"/>
        <v>8.5003830832557279E-5</v>
      </c>
      <c r="N134" s="182">
        <f t="shared" si="188"/>
        <v>8.3934571935381663E-5</v>
      </c>
      <c r="O134" s="787">
        <f t="shared" si="188"/>
        <v>8.3047147636339494E-5</v>
      </c>
      <c r="P134" s="1016"/>
      <c r="Q134" s="1260"/>
      <c r="R134" s="1265"/>
      <c r="S134" s="1264"/>
      <c r="T134" s="1265"/>
      <c r="U134" s="1265"/>
    </row>
    <row r="135" spans="2:21" s="825" customFormat="1" ht="13.5" customHeight="1" x14ac:dyDescent="0.3">
      <c r="B135" s="1657" t="s">
        <v>4573</v>
      </c>
      <c r="C135" s="1120">
        <f>원가명세서!K22/1000000</f>
        <v>0</v>
      </c>
      <c r="D135" s="1120">
        <f>원가명세서!L22/1000000</f>
        <v>2.1363629999999998</v>
      </c>
      <c r="E135" s="1120">
        <f>원가명세서!M22/1000000</f>
        <v>0</v>
      </c>
      <c r="F135" s="1120">
        <f>원가명세서!N22/1000000</f>
        <v>8.7247339999999998</v>
      </c>
      <c r="G135" s="1120">
        <f>원가명세서!O22/1000000</f>
        <v>0</v>
      </c>
      <c r="H135" s="1120">
        <f>원가명세서!P22/1000000</f>
        <v>0</v>
      </c>
      <c r="I135" s="1808"/>
      <c r="J135" s="1120">
        <f t="shared" si="171"/>
        <v>0</v>
      </c>
      <c r="K135" s="1120"/>
      <c r="L135" s="1120"/>
      <c r="M135" s="1120"/>
      <c r="N135" s="1120"/>
      <c r="O135" s="1655"/>
      <c r="P135" s="1016"/>
      <c r="Q135" s="1260"/>
      <c r="R135" s="1265"/>
      <c r="S135" s="1264"/>
      <c r="T135" s="1265" t="s">
        <v>4447</v>
      </c>
      <c r="U135" s="1265"/>
    </row>
    <row r="136" spans="2:21" s="825" customFormat="1" ht="13.5" customHeight="1" outlineLevel="1" x14ac:dyDescent="0.3">
      <c r="B136" s="863" t="s">
        <v>109</v>
      </c>
      <c r="C136" s="260"/>
      <c r="D136" s="260" t="e">
        <f>D135/C135-1</f>
        <v>#DIV/0!</v>
      </c>
      <c r="E136" s="260">
        <f>E135/D135-1</f>
        <v>-1</v>
      </c>
      <c r="F136" s="260" t="e">
        <f t="shared" ref="F136:G136" si="189">F135/E135-1</f>
        <v>#DIV/0!</v>
      </c>
      <c r="G136" s="260">
        <f t="shared" si="189"/>
        <v>-1</v>
      </c>
      <c r="H136" s="260"/>
      <c r="I136" s="260"/>
      <c r="J136" s="260" t="e">
        <f>J135/G135-1</f>
        <v>#DIV/0!</v>
      </c>
      <c r="K136" s="260" t="e">
        <f t="shared" ref="K136" si="190">K135/J135-1</f>
        <v>#DIV/0!</v>
      </c>
      <c r="L136" s="260" t="e">
        <f t="shared" ref="L136" si="191">L135/K135-1</f>
        <v>#DIV/0!</v>
      </c>
      <c r="M136" s="260" t="e">
        <f t="shared" ref="M136" si="192">M135/L135-1</f>
        <v>#DIV/0!</v>
      </c>
      <c r="N136" s="260" t="e">
        <f t="shared" ref="N136" si="193">N135/M135-1</f>
        <v>#DIV/0!</v>
      </c>
      <c r="O136" s="783" t="e">
        <f t="shared" ref="O136" si="194">O135/N135-1</f>
        <v>#DIV/0!</v>
      </c>
      <c r="P136" s="404"/>
      <c r="Q136" s="1260"/>
      <c r="R136" s="1265"/>
      <c r="S136" s="1264"/>
      <c r="T136" s="1265"/>
      <c r="U136" s="1265"/>
    </row>
    <row r="137" spans="2:21" s="825" customFormat="1" ht="13.5" customHeight="1" outlineLevel="1" x14ac:dyDescent="0.3">
      <c r="B137" s="861" t="s">
        <v>133</v>
      </c>
      <c r="C137" s="182"/>
      <c r="D137" s="182">
        <f>D135/D$63</f>
        <v>6.7484953338562477E-5</v>
      </c>
      <c r="E137" s="182">
        <f t="shared" ref="E137:O137" si="195">E135/E$63</f>
        <v>0</v>
      </c>
      <c r="F137" s="182">
        <f t="shared" si="195"/>
        <v>1.4482033087214946E-4</v>
      </c>
      <c r="G137" s="182">
        <f t="shared" si="195"/>
        <v>0</v>
      </c>
      <c r="H137" s="182">
        <f t="shared" si="195"/>
        <v>0</v>
      </c>
      <c r="I137" s="182"/>
      <c r="J137" s="182">
        <f t="shared" si="195"/>
        <v>0</v>
      </c>
      <c r="K137" s="182">
        <f t="shared" si="195"/>
        <v>0</v>
      </c>
      <c r="L137" s="182">
        <f t="shared" si="195"/>
        <v>0</v>
      </c>
      <c r="M137" s="182">
        <f t="shared" si="195"/>
        <v>0</v>
      </c>
      <c r="N137" s="182">
        <f t="shared" si="195"/>
        <v>0</v>
      </c>
      <c r="O137" s="787">
        <f t="shared" si="195"/>
        <v>0</v>
      </c>
      <c r="P137" s="404"/>
      <c r="Q137" s="1260"/>
      <c r="R137" s="1265"/>
      <c r="S137" s="1264"/>
      <c r="T137" s="1265"/>
      <c r="U137" s="1265"/>
    </row>
    <row r="138" spans="2:21" s="825" customFormat="1" ht="13.5" customHeight="1" outlineLevel="1" x14ac:dyDescent="0.3">
      <c r="B138" s="861" t="s">
        <v>4558</v>
      </c>
      <c r="C138" s="182">
        <f>C135/C$13</f>
        <v>0</v>
      </c>
      <c r="D138" s="182">
        <f>D135/D$13</f>
        <v>7.2434348750135763E-5</v>
      </c>
      <c r="E138" s="182">
        <f t="shared" ref="E138:O138" si="196">E135/E$13</f>
        <v>0</v>
      </c>
      <c r="F138" s="182">
        <f t="shared" si="196"/>
        <v>1.5515015229503924E-4</v>
      </c>
      <c r="G138" s="182">
        <f t="shared" si="196"/>
        <v>0</v>
      </c>
      <c r="H138" s="182">
        <f t="shared" si="196"/>
        <v>0</v>
      </c>
      <c r="I138" s="182"/>
      <c r="J138" s="182">
        <f t="shared" si="196"/>
        <v>0</v>
      </c>
      <c r="K138" s="182">
        <f t="shared" si="196"/>
        <v>0</v>
      </c>
      <c r="L138" s="182">
        <f t="shared" si="196"/>
        <v>0</v>
      </c>
      <c r="M138" s="182">
        <f t="shared" si="196"/>
        <v>0</v>
      </c>
      <c r="N138" s="182">
        <f t="shared" si="196"/>
        <v>0</v>
      </c>
      <c r="O138" s="787">
        <f t="shared" si="196"/>
        <v>0</v>
      </c>
      <c r="P138" s="1016"/>
      <c r="Q138" s="1260"/>
      <c r="R138" s="1265"/>
      <c r="S138" s="1264"/>
      <c r="T138" s="1265"/>
      <c r="U138" s="1265"/>
    </row>
    <row r="139" spans="2:21" s="825" customFormat="1" ht="13.5" customHeight="1" x14ac:dyDescent="0.3">
      <c r="B139" s="1657" t="s">
        <v>4574</v>
      </c>
      <c r="C139" s="1120">
        <f>원가명세서!K23/1000000</f>
        <v>0.40489199999999997</v>
      </c>
      <c r="D139" s="1120">
        <f>원가명세서!L23/1000000</f>
        <v>10.280502</v>
      </c>
      <c r="E139" s="1120">
        <f>원가명세서!M23/1000000</f>
        <v>23.370294999999999</v>
      </c>
      <c r="F139" s="1120">
        <f>원가명세서!N23/1000000</f>
        <v>33.934688999999999</v>
      </c>
      <c r="G139" s="1120">
        <f>원가명세서!O23/1000000</f>
        <v>36.431578999999999</v>
      </c>
      <c r="H139" s="1120">
        <f>원가명세서!P23/1000000</f>
        <v>41.782986999999999</v>
      </c>
      <c r="I139" s="1808"/>
      <c r="J139" s="1120">
        <f t="shared" si="171"/>
        <v>41.782986999999999</v>
      </c>
      <c r="K139" s="1120">
        <f t="shared" ref="K139:O139" si="197">J139*(1+K$57)</f>
        <v>42.326165830999997</v>
      </c>
      <c r="L139" s="1120">
        <f t="shared" si="197"/>
        <v>42.961058318464993</v>
      </c>
      <c r="M139" s="1120">
        <f t="shared" si="197"/>
        <v>43.734357368197365</v>
      </c>
      <c r="N139" s="1120">
        <f t="shared" si="197"/>
        <v>44.609044515561315</v>
      </c>
      <c r="O139" s="1655">
        <f t="shared" si="197"/>
        <v>45.590443494903667</v>
      </c>
      <c r="P139" s="404"/>
      <c r="Q139" s="1260"/>
      <c r="R139" s="1265" t="s">
        <v>4446</v>
      </c>
      <c r="S139" s="1264"/>
      <c r="T139" s="1265" t="s">
        <v>4446</v>
      </c>
      <c r="U139" s="1265"/>
    </row>
    <row r="140" spans="2:21" s="825" customFormat="1" ht="13.5" customHeight="1" outlineLevel="1" x14ac:dyDescent="0.3">
      <c r="B140" s="863" t="s">
        <v>109</v>
      </c>
      <c r="C140" s="260"/>
      <c r="D140" s="260">
        <f>D139/C139-1</f>
        <v>24.390726415933141</v>
      </c>
      <c r="E140" s="260">
        <f>E139/D139-1</f>
        <v>1.2732639904160319</v>
      </c>
      <c r="F140" s="260">
        <f t="shared" ref="F140:G140" si="198">F139/E139-1</f>
        <v>0.45204367338965978</v>
      </c>
      <c r="G140" s="260">
        <f t="shared" si="198"/>
        <v>7.3579280481987031E-2</v>
      </c>
      <c r="H140" s="260"/>
      <c r="I140" s="260"/>
      <c r="J140" s="260">
        <f>J139/G139-1</f>
        <v>0.14688926878519326</v>
      </c>
      <c r="K140" s="260">
        <f t="shared" ref="K140" si="199">K139/J139-1</f>
        <v>1.2999999999999901E-2</v>
      </c>
      <c r="L140" s="260">
        <f t="shared" ref="L140" si="200">L139/K139-1</f>
        <v>1.4999999999999902E-2</v>
      </c>
      <c r="M140" s="260">
        <f t="shared" ref="M140" si="201">M139/L139-1</f>
        <v>1.8000000000000016E-2</v>
      </c>
      <c r="N140" s="260">
        <f t="shared" ref="N140" si="202">N139/M139-1</f>
        <v>2.0000000000000018E-2</v>
      </c>
      <c r="O140" s="783">
        <f t="shared" ref="O140" si="203">O139/N139-1</f>
        <v>2.200000000000002E-2</v>
      </c>
      <c r="P140" s="404"/>
      <c r="Q140" s="1260"/>
      <c r="R140" s="1265"/>
      <c r="S140" s="1264"/>
      <c r="T140" s="1265"/>
      <c r="U140" s="1265"/>
    </row>
    <row r="141" spans="2:21" s="825" customFormat="1" ht="13.5" customHeight="1" outlineLevel="1" x14ac:dyDescent="0.3">
      <c r="B141" s="861" t="s">
        <v>133</v>
      </c>
      <c r="C141" s="182"/>
      <c r="D141" s="182">
        <f>D139/D$63</f>
        <v>3.2474780632645213E-4</v>
      </c>
      <c r="E141" s="182">
        <f t="shared" ref="E141:O141" si="204">E139/E$63</f>
        <v>4.4356289532866564E-4</v>
      </c>
      <c r="F141" s="182">
        <f t="shared" si="204"/>
        <v>5.6327595649603647E-4</v>
      </c>
      <c r="G141" s="182">
        <f t="shared" si="204"/>
        <v>4.0043423596056339E-4</v>
      </c>
      <c r="H141" s="182">
        <f t="shared" si="204"/>
        <v>5.4823194549305791E-4</v>
      </c>
      <c r="I141" s="182"/>
      <c r="J141" s="182">
        <f t="shared" si="204"/>
        <v>5.4823194549305791E-4</v>
      </c>
      <c r="K141" s="182">
        <f t="shared" si="204"/>
        <v>4.3919442470884433E-4</v>
      </c>
      <c r="L141" s="182">
        <f t="shared" si="204"/>
        <v>4.3496550372822888E-4</v>
      </c>
      <c r="M141" s="182">
        <f t="shared" si="204"/>
        <v>4.2849411949084758E-4</v>
      </c>
      <c r="N141" s="182">
        <f t="shared" si="204"/>
        <v>4.2352997468643271E-4</v>
      </c>
      <c r="O141" s="787">
        <f t="shared" si="204"/>
        <v>4.196069407518693E-4</v>
      </c>
      <c r="P141" s="404"/>
      <c r="Q141" s="1260"/>
      <c r="R141" s="1265"/>
      <c r="S141" s="1264"/>
      <c r="T141" s="1265"/>
      <c r="U141" s="1265"/>
    </row>
    <row r="142" spans="2:21" s="825" customFormat="1" ht="13.5" customHeight="1" outlineLevel="1" x14ac:dyDescent="0.3">
      <c r="B142" s="861" t="s">
        <v>4558</v>
      </c>
      <c r="C142" s="182">
        <f>C139/C$13</f>
        <v>1.3724783465731352E-5</v>
      </c>
      <c r="D142" s="182">
        <f>D139/D$13</f>
        <v>3.4856504591891375E-4</v>
      </c>
      <c r="E142" s="182">
        <f t="shared" ref="E142:O142" si="205">E139/E$13</f>
        <v>4.767433373576832E-4</v>
      </c>
      <c r="F142" s="182">
        <f t="shared" si="205"/>
        <v>6.034536028760066E-4</v>
      </c>
      <c r="G142" s="182">
        <f t="shared" si="205"/>
        <v>4.2055890192735037E-4</v>
      </c>
      <c r="H142" s="182">
        <f t="shared" si="205"/>
        <v>5.8048871368818948E-4</v>
      </c>
      <c r="I142" s="182"/>
      <c r="J142" s="182">
        <f t="shared" si="205"/>
        <v>5.8048871368818948E-4</v>
      </c>
      <c r="K142" s="182">
        <f t="shared" si="205"/>
        <v>4.8065753631969742E-4</v>
      </c>
      <c r="L142" s="182">
        <f t="shared" si="205"/>
        <v>4.7516863656327636E-4</v>
      </c>
      <c r="M142" s="182">
        <f t="shared" si="205"/>
        <v>4.6783407500317981E-4</v>
      </c>
      <c r="N142" s="182">
        <f t="shared" si="205"/>
        <v>4.6194921378928398E-4</v>
      </c>
      <c r="O142" s="787">
        <f t="shared" si="205"/>
        <v>4.5706511242571667E-4</v>
      </c>
      <c r="P142" s="1016"/>
      <c r="Q142" s="1260"/>
      <c r="R142" s="1265"/>
      <c r="S142" s="1264"/>
      <c r="T142" s="1265"/>
      <c r="U142" s="1265"/>
    </row>
    <row r="143" spans="2:21" s="825" customFormat="1" ht="13.5" customHeight="1" x14ac:dyDescent="0.3">
      <c r="B143" s="1657" t="s">
        <v>4575</v>
      </c>
      <c r="C143" s="1120">
        <f>원가명세서!K24/1000000</f>
        <v>16.812711</v>
      </c>
      <c r="D143" s="1120">
        <f>원가명세서!L24/1000000</f>
        <v>5.6617069999999998</v>
      </c>
      <c r="E143" s="1120">
        <f>원가명세서!M24/1000000</f>
        <v>46.028430999999998</v>
      </c>
      <c r="F143" s="1120">
        <f>원가명세서!N24/1000000</f>
        <v>27.288717999999999</v>
      </c>
      <c r="G143" s="1120">
        <f>원가명세서!O24/1000000</f>
        <v>28.521843000000001</v>
      </c>
      <c r="H143" s="1120">
        <f>원가명세서!P24/1000000</f>
        <v>38.576692999999999</v>
      </c>
      <c r="I143" s="1808"/>
      <c r="J143" s="1120">
        <f t="shared" si="171"/>
        <v>38.576692999999999</v>
      </c>
      <c r="K143" s="1120">
        <f t="shared" ref="K143:O143" si="206">J143*(1+K$57)</f>
        <v>39.078190008999997</v>
      </c>
      <c r="L143" s="1120">
        <f t="shared" si="206"/>
        <v>39.664362859134989</v>
      </c>
      <c r="M143" s="1120">
        <f t="shared" si="206"/>
        <v>40.378321390599417</v>
      </c>
      <c r="N143" s="1120">
        <f t="shared" si="206"/>
        <v>41.185887818411409</v>
      </c>
      <c r="O143" s="1655">
        <f t="shared" si="206"/>
        <v>42.091977350416464</v>
      </c>
      <c r="P143" s="404"/>
      <c r="Q143" s="1258"/>
      <c r="R143" s="1265" t="s">
        <v>4446</v>
      </c>
      <c r="S143" s="1264"/>
      <c r="T143" s="1265" t="s">
        <v>4446</v>
      </c>
      <c r="U143" s="1265"/>
    </row>
    <row r="144" spans="2:21" s="825" customFormat="1" ht="13.5" customHeight="1" outlineLevel="1" x14ac:dyDescent="0.3">
      <c r="B144" s="863" t="s">
        <v>109</v>
      </c>
      <c r="C144" s="260"/>
      <c r="D144" s="260">
        <f>D143/C143-1</f>
        <v>-0.66324841960347736</v>
      </c>
      <c r="E144" s="260">
        <f>E143/D143-1</f>
        <v>7.1297797643007659</v>
      </c>
      <c r="F144" s="260">
        <f t="shared" ref="F144:G144" si="207">F143/E143-1</f>
        <v>-0.4071334302053442</v>
      </c>
      <c r="G144" s="260">
        <f t="shared" si="207"/>
        <v>4.518808835211674E-2</v>
      </c>
      <c r="H144" s="260"/>
      <c r="I144" s="260"/>
      <c r="J144" s="260">
        <f>J143/G143-1</f>
        <v>0.3525315667714739</v>
      </c>
      <c r="K144" s="260">
        <f t="shared" ref="K144" si="208">K143/J143-1</f>
        <v>1.2999999999999901E-2</v>
      </c>
      <c r="L144" s="260">
        <f t="shared" ref="L144" si="209">L143/K143-1</f>
        <v>1.4999999999999902E-2</v>
      </c>
      <c r="M144" s="260">
        <f t="shared" ref="M144" si="210">M143/L143-1</f>
        <v>1.8000000000000016E-2</v>
      </c>
      <c r="N144" s="260">
        <f t="shared" ref="N144" si="211">N143/M143-1</f>
        <v>2.0000000000000018E-2</v>
      </c>
      <c r="O144" s="783">
        <f t="shared" ref="O144" si="212">O143/N143-1</f>
        <v>2.200000000000002E-2</v>
      </c>
      <c r="P144" s="404"/>
      <c r="Q144" s="1260"/>
      <c r="R144" s="1265"/>
      <c r="S144" s="1264"/>
      <c r="T144" s="1265"/>
      <c r="U144" s="1265"/>
    </row>
    <row r="145" spans="2:21" s="825" customFormat="1" ht="13.5" customHeight="1" outlineLevel="1" x14ac:dyDescent="0.3">
      <c r="B145" s="861" t="s">
        <v>133</v>
      </c>
      <c r="C145" s="182"/>
      <c r="D145" s="182">
        <f>D143/D$63</f>
        <v>1.7884602603191149E-4</v>
      </c>
      <c r="E145" s="182">
        <f t="shared" ref="E145:O145" si="213">E143/E$63</f>
        <v>8.7360917445824745E-4</v>
      </c>
      <c r="F145" s="182">
        <f t="shared" si="213"/>
        <v>4.5296064840908394E-4</v>
      </c>
      <c r="G145" s="182">
        <f t="shared" si="213"/>
        <v>3.1349512492698006E-4</v>
      </c>
      <c r="H145" s="182">
        <f t="shared" si="213"/>
        <v>5.0616236350164317E-4</v>
      </c>
      <c r="I145" s="182"/>
      <c r="J145" s="182">
        <f t="shared" si="213"/>
        <v>5.0616236350164317E-4</v>
      </c>
      <c r="K145" s="182">
        <f t="shared" si="213"/>
        <v>4.0549203649094549E-4</v>
      </c>
      <c r="L145" s="182">
        <f t="shared" si="213"/>
        <v>4.015876295037078E-4</v>
      </c>
      <c r="M145" s="182">
        <f t="shared" si="213"/>
        <v>3.9561283878301331E-4</v>
      </c>
      <c r="N145" s="182">
        <f t="shared" si="213"/>
        <v>3.9102962671807743E-4</v>
      </c>
      <c r="O145" s="787">
        <f t="shared" si="213"/>
        <v>3.8740763397442237E-4</v>
      </c>
      <c r="P145" s="404"/>
      <c r="Q145" s="1260"/>
      <c r="R145" s="1265"/>
      <c r="S145" s="1264"/>
      <c r="T145" s="1265"/>
      <c r="U145" s="1265"/>
    </row>
    <row r="146" spans="2:21" s="825" customFormat="1" ht="13.5" customHeight="1" outlineLevel="1" x14ac:dyDescent="0.3">
      <c r="B146" s="861" t="s">
        <v>4558</v>
      </c>
      <c r="C146" s="182">
        <f>C143/C$13</f>
        <v>5.6990708126344717E-4</v>
      </c>
      <c r="D146" s="182">
        <f>D143/D$13</f>
        <v>1.9196272326336159E-4</v>
      </c>
      <c r="E146" s="182">
        <f t="shared" ref="E146:O146" si="214">E143/E$13</f>
        <v>9.3895895658475188E-4</v>
      </c>
      <c r="F146" s="182">
        <f t="shared" si="214"/>
        <v>4.8526966594470143E-4</v>
      </c>
      <c r="G146" s="182">
        <f t="shared" si="214"/>
        <v>3.2925048274806549E-4</v>
      </c>
      <c r="H146" s="182">
        <f t="shared" si="214"/>
        <v>5.3594384953651556E-4</v>
      </c>
      <c r="I146" s="182"/>
      <c r="J146" s="182">
        <f t="shared" si="214"/>
        <v>5.3594384953651556E-4</v>
      </c>
      <c r="K146" s="182">
        <f t="shared" si="214"/>
        <v>4.4377340032538407E-4</v>
      </c>
      <c r="L146" s="182">
        <f t="shared" si="214"/>
        <v>4.3870570134035857E-4</v>
      </c>
      <c r="M146" s="182">
        <f t="shared" si="214"/>
        <v>4.3193397078903522E-4</v>
      </c>
      <c r="N146" s="182">
        <f t="shared" si="214"/>
        <v>4.2650069517386521E-4</v>
      </c>
      <c r="O146" s="787">
        <f t="shared" si="214"/>
        <v>4.2199138426980709E-4</v>
      </c>
      <c r="P146" s="1016"/>
      <c r="Q146" s="1260"/>
      <c r="R146" s="1265"/>
      <c r="S146" s="1264"/>
      <c r="T146" s="1265"/>
      <c r="U146" s="1265"/>
    </row>
    <row r="147" spans="2:21" s="825" customFormat="1" ht="13.5" customHeight="1" x14ac:dyDescent="0.3">
      <c r="B147" s="1657" t="s">
        <v>4576</v>
      </c>
      <c r="C147" s="1120">
        <f>원가명세서!K25/1000000</f>
        <v>172.09309500000001</v>
      </c>
      <c r="D147" s="1120">
        <f>원가명세서!L25/1000000</f>
        <v>223.57673399999999</v>
      </c>
      <c r="E147" s="1120">
        <f>원가명세서!M25/1000000</f>
        <v>387.74636099999998</v>
      </c>
      <c r="F147" s="1120">
        <f>원가명세서!N25/1000000</f>
        <v>526.73709799999995</v>
      </c>
      <c r="G147" s="1120">
        <f>원가명세서!O25/1000000</f>
        <v>615.30051900000001</v>
      </c>
      <c r="H147" s="1120">
        <f>원가명세서!P25/1000000</f>
        <v>538.64653999999996</v>
      </c>
      <c r="I147" s="1808"/>
      <c r="J147" s="1120">
        <f t="shared" si="171"/>
        <v>538.64653999999996</v>
      </c>
      <c r="K147" s="1120">
        <f t="shared" ref="K147:O147" si="215">J147*(1+K$57)</f>
        <v>545.64894501999993</v>
      </c>
      <c r="L147" s="1120">
        <f t="shared" si="215"/>
        <v>553.83367919529985</v>
      </c>
      <c r="M147" s="1120">
        <f t="shared" si="215"/>
        <v>563.80268542081524</v>
      </c>
      <c r="N147" s="1120">
        <f t="shared" si="215"/>
        <v>575.07873912923151</v>
      </c>
      <c r="O147" s="1655">
        <f t="shared" si="215"/>
        <v>587.73047139007463</v>
      </c>
      <c r="P147" s="1016"/>
      <c r="Q147" s="1260"/>
      <c r="R147" s="1265" t="s">
        <v>4446</v>
      </c>
      <c r="S147" s="1264"/>
      <c r="T147" s="1265" t="s">
        <v>4446</v>
      </c>
      <c r="U147" s="1265"/>
    </row>
    <row r="148" spans="2:21" s="825" customFormat="1" ht="13.5" customHeight="1" outlineLevel="1" x14ac:dyDescent="0.3">
      <c r="B148" s="863" t="s">
        <v>109</v>
      </c>
      <c r="C148" s="260"/>
      <c r="D148" s="260">
        <f>D147/C147-1</f>
        <v>0.29916156136305161</v>
      </c>
      <c r="E148" s="260">
        <f>E147/D147-1</f>
        <v>0.73428761599138492</v>
      </c>
      <c r="F148" s="260">
        <f t="shared" ref="F148:G148" si="216">F147/E147-1</f>
        <v>0.35845787602375445</v>
      </c>
      <c r="G148" s="260">
        <f t="shared" si="216"/>
        <v>0.16813590942478118</v>
      </c>
      <c r="H148" s="260"/>
      <c r="I148" s="260"/>
      <c r="J148" s="260">
        <f>J147/G147-1</f>
        <v>-0.12457974052188314</v>
      </c>
      <c r="K148" s="260">
        <f t="shared" ref="K148" si="217">K147/J147-1</f>
        <v>1.2999999999999901E-2</v>
      </c>
      <c r="L148" s="260">
        <f t="shared" ref="L148" si="218">L147/K147-1</f>
        <v>1.4999999999999902E-2</v>
      </c>
      <c r="M148" s="260">
        <f t="shared" ref="M148" si="219">M147/L147-1</f>
        <v>1.8000000000000016E-2</v>
      </c>
      <c r="N148" s="260">
        <f t="shared" ref="N148" si="220">N147/M147-1</f>
        <v>2.0000000000000018E-2</v>
      </c>
      <c r="O148" s="783">
        <f t="shared" ref="O148" si="221">O147/N147-1</f>
        <v>2.200000000000002E-2</v>
      </c>
      <c r="P148" s="404"/>
      <c r="Q148" s="1260"/>
      <c r="R148" s="1265"/>
      <c r="S148" s="1264"/>
      <c r="T148" s="1265"/>
      <c r="U148" s="1265"/>
    </row>
    <row r="149" spans="2:21" s="825" customFormat="1" ht="13.5" customHeight="1" outlineLevel="1" x14ac:dyDescent="0.3">
      <c r="B149" s="861" t="s">
        <v>133</v>
      </c>
      <c r="C149" s="182"/>
      <c r="D149" s="182">
        <f>D147/D$63</f>
        <v>7.0625008304198277E-3</v>
      </c>
      <c r="E149" s="182">
        <f t="shared" ref="E149:O149" si="222">E147/E$63</f>
        <v>7.3593379346864902E-3</v>
      </c>
      <c r="F149" s="182">
        <f t="shared" si="222"/>
        <v>8.7432167920530081E-3</v>
      </c>
      <c r="G149" s="182">
        <f t="shared" si="222"/>
        <v>6.7630171399351959E-3</v>
      </c>
      <c r="H149" s="182">
        <f t="shared" si="222"/>
        <v>7.0675473861479612E-3</v>
      </c>
      <c r="I149" s="182"/>
      <c r="J149" s="182">
        <f t="shared" si="222"/>
        <v>7.0675473861479612E-3</v>
      </c>
      <c r="K149" s="182">
        <f t="shared" si="222"/>
        <v>5.6618871517421553E-3</v>
      </c>
      <c r="L149" s="182">
        <f t="shared" si="222"/>
        <v>5.6073698992024565E-3</v>
      </c>
      <c r="M149" s="182">
        <f t="shared" si="222"/>
        <v>5.5239438691659735E-3</v>
      </c>
      <c r="N149" s="182">
        <f t="shared" si="222"/>
        <v>5.4599484582357524E-3</v>
      </c>
      <c r="O149" s="787">
        <f t="shared" si="222"/>
        <v>5.4093745570650397E-3</v>
      </c>
      <c r="P149" s="404"/>
      <c r="Q149" s="1260"/>
      <c r="R149" s="1265"/>
      <c r="S149" s="1264"/>
      <c r="T149" s="1265"/>
      <c r="U149" s="1265"/>
    </row>
    <row r="150" spans="2:21" s="825" customFormat="1" ht="13.5" customHeight="1" outlineLevel="1" x14ac:dyDescent="0.3">
      <c r="B150" s="861" t="s">
        <v>4558</v>
      </c>
      <c r="C150" s="182">
        <f>C147/C$13</f>
        <v>5.8335073669584358E-3</v>
      </c>
      <c r="D150" s="182">
        <f>D147/D$13</f>
        <v>7.5804697623822999E-3</v>
      </c>
      <c r="E150" s="182">
        <f t="shared" ref="E150:O150" si="223">E147/E$13</f>
        <v>7.9098485573860754E-3</v>
      </c>
      <c r="F150" s="182">
        <f t="shared" si="223"/>
        <v>9.3668575998015532E-3</v>
      </c>
      <c r="G150" s="182">
        <f t="shared" si="223"/>
        <v>7.1029068113124825E-3</v>
      </c>
      <c r="H150" s="182">
        <f t="shared" si="223"/>
        <v>7.4833864112490069E-3</v>
      </c>
      <c r="I150" s="182"/>
      <c r="J150" s="182">
        <f t="shared" si="223"/>
        <v>7.4833864112490069E-3</v>
      </c>
      <c r="K150" s="182">
        <f t="shared" si="223"/>
        <v>6.1964100092587763E-3</v>
      </c>
      <c r="L150" s="182">
        <f t="shared" si="223"/>
        <v>6.1256497052574596E-3</v>
      </c>
      <c r="M150" s="182">
        <f t="shared" si="223"/>
        <v>6.0310960007374115E-3</v>
      </c>
      <c r="N150" s="182">
        <f t="shared" si="223"/>
        <v>5.9552311485849023E-3</v>
      </c>
      <c r="O150" s="787">
        <f t="shared" si="223"/>
        <v>5.8922676199004926E-3</v>
      </c>
      <c r="P150" s="1016"/>
      <c r="Q150" s="1260"/>
      <c r="R150" s="1265"/>
      <c r="S150" s="1264"/>
      <c r="T150" s="1265"/>
      <c r="U150" s="1265"/>
    </row>
    <row r="151" spans="2:21" s="825" customFormat="1" ht="13.5" customHeight="1" x14ac:dyDescent="0.3">
      <c r="B151" s="1657" t="s">
        <v>4577</v>
      </c>
      <c r="C151" s="1120">
        <f>원가명세서!K26/1000000</f>
        <v>0.03</v>
      </c>
      <c r="D151" s="1120">
        <f>원가명세서!L26/1000000</f>
        <v>0.45379999999999998</v>
      </c>
      <c r="E151" s="1120">
        <f>원가명세서!M26/1000000</f>
        <v>3.6777489999999999</v>
      </c>
      <c r="F151" s="1120">
        <f>원가명세서!N26/1000000</f>
        <v>0.46176899999999999</v>
      </c>
      <c r="G151" s="1120">
        <f>원가명세서!O26/1000000</f>
        <v>3.1302530000000002</v>
      </c>
      <c r="H151" s="1120">
        <f>원가명세서!P26/1000000</f>
        <v>0.21251300000000001</v>
      </c>
      <c r="I151" s="1808"/>
      <c r="J151" s="1120">
        <f t="shared" si="171"/>
        <v>0.21251300000000001</v>
      </c>
      <c r="K151" s="1120">
        <f t="shared" ref="K151:O151" si="224">J151*(1+K$57)</f>
        <v>0.21527566899999998</v>
      </c>
      <c r="L151" s="1120">
        <f t="shared" si="224"/>
        <v>0.21850480403499994</v>
      </c>
      <c r="M151" s="1120">
        <f t="shared" si="224"/>
        <v>0.22243789050762994</v>
      </c>
      <c r="N151" s="1120">
        <f t="shared" si="224"/>
        <v>0.22688664831778255</v>
      </c>
      <c r="O151" s="1655">
        <f t="shared" si="224"/>
        <v>0.23187815458077377</v>
      </c>
      <c r="P151" s="404"/>
      <c r="Q151" s="1260"/>
      <c r="R151" s="1265" t="s">
        <v>4446</v>
      </c>
      <c r="S151" s="1264"/>
      <c r="T151" s="1265" t="s">
        <v>4446</v>
      </c>
      <c r="U151" s="1265"/>
    </row>
    <row r="152" spans="2:21" s="825" customFormat="1" ht="13.5" customHeight="1" outlineLevel="1" x14ac:dyDescent="0.3">
      <c r="B152" s="863" t="s">
        <v>109</v>
      </c>
      <c r="C152" s="260"/>
      <c r="D152" s="260">
        <f>D151/C151-1</f>
        <v>14.126666666666667</v>
      </c>
      <c r="E152" s="260">
        <f>E151/D151-1</f>
        <v>7.1043389158219483</v>
      </c>
      <c r="F152" s="260">
        <f t="shared" ref="F152:G152" si="225">F151/E151-1</f>
        <v>-0.87444249186119016</v>
      </c>
      <c r="G152" s="260">
        <f t="shared" si="225"/>
        <v>5.7788288083435662</v>
      </c>
      <c r="H152" s="260"/>
      <c r="I152" s="260"/>
      <c r="J152" s="260">
        <f>J151/G151-1</f>
        <v>-0.93210996044089722</v>
      </c>
      <c r="K152" s="260">
        <f t="shared" ref="K152" si="226">K151/J151-1</f>
        <v>1.2999999999999901E-2</v>
      </c>
      <c r="L152" s="260">
        <f t="shared" ref="L152" si="227">L151/K151-1</f>
        <v>1.4999999999999902E-2</v>
      </c>
      <c r="M152" s="260">
        <f t="shared" ref="M152" si="228">M151/L151-1</f>
        <v>1.8000000000000016E-2</v>
      </c>
      <c r="N152" s="260">
        <f t="shared" ref="N152" si="229">N151/M151-1</f>
        <v>2.0000000000000018E-2</v>
      </c>
      <c r="O152" s="783">
        <f t="shared" ref="O152" si="230">O151/N151-1</f>
        <v>2.200000000000002E-2</v>
      </c>
      <c r="P152" s="404"/>
      <c r="Q152" s="1260"/>
      <c r="R152" s="1265"/>
      <c r="S152" s="1264"/>
      <c r="T152" s="1265"/>
      <c r="U152" s="1265"/>
    </row>
    <row r="153" spans="2:21" s="825" customFormat="1" ht="13.5" customHeight="1" outlineLevel="1" x14ac:dyDescent="0.3">
      <c r="B153" s="861" t="s">
        <v>133</v>
      </c>
      <c r="C153" s="182"/>
      <c r="D153" s="182">
        <f>D151/D$63</f>
        <v>1.4334957039154699E-5</v>
      </c>
      <c r="E153" s="182">
        <f t="shared" ref="E153:O153" si="231">E151/E$63</f>
        <v>6.9802841373294813E-5</v>
      </c>
      <c r="F153" s="182">
        <f t="shared" si="231"/>
        <v>7.6648227174033706E-6</v>
      </c>
      <c r="G153" s="182">
        <f t="shared" si="231"/>
        <v>3.4405878164607181E-5</v>
      </c>
      <c r="H153" s="182">
        <f t="shared" si="231"/>
        <v>2.7883697121167098E-6</v>
      </c>
      <c r="I153" s="182"/>
      <c r="J153" s="182">
        <f t="shared" si="231"/>
        <v>2.7883697121167098E-6</v>
      </c>
      <c r="K153" s="182">
        <f t="shared" si="231"/>
        <v>2.2337925428392813E-6</v>
      </c>
      <c r="L153" s="182">
        <f t="shared" si="231"/>
        <v>2.2122837721917081E-6</v>
      </c>
      <c r="M153" s="182">
        <f t="shared" si="231"/>
        <v>2.1793695796654864E-6</v>
      </c>
      <c r="N153" s="182">
        <f t="shared" si="231"/>
        <v>2.1541213774529299E-6</v>
      </c>
      <c r="O153" s="787">
        <f t="shared" si="231"/>
        <v>2.1341683829354273E-6</v>
      </c>
      <c r="P153" s="404"/>
      <c r="Q153" s="1260"/>
      <c r="R153" s="1265"/>
      <c r="S153" s="1264"/>
      <c r="T153" s="1265"/>
      <c r="U153" s="1265"/>
    </row>
    <row r="154" spans="2:21" s="825" customFormat="1" ht="13.5" customHeight="1" outlineLevel="1" x14ac:dyDescent="0.3">
      <c r="B154" s="861" t="s">
        <v>4558</v>
      </c>
      <c r="C154" s="182">
        <f>C151/C$13</f>
        <v>1.0169218062395418E-6</v>
      </c>
      <c r="D154" s="182">
        <f>D151/D$13</f>
        <v>1.5386293182765108E-5</v>
      </c>
      <c r="E154" s="182">
        <f t="shared" ref="E154:O154" si="232">E151/E$13</f>
        <v>7.5024398803005354E-5</v>
      </c>
      <c r="F154" s="182">
        <f t="shared" si="232"/>
        <v>8.2115432602447221E-6</v>
      </c>
      <c r="G154" s="182">
        <f t="shared" si="232"/>
        <v>3.6135018041210743E-5</v>
      </c>
      <c r="H154" s="182">
        <f t="shared" si="232"/>
        <v>2.952431285298445E-6</v>
      </c>
      <c r="I154" s="182"/>
      <c r="J154" s="182">
        <f t="shared" si="232"/>
        <v>2.952431285298445E-6</v>
      </c>
      <c r="K154" s="182">
        <f t="shared" si="232"/>
        <v>2.4446786204133241E-6</v>
      </c>
      <c r="L154" s="182">
        <f t="shared" si="232"/>
        <v>2.4167614551341564E-6</v>
      </c>
      <c r="M154" s="182">
        <f t="shared" si="232"/>
        <v>2.3794570450683845E-6</v>
      </c>
      <c r="N154" s="182">
        <f t="shared" si="232"/>
        <v>2.3495259750099268E-6</v>
      </c>
      <c r="O154" s="787">
        <f t="shared" si="232"/>
        <v>2.3246848827951504E-6</v>
      </c>
      <c r="P154" s="1016"/>
      <c r="Q154" s="1260"/>
      <c r="R154" s="1265"/>
      <c r="S154" s="1264"/>
      <c r="T154" s="1265"/>
      <c r="U154" s="1265"/>
    </row>
    <row r="155" spans="2:21" s="825" customFormat="1" ht="13.5" customHeight="1" x14ac:dyDescent="0.3">
      <c r="B155" s="1657" t="s">
        <v>4578</v>
      </c>
      <c r="C155" s="1120">
        <f>원가명세서!K28/1000000</f>
        <v>4.6272219999999997</v>
      </c>
      <c r="D155" s="1120">
        <f>원가명세서!L28/1000000</f>
        <v>4.5523790000000002</v>
      </c>
      <c r="E155" s="1120">
        <f>원가명세서!M28/1000000</f>
        <v>10.556497</v>
      </c>
      <c r="F155" s="1120">
        <f>원가명세서!N28/1000000</f>
        <v>15.228394</v>
      </c>
      <c r="G155" s="1120">
        <f>원가명세서!O28/1000000</f>
        <v>3.8816470000000001</v>
      </c>
      <c r="H155" s="1120">
        <f>원가명세서!P28/1000000</f>
        <v>4.558649</v>
      </c>
      <c r="I155" s="1808"/>
      <c r="J155" s="1120">
        <f t="shared" si="171"/>
        <v>4.558649</v>
      </c>
      <c r="K155" s="1120">
        <f t="shared" ref="K155:O155" si="233">J155*(1+K$57)</f>
        <v>4.6179114369999992</v>
      </c>
      <c r="L155" s="1120">
        <f t="shared" si="233"/>
        <v>4.6871801085549984</v>
      </c>
      <c r="M155" s="1120">
        <f t="shared" si="233"/>
        <v>4.7715493505089883</v>
      </c>
      <c r="N155" s="1120">
        <f t="shared" si="233"/>
        <v>4.866980337519168</v>
      </c>
      <c r="O155" s="1655">
        <f t="shared" si="233"/>
        <v>4.97405390494459</v>
      </c>
      <c r="P155" s="1016"/>
      <c r="Q155" s="1260"/>
      <c r="R155" s="1265" t="s">
        <v>4446</v>
      </c>
      <c r="S155" s="1264"/>
      <c r="T155" s="1265" t="s">
        <v>4446</v>
      </c>
      <c r="U155" s="1265"/>
    </row>
    <row r="156" spans="2:21" s="825" customFormat="1" ht="13.5" customHeight="1" outlineLevel="1" x14ac:dyDescent="0.3">
      <c r="B156" s="863" t="s">
        <v>109</v>
      </c>
      <c r="C156" s="260"/>
      <c r="D156" s="260">
        <f>D155/C155-1</f>
        <v>-1.6174499516124263E-2</v>
      </c>
      <c r="E156" s="260">
        <f>E155/D155-1</f>
        <v>1.3188967790247692</v>
      </c>
      <c r="F156" s="260">
        <f t="shared" ref="F156:G156" si="234">F155/E155-1</f>
        <v>0.44256129661193477</v>
      </c>
      <c r="G156" s="260">
        <f t="shared" si="234"/>
        <v>-0.74510463808593341</v>
      </c>
      <c r="H156" s="260"/>
      <c r="I156" s="260"/>
      <c r="J156" s="260">
        <f>J155/G155-1</f>
        <v>0.17441101676685178</v>
      </c>
      <c r="K156" s="260">
        <f t="shared" ref="K156" si="235">K155/J155-1</f>
        <v>1.2999999999999901E-2</v>
      </c>
      <c r="L156" s="260">
        <f t="shared" ref="L156" si="236">L155/K155-1</f>
        <v>1.4999999999999902E-2</v>
      </c>
      <c r="M156" s="260">
        <f t="shared" ref="M156" si="237">M155/L155-1</f>
        <v>1.8000000000000016E-2</v>
      </c>
      <c r="N156" s="260">
        <f t="shared" ref="N156" si="238">N155/M155-1</f>
        <v>2.0000000000000018E-2</v>
      </c>
      <c r="O156" s="783">
        <f t="shared" ref="O156" si="239">O155/N155-1</f>
        <v>2.200000000000002E-2</v>
      </c>
      <c r="P156" s="404"/>
      <c r="Q156" s="1260"/>
      <c r="R156" s="1265"/>
      <c r="S156" s="1264"/>
      <c r="T156" s="1265"/>
      <c r="U156" s="1265"/>
    </row>
    <row r="157" spans="2:21" s="825" customFormat="1" ht="13.5" customHeight="1" outlineLevel="1" x14ac:dyDescent="0.3">
      <c r="B157" s="861" t="s">
        <v>133</v>
      </c>
      <c r="C157" s="182"/>
      <c r="D157" s="182">
        <f>D155/D$63</f>
        <v>1.4380378446661533E-4</v>
      </c>
      <c r="E157" s="182">
        <f t="shared" ref="E157:O157" si="240">E155/E$63</f>
        <v>2.003599173159078E-4</v>
      </c>
      <c r="F157" s="182">
        <f t="shared" si="240"/>
        <v>2.5277344360658509E-4</v>
      </c>
      <c r="G157" s="182">
        <f t="shared" si="240"/>
        <v>4.2664753858558067E-5</v>
      </c>
      <c r="H157" s="182">
        <f t="shared" si="240"/>
        <v>5.9813746922640625E-5</v>
      </c>
      <c r="I157" s="182"/>
      <c r="J157" s="182">
        <f t="shared" si="240"/>
        <v>5.9813746922640625E-5</v>
      </c>
      <c r="K157" s="182">
        <f t="shared" si="240"/>
        <v>4.7917426894457029E-5</v>
      </c>
      <c r="L157" s="182">
        <f t="shared" si="240"/>
        <v>4.7456038952054494E-5</v>
      </c>
      <c r="M157" s="182">
        <f t="shared" si="240"/>
        <v>4.6749991553328447E-5</v>
      </c>
      <c r="N157" s="182">
        <f t="shared" si="240"/>
        <v>4.6208388490136696E-5</v>
      </c>
      <c r="O157" s="787">
        <f t="shared" si="240"/>
        <v>4.5780373740430943E-5</v>
      </c>
      <c r="P157" s="404"/>
      <c r="Q157" s="1260"/>
      <c r="R157" s="1265"/>
      <c r="S157" s="1264"/>
      <c r="T157" s="1265"/>
      <c r="U157" s="1265"/>
    </row>
    <row r="158" spans="2:21" s="825" customFormat="1" ht="13.5" customHeight="1" outlineLevel="1" x14ac:dyDescent="0.3">
      <c r="B158" s="861" t="s">
        <v>4558</v>
      </c>
      <c r="C158" s="182">
        <f>C155/C$13</f>
        <v>1.5685076513704483E-4</v>
      </c>
      <c r="D158" s="182">
        <f>D155/D$13</f>
        <v>1.5435045829233812E-4</v>
      </c>
      <c r="E158" s="182">
        <f t="shared" ref="E158:O158" si="241">E155/E$13</f>
        <v>2.1534771429228305E-4</v>
      </c>
      <c r="F158" s="182">
        <f t="shared" si="241"/>
        <v>2.7080340195000352E-4</v>
      </c>
      <c r="G158" s="182">
        <f t="shared" si="241"/>
        <v>4.4808960928912629E-5</v>
      </c>
      <c r="H158" s="182">
        <f t="shared" si="241"/>
        <v>6.3333056924962097E-5</v>
      </c>
      <c r="I158" s="182"/>
      <c r="J158" s="182">
        <f t="shared" si="241"/>
        <v>6.3333056924962097E-5</v>
      </c>
      <c r="K158" s="182">
        <f t="shared" si="241"/>
        <v>5.2441176531640788E-5</v>
      </c>
      <c r="L158" s="182">
        <f t="shared" si="241"/>
        <v>5.1842321131817186E-5</v>
      </c>
      <c r="M158" s="182">
        <f t="shared" si="241"/>
        <v>5.1042098502416066E-5</v>
      </c>
      <c r="N158" s="182">
        <f t="shared" si="241"/>
        <v>5.0400042521883487E-5</v>
      </c>
      <c r="O158" s="787">
        <f t="shared" si="241"/>
        <v>4.9867172437776652E-5</v>
      </c>
      <c r="P158" s="1016"/>
      <c r="Q158" s="1260"/>
      <c r="R158" s="1265"/>
      <c r="S158" s="1264"/>
      <c r="T158" s="1265"/>
      <c r="U158" s="1265"/>
    </row>
    <row r="159" spans="2:21" s="825" customFormat="1" ht="13.5" customHeight="1" x14ac:dyDescent="0.3">
      <c r="B159" s="1657" t="s">
        <v>4579</v>
      </c>
      <c r="C159" s="1120">
        <f>원가명세서!K29/1000000</f>
        <v>0.87877300000000003</v>
      </c>
      <c r="D159" s="1120">
        <f>원가명세서!L29/1000000</f>
        <v>4.7124449999999998</v>
      </c>
      <c r="E159" s="1120">
        <f>원가명세서!M29/1000000</f>
        <v>6.8135599999999998</v>
      </c>
      <c r="F159" s="1120">
        <f>원가명세서!N29/1000000</f>
        <v>9.2081189999999999</v>
      </c>
      <c r="G159" s="1120">
        <f>원가명세서!O29/1000000</f>
        <v>3.4983659999999999</v>
      </c>
      <c r="H159" s="1120">
        <f>원가명세서!P29/1000000</f>
        <v>4.3684349999999998</v>
      </c>
      <c r="I159" s="1808"/>
      <c r="J159" s="1120">
        <f t="shared" si="171"/>
        <v>4.3684349999999998</v>
      </c>
      <c r="K159" s="1120">
        <f t="shared" ref="K159:O159" si="242">J159*(1+K$57)</f>
        <v>4.4252246549999992</v>
      </c>
      <c r="L159" s="1120">
        <f t="shared" si="242"/>
        <v>4.4916030248249985</v>
      </c>
      <c r="M159" s="1120">
        <f t="shared" si="242"/>
        <v>4.5724518792718483</v>
      </c>
      <c r="N159" s="1120">
        <f t="shared" si="242"/>
        <v>4.6639009168572851</v>
      </c>
      <c r="O159" s="1655">
        <f t="shared" si="242"/>
        <v>4.7665067370281458</v>
      </c>
      <c r="P159" s="404"/>
      <c r="Q159" s="1260"/>
      <c r="R159" s="1265" t="s">
        <v>4446</v>
      </c>
      <c r="S159" s="1264"/>
      <c r="T159" s="1265" t="s">
        <v>4446</v>
      </c>
      <c r="U159" s="1265"/>
    </row>
    <row r="160" spans="2:21" s="825" customFormat="1" ht="13.5" customHeight="1" outlineLevel="1" x14ac:dyDescent="0.3">
      <c r="B160" s="863" t="s">
        <v>109</v>
      </c>
      <c r="C160" s="260"/>
      <c r="D160" s="260">
        <f>D159/C159-1</f>
        <v>4.3625282069430895</v>
      </c>
      <c r="E160" s="260">
        <f>E159/D159-1</f>
        <v>0.44586515068080379</v>
      </c>
      <c r="F160" s="260">
        <f t="shared" ref="F160:G160" si="243">F159/E159-1</f>
        <v>0.35144021627460531</v>
      </c>
      <c r="G160" s="260">
        <f t="shared" si="243"/>
        <v>-0.6200781071573902</v>
      </c>
      <c r="H160" s="260"/>
      <c r="I160" s="260"/>
      <c r="J160" s="260">
        <f>J159/G159-1</f>
        <v>0.24870725361497348</v>
      </c>
      <c r="K160" s="260">
        <f t="shared" ref="K160" si="244">K159/J159-1</f>
        <v>1.2999999999999901E-2</v>
      </c>
      <c r="L160" s="260">
        <f t="shared" ref="L160" si="245">L159/K159-1</f>
        <v>1.4999999999999902E-2</v>
      </c>
      <c r="M160" s="260">
        <f t="shared" ref="M160" si="246">M159/L159-1</f>
        <v>1.8000000000000016E-2</v>
      </c>
      <c r="N160" s="260">
        <f t="shared" ref="N160" si="247">N159/M159-1</f>
        <v>2.0000000000000018E-2</v>
      </c>
      <c r="O160" s="783">
        <f t="shared" ref="O160" si="248">O159/N159-1</f>
        <v>2.200000000000002E-2</v>
      </c>
      <c r="P160" s="404"/>
      <c r="Q160" s="1260"/>
      <c r="R160" s="1265"/>
      <c r="S160" s="1264"/>
      <c r="T160" s="1265"/>
      <c r="U160" s="1265"/>
    </row>
    <row r="161" spans="2:21" s="825" customFormat="1" ht="13.5" customHeight="1" outlineLevel="1" x14ac:dyDescent="0.3">
      <c r="B161" s="861" t="s">
        <v>133</v>
      </c>
      <c r="C161" s="182"/>
      <c r="D161" s="182">
        <f>D159/D$63</f>
        <v>1.4886006307708103E-4</v>
      </c>
      <c r="E161" s="182">
        <f t="shared" ref="E161:O161" si="249">E159/E$63</f>
        <v>1.2931982249670291E-4</v>
      </c>
      <c r="F161" s="182">
        <f t="shared" si="249"/>
        <v>1.5284395378588344E-4</v>
      </c>
      <c r="G161" s="182">
        <f t="shared" si="249"/>
        <v>3.8451957196815769E-5</v>
      </c>
      <c r="H161" s="182">
        <f t="shared" si="249"/>
        <v>5.7317960987565742E-5</v>
      </c>
      <c r="I161" s="182"/>
      <c r="J161" s="182">
        <f t="shared" si="249"/>
        <v>5.7317960987565742E-5</v>
      </c>
      <c r="K161" s="182">
        <f t="shared" si="249"/>
        <v>4.5918026317816392E-5</v>
      </c>
      <c r="L161" s="182">
        <f t="shared" si="249"/>
        <v>4.5475890229653165E-5</v>
      </c>
      <c r="M161" s="182">
        <f t="shared" si="249"/>
        <v>4.4799303335541814E-5</v>
      </c>
      <c r="N161" s="182">
        <f t="shared" si="249"/>
        <v>4.428029917940826E-5</v>
      </c>
      <c r="O161" s="787">
        <f t="shared" si="249"/>
        <v>4.3870143755480947E-5</v>
      </c>
      <c r="P161" s="404"/>
      <c r="Q161" s="1260"/>
      <c r="R161" s="1265"/>
      <c r="S161" s="1264"/>
      <c r="T161" s="1265"/>
      <c r="U161" s="1265"/>
    </row>
    <row r="162" spans="2:21" s="825" customFormat="1" ht="13.5" customHeight="1" outlineLevel="1" x14ac:dyDescent="0.3">
      <c r="B162" s="861" t="s">
        <v>4558</v>
      </c>
      <c r="C162" s="182">
        <f>C159/C$13</f>
        <v>2.9788114214484699E-5</v>
      </c>
      <c r="D162" s="182">
        <f>D159/D$13</f>
        <v>1.5977756804243172E-4</v>
      </c>
      <c r="E162" s="182">
        <f t="shared" ref="E162:O162" si="250">E159/E$13</f>
        <v>1.3899351008135824E-4</v>
      </c>
      <c r="F162" s="182">
        <f t="shared" si="250"/>
        <v>1.6374608844244929E-4</v>
      </c>
      <c r="G162" s="182">
        <f t="shared" si="250"/>
        <v>4.0384441297479229E-5</v>
      </c>
      <c r="H162" s="182">
        <f t="shared" si="250"/>
        <v>6.0690424406002045E-5</v>
      </c>
      <c r="I162" s="182"/>
      <c r="J162" s="182">
        <f t="shared" si="250"/>
        <v>6.0690424406002045E-5</v>
      </c>
      <c r="K162" s="182">
        <f t="shared" si="250"/>
        <v>5.0253018164372433E-5</v>
      </c>
      <c r="L162" s="182">
        <f t="shared" si="250"/>
        <v>4.9679150580242045E-5</v>
      </c>
      <c r="M162" s="182">
        <f t="shared" si="250"/>
        <v>4.8912318007243357E-5</v>
      </c>
      <c r="N162" s="182">
        <f t="shared" si="250"/>
        <v>4.8297052428051397E-5</v>
      </c>
      <c r="O162" s="787">
        <f t="shared" si="250"/>
        <v>4.778641685907795E-5</v>
      </c>
      <c r="P162" s="1016"/>
      <c r="Q162" s="1260"/>
      <c r="R162" s="1265"/>
      <c r="S162" s="1264"/>
      <c r="T162" s="1265"/>
      <c r="U162" s="1265"/>
    </row>
    <row r="163" spans="2:21" s="825" customFormat="1" ht="13.5" customHeight="1" x14ac:dyDescent="0.3">
      <c r="B163" s="1657" t="s">
        <v>4580</v>
      </c>
      <c r="C163" s="1120">
        <f>원가명세서!K30/1000000</f>
        <v>10.17159</v>
      </c>
      <c r="D163" s="1120">
        <f>원가명세서!L30/1000000</f>
        <v>7.8262489999999998</v>
      </c>
      <c r="E163" s="1120">
        <f>원가명세서!M30/1000000</f>
        <v>9.4260400000000004</v>
      </c>
      <c r="F163" s="1120">
        <f>원가명세서!N30/1000000</f>
        <v>16.420639000000001</v>
      </c>
      <c r="G163" s="1120">
        <f>원가명세서!O30/1000000</f>
        <v>24.605167000000002</v>
      </c>
      <c r="H163" s="1120">
        <f>원가명세서!P30/1000000</f>
        <v>21.340261999999999</v>
      </c>
      <c r="I163" s="1808"/>
      <c r="J163" s="1120">
        <f t="shared" si="171"/>
        <v>21.340261999999999</v>
      </c>
      <c r="K163" s="1120">
        <f t="shared" ref="K163:O163" si="251">J163*(1+K$57)</f>
        <v>21.617685405999996</v>
      </c>
      <c r="L163" s="1120">
        <f t="shared" si="251"/>
        <v>21.941950687089992</v>
      </c>
      <c r="M163" s="1120">
        <f t="shared" si="251"/>
        <v>22.336905799457611</v>
      </c>
      <c r="N163" s="1120">
        <f t="shared" si="251"/>
        <v>22.783643915446763</v>
      </c>
      <c r="O163" s="1655">
        <f t="shared" si="251"/>
        <v>23.284884081586593</v>
      </c>
      <c r="P163" s="404"/>
      <c r="Q163" s="1258"/>
      <c r="R163" s="1265" t="s">
        <v>4446</v>
      </c>
      <c r="S163" s="1264"/>
      <c r="T163" s="1265" t="s">
        <v>4446</v>
      </c>
      <c r="U163" s="1265"/>
    </row>
    <row r="164" spans="2:21" s="825" customFormat="1" ht="13.5" customHeight="1" outlineLevel="1" x14ac:dyDescent="0.3">
      <c r="B164" s="863" t="s">
        <v>109</v>
      </c>
      <c r="C164" s="260"/>
      <c r="D164" s="260">
        <f>D163/C163-1</f>
        <v>-0.23057761864172666</v>
      </c>
      <c r="E164" s="260">
        <f>E163/D163-1</f>
        <v>0.20441350639367606</v>
      </c>
      <c r="F164" s="260">
        <f t="shared" ref="F164:G164" si="252">F163/E163-1</f>
        <v>0.74205063844413988</v>
      </c>
      <c r="G164" s="260">
        <f t="shared" si="252"/>
        <v>0.4984293242181379</v>
      </c>
      <c r="H164" s="260"/>
      <c r="I164" s="260"/>
      <c r="J164" s="260">
        <f>J163/G163-1</f>
        <v>-0.13269184476577633</v>
      </c>
      <c r="K164" s="260">
        <f t="shared" ref="K164" si="253">K163/J163-1</f>
        <v>1.2999999999999901E-2</v>
      </c>
      <c r="L164" s="260">
        <f t="shared" ref="L164" si="254">L163/K163-1</f>
        <v>1.4999999999999902E-2</v>
      </c>
      <c r="M164" s="260">
        <f t="shared" ref="M164" si="255">M163/L163-1</f>
        <v>1.8000000000000016E-2</v>
      </c>
      <c r="N164" s="260">
        <f t="shared" ref="N164" si="256">N163/M163-1</f>
        <v>2.0000000000000018E-2</v>
      </c>
      <c r="O164" s="783">
        <f t="shared" ref="O164" si="257">O163/N163-1</f>
        <v>2.200000000000002E-2</v>
      </c>
      <c r="P164" s="404"/>
      <c r="Q164" s="1260"/>
      <c r="R164" s="1265"/>
      <c r="S164" s="1264"/>
      <c r="T164" s="1265"/>
      <c r="U164" s="1265"/>
    </row>
    <row r="165" spans="2:21" s="825" customFormat="1" ht="13.5" customHeight="1" outlineLevel="1" x14ac:dyDescent="0.3">
      <c r="B165" s="861" t="s">
        <v>133</v>
      </c>
      <c r="C165" s="182"/>
      <c r="D165" s="182">
        <f>D163/D$63</f>
        <v>2.4722111765695774E-4</v>
      </c>
      <c r="E165" s="182">
        <f t="shared" ref="E165:O165" si="258">E163/E$63</f>
        <v>1.7890410000745888E-4</v>
      </c>
      <c r="F165" s="182">
        <f t="shared" si="258"/>
        <v>2.7256330945013584E-4</v>
      </c>
      <c r="G165" s="182">
        <f t="shared" si="258"/>
        <v>2.7044535314615567E-4</v>
      </c>
      <c r="H165" s="182">
        <f t="shared" si="258"/>
        <v>2.8000423602055009E-4</v>
      </c>
      <c r="I165" s="182"/>
      <c r="J165" s="182">
        <f t="shared" si="258"/>
        <v>2.8000423602055009E-4</v>
      </c>
      <c r="K165" s="182">
        <f t="shared" si="258"/>
        <v>2.2431436249940702E-4</v>
      </c>
      <c r="L165" s="182">
        <f t="shared" si="258"/>
        <v>2.2215448145251987E-4</v>
      </c>
      <c r="M165" s="182">
        <f t="shared" si="258"/>
        <v>2.188492836903688E-4</v>
      </c>
      <c r="N165" s="182">
        <f t="shared" si="258"/>
        <v>2.1631389408952113E-4</v>
      </c>
      <c r="O165" s="787">
        <f t="shared" si="258"/>
        <v>2.1431024193323863E-4</v>
      </c>
      <c r="P165" s="404"/>
      <c r="Q165" s="1260"/>
      <c r="R165" s="1265"/>
      <c r="S165" s="1264"/>
      <c r="T165" s="1265"/>
      <c r="U165" s="1265"/>
    </row>
    <row r="166" spans="2:21" s="825" customFormat="1" ht="13.5" customHeight="1" outlineLevel="1" x14ac:dyDescent="0.3">
      <c r="B166" s="861" t="s">
        <v>4558</v>
      </c>
      <c r="C166" s="182">
        <f>C163/C$13</f>
        <v>3.4479038917093542E-4</v>
      </c>
      <c r="D166" s="182">
        <f>D163/D$13</f>
        <v>2.6535249368735619E-4</v>
      </c>
      <c r="E166" s="182">
        <f t="shared" ref="E166:O166" si="259">E163/E$13</f>
        <v>1.9228690813132725E-4</v>
      </c>
      <c r="F166" s="182">
        <f t="shared" si="259"/>
        <v>2.920048498477846E-4</v>
      </c>
      <c r="G166" s="182">
        <f t="shared" si="259"/>
        <v>2.8403715401023599E-4</v>
      </c>
      <c r="H166" s="182">
        <f t="shared" si="259"/>
        <v>2.9647907264621727E-4</v>
      </c>
      <c r="I166" s="182"/>
      <c r="J166" s="182">
        <f t="shared" si="259"/>
        <v>2.9647907264621727E-4</v>
      </c>
      <c r="K166" s="182">
        <f t="shared" si="259"/>
        <v>2.4549125119601567E-4</v>
      </c>
      <c r="L166" s="182">
        <f t="shared" si="259"/>
        <v>2.4268784800960004E-4</v>
      </c>
      <c r="M166" s="182">
        <f t="shared" si="259"/>
        <v>2.3894179066459527E-4</v>
      </c>
      <c r="N166" s="182">
        <f t="shared" si="259"/>
        <v>2.3593615394125196E-4</v>
      </c>
      <c r="O166" s="787">
        <f t="shared" si="259"/>
        <v>2.3344164576420172E-4</v>
      </c>
      <c r="P166" s="1016"/>
      <c r="Q166" s="1260"/>
      <c r="R166" s="1265"/>
      <c r="S166" s="1264"/>
      <c r="T166" s="1265"/>
      <c r="U166" s="1265"/>
    </row>
    <row r="167" spans="2:21" s="825" customFormat="1" ht="13.5" customHeight="1" x14ac:dyDescent="0.3">
      <c r="B167" s="1657" t="s">
        <v>4581</v>
      </c>
      <c r="C167" s="1120">
        <f>원가명세서!K31/1000000</f>
        <v>27.521514</v>
      </c>
      <c r="D167" s="1120">
        <f>원가명세서!L31/1000000</f>
        <v>85.687541999999993</v>
      </c>
      <c r="E167" s="1120">
        <f>원가명세서!M31/1000000</f>
        <v>108.256299</v>
      </c>
      <c r="F167" s="1120">
        <f>원가명세서!N31/1000000</f>
        <v>49.415295</v>
      </c>
      <c r="G167" s="1120">
        <f>원가명세서!O31/1000000</f>
        <v>81.896457999999996</v>
      </c>
      <c r="H167" s="1120">
        <f>원가명세서!P31/1000000</f>
        <v>180.71060600000001</v>
      </c>
      <c r="I167" s="1808"/>
      <c r="J167" s="1120">
        <f t="shared" si="171"/>
        <v>180.71060600000001</v>
      </c>
      <c r="K167" s="1120">
        <f t="shared" ref="K167:O167" si="260">J167*(1+K$57)</f>
        <v>183.05984387799998</v>
      </c>
      <c r="L167" s="1120">
        <f t="shared" si="260"/>
        <v>185.80574153616996</v>
      </c>
      <c r="M167" s="1120">
        <f t="shared" si="260"/>
        <v>189.15024488382102</v>
      </c>
      <c r="N167" s="1120">
        <f t="shared" si="260"/>
        <v>192.93324978149744</v>
      </c>
      <c r="O167" s="1655">
        <f t="shared" si="260"/>
        <v>197.17778127669038</v>
      </c>
      <c r="P167" s="1016"/>
      <c r="Q167" s="1260"/>
      <c r="R167" s="1265" t="s">
        <v>4446</v>
      </c>
      <c r="S167" s="1264"/>
      <c r="T167" s="1265" t="s">
        <v>4446</v>
      </c>
      <c r="U167" s="1265"/>
    </row>
    <row r="168" spans="2:21" s="825" customFormat="1" ht="13.5" customHeight="1" outlineLevel="1" x14ac:dyDescent="0.3">
      <c r="B168" s="863" t="s">
        <v>109</v>
      </c>
      <c r="C168" s="260"/>
      <c r="D168" s="260">
        <f>D167/C167-1</f>
        <v>2.113474861884415</v>
      </c>
      <c r="E168" s="260">
        <f>E167/D167-1</f>
        <v>0.26338434354903084</v>
      </c>
      <c r="F168" s="260">
        <f t="shared" ref="F168:G168" si="261">F167/E167-1</f>
        <v>-0.54353422889507796</v>
      </c>
      <c r="G168" s="260">
        <f t="shared" si="261"/>
        <v>0.6573099077927187</v>
      </c>
      <c r="H168" s="260"/>
      <c r="I168" s="260"/>
      <c r="J168" s="260">
        <f>J167/G167-1</f>
        <v>1.206574135355158</v>
      </c>
      <c r="K168" s="260">
        <f t="shared" ref="K168" si="262">K167/J167-1</f>
        <v>1.2999999999999901E-2</v>
      </c>
      <c r="L168" s="260">
        <f t="shared" ref="L168" si="263">L167/K167-1</f>
        <v>1.4999999999999902E-2</v>
      </c>
      <c r="M168" s="260">
        <f t="shared" ref="M168" si="264">M167/L167-1</f>
        <v>1.8000000000000016E-2</v>
      </c>
      <c r="N168" s="260">
        <f t="shared" ref="N168" si="265">N167/M167-1</f>
        <v>2.0000000000000018E-2</v>
      </c>
      <c r="O168" s="783">
        <f t="shared" ref="O168" si="266">O167/N167-1</f>
        <v>2.200000000000002E-2</v>
      </c>
      <c r="P168" s="404"/>
      <c r="Q168" s="1260"/>
      <c r="R168" s="1265"/>
      <c r="S168" s="1264"/>
      <c r="T168" s="1265"/>
      <c r="U168" s="1265"/>
    </row>
    <row r="169" spans="2:21" s="825" customFormat="1" ht="13.5" customHeight="1" outlineLevel="1" x14ac:dyDescent="0.3">
      <c r="B169" s="861" t="s">
        <v>133</v>
      </c>
      <c r="C169" s="182"/>
      <c r="D169" s="182">
        <f>D167/D$63</f>
        <v>2.7067589981506477E-3</v>
      </c>
      <c r="E169" s="182">
        <f t="shared" ref="E169:O169" si="267">E167/E$63</f>
        <v>2.0546799867954485E-3</v>
      </c>
      <c r="F169" s="182">
        <f t="shared" si="267"/>
        <v>8.2023582289670639E-4</v>
      </c>
      <c r="G169" s="182">
        <f t="shared" si="267"/>
        <v>9.0015712981055169E-4</v>
      </c>
      <c r="H169" s="182">
        <f t="shared" si="267"/>
        <v>2.3710924998878008E-3</v>
      </c>
      <c r="I169" s="182"/>
      <c r="J169" s="182">
        <f t="shared" si="267"/>
        <v>2.3710924998878008E-3</v>
      </c>
      <c r="K169" s="182">
        <f t="shared" si="267"/>
        <v>1.8995073435261254E-3</v>
      </c>
      <c r="L169" s="182">
        <f t="shared" si="267"/>
        <v>1.881217342547183E-3</v>
      </c>
      <c r="M169" s="182">
        <f t="shared" si="267"/>
        <v>1.8532287316037857E-3</v>
      </c>
      <c r="N169" s="182">
        <f t="shared" si="267"/>
        <v>1.8317589018887017E-3</v>
      </c>
      <c r="O169" s="787">
        <f t="shared" si="267"/>
        <v>1.8147918564337293E-3</v>
      </c>
      <c r="P169" s="404"/>
      <c r="Q169" s="1260"/>
      <c r="R169" s="1265"/>
      <c r="S169" s="1264"/>
      <c r="T169" s="1265"/>
      <c r="U169" s="1265"/>
    </row>
    <row r="170" spans="2:21" s="825" customFormat="1" ht="13.5" customHeight="1" outlineLevel="1" x14ac:dyDescent="0.3">
      <c r="B170" s="861" t="s">
        <v>4558</v>
      </c>
      <c r="C170" s="182">
        <f>C167/C$13</f>
        <v>9.3290759091089462E-4</v>
      </c>
      <c r="D170" s="182">
        <f>D167/D$13</f>
        <v>2.905274665761346E-3</v>
      </c>
      <c r="E170" s="182">
        <f t="shared" ref="E170:O170" si="268">E167/E$13</f>
        <v>2.2083790245373976E-3</v>
      </c>
      <c r="F170" s="182">
        <f t="shared" si="268"/>
        <v>8.7874203900706782E-4</v>
      </c>
      <c r="G170" s="182">
        <f t="shared" si="268"/>
        <v>9.453964223790401E-4</v>
      </c>
      <c r="H170" s="182">
        <f t="shared" si="268"/>
        <v>2.5106023948635657E-3</v>
      </c>
      <c r="I170" s="182"/>
      <c r="J170" s="182">
        <f t="shared" si="268"/>
        <v>2.5106023948635657E-3</v>
      </c>
      <c r="K170" s="182">
        <f t="shared" si="268"/>
        <v>2.0788344946903754E-3</v>
      </c>
      <c r="L170" s="182">
        <f t="shared" si="268"/>
        <v>2.0550951100155529E-3</v>
      </c>
      <c r="M170" s="182">
        <f t="shared" si="268"/>
        <v>2.0233732739421925E-3</v>
      </c>
      <c r="N170" s="182">
        <f t="shared" si="268"/>
        <v>1.9979213636661507E-3</v>
      </c>
      <c r="O170" s="787">
        <f t="shared" si="268"/>
        <v>1.9767977202757039E-3</v>
      </c>
      <c r="P170" s="1016"/>
      <c r="Q170" s="1260"/>
      <c r="R170" s="1265"/>
      <c r="S170" s="1264"/>
      <c r="T170" s="1265"/>
      <c r="U170" s="1265"/>
    </row>
    <row r="171" spans="2:21" s="825" customFormat="1" ht="13.5" customHeight="1" x14ac:dyDescent="0.3">
      <c r="B171" s="1657" t="s">
        <v>4582</v>
      </c>
      <c r="C171" s="1120">
        <f>원가명세서!K32/1000000</f>
        <v>16.143003</v>
      </c>
      <c r="D171" s="1120">
        <f>원가명세서!L32/1000000</f>
        <v>23.004743999999999</v>
      </c>
      <c r="E171" s="1120">
        <f>원가명세서!M32/1000000</f>
        <v>13.797026000000001</v>
      </c>
      <c r="F171" s="1120">
        <f>원가명세서!N32/1000000</f>
        <v>15.639941</v>
      </c>
      <c r="G171" s="1120">
        <f>원가명세서!O32/1000000</f>
        <v>20.840841000000001</v>
      </c>
      <c r="H171" s="1120">
        <f>원가명세서!P32/1000000</f>
        <v>17.444825999999999</v>
      </c>
      <c r="I171" s="1808"/>
      <c r="J171" s="1120">
        <f t="shared" si="171"/>
        <v>17.444825999999999</v>
      </c>
      <c r="K171" s="1120">
        <f t="shared" ref="K171:O171" si="269">J171*(1+K$57)</f>
        <v>17.671608737999996</v>
      </c>
      <c r="L171" s="1120">
        <f t="shared" si="269"/>
        <v>17.936682869069994</v>
      </c>
      <c r="M171" s="1120">
        <f t="shared" si="269"/>
        <v>18.259543160713253</v>
      </c>
      <c r="N171" s="1120">
        <f t="shared" si="269"/>
        <v>18.62473402392752</v>
      </c>
      <c r="O171" s="1655">
        <f t="shared" si="269"/>
        <v>19.034478172453927</v>
      </c>
      <c r="P171" s="404"/>
      <c r="Q171" s="1260"/>
      <c r="R171" s="1265" t="s">
        <v>4446</v>
      </c>
      <c r="S171" s="1264"/>
      <c r="T171" s="1265" t="s">
        <v>4446</v>
      </c>
      <c r="U171" s="1265"/>
    </row>
    <row r="172" spans="2:21" s="825" customFormat="1" ht="13.5" customHeight="1" outlineLevel="1" x14ac:dyDescent="0.3">
      <c r="B172" s="863" t="s">
        <v>109</v>
      </c>
      <c r="C172" s="260"/>
      <c r="D172" s="260">
        <f>D171/C171-1</f>
        <v>0.42505976118569744</v>
      </c>
      <c r="E172" s="260">
        <f>E171/D171-1</f>
        <v>-0.400253008683774</v>
      </c>
      <c r="F172" s="260">
        <f t="shared" ref="F172:G172" si="270">F171/E171-1</f>
        <v>0.1335733512425068</v>
      </c>
      <c r="G172" s="260">
        <f t="shared" si="270"/>
        <v>0.33253961763666506</v>
      </c>
      <c r="H172" s="260"/>
      <c r="I172" s="260"/>
      <c r="J172" s="260">
        <f>J171/G171-1</f>
        <v>-0.16294999803510812</v>
      </c>
      <c r="K172" s="260">
        <f t="shared" ref="K172" si="271">K171/J171-1</f>
        <v>1.2999999999999901E-2</v>
      </c>
      <c r="L172" s="260">
        <f t="shared" ref="L172" si="272">L171/K171-1</f>
        <v>1.4999999999999902E-2</v>
      </c>
      <c r="M172" s="260">
        <f t="shared" ref="M172" si="273">M171/L171-1</f>
        <v>1.8000000000000016E-2</v>
      </c>
      <c r="N172" s="260">
        <f t="shared" ref="N172" si="274">N171/M171-1</f>
        <v>2.0000000000000018E-2</v>
      </c>
      <c r="O172" s="783">
        <f t="shared" ref="O172" si="275">O171/N171-1</f>
        <v>2.200000000000002E-2</v>
      </c>
      <c r="P172" s="404"/>
      <c r="Q172" s="1260"/>
      <c r="R172" s="1265"/>
      <c r="S172" s="1264"/>
      <c r="T172" s="1265"/>
      <c r="U172" s="1265"/>
    </row>
    <row r="173" spans="2:21" s="825" customFormat="1" ht="13.5" customHeight="1" outlineLevel="1" x14ac:dyDescent="0.3">
      <c r="B173" s="861" t="s">
        <v>133</v>
      </c>
      <c r="C173" s="182"/>
      <c r="D173" s="182">
        <f>D171/D$63</f>
        <v>7.2669020920394854E-4</v>
      </c>
      <c r="E173" s="182">
        <f t="shared" ref="E173:O173" si="276">E171/E$63</f>
        <v>2.6186442231409054E-4</v>
      </c>
      <c r="F173" s="182">
        <f t="shared" si="276"/>
        <v>2.5960464014615188E-4</v>
      </c>
      <c r="G173" s="182">
        <f t="shared" si="276"/>
        <v>2.2907012190195172E-4</v>
      </c>
      <c r="H173" s="182">
        <f t="shared" si="276"/>
        <v>2.2889246517411214E-4</v>
      </c>
      <c r="I173" s="182"/>
      <c r="J173" s="182">
        <f t="shared" si="276"/>
        <v>2.2889246517411214E-4</v>
      </c>
      <c r="K173" s="182">
        <f t="shared" si="276"/>
        <v>1.8336818091095042E-4</v>
      </c>
      <c r="L173" s="182">
        <f t="shared" si="276"/>
        <v>1.8160256298912529E-4</v>
      </c>
      <c r="M173" s="182">
        <f t="shared" si="276"/>
        <v>1.789006936373659E-4</v>
      </c>
      <c r="N173" s="182">
        <f t="shared" si="276"/>
        <v>1.7682811222158965E-4</v>
      </c>
      <c r="O173" s="787">
        <f t="shared" si="276"/>
        <v>1.7519020528160582E-4</v>
      </c>
      <c r="P173" s="404"/>
      <c r="Q173" s="1260"/>
      <c r="R173" s="1265"/>
      <c r="S173" s="1264"/>
      <c r="T173" s="1265"/>
      <c r="U173" s="1265"/>
    </row>
    <row r="174" spans="2:21" s="825" customFormat="1" ht="13.5" customHeight="1" outlineLevel="1" x14ac:dyDescent="0.3">
      <c r="B174" s="861" t="s">
        <v>4558</v>
      </c>
      <c r="C174" s="182">
        <f>C171/C$13</f>
        <v>5.4720572562967813E-4</v>
      </c>
      <c r="D174" s="182">
        <f>D171/D$13</f>
        <v>7.79986196074166E-4</v>
      </c>
      <c r="E174" s="182">
        <f t="shared" ref="E174:O174" si="277">E171/E$13</f>
        <v>2.814530249126392E-4</v>
      </c>
      <c r="F174" s="182">
        <f t="shared" si="277"/>
        <v>2.7812185770195724E-4</v>
      </c>
      <c r="G174" s="182">
        <f t="shared" si="277"/>
        <v>2.4058252337079606E-4</v>
      </c>
      <c r="H174" s="182">
        <f t="shared" si="277"/>
        <v>2.4235999703071216E-4</v>
      </c>
      <c r="I174" s="182"/>
      <c r="J174" s="182">
        <f t="shared" si="277"/>
        <v>2.4235999703071216E-4</v>
      </c>
      <c r="K174" s="182">
        <f t="shared" si="277"/>
        <v>2.0067945565226824E-4</v>
      </c>
      <c r="L174" s="182">
        <f t="shared" si="277"/>
        <v>1.9838778365710409E-4</v>
      </c>
      <c r="M174" s="182">
        <f t="shared" si="277"/>
        <v>1.9532552891207656E-4</v>
      </c>
      <c r="N174" s="182">
        <f t="shared" si="277"/>
        <v>1.9286853894363412E-4</v>
      </c>
      <c r="O174" s="787">
        <f t="shared" si="277"/>
        <v>1.9082937648610577E-4</v>
      </c>
      <c r="P174" s="1016"/>
      <c r="Q174" s="1260"/>
      <c r="R174" s="1265"/>
      <c r="S174" s="1264"/>
      <c r="T174" s="1265"/>
      <c r="U174" s="1265"/>
    </row>
    <row r="175" spans="2:21" s="825" customFormat="1" ht="13.5" customHeight="1" x14ac:dyDescent="0.3">
      <c r="B175" s="1657" t="s">
        <v>4583</v>
      </c>
      <c r="C175" s="1120">
        <f>원가명세서!K33/1000000</f>
        <v>2.0514600000000001</v>
      </c>
      <c r="D175" s="1120">
        <f>원가명세서!L33/1000000</f>
        <v>0.58159000000000005</v>
      </c>
      <c r="E175" s="1120">
        <f>원가명세서!M33/1000000</f>
        <v>6.6235470000000003</v>
      </c>
      <c r="F175" s="1120">
        <f>원가명세서!N33/1000000</f>
        <v>32.770544999999998</v>
      </c>
      <c r="G175" s="1120">
        <f>원가명세서!O33/1000000</f>
        <v>27.771108000000002</v>
      </c>
      <c r="H175" s="1120">
        <f>원가명세서!P33/1000000</f>
        <v>7.0707279999999999</v>
      </c>
      <c r="I175" s="1808"/>
      <c r="J175" s="1120">
        <f t="shared" si="171"/>
        <v>7.0707279999999999</v>
      </c>
      <c r="K175" s="1120">
        <f t="shared" ref="K175:O175" si="278">J175*(1+K$57)</f>
        <v>7.1626474639999991</v>
      </c>
      <c r="L175" s="1120">
        <f t="shared" si="278"/>
        <v>7.2700871759599988</v>
      </c>
      <c r="M175" s="1120">
        <f t="shared" si="278"/>
        <v>7.4009487451272786</v>
      </c>
      <c r="N175" s="1120">
        <f t="shared" si="278"/>
        <v>7.5489677200298244</v>
      </c>
      <c r="O175" s="1655">
        <f t="shared" si="278"/>
        <v>7.7150450098704804</v>
      </c>
      <c r="P175" s="404"/>
      <c r="Q175" s="1260"/>
      <c r="R175" s="1265" t="s">
        <v>4446</v>
      </c>
      <c r="S175" s="1264"/>
      <c r="T175" s="1265" t="s">
        <v>4446</v>
      </c>
      <c r="U175" s="1265"/>
    </row>
    <row r="176" spans="2:21" s="825" customFormat="1" ht="13.5" customHeight="1" outlineLevel="1" x14ac:dyDescent="0.3">
      <c r="B176" s="863" t="s">
        <v>109</v>
      </c>
      <c r="C176" s="260"/>
      <c r="D176" s="260">
        <f>D175/C175-1</f>
        <v>-0.71649946867109282</v>
      </c>
      <c r="E176" s="260">
        <f>E175/D175-1</f>
        <v>10.38868790728864</v>
      </c>
      <c r="F176" s="260">
        <f t="shared" ref="F176:G176" si="279">F175/E175-1</f>
        <v>3.9475824660110357</v>
      </c>
      <c r="G176" s="260">
        <f t="shared" si="279"/>
        <v>-0.15255886040345068</v>
      </c>
      <c r="H176" s="260"/>
      <c r="I176" s="260"/>
      <c r="J176" s="260">
        <f>J175/G175-1</f>
        <v>-0.74539265772183094</v>
      </c>
      <c r="K176" s="260">
        <f t="shared" ref="K176" si="280">K175/J175-1</f>
        <v>1.2999999999999901E-2</v>
      </c>
      <c r="L176" s="260">
        <f t="shared" ref="L176" si="281">L175/K175-1</f>
        <v>1.4999999999999902E-2</v>
      </c>
      <c r="M176" s="260">
        <f t="shared" ref="M176" si="282">M175/L175-1</f>
        <v>1.8000000000000016E-2</v>
      </c>
      <c r="N176" s="260">
        <f t="shared" ref="N176" si="283">N175/M175-1</f>
        <v>2.0000000000000018E-2</v>
      </c>
      <c r="O176" s="783">
        <f t="shared" ref="O176" si="284">O175/N175-1</f>
        <v>2.200000000000002E-2</v>
      </c>
      <c r="P176" s="404"/>
      <c r="Q176" s="1260"/>
      <c r="R176" s="1265"/>
      <c r="S176" s="1264"/>
      <c r="T176" s="1265"/>
      <c r="U176" s="1265"/>
    </row>
    <row r="177" spans="2:21" s="825" customFormat="1" ht="13.5" customHeight="1" outlineLevel="1" x14ac:dyDescent="0.3">
      <c r="B177" s="861" t="s">
        <v>133</v>
      </c>
      <c r="C177" s="182"/>
      <c r="D177" s="182">
        <f>D175/D$63</f>
        <v>1.837167841428379E-5</v>
      </c>
      <c r="E177" s="182">
        <f t="shared" ref="E177:O177" si="285">E175/E$63</f>
        <v>1.2571341887920103E-4</v>
      </c>
      <c r="F177" s="182">
        <f t="shared" si="285"/>
        <v>5.439525342274805E-4</v>
      </c>
      <c r="G177" s="182">
        <f t="shared" si="285"/>
        <v>3.0524349256885877E-4</v>
      </c>
      <c r="H177" s="182">
        <f t="shared" si="285"/>
        <v>9.2774577544976351E-5</v>
      </c>
      <c r="I177" s="182"/>
      <c r="J177" s="182">
        <f t="shared" si="285"/>
        <v>9.2774577544976351E-5</v>
      </c>
      <c r="K177" s="182">
        <f t="shared" si="285"/>
        <v>7.4322697805992606E-5</v>
      </c>
      <c r="L177" s="182">
        <f t="shared" si="285"/>
        <v>7.3607058448102154E-5</v>
      </c>
      <c r="M177" s="182">
        <f t="shared" si="285"/>
        <v>7.2511938136909205E-5</v>
      </c>
      <c r="N177" s="182">
        <f t="shared" si="285"/>
        <v>7.1671880491805211E-5</v>
      </c>
      <c r="O177" s="787">
        <f t="shared" si="285"/>
        <v>7.1008004884107084E-5</v>
      </c>
      <c r="P177" s="404"/>
      <c r="Q177" s="1260"/>
      <c r="R177" s="1265"/>
      <c r="S177" s="1264"/>
      <c r="T177" s="1265"/>
      <c r="U177" s="1265"/>
    </row>
    <row r="178" spans="2:21" s="825" customFormat="1" ht="13.5" customHeight="1" outlineLevel="1" x14ac:dyDescent="0.3">
      <c r="B178" s="861" t="s">
        <v>4558</v>
      </c>
      <c r="C178" s="182">
        <f>C175/C$13</f>
        <v>6.9539146954272359E-5</v>
      </c>
      <c r="D178" s="182">
        <f>D175/D$13</f>
        <v>1.9719070630595768E-5</v>
      </c>
      <c r="E178" s="182">
        <f t="shared" ref="E178:O178" si="286">E175/E$13</f>
        <v>1.3511733172069377E-4</v>
      </c>
      <c r="F178" s="182">
        <f t="shared" si="286"/>
        <v>5.8275186928809935E-4</v>
      </c>
      <c r="G178" s="182">
        <f t="shared" si="286"/>
        <v>3.2058414722529202E-4</v>
      </c>
      <c r="H178" s="182">
        <f t="shared" si="286"/>
        <v>9.8233230706054242E-5</v>
      </c>
      <c r="I178" s="182"/>
      <c r="J178" s="182">
        <f t="shared" si="286"/>
        <v>9.8233230706054242E-5</v>
      </c>
      <c r="K178" s="182">
        <f t="shared" si="286"/>
        <v>8.133929487776213E-5</v>
      </c>
      <c r="L178" s="182">
        <f t="shared" si="286"/>
        <v>8.0410435550473737E-5</v>
      </c>
      <c r="M178" s="182">
        <f t="shared" si="286"/>
        <v>7.9169244015012217E-5</v>
      </c>
      <c r="N178" s="182">
        <f t="shared" si="286"/>
        <v>7.8173378090893214E-5</v>
      </c>
      <c r="O178" s="787">
        <f t="shared" si="286"/>
        <v>7.7346865800945777E-5</v>
      </c>
      <c r="P178" s="1016"/>
      <c r="Q178" s="1260"/>
      <c r="R178" s="1265"/>
      <c r="S178" s="1264"/>
      <c r="T178" s="1265"/>
      <c r="U178" s="1265"/>
    </row>
    <row r="179" spans="2:21" s="825" customFormat="1" ht="13.5" customHeight="1" x14ac:dyDescent="0.3">
      <c r="B179" s="1657" t="s">
        <v>4584</v>
      </c>
      <c r="C179" s="1120">
        <f>원가명세서!K34/1000000</f>
        <v>7.0177500000000004</v>
      </c>
      <c r="D179" s="1120">
        <f>원가명세서!L34/1000000</f>
        <v>9.6556499999999996</v>
      </c>
      <c r="E179" s="1120">
        <f>원가명세서!M34/1000000</f>
        <v>24.401133999999999</v>
      </c>
      <c r="F179" s="1120">
        <f>원가명세서!N34/1000000</f>
        <v>54.374296000000001</v>
      </c>
      <c r="G179" s="1120">
        <f>원가명세서!O34/1000000</f>
        <v>60.712313000000002</v>
      </c>
      <c r="H179" s="1120">
        <f>원가명세서!P34/1000000</f>
        <v>58.982692999999998</v>
      </c>
      <c r="I179" s="1808"/>
      <c r="J179" s="1120">
        <f t="shared" si="171"/>
        <v>58.982692999999998</v>
      </c>
      <c r="K179" s="1120">
        <f t="shared" ref="K179:O179" si="287">J179*(1+K$57)</f>
        <v>59.74946800899999</v>
      </c>
      <c r="L179" s="1120">
        <f t="shared" si="287"/>
        <v>60.645710029134982</v>
      </c>
      <c r="M179" s="1120">
        <f t="shared" si="287"/>
        <v>61.737332809659414</v>
      </c>
      <c r="N179" s="1120">
        <f t="shared" si="287"/>
        <v>62.972079465852602</v>
      </c>
      <c r="O179" s="1655">
        <f t="shared" si="287"/>
        <v>64.357465214101367</v>
      </c>
      <c r="P179" s="404"/>
      <c r="Q179" s="1260"/>
      <c r="R179" s="1265" t="s">
        <v>4446</v>
      </c>
      <c r="S179" s="1264"/>
      <c r="T179" s="1265" t="s">
        <v>4446</v>
      </c>
      <c r="U179" s="1265"/>
    </row>
    <row r="180" spans="2:21" s="825" customFormat="1" ht="13.5" customHeight="1" outlineLevel="1" x14ac:dyDescent="0.3">
      <c r="B180" s="863" t="s">
        <v>109</v>
      </c>
      <c r="C180" s="260"/>
      <c r="D180" s="260">
        <f>D179/C179-1</f>
        <v>0.37588970823982026</v>
      </c>
      <c r="E180" s="260">
        <f>E179/D179-1</f>
        <v>1.5271353042001317</v>
      </c>
      <c r="F180" s="260">
        <f t="shared" ref="F180:G180" si="288">F179/E179-1</f>
        <v>1.2283511905635205</v>
      </c>
      <c r="G180" s="260">
        <f t="shared" si="288"/>
        <v>0.11656274133645805</v>
      </c>
      <c r="H180" s="260"/>
      <c r="I180" s="260"/>
      <c r="J180" s="260">
        <f>J179/G179-1</f>
        <v>-2.8488784474411388E-2</v>
      </c>
      <c r="K180" s="260">
        <f t="shared" ref="K180" si="289">K179/J179-1</f>
        <v>1.2999999999999901E-2</v>
      </c>
      <c r="L180" s="260">
        <f t="shared" ref="L180" si="290">L179/K179-1</f>
        <v>1.4999999999999902E-2</v>
      </c>
      <c r="M180" s="260">
        <f t="shared" ref="M180" si="291">M179/L179-1</f>
        <v>1.8000000000000016E-2</v>
      </c>
      <c r="N180" s="260">
        <f t="shared" ref="N180" si="292">N179/M179-1</f>
        <v>2.0000000000000018E-2</v>
      </c>
      <c r="O180" s="783">
        <f t="shared" ref="O180" si="293">O179/N179-1</f>
        <v>2.2000000000000242E-2</v>
      </c>
      <c r="P180" s="404"/>
      <c r="Q180" s="1260"/>
      <c r="R180" s="1265"/>
      <c r="S180" s="1264"/>
      <c r="T180" s="1265"/>
      <c r="U180" s="1265"/>
    </row>
    <row r="181" spans="2:21" s="825" customFormat="1" ht="13.5" customHeight="1" outlineLevel="1" x14ac:dyDescent="0.3">
      <c r="B181" s="861" t="s">
        <v>133</v>
      </c>
      <c r="C181" s="182"/>
      <c r="D181" s="182">
        <f>D179/D$63</f>
        <v>3.0500953709809182E-4</v>
      </c>
      <c r="E181" s="182">
        <f t="shared" ref="E181:O181" si="294">E179/E$63</f>
        <v>4.6312798560492046E-4</v>
      </c>
      <c r="F181" s="182">
        <f t="shared" si="294"/>
        <v>9.0254941155342881E-4</v>
      </c>
      <c r="G181" s="182">
        <f t="shared" si="294"/>
        <v>6.673136146405727E-4</v>
      </c>
      <c r="H181" s="182">
        <f t="shared" si="294"/>
        <v>7.7390820655808478E-4</v>
      </c>
      <c r="I181" s="182"/>
      <c r="J181" s="182">
        <f t="shared" si="294"/>
        <v>7.7390820655808478E-4</v>
      </c>
      <c r="K181" s="182">
        <f t="shared" si="294"/>
        <v>6.1998607040500431E-4</v>
      </c>
      <c r="L181" s="182">
        <f t="shared" si="294"/>
        <v>6.1401634047830223E-4</v>
      </c>
      <c r="M181" s="182">
        <f t="shared" si="294"/>
        <v>6.048810512813259E-4</v>
      </c>
      <c r="N181" s="182">
        <f t="shared" si="294"/>
        <v>5.9787344722931431E-4</v>
      </c>
      <c r="O181" s="787">
        <f t="shared" si="294"/>
        <v>5.9233552084336837E-4</v>
      </c>
      <c r="P181" s="404"/>
      <c r="Q181" s="1260"/>
      <c r="R181" s="1265"/>
      <c r="S181" s="1264"/>
      <c r="T181" s="1265"/>
      <c r="U181" s="1265"/>
    </row>
    <row r="182" spans="2:21" s="825" customFormat="1" ht="13.5" customHeight="1" outlineLevel="1" x14ac:dyDescent="0.3">
      <c r="B182" s="861" t="s">
        <v>4558</v>
      </c>
      <c r="C182" s="182">
        <f>C179/C$13</f>
        <v>2.3788343352458484E-4</v>
      </c>
      <c r="D182" s="182">
        <f>D179/D$13</f>
        <v>3.2737915771301434E-4</v>
      </c>
      <c r="E182" s="182">
        <f t="shared" ref="E182:O182" si="295">E179/E$13</f>
        <v>4.9777198184584469E-4</v>
      </c>
      <c r="F182" s="182">
        <f t="shared" si="295"/>
        <v>9.6692693500289445E-4</v>
      </c>
      <c r="G182" s="182">
        <f t="shared" si="295"/>
        <v>7.0085086591359662E-4</v>
      </c>
      <c r="H182" s="182">
        <f t="shared" si="295"/>
        <v>8.1944327219677661E-4</v>
      </c>
      <c r="I182" s="182"/>
      <c r="J182" s="182">
        <f t="shared" si="295"/>
        <v>8.1944327219677661E-4</v>
      </c>
      <c r="K182" s="182">
        <f t="shared" si="295"/>
        <v>6.7851721330696303E-4</v>
      </c>
      <c r="L182" s="182">
        <f t="shared" si="295"/>
        <v>6.7076884219982407E-4</v>
      </c>
      <c r="M182" s="182">
        <f t="shared" si="295"/>
        <v>6.6041505411883368E-4</v>
      </c>
      <c r="N182" s="182">
        <f t="shared" si="295"/>
        <v>6.5210772648984373E-4</v>
      </c>
      <c r="O182" s="787">
        <f t="shared" si="295"/>
        <v>6.4521311526187747E-4</v>
      </c>
      <c r="P182" s="1016"/>
      <c r="Q182" s="1260"/>
      <c r="R182" s="1265"/>
      <c r="S182" s="1264"/>
      <c r="T182" s="1265"/>
      <c r="U182" s="1265"/>
    </row>
    <row r="183" spans="2:21" s="825" customFormat="1" ht="13.5" customHeight="1" x14ac:dyDescent="0.3">
      <c r="B183" s="1657" t="s">
        <v>4585</v>
      </c>
      <c r="C183" s="1120">
        <f>원가명세서!K36/1000000</f>
        <v>249.74314799999999</v>
      </c>
      <c r="D183" s="1120">
        <f>원가명세서!L36/1000000</f>
        <v>237.81759299999999</v>
      </c>
      <c r="E183" s="1120">
        <f>원가명세서!M36/1000000</f>
        <v>0</v>
      </c>
      <c r="F183" s="1120">
        <f>원가명세서!N36/1000000</f>
        <v>8.6260130000000004</v>
      </c>
      <c r="G183" s="1120">
        <f>원가명세서!O36/1000000</f>
        <v>0</v>
      </c>
      <c r="H183" s="1120">
        <f>원가명세서!P36/1000000</f>
        <v>0</v>
      </c>
      <c r="I183" s="1808"/>
      <c r="J183" s="1120">
        <f t="shared" si="171"/>
        <v>0</v>
      </c>
      <c r="K183" s="1120"/>
      <c r="L183" s="1120"/>
      <c r="M183" s="1120"/>
      <c r="N183" s="1120"/>
      <c r="O183" s="1655"/>
      <c r="P183" s="1016"/>
      <c r="Q183" s="1260"/>
      <c r="R183" s="1265"/>
      <c r="S183" s="1264"/>
      <c r="T183" s="1265" t="s">
        <v>4447</v>
      </c>
      <c r="U183" s="1265"/>
    </row>
    <row r="184" spans="2:21" s="825" customFormat="1" ht="13.5" customHeight="1" outlineLevel="1" x14ac:dyDescent="0.3">
      <c r="B184" s="863" t="s">
        <v>109</v>
      </c>
      <c r="C184" s="260"/>
      <c r="D184" s="260">
        <f>D183/C183-1</f>
        <v>-4.7751280047130695E-2</v>
      </c>
      <c r="E184" s="260">
        <f>E183/D183-1</f>
        <v>-1</v>
      </c>
      <c r="F184" s="260" t="e">
        <f t="shared" ref="F184:G184" si="296">F183/E183-1</f>
        <v>#DIV/0!</v>
      </c>
      <c r="G184" s="260">
        <f t="shared" si="296"/>
        <v>-1</v>
      </c>
      <c r="H184" s="260"/>
      <c r="I184" s="260"/>
      <c r="J184" s="260" t="e">
        <f>J183/G183-1</f>
        <v>#DIV/0!</v>
      </c>
      <c r="K184" s="260" t="e">
        <f t="shared" ref="K184" si="297">K183/J183-1</f>
        <v>#DIV/0!</v>
      </c>
      <c r="L184" s="260" t="e">
        <f t="shared" ref="L184" si="298">L183/K183-1</f>
        <v>#DIV/0!</v>
      </c>
      <c r="M184" s="260" t="e">
        <f t="shared" ref="M184" si="299">M183/L183-1</f>
        <v>#DIV/0!</v>
      </c>
      <c r="N184" s="260" t="e">
        <f t="shared" ref="N184" si="300">N183/M183-1</f>
        <v>#DIV/0!</v>
      </c>
      <c r="O184" s="783" t="e">
        <f t="shared" ref="O184" si="301">O183/N183-1</f>
        <v>#DIV/0!</v>
      </c>
      <c r="P184" s="404"/>
      <c r="Q184" s="1260"/>
      <c r="R184" s="1265"/>
      <c r="S184" s="1264"/>
      <c r="T184" s="1265"/>
      <c r="U184" s="1265"/>
    </row>
    <row r="185" spans="2:21" s="825" customFormat="1" ht="13.5" customHeight="1" outlineLevel="1" x14ac:dyDescent="0.3">
      <c r="B185" s="861" t="s">
        <v>133</v>
      </c>
      <c r="C185" s="182"/>
      <c r="D185" s="182">
        <f>D183/D$63</f>
        <v>7.51235120936575E-3</v>
      </c>
      <c r="E185" s="182">
        <f t="shared" ref="E185:O185" si="302">E183/E$63</f>
        <v>0</v>
      </c>
      <c r="F185" s="182">
        <f t="shared" si="302"/>
        <v>1.4318167829156312E-4</v>
      </c>
      <c r="G185" s="182">
        <f t="shared" si="302"/>
        <v>0</v>
      </c>
      <c r="H185" s="182">
        <f t="shared" si="302"/>
        <v>0</v>
      </c>
      <c r="I185" s="182"/>
      <c r="J185" s="182">
        <f t="shared" si="302"/>
        <v>0</v>
      </c>
      <c r="K185" s="182">
        <f t="shared" si="302"/>
        <v>0</v>
      </c>
      <c r="L185" s="182">
        <f t="shared" si="302"/>
        <v>0</v>
      </c>
      <c r="M185" s="182">
        <f t="shared" si="302"/>
        <v>0</v>
      </c>
      <c r="N185" s="182">
        <f t="shared" si="302"/>
        <v>0</v>
      </c>
      <c r="O185" s="787">
        <f t="shared" si="302"/>
        <v>0</v>
      </c>
      <c r="P185" s="404"/>
      <c r="Q185" s="1260"/>
      <c r="R185" s="1265"/>
      <c r="S185" s="1264"/>
      <c r="T185" s="1265"/>
      <c r="U185" s="1265"/>
    </row>
    <row r="186" spans="2:21" s="825" customFormat="1" ht="13.5" customHeight="1" outlineLevel="1" x14ac:dyDescent="0.3">
      <c r="B186" s="861" t="s">
        <v>4558</v>
      </c>
      <c r="C186" s="182">
        <f>C183/C$13</f>
        <v>8.465641772003641E-3</v>
      </c>
      <c r="D186" s="182">
        <f>D183/D$13</f>
        <v>8.0633124943091817E-3</v>
      </c>
      <c r="E186" s="182">
        <f t="shared" ref="E186:O186" si="303">E183/E$13</f>
        <v>0</v>
      </c>
      <c r="F186" s="182">
        <f t="shared" si="303"/>
        <v>1.5339461703348071E-4</v>
      </c>
      <c r="G186" s="182">
        <f t="shared" si="303"/>
        <v>0</v>
      </c>
      <c r="H186" s="182">
        <f t="shared" si="303"/>
        <v>0</v>
      </c>
      <c r="I186" s="182"/>
      <c r="J186" s="182">
        <f t="shared" si="303"/>
        <v>0</v>
      </c>
      <c r="K186" s="182">
        <f t="shared" si="303"/>
        <v>0</v>
      </c>
      <c r="L186" s="182">
        <f t="shared" si="303"/>
        <v>0</v>
      </c>
      <c r="M186" s="182">
        <f t="shared" si="303"/>
        <v>0</v>
      </c>
      <c r="N186" s="182">
        <f t="shared" si="303"/>
        <v>0</v>
      </c>
      <c r="O186" s="787">
        <f t="shared" si="303"/>
        <v>0</v>
      </c>
      <c r="P186" s="1016"/>
      <c r="Q186" s="1260"/>
      <c r="R186" s="1265"/>
      <c r="S186" s="1264"/>
      <c r="T186" s="1265"/>
      <c r="U186" s="1265"/>
    </row>
    <row r="187" spans="2:21" s="825" customFormat="1" ht="13.5" customHeight="1" x14ac:dyDescent="0.3">
      <c r="B187" s="1657" t="s">
        <v>4586</v>
      </c>
      <c r="C187" s="1120">
        <f>원가명세서!K37/1000000</f>
        <v>0</v>
      </c>
      <c r="D187" s="1120">
        <f>원가명세서!L37/1000000</f>
        <v>0</v>
      </c>
      <c r="E187" s="1120">
        <f>원가명세서!M37/1000000</f>
        <v>-15.2</v>
      </c>
      <c r="F187" s="1120">
        <f>원가명세서!N37/1000000</f>
        <v>0</v>
      </c>
      <c r="G187" s="1120">
        <f>원가명세서!O37/1000000</f>
        <v>-8.6260130000000004</v>
      </c>
      <c r="H187" s="1120">
        <f>원가명세서!P37/1000000</f>
        <v>0</v>
      </c>
      <c r="I187" s="1808"/>
      <c r="J187" s="1120">
        <f t="shared" si="171"/>
        <v>0</v>
      </c>
      <c r="K187" s="1120"/>
      <c r="L187" s="1120"/>
      <c r="M187" s="1120"/>
      <c r="N187" s="1120"/>
      <c r="O187" s="1655"/>
      <c r="P187" s="404"/>
      <c r="Q187" s="1260"/>
      <c r="R187" s="1265"/>
      <c r="S187" s="1264"/>
      <c r="T187" s="1265" t="s">
        <v>4447</v>
      </c>
      <c r="U187" s="1265"/>
    </row>
    <row r="188" spans="2:21" s="825" customFormat="1" ht="13.5" customHeight="1" outlineLevel="1" x14ac:dyDescent="0.3">
      <c r="B188" s="863" t="s">
        <v>109</v>
      </c>
      <c r="C188" s="260"/>
      <c r="D188" s="260" t="e">
        <f>D187/C187-1</f>
        <v>#DIV/0!</v>
      </c>
      <c r="E188" s="260" t="e">
        <f>E187/D187-1</f>
        <v>#DIV/0!</v>
      </c>
      <c r="F188" s="260">
        <f t="shared" ref="F188:G188" si="304">F187/E187-1</f>
        <v>-1</v>
      </c>
      <c r="G188" s="260" t="e">
        <f t="shared" si="304"/>
        <v>#DIV/0!</v>
      </c>
      <c r="H188" s="260"/>
      <c r="I188" s="260"/>
      <c r="J188" s="260">
        <f>J187/G187-1</f>
        <v>-1</v>
      </c>
      <c r="K188" s="260" t="e">
        <f t="shared" ref="K188" si="305">K187/J187-1</f>
        <v>#DIV/0!</v>
      </c>
      <c r="L188" s="260" t="e">
        <f t="shared" ref="L188" si="306">L187/K187-1</f>
        <v>#DIV/0!</v>
      </c>
      <c r="M188" s="260" t="e">
        <f t="shared" ref="M188" si="307">M187/L187-1</f>
        <v>#DIV/0!</v>
      </c>
      <c r="N188" s="260" t="e">
        <f t="shared" ref="N188" si="308">N187/M187-1</f>
        <v>#DIV/0!</v>
      </c>
      <c r="O188" s="783" t="e">
        <f t="shared" ref="O188" si="309">O187/N187-1</f>
        <v>#DIV/0!</v>
      </c>
      <c r="P188" s="404"/>
      <c r="Q188" s="1260"/>
      <c r="R188" s="1265"/>
      <c r="S188" s="1264"/>
      <c r="T188" s="1265"/>
      <c r="U188" s="1265"/>
    </row>
    <row r="189" spans="2:21" s="825" customFormat="1" ht="13.5" customHeight="1" outlineLevel="1" x14ac:dyDescent="0.3">
      <c r="B189" s="861" t="s">
        <v>133</v>
      </c>
      <c r="C189" s="182"/>
      <c r="D189" s="182">
        <f>D187/D$63</f>
        <v>0</v>
      </c>
      <c r="E189" s="182">
        <f t="shared" ref="E189:O189" si="310">E187/E$63</f>
        <v>-2.8849255043617196E-4</v>
      </c>
      <c r="F189" s="182">
        <f t="shared" si="310"/>
        <v>0</v>
      </c>
      <c r="G189" s="182">
        <f t="shared" si="310"/>
        <v>-9.4812001561636616E-5</v>
      </c>
      <c r="H189" s="182">
        <f t="shared" si="310"/>
        <v>0</v>
      </c>
      <c r="I189" s="182"/>
      <c r="J189" s="182">
        <f t="shared" si="310"/>
        <v>0</v>
      </c>
      <c r="K189" s="182">
        <f t="shared" si="310"/>
        <v>0</v>
      </c>
      <c r="L189" s="182">
        <f t="shared" si="310"/>
        <v>0</v>
      </c>
      <c r="M189" s="182">
        <f t="shared" si="310"/>
        <v>0</v>
      </c>
      <c r="N189" s="182">
        <f t="shared" si="310"/>
        <v>0</v>
      </c>
      <c r="O189" s="787">
        <f t="shared" si="310"/>
        <v>0</v>
      </c>
      <c r="P189" s="404"/>
      <c r="Q189" s="1260"/>
      <c r="R189" s="1265"/>
      <c r="S189" s="1264"/>
      <c r="T189" s="1265"/>
      <c r="U189" s="1265"/>
    </row>
    <row r="190" spans="2:21" s="825" customFormat="1" ht="13.5" customHeight="1" outlineLevel="1" x14ac:dyDescent="0.3">
      <c r="B190" s="861" t="s">
        <v>4558</v>
      </c>
      <c r="C190" s="182">
        <f>C187/C$13</f>
        <v>0</v>
      </c>
      <c r="D190" s="182">
        <f>D187/D$13</f>
        <v>0</v>
      </c>
      <c r="E190" s="182">
        <f t="shared" ref="E190:O190" si="311">E187/E$13</f>
        <v>-3.1007305332845755E-4</v>
      </c>
      <c r="F190" s="182">
        <f t="shared" si="311"/>
        <v>0</v>
      </c>
      <c r="G190" s="182">
        <f t="shared" si="311"/>
        <v>-9.9576978403572621E-5</v>
      </c>
      <c r="H190" s="182">
        <f t="shared" si="311"/>
        <v>0</v>
      </c>
      <c r="I190" s="182"/>
      <c r="J190" s="182">
        <f t="shared" si="311"/>
        <v>0</v>
      </c>
      <c r="K190" s="182">
        <f t="shared" si="311"/>
        <v>0</v>
      </c>
      <c r="L190" s="182">
        <f t="shared" si="311"/>
        <v>0</v>
      </c>
      <c r="M190" s="182">
        <f t="shared" si="311"/>
        <v>0</v>
      </c>
      <c r="N190" s="182">
        <f t="shared" si="311"/>
        <v>0</v>
      </c>
      <c r="O190" s="787">
        <f t="shared" si="311"/>
        <v>0</v>
      </c>
      <c r="P190" s="1016"/>
      <c r="Q190" s="1260"/>
      <c r="R190" s="1265"/>
      <c r="S190" s="1264"/>
      <c r="T190" s="1265"/>
      <c r="U190" s="1265"/>
    </row>
    <row r="191" spans="2:21" ht="13.5" customHeight="1" x14ac:dyDescent="0.3">
      <c r="B191" s="1660"/>
      <c r="C191" s="1661"/>
      <c r="D191" s="1661"/>
      <c r="E191" s="1661"/>
      <c r="F191" s="1661"/>
      <c r="G191" s="1661"/>
      <c r="H191" s="1661"/>
      <c r="I191" s="1661"/>
      <c r="J191" s="1661"/>
      <c r="K191" s="1661"/>
      <c r="L191" s="1661"/>
      <c r="M191" s="1661"/>
      <c r="N191" s="1661"/>
      <c r="O191" s="1662"/>
      <c r="P191" s="404"/>
      <c r="Q191" s="1258"/>
      <c r="R191" s="1265"/>
      <c r="S191" s="1264"/>
      <c r="T191" s="1265"/>
      <c r="U191" s="1265"/>
    </row>
    <row r="192" spans="2:21" ht="13.5" customHeight="1" x14ac:dyDescent="0.3">
      <c r="P192" s="1016"/>
      <c r="Q192" s="1260"/>
      <c r="R192" s="1869"/>
      <c r="S192" s="1869"/>
      <c r="T192" s="1450"/>
      <c r="U192" s="1450"/>
    </row>
    <row r="193" spans="2:21" ht="13.5" customHeight="1" x14ac:dyDescent="0.3">
      <c r="B193" s="834" t="s">
        <v>3871</v>
      </c>
      <c r="C193" s="838"/>
      <c r="D193" s="838"/>
      <c r="E193" s="838"/>
      <c r="F193" s="838"/>
      <c r="G193" s="838"/>
      <c r="H193" s="838"/>
      <c r="I193" s="838"/>
      <c r="J193" s="838"/>
      <c r="K193" s="838"/>
      <c r="L193" s="838"/>
      <c r="M193" s="838"/>
      <c r="N193" s="838"/>
      <c r="O193" s="1617"/>
      <c r="P193" s="404"/>
      <c r="Q193" s="1260"/>
      <c r="R193" s="1869"/>
      <c r="S193" s="1869"/>
      <c r="T193" s="1450"/>
      <c r="U193" s="1450"/>
    </row>
    <row r="194" spans="2:21" ht="13.5" customHeight="1" x14ac:dyDescent="0.3">
      <c r="B194" s="1628" t="str">
        <f>Des!$C$13</f>
        <v>KRW Millions</v>
      </c>
      <c r="C194" s="1596">
        <f>'Pro forma'!C$5</f>
        <v>2010</v>
      </c>
      <c r="D194" s="1596">
        <f>'Pro forma'!D$5</f>
        <v>2011</v>
      </c>
      <c r="E194" s="1596">
        <f>'Pro forma'!E$5</f>
        <v>2012</v>
      </c>
      <c r="F194" s="1596">
        <f>'Pro forma'!F$5</f>
        <v>2013</v>
      </c>
      <c r="G194" s="1596">
        <f>'Pro forma'!G$5</f>
        <v>2014</v>
      </c>
      <c r="H194" s="1597" t="str">
        <f>'Pro forma'!H$5</f>
        <v>2015/12A</v>
      </c>
      <c r="I194" s="1598" t="str">
        <f>'Pro forma'!I$5</f>
        <v>2015/0E</v>
      </c>
      <c r="J194" s="1599">
        <f>'Pro forma'!J$5</f>
        <v>2015</v>
      </c>
      <c r="K194" s="1599">
        <f>'Pro forma'!K$5</f>
        <v>2016</v>
      </c>
      <c r="L194" s="1599">
        <f>'Pro forma'!L$5</f>
        <v>2017</v>
      </c>
      <c r="M194" s="1599">
        <f>'Pro forma'!M$5</f>
        <v>2018</v>
      </c>
      <c r="N194" s="1599">
        <f>'Pro forma'!N$5</f>
        <v>2019</v>
      </c>
      <c r="O194" s="1618">
        <f>'Pro forma'!O$5</f>
        <v>2020</v>
      </c>
      <c r="P194" s="404"/>
      <c r="Q194" s="1258"/>
      <c r="R194" s="1869"/>
      <c r="S194" s="1869"/>
      <c r="T194" s="1450"/>
      <c r="U194" s="1450"/>
    </row>
    <row r="195" spans="2:21" ht="13.5" customHeight="1" x14ac:dyDescent="0.3">
      <c r="B195" s="1632" t="s">
        <v>3871</v>
      </c>
      <c r="C195" s="1120">
        <f>C200+C206+C211+C216</f>
        <v>29365.850150999999</v>
      </c>
      <c r="D195" s="1120">
        <f t="shared" ref="D195:H195" si="312">D200+D206+D211+D216</f>
        <v>44778.265659000004</v>
      </c>
      <c r="E195" s="1120">
        <f t="shared" si="312"/>
        <v>46818.912802000006</v>
      </c>
      <c r="F195" s="1120">
        <f t="shared" si="312"/>
        <v>67972.353558000003</v>
      </c>
      <c r="G195" s="1120">
        <f t="shared" si="312"/>
        <v>79872.934212999986</v>
      </c>
      <c r="H195" s="1120">
        <f t="shared" si="312"/>
        <v>80088.316919000004</v>
      </c>
      <c r="I195" s="1120"/>
      <c r="J195" s="1120">
        <f t="shared" ref="J195:O195" ca="1" si="313">J200+J206+J211+J216</f>
        <v>80108.181752333345</v>
      </c>
      <c r="K195" s="1120">
        <f t="shared" ca="1" si="313"/>
        <v>87451.123000235093</v>
      </c>
      <c r="L195" s="1120">
        <f t="shared" ca="1" si="313"/>
        <v>90907.923552422406</v>
      </c>
      <c r="M195" s="1120">
        <f t="shared" ca="1" si="313"/>
        <v>94353.086576522663</v>
      </c>
      <c r="N195" s="1120">
        <f t="shared" ca="1" si="313"/>
        <v>98112.812569003829</v>
      </c>
      <c r="O195" s="1655">
        <f t="shared" ca="1" si="313"/>
        <v>102211.5745716621</v>
      </c>
      <c r="P195" s="1016"/>
      <c r="Q195" s="1260"/>
      <c r="R195" s="1869"/>
      <c r="S195" s="1869"/>
      <c r="T195" s="1450"/>
      <c r="U195" s="1450"/>
    </row>
    <row r="196" spans="2:21" ht="13.5" customHeight="1" x14ac:dyDescent="0.3">
      <c r="B196" s="863" t="s">
        <v>109</v>
      </c>
      <c r="C196" s="260"/>
      <c r="D196" s="260">
        <f>D195/C195-1</f>
        <v>0.52484145457219689</v>
      </c>
      <c r="E196" s="260">
        <f>E195/D195-1</f>
        <v>4.557226844246598E-2</v>
      </c>
      <c r="F196" s="260">
        <f t="shared" ref="F196:H196" si="314">F195/E195-1</f>
        <v>0.45181401040769931</v>
      </c>
      <c r="G196" s="260">
        <f t="shared" si="314"/>
        <v>0.17507972038728004</v>
      </c>
      <c r="H196" s="260">
        <f t="shared" si="314"/>
        <v>2.696566842350423E-3</v>
      </c>
      <c r="I196" s="260"/>
      <c r="J196" s="260">
        <f ca="1">J195/G195-1</f>
        <v>2.9452722834246714E-3</v>
      </c>
      <c r="K196" s="260">
        <f t="shared" ref="K196" ca="1" si="315">K195/J195-1</f>
        <v>9.1662812552699924E-2</v>
      </c>
      <c r="L196" s="260">
        <f t="shared" ref="L196" ca="1" si="316">L195/K195-1</f>
        <v>3.9528372347808816E-2</v>
      </c>
      <c r="M196" s="260">
        <f t="shared" ref="M196" ca="1" si="317">M195/L195-1</f>
        <v>3.7897279901169423E-2</v>
      </c>
      <c r="N196" s="260">
        <f t="shared" ref="N196" ca="1" si="318">N195/M195-1</f>
        <v>3.9847408589351652E-2</v>
      </c>
      <c r="O196" s="783">
        <f t="shared" ref="O196" ca="1" si="319">O195/N195-1</f>
        <v>4.1776011667951751E-2</v>
      </c>
      <c r="P196" s="404"/>
      <c r="Q196" s="1260"/>
      <c r="R196" s="1869"/>
      <c r="S196" s="1869"/>
      <c r="T196" s="1450"/>
      <c r="U196" s="1450"/>
    </row>
    <row r="197" spans="2:21" ht="13.5" customHeight="1" x14ac:dyDescent="0.3">
      <c r="B197" s="1135" t="s">
        <v>4587</v>
      </c>
      <c r="C197" s="182"/>
      <c r="D197" s="182">
        <f>D195/D$64</f>
        <v>0.81988791917580772</v>
      </c>
      <c r="E197" s="182">
        <f t="shared" ref="E197:O197" si="320">E195/E$64</f>
        <v>0.82579403495692927</v>
      </c>
      <c r="F197" s="182">
        <f t="shared" si="320"/>
        <v>0.85324488124117226</v>
      </c>
      <c r="G197" s="182">
        <f t="shared" si="320"/>
        <v>0.87203430570232932</v>
      </c>
      <c r="H197" s="182">
        <f t="shared" si="320"/>
        <v>0.83983417114918857</v>
      </c>
      <c r="I197" s="182"/>
      <c r="J197" s="182">
        <f t="shared" ca="1" si="320"/>
        <v>0.84004248075637378</v>
      </c>
      <c r="K197" s="182">
        <f t="shared" ca="1" si="320"/>
        <v>0.88102526896642697</v>
      </c>
      <c r="L197" s="182">
        <f t="shared" ca="1" si="320"/>
        <v>0.88098274262339349</v>
      </c>
      <c r="M197" s="182">
        <f t="shared" ca="1" si="320"/>
        <v>0.88118970406873287</v>
      </c>
      <c r="N197" s="182">
        <f t="shared" ca="1" si="320"/>
        <v>0.88191316757803584</v>
      </c>
      <c r="O197" s="787">
        <f t="shared" ca="1" si="320"/>
        <v>0.88277783695112666</v>
      </c>
      <c r="P197" s="404"/>
      <c r="Q197" s="1258"/>
      <c r="R197" s="1869"/>
      <c r="S197" s="1869"/>
      <c r="T197" s="1450"/>
      <c r="U197" s="1450"/>
    </row>
    <row r="198" spans="2:21" ht="13.5" customHeight="1" x14ac:dyDescent="0.3">
      <c r="B198" s="861" t="s">
        <v>3865</v>
      </c>
      <c r="C198" s="182"/>
      <c r="D198" s="182">
        <f>D195/D$6</f>
        <v>0.42096903767156985</v>
      </c>
      <c r="E198" s="182">
        <f t="shared" ref="E198:O198" si="321">E195/E$6</f>
        <v>0.28265299664755233</v>
      </c>
      <c r="F198" s="182">
        <f t="shared" si="321"/>
        <v>0.35032024463520517</v>
      </c>
      <c r="G198" s="182">
        <f t="shared" si="321"/>
        <v>0.34180185177784989</v>
      </c>
      <c r="H198" s="182">
        <f t="shared" ca="1" si="321"/>
        <v>0.4140569979280827</v>
      </c>
      <c r="I198" s="182"/>
      <c r="J198" s="182">
        <f t="shared" ca="1" si="321"/>
        <v>0.4141171688491152</v>
      </c>
      <c r="K198" s="182">
        <f t="shared" ca="1" si="321"/>
        <v>0.38835162324051786</v>
      </c>
      <c r="L198" s="182">
        <f t="shared" ca="1" si="321"/>
        <v>0.38993913204280634</v>
      </c>
      <c r="M198" s="182">
        <f t="shared" ca="1" si="321"/>
        <v>0.3907315179634781</v>
      </c>
      <c r="N198" s="182">
        <f t="shared" ca="1" si="321"/>
        <v>0.39212555291014123</v>
      </c>
      <c r="O198" s="787">
        <f t="shared" ca="1" si="321"/>
        <v>0.39392037218194598</v>
      </c>
      <c r="P198" s="1016"/>
      <c r="Q198" s="1260"/>
      <c r="R198" s="1869"/>
      <c r="S198" s="1869"/>
      <c r="T198" s="1450"/>
      <c r="U198" s="1450"/>
    </row>
    <row r="199" spans="2:21" ht="13.5" customHeight="1" x14ac:dyDescent="0.3">
      <c r="B199" s="861"/>
      <c r="C199" s="182"/>
      <c r="D199" s="182"/>
      <c r="E199" s="182"/>
      <c r="F199" s="182"/>
      <c r="G199" s="182"/>
      <c r="H199" s="182"/>
      <c r="I199" s="182"/>
      <c r="J199" s="182"/>
      <c r="K199" s="182"/>
      <c r="L199" s="182"/>
      <c r="M199" s="182"/>
      <c r="N199" s="182"/>
      <c r="O199" s="787"/>
      <c r="P199" s="404"/>
      <c r="Q199" s="1260"/>
      <c r="R199" s="1869"/>
      <c r="S199" s="1869"/>
      <c r="T199" s="1450"/>
      <c r="U199" s="1450"/>
    </row>
    <row r="200" spans="2:21" ht="13.5" customHeight="1" x14ac:dyDescent="0.3">
      <c r="B200" s="1657" t="s">
        <v>4551</v>
      </c>
      <c r="C200" s="1120">
        <f>원가구분!U14+원가구분!U15</f>
        <v>21290.231644</v>
      </c>
      <c r="D200" s="1120">
        <f>원가구분!V14+원가구분!V15</f>
        <v>33156.849820000003</v>
      </c>
      <c r="E200" s="1120">
        <f>원가구분!W14+원가구분!W15</f>
        <v>32209.744416000001</v>
      </c>
      <c r="F200" s="1120">
        <f>원가구분!X14+원가구분!X15</f>
        <v>50332.076616999999</v>
      </c>
      <c r="G200" s="1120">
        <f>원가구분!Y14+원가구분!Y15</f>
        <v>60259.229023</v>
      </c>
      <c r="H200" s="1120">
        <f>원가구분!Z14+원가구분!Z15</f>
        <v>61479.456315000003</v>
      </c>
      <c r="I200" s="1808"/>
      <c r="J200" s="1120">
        <f>H200+I200</f>
        <v>61479.456315000003</v>
      </c>
      <c r="K200" s="1120">
        <f>K64*K202</f>
        <v>64003.291787403403</v>
      </c>
      <c r="L200" s="1120">
        <f>L64*L202</f>
        <v>66536.449394681666</v>
      </c>
      <c r="M200" s="1120">
        <f>M64*M202</f>
        <v>69041.780469196121</v>
      </c>
      <c r="N200" s="1120">
        <f>N64*N202</f>
        <v>71734.022322473815</v>
      </c>
      <c r="O200" s="1655">
        <f>O64*O202</f>
        <v>74657.585848459305</v>
      </c>
      <c r="P200" s="404"/>
      <c r="Q200" s="1258"/>
      <c r="R200" s="2044" t="s">
        <v>3870</v>
      </c>
      <c r="S200" s="1869"/>
      <c r="T200" s="1450"/>
      <c r="U200" s="1450"/>
    </row>
    <row r="201" spans="2:21" ht="13.5" customHeight="1" x14ac:dyDescent="0.3">
      <c r="B201" s="863" t="s">
        <v>109</v>
      </c>
      <c r="C201" s="260"/>
      <c r="D201" s="260">
        <f>D200/C200-1</f>
        <v>0.55737384047412397</v>
      </c>
      <c r="E201" s="260">
        <f>E200/D200-1</f>
        <v>-2.8564396471365439E-2</v>
      </c>
      <c r="F201" s="260">
        <f t="shared" ref="F201:H201" si="322">F200/E200-1</f>
        <v>0.56263508231992776</v>
      </c>
      <c r="G201" s="260">
        <f t="shared" si="322"/>
        <v>0.1972331179883613</v>
      </c>
      <c r="H201" s="260">
        <f t="shared" si="322"/>
        <v>2.0249633322295901E-2</v>
      </c>
      <c r="I201" s="260"/>
      <c r="J201" s="260">
        <f>J200/G200-1</f>
        <v>2.0249633322295901E-2</v>
      </c>
      <c r="K201" s="260">
        <f t="shared" ref="K201" si="323">K200/J200-1</f>
        <v>4.1051688217152105E-2</v>
      </c>
      <c r="L201" s="260">
        <f t="shared" ref="L201" si="324">L200/K200-1</f>
        <v>3.9578551923431293E-2</v>
      </c>
      <c r="M201" s="260">
        <f t="shared" ref="M201" si="325">M200/L200-1</f>
        <v>3.765351318422927E-2</v>
      </c>
      <c r="N201" s="260">
        <f t="shared" ref="N201" si="326">N200/M200-1</f>
        <v>3.8994386225002842E-2</v>
      </c>
      <c r="O201" s="783">
        <f t="shared" ref="O201" si="327">O200/N200-1</f>
        <v>4.0755605657283089E-2</v>
      </c>
      <c r="Q201" s="1258"/>
      <c r="R201" s="1871"/>
      <c r="S201" s="1871"/>
      <c r="T201" s="1871"/>
      <c r="U201" s="1871"/>
    </row>
    <row r="202" spans="2:21" ht="13.5" customHeight="1" x14ac:dyDescent="0.3">
      <c r="B202" s="1135" t="s">
        <v>4587</v>
      </c>
      <c r="C202" s="182">
        <f>C200/C$64</f>
        <v>0.52974704100755776</v>
      </c>
      <c r="D202" s="182">
        <f>D200/D$64</f>
        <v>0.60710034668081547</v>
      </c>
      <c r="E202" s="182">
        <f t="shared" ref="E202:J202" si="328">E200/E$64</f>
        <v>0.56811688299357144</v>
      </c>
      <c r="F202" s="182">
        <f t="shared" si="328"/>
        <v>0.63180961799489244</v>
      </c>
      <c r="G202" s="182">
        <f t="shared" si="328"/>
        <v>0.6578963883196971</v>
      </c>
      <c r="H202" s="182">
        <f t="shared" si="328"/>
        <v>0.64469513436311909</v>
      </c>
      <c r="I202" s="182"/>
      <c r="J202" s="182">
        <f t="shared" si="328"/>
        <v>0.64469513436311909</v>
      </c>
      <c r="K202" s="1872">
        <f>AVERAGE(F202:H202)</f>
        <v>0.64480038022590291</v>
      </c>
      <c r="L202" s="1872">
        <f>K202</f>
        <v>0.64480038022590291</v>
      </c>
      <c r="M202" s="1872">
        <f t="shared" ref="M202:O202" si="329">L202</f>
        <v>0.64480038022590291</v>
      </c>
      <c r="N202" s="1872">
        <f t="shared" si="329"/>
        <v>0.64480038022590291</v>
      </c>
      <c r="O202" s="1873">
        <f t="shared" si="329"/>
        <v>0.64480038022590291</v>
      </c>
      <c r="Q202" s="1258"/>
      <c r="R202" s="2139"/>
      <c r="S202" s="2139"/>
      <c r="T202" s="1867"/>
      <c r="U202" s="1868"/>
    </row>
    <row r="203" spans="2:21" ht="13.5" customHeight="1" x14ac:dyDescent="0.3">
      <c r="B203" s="861" t="s">
        <v>3865</v>
      </c>
      <c r="C203" s="182">
        <f>C200/C$6</f>
        <v>0.24726789885553757</v>
      </c>
      <c r="D203" s="182">
        <f>D200/D$6</f>
        <v>0.31171388519690779</v>
      </c>
      <c r="E203" s="182">
        <f t="shared" ref="E203:O203" si="330">E200/E$6</f>
        <v>0.19445519418480078</v>
      </c>
      <c r="F203" s="182">
        <f t="shared" si="330"/>
        <v>0.25940466190301703</v>
      </c>
      <c r="G203" s="182">
        <f t="shared" si="330"/>
        <v>0.25786852917962122</v>
      </c>
      <c r="H203" s="182">
        <f t="shared" ca="1" si="330"/>
        <v>0.31784909578990633</v>
      </c>
      <c r="I203" s="182"/>
      <c r="J203" s="182">
        <f t="shared" ca="1" si="330"/>
        <v>0.31781645563075189</v>
      </c>
      <c r="K203" s="182">
        <f t="shared" ca="1" si="330"/>
        <v>0.28422484932878223</v>
      </c>
      <c r="L203" s="182">
        <f t="shared" ca="1" si="330"/>
        <v>0.28540048339362734</v>
      </c>
      <c r="M203" s="182">
        <f t="shared" ca="1" si="330"/>
        <v>0.28591327177994724</v>
      </c>
      <c r="N203" s="182">
        <f t="shared" ca="1" si="330"/>
        <v>0.28669795951354676</v>
      </c>
      <c r="O203" s="787">
        <f t="shared" ca="1" si="330"/>
        <v>0.2877281181400006</v>
      </c>
      <c r="P203" s="294"/>
      <c r="Q203" s="1258"/>
      <c r="R203" s="1867"/>
      <c r="S203" s="1867"/>
      <c r="T203" s="1867"/>
      <c r="U203" s="1867"/>
    </row>
    <row r="204" spans="2:21" s="825" customFormat="1" ht="13.5" customHeight="1" x14ac:dyDescent="0.3">
      <c r="B204" s="861" t="s">
        <v>4451</v>
      </c>
      <c r="C204" s="182">
        <f t="shared" ref="C204" si="331">C200/C$195</f>
        <v>0.72499966915737324</v>
      </c>
      <c r="D204" s="182">
        <f t="shared" ref="D204:O204" si="332">D200/D$195</f>
        <v>0.74046748644754157</v>
      </c>
      <c r="E204" s="182">
        <f t="shared" si="332"/>
        <v>0.68796438209099264</v>
      </c>
      <c r="F204" s="182">
        <f t="shared" si="332"/>
        <v>0.74047865025082937</v>
      </c>
      <c r="G204" s="182">
        <f t="shared" si="332"/>
        <v>0.75443865455480297</v>
      </c>
      <c r="H204" s="182">
        <f t="shared" si="332"/>
        <v>0.76764575259059697</v>
      </c>
      <c r="I204" s="182"/>
      <c r="J204" s="182">
        <f t="shared" ca="1" si="332"/>
        <v>0.76745539556837172</v>
      </c>
      <c r="K204" s="182">
        <f t="shared" ca="1" si="332"/>
        <v>0.73187501305422165</v>
      </c>
      <c r="L204" s="182">
        <f t="shared" ca="1" si="332"/>
        <v>0.73191034174609837</v>
      </c>
      <c r="M204" s="182">
        <f t="shared" ca="1" si="332"/>
        <v>0.73173844093803486</v>
      </c>
      <c r="N204" s="182">
        <f t="shared" ca="1" si="332"/>
        <v>0.73113817088897015</v>
      </c>
      <c r="O204" s="787">
        <f t="shared" ca="1" si="332"/>
        <v>0.73042203059024124</v>
      </c>
      <c r="P204" s="294"/>
      <c r="Q204" s="1258"/>
      <c r="R204" s="1867"/>
      <c r="S204" s="1867"/>
      <c r="T204" s="1867"/>
      <c r="U204" s="1867"/>
    </row>
    <row r="205" spans="2:21" ht="13.5" customHeight="1" x14ac:dyDescent="0.3">
      <c r="B205" s="1630"/>
      <c r="C205" s="1122"/>
      <c r="D205" s="1123"/>
      <c r="E205" s="1123"/>
      <c r="F205" s="1123"/>
      <c r="G205" s="1123"/>
      <c r="H205" s="1123"/>
      <c r="I205" s="1123"/>
      <c r="J205" s="1123"/>
      <c r="K205" s="1123"/>
      <c r="L205" s="1123"/>
      <c r="M205" s="1123"/>
      <c r="N205" s="1123"/>
      <c r="O205" s="1656"/>
      <c r="P205" s="405"/>
      <c r="Q205" s="1258"/>
      <c r="R205" s="1869"/>
      <c r="S205" s="1869"/>
      <c r="T205" s="1450"/>
      <c r="U205" s="1450"/>
    </row>
    <row r="206" spans="2:21" ht="13.5" customHeight="1" x14ac:dyDescent="0.3">
      <c r="B206" s="1657" t="s">
        <v>165</v>
      </c>
      <c r="C206" s="1120">
        <f>노무비!C113</f>
        <v>7297.5972509999992</v>
      </c>
      <c r="D206" s="1120">
        <f>노무비!D113</f>
        <v>10931.831953000001</v>
      </c>
      <c r="E206" s="1120">
        <f>노무비!E113</f>
        <v>13562.829521000001</v>
      </c>
      <c r="F206" s="1120">
        <f>노무비!F113</f>
        <v>16090.326376999999</v>
      </c>
      <c r="G206" s="1120">
        <f>노무비!G113</f>
        <v>18097.410495999997</v>
      </c>
      <c r="H206" s="1120">
        <f>노무비!H113</f>
        <v>17209.850452999999</v>
      </c>
      <c r="I206" s="1120"/>
      <c r="J206" s="1120">
        <f>노무비!J113</f>
        <v>17209.850452999999</v>
      </c>
      <c r="K206" s="1120">
        <f>노무비!K113</f>
        <v>22070.031834287809</v>
      </c>
      <c r="L206" s="1120">
        <f>노무비!L113</f>
        <v>22996.9731713279</v>
      </c>
      <c r="M206" s="1120">
        <f>노무비!M113</f>
        <v>23916.852098181022</v>
      </c>
      <c r="N206" s="1120">
        <f>노무비!N113</f>
        <v>24921.359886304625</v>
      </c>
      <c r="O206" s="1655">
        <f>노무비!O113</f>
        <v>26017.899721302027</v>
      </c>
      <c r="P206" s="1016"/>
      <c r="Q206" s="1258"/>
      <c r="R206" s="1869"/>
      <c r="S206" s="1869"/>
      <c r="T206" s="1450"/>
      <c r="U206" s="1450"/>
    </row>
    <row r="207" spans="2:21" ht="13.5" customHeight="1" x14ac:dyDescent="0.3">
      <c r="B207" s="863" t="s">
        <v>109</v>
      </c>
      <c r="C207" s="260"/>
      <c r="D207" s="260">
        <f>D206/C206-1</f>
        <v>0.49800428510932115</v>
      </c>
      <c r="E207" s="260">
        <f>E206/D206-1</f>
        <v>0.24067307101971891</v>
      </c>
      <c r="F207" s="260">
        <f t="shared" ref="F207:G207" si="333">F206/E206-1</f>
        <v>0.18635468742614147</v>
      </c>
      <c r="G207" s="260">
        <f t="shared" si="333"/>
        <v>0.12473855855832627</v>
      </c>
      <c r="H207" s="260"/>
      <c r="I207" s="260"/>
      <c r="J207" s="260">
        <f>J206/G206-1</f>
        <v>-4.9043482944489347E-2</v>
      </c>
      <c r="K207" s="260">
        <f t="shared" ref="K207" si="334">K206/J206-1</f>
        <v>0.28240695028471841</v>
      </c>
      <c r="L207" s="260">
        <f t="shared" ref="L207" si="335">L206/K206-1</f>
        <v>4.2000000000000037E-2</v>
      </c>
      <c r="M207" s="260">
        <f t="shared" ref="M207" si="336">M206/L206-1</f>
        <v>4.0000000000000258E-2</v>
      </c>
      <c r="N207" s="260">
        <f t="shared" ref="N207" si="337">N206/M206-1</f>
        <v>4.2000000000000037E-2</v>
      </c>
      <c r="O207" s="783">
        <f t="shared" ref="O207" si="338">O206/N206-1</f>
        <v>4.4000000000000039E-2</v>
      </c>
      <c r="P207" s="404"/>
      <c r="Q207" s="1258"/>
      <c r="R207" s="1869"/>
      <c r="S207" s="1869"/>
      <c r="T207" s="1450"/>
      <c r="U207" s="1450"/>
    </row>
    <row r="208" spans="2:21" ht="13.5" customHeight="1" x14ac:dyDescent="0.3">
      <c r="B208" s="1135" t="s">
        <v>4587</v>
      </c>
      <c r="C208" s="182"/>
      <c r="D208" s="182">
        <f>D206/D$63</f>
        <v>0.34532247995926318</v>
      </c>
      <c r="E208" s="182">
        <f t="shared" ref="E208:O208" si="339">E206/E$63</f>
        <v>0.25741942629238784</v>
      </c>
      <c r="F208" s="182">
        <f t="shared" si="339"/>
        <v>0.26708050810007661</v>
      </c>
      <c r="G208" s="182">
        <f t="shared" si="339"/>
        <v>0.19891596641557699</v>
      </c>
      <c r="H208" s="182">
        <f t="shared" si="339"/>
        <v>0.22580936579504896</v>
      </c>
      <c r="I208" s="182"/>
      <c r="J208" s="182">
        <f t="shared" si="339"/>
        <v>0.22580936579504896</v>
      </c>
      <c r="K208" s="182">
        <f t="shared" si="339"/>
        <v>0.22900810277662015</v>
      </c>
      <c r="L208" s="182">
        <f t="shared" si="339"/>
        <v>0.23283621054074186</v>
      </c>
      <c r="M208" s="182">
        <f t="shared" si="339"/>
        <v>0.23432905151717603</v>
      </c>
      <c r="N208" s="182">
        <f t="shared" si="339"/>
        <v>0.23660993048430157</v>
      </c>
      <c r="O208" s="787">
        <f t="shared" si="339"/>
        <v>0.23946446820735243</v>
      </c>
      <c r="P208" s="404"/>
      <c r="Q208" s="1258"/>
      <c r="R208" s="1869"/>
      <c r="S208" s="1869"/>
      <c r="T208" s="1450"/>
      <c r="U208" s="1450"/>
    </row>
    <row r="209" spans="2:21" ht="13.5" customHeight="1" x14ac:dyDescent="0.3">
      <c r="B209" s="861" t="s">
        <v>4451</v>
      </c>
      <c r="C209" s="182"/>
      <c r="D209" s="182">
        <f>D206/D$6</f>
        <v>0.10277224250459056</v>
      </c>
      <c r="E209" s="182">
        <f t="shared" ref="E209:O209" si="340">E206/E$6</f>
        <v>8.1880893376207894E-2</v>
      </c>
      <c r="F209" s="182">
        <f t="shared" si="340"/>
        <v>8.2927348805733908E-2</v>
      </c>
      <c r="G209" s="182">
        <f t="shared" si="340"/>
        <v>7.744461225652477E-2</v>
      </c>
      <c r="H209" s="182">
        <f t="shared" ca="1" si="340"/>
        <v>8.8975012679657253E-2</v>
      </c>
      <c r="I209" s="182"/>
      <c r="J209" s="182">
        <f t="shared" ca="1" si="340"/>
        <v>8.8965875769679847E-2</v>
      </c>
      <c r="K209" s="182">
        <f t="shared" ca="1" si="340"/>
        <v>9.8008263287739983E-2</v>
      </c>
      <c r="L209" s="182">
        <f t="shared" ca="1" si="340"/>
        <v>9.8642884004145212E-2</v>
      </c>
      <c r="M209" s="182">
        <f t="shared" ca="1" si="340"/>
        <v>9.9043584733724502E-2</v>
      </c>
      <c r="N209" s="182">
        <f t="shared" ca="1" si="340"/>
        <v>9.9602710072314429E-2</v>
      </c>
      <c r="O209" s="787">
        <f t="shared" ca="1" si="340"/>
        <v>0.10027221265848052</v>
      </c>
      <c r="P209" s="404"/>
      <c r="Q209" s="1258"/>
      <c r="R209" s="1869"/>
      <c r="S209" s="1869"/>
      <c r="T209" s="1450"/>
      <c r="U209" s="1450"/>
    </row>
    <row r="210" spans="2:21" ht="13.5" customHeight="1" x14ac:dyDescent="0.3">
      <c r="B210" s="1630"/>
      <c r="C210" s="1122"/>
      <c r="D210" s="1123"/>
      <c r="E210" s="1123"/>
      <c r="F210" s="1123"/>
      <c r="G210" s="1123"/>
      <c r="H210" s="1123"/>
      <c r="I210" s="1123"/>
      <c r="J210" s="1123"/>
      <c r="K210" s="1123"/>
      <c r="L210" s="1123"/>
      <c r="M210" s="1123"/>
      <c r="N210" s="1123"/>
      <c r="O210" s="1656"/>
      <c r="P210" s="404"/>
      <c r="Q210" s="1258"/>
      <c r="R210" s="1869"/>
      <c r="S210" s="1869"/>
      <c r="T210" s="1450"/>
      <c r="U210" s="1450"/>
    </row>
    <row r="211" spans="2:21" s="825" customFormat="1" ht="13.5" customHeight="1" x14ac:dyDescent="0.3">
      <c r="B211" s="1657" t="s">
        <v>2018</v>
      </c>
      <c r="C211" s="1120">
        <f>C224</f>
        <v>778.02125599999999</v>
      </c>
      <c r="D211" s="1120">
        <f t="shared" ref="D211:H211" si="341">D224</f>
        <v>632.54766399999994</v>
      </c>
      <c r="E211" s="1120">
        <f t="shared" si="341"/>
        <v>847.19967399999985</v>
      </c>
      <c r="F211" s="1120">
        <f t="shared" si="341"/>
        <v>1320.7988350000001</v>
      </c>
      <c r="G211" s="1120">
        <f t="shared" si="341"/>
        <v>1261.6249390000003</v>
      </c>
      <c r="H211" s="1120">
        <f t="shared" si="341"/>
        <v>1169.8148289999999</v>
      </c>
      <c r="I211" s="1120"/>
      <c r="J211" s="1120">
        <f t="shared" ref="J211:O211" si="342">J224</f>
        <v>1169.8148289999999</v>
      </c>
      <c r="K211" s="1120">
        <f t="shared" si="342"/>
        <v>1185.0224217769999</v>
      </c>
      <c r="L211" s="1120">
        <f t="shared" si="342"/>
        <v>1202.7977581036546</v>
      </c>
      <c r="M211" s="1120">
        <f t="shared" si="342"/>
        <v>1224.4481177495204</v>
      </c>
      <c r="N211" s="1120">
        <f t="shared" si="342"/>
        <v>1248.9370801045111</v>
      </c>
      <c r="O211" s="1655">
        <f t="shared" si="342"/>
        <v>1276.4136958668103</v>
      </c>
      <c r="P211" s="404"/>
      <c r="Q211" s="1258"/>
      <c r="R211" s="1869"/>
      <c r="S211" s="1869"/>
      <c r="T211" s="1450"/>
      <c r="U211" s="1450"/>
    </row>
    <row r="212" spans="2:21" s="825" customFormat="1" ht="13.5" customHeight="1" x14ac:dyDescent="0.3">
      <c r="B212" s="863" t="s">
        <v>109</v>
      </c>
      <c r="C212" s="260"/>
      <c r="D212" s="260">
        <f>D211/C211-1</f>
        <v>-0.18697894289921568</v>
      </c>
      <c r="E212" s="260">
        <f>E211/D211-1</f>
        <v>0.33934519438838673</v>
      </c>
      <c r="F212" s="260">
        <f t="shared" ref="F212" si="343">F211/E211-1</f>
        <v>0.5590171662412613</v>
      </c>
      <c r="G212" s="260">
        <f t="shared" ref="G212" si="344">G211/F211-1</f>
        <v>-4.4801596149196876E-2</v>
      </c>
      <c r="H212" s="260"/>
      <c r="I212" s="260"/>
      <c r="J212" s="260">
        <f>J211/G211-1</f>
        <v>-7.2771318291133036E-2</v>
      </c>
      <c r="K212" s="260">
        <f t="shared" ref="K212" si="345">K211/J211-1</f>
        <v>1.2999999999999901E-2</v>
      </c>
      <c r="L212" s="260">
        <f t="shared" ref="L212" si="346">L211/K211-1</f>
        <v>1.499999999999968E-2</v>
      </c>
      <c r="M212" s="260">
        <f t="shared" ref="M212" si="347">M211/L211-1</f>
        <v>1.8000000000000016E-2</v>
      </c>
      <c r="N212" s="260">
        <f t="shared" ref="N212" si="348">N211/M211-1</f>
        <v>2.000000000000024E-2</v>
      </c>
      <c r="O212" s="783">
        <f t="shared" ref="O212" si="349">O211/N211-1</f>
        <v>2.200000000000002E-2</v>
      </c>
      <c r="P212" s="404"/>
      <c r="Q212" s="1258"/>
      <c r="R212" s="1869"/>
      <c r="S212" s="1869"/>
      <c r="T212" s="1450"/>
      <c r="U212" s="1450"/>
    </row>
    <row r="213" spans="2:21" s="825" customFormat="1" ht="13.5" customHeight="1" x14ac:dyDescent="0.3">
      <c r="B213" s="1135" t="s">
        <v>4587</v>
      </c>
      <c r="C213" s="182"/>
      <c r="D213" s="182">
        <f>D211/D$63</f>
        <v>1.9981365334194933E-2</v>
      </c>
      <c r="E213" s="182">
        <f t="shared" ref="E213:H213" si="350">E211/E$63</f>
        <v>1.6079657544799567E-2</v>
      </c>
      <c r="F213" s="182">
        <f t="shared" si="350"/>
        <v>2.1923708424835594E-2</v>
      </c>
      <c r="G213" s="182">
        <f t="shared" si="350"/>
        <v>1.3867030537360391E-2</v>
      </c>
      <c r="H213" s="182">
        <f t="shared" si="350"/>
        <v>1.5349066823999415E-2</v>
      </c>
      <c r="I213" s="182"/>
      <c r="J213" s="182">
        <f t="shared" ref="J213:O213" si="351">J211/J$63</f>
        <v>1.5349066823999415E-2</v>
      </c>
      <c r="K213" s="182">
        <f t="shared" si="351"/>
        <v>1.2296300186449812E-2</v>
      </c>
      <c r="L213" s="182">
        <f t="shared" si="351"/>
        <v>1.2177901411517967E-2</v>
      </c>
      <c r="M213" s="182">
        <f t="shared" si="351"/>
        <v>1.1996719504991142E-2</v>
      </c>
      <c r="N213" s="182">
        <f t="shared" si="351"/>
        <v>1.185773637758793E-2</v>
      </c>
      <c r="O213" s="787">
        <f t="shared" si="351"/>
        <v>1.1747901643385645E-2</v>
      </c>
      <c r="P213" s="404"/>
      <c r="Q213" s="1258"/>
      <c r="R213" s="1869"/>
      <c r="S213" s="1869"/>
      <c r="T213" s="1450"/>
      <c r="U213" s="1450"/>
    </row>
    <row r="214" spans="2:21" s="825" customFormat="1" ht="13.5" customHeight="1" x14ac:dyDescent="0.3">
      <c r="B214" s="861" t="s">
        <v>4451</v>
      </c>
      <c r="C214" s="182"/>
      <c r="D214" s="182">
        <f>D211/D$6</f>
        <v>5.9467015409507967E-3</v>
      </c>
      <c r="E214" s="182">
        <f t="shared" ref="E214:H214" si="352">E211/E$6</f>
        <v>5.1146750807229344E-3</v>
      </c>
      <c r="F214" s="182">
        <f t="shared" si="352"/>
        <v>6.8072171518421144E-3</v>
      </c>
      <c r="G214" s="182">
        <f t="shared" si="352"/>
        <v>5.3988969436048508E-3</v>
      </c>
      <c r="H214" s="182">
        <f t="shared" ca="1" si="352"/>
        <v>6.0479485006205988E-3</v>
      </c>
      <c r="I214" s="182"/>
      <c r="J214" s="182">
        <f t="shared" ref="J214:O214" ca="1" si="353">J211/J$6</f>
        <v>6.0473274323078908E-3</v>
      </c>
      <c r="K214" s="182">
        <f t="shared" ca="1" si="353"/>
        <v>5.2624296325190743E-3</v>
      </c>
      <c r="L214" s="182">
        <f t="shared" ca="1" si="353"/>
        <v>5.159263301702314E-3</v>
      </c>
      <c r="M214" s="182">
        <f t="shared" ca="1" si="353"/>
        <v>5.0706393301481962E-3</v>
      </c>
      <c r="N214" s="182">
        <f t="shared" ca="1" si="353"/>
        <v>4.9916023224950267E-3</v>
      </c>
      <c r="O214" s="787">
        <f t="shared" ca="1" si="353"/>
        <v>4.9192604677219072E-3</v>
      </c>
      <c r="P214" s="404"/>
      <c r="Q214" s="1258"/>
      <c r="R214" s="1869"/>
      <c r="S214" s="1869"/>
      <c r="T214" s="1450"/>
      <c r="U214" s="1450"/>
    </row>
    <row r="215" spans="2:21" s="825" customFormat="1" ht="13.5" customHeight="1" x14ac:dyDescent="0.3">
      <c r="B215" s="861"/>
      <c r="C215" s="182"/>
      <c r="D215" s="182"/>
      <c r="E215" s="182"/>
      <c r="F215" s="182"/>
      <c r="G215" s="182"/>
      <c r="H215" s="182"/>
      <c r="I215" s="182"/>
      <c r="J215" s="182"/>
      <c r="K215" s="182"/>
      <c r="L215" s="182"/>
      <c r="M215" s="182"/>
      <c r="N215" s="182"/>
      <c r="O215" s="787"/>
      <c r="P215" s="404"/>
      <c r="Q215" s="1258"/>
      <c r="R215" s="1869"/>
      <c r="S215" s="1869"/>
      <c r="T215" s="1450"/>
      <c r="U215" s="1450"/>
    </row>
    <row r="216" spans="2:21" ht="13.5" customHeight="1" x14ac:dyDescent="0.3">
      <c r="B216" s="1657" t="s">
        <v>1166</v>
      </c>
      <c r="C216" s="1120">
        <f>C298</f>
        <v>0</v>
      </c>
      <c r="D216" s="1120">
        <f t="shared" ref="D216:H216" si="354">D298</f>
        <v>57.036222000000002</v>
      </c>
      <c r="E216" s="1120">
        <f t="shared" si="354"/>
        <v>199.13919099999998</v>
      </c>
      <c r="F216" s="1120">
        <f t="shared" si="354"/>
        <v>229.15172899999999</v>
      </c>
      <c r="G216" s="1120">
        <f t="shared" si="354"/>
        <v>254.66975500000001</v>
      </c>
      <c r="H216" s="1120">
        <f t="shared" si="354"/>
        <v>229.195322</v>
      </c>
      <c r="I216" s="1120"/>
      <c r="J216" s="1120">
        <f t="shared" ref="J216:O216" ca="1" si="355">J298</f>
        <v>249.06015533333334</v>
      </c>
      <c r="K216" s="1120">
        <f t="shared" ca="1" si="355"/>
        <v>192.77695676688353</v>
      </c>
      <c r="L216" s="1120">
        <f t="shared" ca="1" si="355"/>
        <v>171.70322830918684</v>
      </c>
      <c r="M216" s="1120">
        <f t="shared" ca="1" si="355"/>
        <v>170.00589139598853</v>
      </c>
      <c r="N216" s="1120">
        <f t="shared" ca="1" si="355"/>
        <v>208.49328012087918</v>
      </c>
      <c r="O216" s="1655">
        <f t="shared" ca="1" si="355"/>
        <v>259.67530603395329</v>
      </c>
      <c r="P216" s="404"/>
      <c r="Q216" s="1258"/>
      <c r="R216" s="1869"/>
      <c r="S216" s="1869"/>
      <c r="T216" s="1450"/>
      <c r="U216" s="1450"/>
    </row>
    <row r="217" spans="2:21" ht="13.5" customHeight="1" x14ac:dyDescent="0.3">
      <c r="B217" s="863" t="s">
        <v>109</v>
      </c>
      <c r="C217" s="260"/>
      <c r="D217" s="260" t="e">
        <f>D216/C216-1</f>
        <v>#DIV/0!</v>
      </c>
      <c r="E217" s="260">
        <f>E216/D216-1</f>
        <v>2.491451292128009</v>
      </c>
      <c r="F217" s="260">
        <f t="shared" ref="F217:G217" si="356">F216/E216-1</f>
        <v>0.15071135846886108</v>
      </c>
      <c r="G217" s="260">
        <f t="shared" si="356"/>
        <v>0.11135864482174607</v>
      </c>
      <c r="H217" s="260"/>
      <c r="I217" s="260"/>
      <c r="J217" s="260">
        <f ca="1">J216/G216-1</f>
        <v>-2.2026956701892919E-2</v>
      </c>
      <c r="K217" s="260">
        <f t="shared" ref="K217" ca="1" si="357">K216/J216-1</f>
        <v>-0.22598234748196622</v>
      </c>
      <c r="L217" s="260">
        <f t="shared" ref="L217" ca="1" si="358">L216/K216-1</f>
        <v>-0.10931663623666488</v>
      </c>
      <c r="M217" s="260">
        <f t="shared" ref="M217" ca="1" si="359">M216/L216-1</f>
        <v>-9.8852941200494593E-3</v>
      </c>
      <c r="N217" s="260">
        <f t="shared" ref="N217" ca="1" si="360">N216/M216-1</f>
        <v>0.22638855870731778</v>
      </c>
      <c r="O217" s="783">
        <f t="shared" ref="O217" ca="1" si="361">O216/N216-1</f>
        <v>0.24548525440915925</v>
      </c>
      <c r="P217" s="404"/>
      <c r="Q217" s="1258"/>
      <c r="R217" s="1869"/>
      <c r="S217" s="1869"/>
      <c r="T217" s="1450"/>
      <c r="U217" s="1450"/>
    </row>
    <row r="218" spans="2:21" ht="13.5" customHeight="1" x14ac:dyDescent="0.3">
      <c r="B218" s="1135" t="s">
        <v>4587</v>
      </c>
      <c r="C218" s="182"/>
      <c r="D218" s="182">
        <f>D216/D$63</f>
        <v>1.8017007317005073E-3</v>
      </c>
      <c r="E218" s="182">
        <f t="shared" ref="E218:O218" si="362">E216/E$63</f>
        <v>3.7796166515385514E-3</v>
      </c>
      <c r="F218" s="182">
        <f t="shared" si="362"/>
        <v>3.8036493964979478E-3</v>
      </c>
      <c r="G218" s="182">
        <f t="shared" si="362"/>
        <v>2.7991783931651405E-3</v>
      </c>
      <c r="H218" s="182">
        <f t="shared" si="362"/>
        <v>3.0072574102461337E-3</v>
      </c>
      <c r="I218" s="182"/>
      <c r="J218" s="182">
        <f t="shared" ca="1" si="362"/>
        <v>3.2679026394928767E-3</v>
      </c>
      <c r="K218" s="182">
        <f t="shared" ca="1" si="362"/>
        <v>2.0003362686431369E-3</v>
      </c>
      <c r="L218" s="182">
        <f t="shared" ca="1" si="362"/>
        <v>1.7384343895729488E-3</v>
      </c>
      <c r="M218" s="182">
        <f t="shared" ca="1" si="362"/>
        <v>1.6656589721597947E-3</v>
      </c>
      <c r="N218" s="182">
        <f t="shared" ca="1" si="362"/>
        <v>1.9794899131068324E-3</v>
      </c>
      <c r="O218" s="787">
        <f t="shared" ca="1" si="362"/>
        <v>2.3900087913356852E-3</v>
      </c>
      <c r="P218" s="404"/>
      <c r="Q218" s="1258"/>
      <c r="R218" s="1869"/>
      <c r="S218" s="1869"/>
      <c r="T218" s="1450"/>
      <c r="U218" s="1450"/>
    </row>
    <row r="219" spans="2:21" ht="13.5" customHeight="1" x14ac:dyDescent="0.3">
      <c r="B219" s="861" t="s">
        <v>4451</v>
      </c>
      <c r="C219" s="182"/>
      <c r="D219" s="182">
        <f>D216/D$6</f>
        <v>5.3620842912070548E-4</v>
      </c>
      <c r="E219" s="182">
        <f t="shared" ref="E219:O219" si="363">E216/E$6</f>
        <v>1.2022340058207162E-3</v>
      </c>
      <c r="F219" s="182">
        <f t="shared" si="363"/>
        <v>1.1810167746120672E-3</v>
      </c>
      <c r="G219" s="182">
        <f t="shared" si="363"/>
        <v>1.0898133980990494E-3</v>
      </c>
      <c r="H219" s="182">
        <f t="shared" ca="1" si="363"/>
        <v>1.1849409578985218E-3</v>
      </c>
      <c r="I219" s="182"/>
      <c r="J219" s="182">
        <f t="shared" ca="1" si="363"/>
        <v>1.2875100163755328E-3</v>
      </c>
      <c r="K219" s="182">
        <f t="shared" ca="1" si="363"/>
        <v>8.5608099147663436E-4</v>
      </c>
      <c r="L219" s="182">
        <f t="shared" ca="1" si="363"/>
        <v>7.3650134333145287E-4</v>
      </c>
      <c r="M219" s="182">
        <f t="shared" ca="1" si="363"/>
        <v>7.0402211965811155E-4</v>
      </c>
      <c r="N219" s="182">
        <f t="shared" ca="1" si="363"/>
        <v>8.3328100178505361E-4</v>
      </c>
      <c r="O219" s="787">
        <f t="shared" ca="1" si="363"/>
        <v>1.000780915742938E-3</v>
      </c>
      <c r="P219" s="404"/>
      <c r="Q219" s="1258"/>
      <c r="R219" s="1869"/>
      <c r="S219" s="1869"/>
      <c r="T219" s="1450"/>
      <c r="U219" s="1450"/>
    </row>
    <row r="220" spans="2:21" ht="13.5" customHeight="1" x14ac:dyDescent="0.3">
      <c r="B220" s="1660"/>
      <c r="C220" s="1661"/>
      <c r="D220" s="1661"/>
      <c r="E220" s="1661"/>
      <c r="F220" s="1661"/>
      <c r="G220" s="1661"/>
      <c r="H220" s="1661"/>
      <c r="I220" s="1661"/>
      <c r="J220" s="1661"/>
      <c r="K220" s="1661"/>
      <c r="L220" s="1661"/>
      <c r="M220" s="1661"/>
      <c r="N220" s="1661"/>
      <c r="O220" s="1662"/>
      <c r="P220" s="404"/>
      <c r="Q220" s="1258"/>
      <c r="R220" s="1869"/>
      <c r="S220" s="1869"/>
      <c r="T220" s="1450"/>
      <c r="U220" s="1450"/>
    </row>
    <row r="221" spans="2:21" ht="13.5" customHeight="1" x14ac:dyDescent="0.3">
      <c r="B221" s="825"/>
      <c r="C221" s="2036">
        <f>C195-원가명세서!C40/10^6</f>
        <v>0</v>
      </c>
      <c r="D221" s="2036">
        <f>D195-원가명세서!D40/10^6</f>
        <v>0</v>
      </c>
      <c r="E221" s="2036">
        <f>E195-원가명세서!E40/10^6</f>
        <v>11.278000000005704</v>
      </c>
      <c r="F221" s="2036">
        <f>F195-원가명세서!F40/10^6</f>
        <v>44.80800000000454</v>
      </c>
      <c r="G221" s="2036">
        <f>G195-원가명세서!G40/10^6</f>
        <v>45.074999999982538</v>
      </c>
      <c r="H221" s="825"/>
      <c r="I221" s="825"/>
      <c r="J221" s="825"/>
      <c r="K221" s="825"/>
      <c r="L221" s="825"/>
      <c r="M221" s="825"/>
      <c r="N221" s="825"/>
      <c r="P221" s="404"/>
      <c r="Q221" s="1258"/>
      <c r="R221" s="1869"/>
      <c r="S221" s="1869"/>
      <c r="T221" s="1450"/>
      <c r="U221" s="1450"/>
    </row>
    <row r="222" spans="2:21" ht="13.5" customHeight="1" x14ac:dyDescent="0.3">
      <c r="B222" s="834" t="s">
        <v>4589</v>
      </c>
      <c r="C222" s="838"/>
      <c r="D222" s="838"/>
      <c r="E222" s="838"/>
      <c r="F222" s="838"/>
      <c r="G222" s="838"/>
      <c r="H222" s="838"/>
      <c r="I222" s="838"/>
      <c r="J222" s="838"/>
      <c r="K222" s="838"/>
      <c r="L222" s="838"/>
      <c r="M222" s="838"/>
      <c r="N222" s="838"/>
      <c r="O222" s="1617"/>
      <c r="P222" s="404"/>
      <c r="Q222" s="1258"/>
      <c r="R222" s="2137" t="s">
        <v>2159</v>
      </c>
      <c r="S222" s="2138"/>
      <c r="T222" s="1262" t="s">
        <v>2160</v>
      </c>
      <c r="U222" s="1263" t="s">
        <v>2161</v>
      </c>
    </row>
    <row r="223" spans="2:21" ht="13.5" customHeight="1" x14ac:dyDescent="0.3">
      <c r="B223" s="1628" t="str">
        <f>Des!$C$13</f>
        <v>KRW Millions</v>
      </c>
      <c r="C223" s="1596">
        <f>'Pro forma'!C$5</f>
        <v>2010</v>
      </c>
      <c r="D223" s="1596">
        <f>'Pro forma'!D$5</f>
        <v>2011</v>
      </c>
      <c r="E223" s="1596">
        <f>'Pro forma'!E$5</f>
        <v>2012</v>
      </c>
      <c r="F223" s="1596">
        <f>'Pro forma'!F$5</f>
        <v>2013</v>
      </c>
      <c r="G223" s="1596">
        <f>'Pro forma'!G$5</f>
        <v>2014</v>
      </c>
      <c r="H223" s="1597" t="str">
        <f>'Pro forma'!H$5</f>
        <v>2015/12A</v>
      </c>
      <c r="I223" s="1598" t="str">
        <f>'Pro forma'!I$5</f>
        <v>2015/0E</v>
      </c>
      <c r="J223" s="1599">
        <f>'Pro forma'!J$5</f>
        <v>2015</v>
      </c>
      <c r="K223" s="1599">
        <f>'Pro forma'!K$5</f>
        <v>2016</v>
      </c>
      <c r="L223" s="1599">
        <f>'Pro forma'!L$5</f>
        <v>2017</v>
      </c>
      <c r="M223" s="1599">
        <f>'Pro forma'!M$5</f>
        <v>2018</v>
      </c>
      <c r="N223" s="1599">
        <f>'Pro forma'!N$5</f>
        <v>2019</v>
      </c>
      <c r="O223" s="1618">
        <f>'Pro forma'!O$5</f>
        <v>2020</v>
      </c>
      <c r="P223" s="404"/>
      <c r="Q223" s="1258"/>
      <c r="R223" s="1262" t="s">
        <v>2162</v>
      </c>
      <c r="S223" s="1262" t="s">
        <v>2163</v>
      </c>
      <c r="T223" s="1262" t="s">
        <v>2164</v>
      </c>
      <c r="U223" s="1262"/>
    </row>
    <row r="224" spans="2:21" ht="13.5" customHeight="1" x14ac:dyDescent="0.3">
      <c r="B224" s="2048" t="s">
        <v>4588</v>
      </c>
      <c r="C224" s="2049">
        <f>C229+C233+C237+C241+C245+C249+C253+C257+C261+C265+C269+C273+C277+C281+C285+C289</f>
        <v>778.02125599999999</v>
      </c>
      <c r="D224" s="2049">
        <f t="shared" ref="D224:H224" si="364">D229+D233+D237+D241+D245+D249+D253+D257+D261+D265+D269+D273+D277+D281+D285+D289</f>
        <v>632.54766399999994</v>
      </c>
      <c r="E224" s="2049">
        <f t="shared" si="364"/>
        <v>847.19967399999985</v>
      </c>
      <c r="F224" s="2049">
        <f t="shared" si="364"/>
        <v>1320.7988350000001</v>
      </c>
      <c r="G224" s="2049">
        <f t="shared" si="364"/>
        <v>1261.6249390000003</v>
      </c>
      <c r="H224" s="2049">
        <f t="shared" si="364"/>
        <v>1169.8148289999999</v>
      </c>
      <c r="I224" s="2049"/>
      <c r="J224" s="2049">
        <f t="shared" ref="J224:O224" si="365">J229+J233+J237+J241+J245+J249+J253+J257+J261+J265+J269+J273+J277+J281+J285+J289</f>
        <v>1169.8148289999999</v>
      </c>
      <c r="K224" s="2049">
        <f t="shared" si="365"/>
        <v>1185.0224217769999</v>
      </c>
      <c r="L224" s="2049">
        <f t="shared" si="365"/>
        <v>1202.7977581036546</v>
      </c>
      <c r="M224" s="2049">
        <f t="shared" si="365"/>
        <v>1224.4481177495204</v>
      </c>
      <c r="N224" s="2049">
        <f t="shared" si="365"/>
        <v>1248.9370801045111</v>
      </c>
      <c r="O224" s="2050">
        <f t="shared" si="365"/>
        <v>1276.4136958668103</v>
      </c>
      <c r="Q224" s="1258"/>
      <c r="R224" s="1265"/>
      <c r="S224" s="1264"/>
      <c r="T224" s="1265"/>
      <c r="U224" s="1265"/>
    </row>
    <row r="225" spans="2:21" ht="13.5" customHeight="1" x14ac:dyDescent="0.3">
      <c r="B225" s="863" t="s">
        <v>109</v>
      </c>
      <c r="C225" s="260"/>
      <c r="D225" s="260">
        <f>D224/C224-1</f>
        <v>-0.18697894289921568</v>
      </c>
      <c r="E225" s="260">
        <f>E224/D224-1</f>
        <v>0.33934519438838673</v>
      </c>
      <c r="F225" s="260">
        <f t="shared" ref="F225:G225" si="366">F224/E224-1</f>
        <v>0.5590171662412613</v>
      </c>
      <c r="G225" s="260">
        <f t="shared" si="366"/>
        <v>-4.4801596149196876E-2</v>
      </c>
      <c r="H225" s="260"/>
      <c r="I225" s="260"/>
      <c r="J225" s="260">
        <f>J224/G224-1</f>
        <v>-7.2771318291133036E-2</v>
      </c>
      <c r="K225" s="260">
        <f t="shared" ref="K225" si="367">K224/J224-1</f>
        <v>1.2999999999999901E-2</v>
      </c>
      <c r="L225" s="260">
        <f t="shared" ref="L225" si="368">L224/K224-1</f>
        <v>1.499999999999968E-2</v>
      </c>
      <c r="M225" s="260">
        <f t="shared" ref="M225" si="369">M224/L224-1</f>
        <v>1.8000000000000016E-2</v>
      </c>
      <c r="N225" s="260">
        <f t="shared" ref="N225" si="370">N224/M224-1</f>
        <v>2.000000000000024E-2</v>
      </c>
      <c r="O225" s="783">
        <f t="shared" ref="O225" si="371">O224/N224-1</f>
        <v>2.200000000000002E-2</v>
      </c>
      <c r="Q225" s="1258"/>
      <c r="R225" s="1265"/>
      <c r="S225" s="1264"/>
      <c r="T225" s="1265"/>
      <c r="U225" s="1265"/>
    </row>
    <row r="226" spans="2:21" ht="13.5" customHeight="1" x14ac:dyDescent="0.3">
      <c r="B226" s="1135" t="s">
        <v>4587</v>
      </c>
      <c r="C226" s="182"/>
      <c r="D226" s="182">
        <f>D224/D$64</f>
        <v>1.1581917709049113E-2</v>
      </c>
      <c r="E226" s="182">
        <f t="shared" ref="E226:H226" si="372">E224/E$64</f>
        <v>1.4942944962548745E-2</v>
      </c>
      <c r="F226" s="182">
        <f t="shared" si="372"/>
        <v>1.6579753180849151E-2</v>
      </c>
      <c r="G226" s="182">
        <f t="shared" si="372"/>
        <v>1.3774130606041331E-2</v>
      </c>
      <c r="H226" s="182">
        <f t="shared" si="372"/>
        <v>1.2267088448180011E-2</v>
      </c>
      <c r="I226" s="182"/>
      <c r="J226" s="182">
        <f t="shared" ref="J226:O226" si="373">J224/J$64</f>
        <v>1.2267088448180011E-2</v>
      </c>
      <c r="K226" s="182">
        <f t="shared" si="373"/>
        <v>1.1938493893034642E-2</v>
      </c>
      <c r="L226" s="182">
        <f t="shared" si="373"/>
        <v>1.1656234422122498E-2</v>
      </c>
      <c r="M226" s="182">
        <f t="shared" si="373"/>
        <v>1.1435461347119206E-2</v>
      </c>
      <c r="N226" s="182">
        <f t="shared" si="373"/>
        <v>1.1226403846551313E-2</v>
      </c>
      <c r="O226" s="787">
        <f t="shared" si="373"/>
        <v>1.1024091216813086E-2</v>
      </c>
      <c r="Q226" s="1258"/>
      <c r="R226" s="1265"/>
      <c r="S226" s="1264"/>
      <c r="T226" s="1265"/>
      <c r="U226" s="1265"/>
    </row>
    <row r="227" spans="2:21" ht="13.5" customHeight="1" x14ac:dyDescent="0.3">
      <c r="B227" s="861" t="s">
        <v>3865</v>
      </c>
      <c r="C227" s="182"/>
      <c r="D227" s="182">
        <f>D224/D$6</f>
        <v>5.9467015409507967E-3</v>
      </c>
      <c r="E227" s="182">
        <f t="shared" ref="E227:O227" si="374">E224/E$6</f>
        <v>5.1146750807229344E-3</v>
      </c>
      <c r="F227" s="182">
        <f t="shared" si="374"/>
        <v>6.8072171518421144E-3</v>
      </c>
      <c r="G227" s="182">
        <f t="shared" si="374"/>
        <v>5.3988969436048508E-3</v>
      </c>
      <c r="H227" s="182">
        <f t="shared" ca="1" si="374"/>
        <v>6.0479485006205988E-3</v>
      </c>
      <c r="I227" s="182"/>
      <c r="J227" s="182">
        <f t="shared" ca="1" si="374"/>
        <v>6.0473274323078908E-3</v>
      </c>
      <c r="K227" s="182">
        <f t="shared" ca="1" si="374"/>
        <v>5.2624296325190743E-3</v>
      </c>
      <c r="L227" s="182">
        <f t="shared" ca="1" si="374"/>
        <v>5.159263301702314E-3</v>
      </c>
      <c r="M227" s="182">
        <f t="shared" ca="1" si="374"/>
        <v>5.0706393301481962E-3</v>
      </c>
      <c r="N227" s="182">
        <f t="shared" ca="1" si="374"/>
        <v>4.9916023224950267E-3</v>
      </c>
      <c r="O227" s="787">
        <f t="shared" ca="1" si="374"/>
        <v>4.9192604677219072E-3</v>
      </c>
      <c r="Q227" s="1258"/>
      <c r="R227" s="1265"/>
      <c r="S227" s="1264"/>
      <c r="T227" s="1265"/>
      <c r="U227" s="1265"/>
    </row>
    <row r="228" spans="2:21" ht="13.5" customHeight="1" x14ac:dyDescent="0.3">
      <c r="B228" s="861"/>
      <c r="C228" s="182"/>
      <c r="D228" s="182"/>
      <c r="E228" s="182"/>
      <c r="F228" s="182"/>
      <c r="G228" s="182"/>
      <c r="H228" s="182"/>
      <c r="I228" s="182"/>
      <c r="J228" s="182"/>
      <c r="K228" s="182"/>
      <c r="L228" s="182"/>
      <c r="M228" s="182"/>
      <c r="N228" s="182"/>
      <c r="O228" s="787"/>
      <c r="Q228" s="1258"/>
      <c r="R228" s="1265"/>
      <c r="S228" s="1264"/>
      <c r="T228" s="1265"/>
      <c r="U228" s="1265"/>
    </row>
    <row r="229" spans="2:21" ht="13.5" customHeight="1" x14ac:dyDescent="0.3">
      <c r="B229" s="1657" t="s">
        <v>4593</v>
      </c>
      <c r="C229" s="1120">
        <f>원가명세서!C19/1000000</f>
        <v>16.37116</v>
      </c>
      <c r="D229" s="1120">
        <f>원가명세서!D19/1000000</f>
        <v>17.768519999999999</v>
      </c>
      <c r="E229" s="1120">
        <f>원가명세서!E19/1000000</f>
        <v>17.559405999999999</v>
      </c>
      <c r="F229" s="1120">
        <f>원가명세서!F19/1000000</f>
        <v>131.012485</v>
      </c>
      <c r="G229" s="1120">
        <f>원가명세서!G19/1000000</f>
        <v>140.72991099999999</v>
      </c>
      <c r="H229" s="1120">
        <f>원가명세서!H19/1000000</f>
        <v>238.05735100000001</v>
      </c>
      <c r="I229" s="1808"/>
      <c r="J229" s="1120">
        <f t="shared" ref="J229:J289" si="375">H229+I229</f>
        <v>238.05735100000001</v>
      </c>
      <c r="K229" s="1120">
        <f t="shared" ref="K229" si="376">J229*(1+K$57)</f>
        <v>241.15209656299999</v>
      </c>
      <c r="L229" s="1120">
        <f t="shared" ref="L229" si="377">K229*(1+L$57)</f>
        <v>244.76937801144496</v>
      </c>
      <c r="M229" s="1120">
        <f t="shared" ref="M229" si="378">L229*(1+M$57)</f>
        <v>249.17522681565097</v>
      </c>
      <c r="N229" s="1120">
        <f t="shared" ref="N229" si="379">M229*(1+N$57)</f>
        <v>254.15873135196401</v>
      </c>
      <c r="O229" s="1655">
        <f t="shared" ref="O229" si="380">N229*(1+O$57)</f>
        <v>259.75022344170725</v>
      </c>
      <c r="Q229" s="1258"/>
      <c r="R229" s="1265" t="s">
        <v>4446</v>
      </c>
      <c r="S229" s="1264"/>
      <c r="T229" s="1265" t="s">
        <v>4446</v>
      </c>
      <c r="U229" s="1265"/>
    </row>
    <row r="230" spans="2:21" s="825" customFormat="1" ht="13.5" customHeight="1" outlineLevel="1" x14ac:dyDescent="0.3">
      <c r="B230" s="863" t="s">
        <v>109</v>
      </c>
      <c r="C230" s="260"/>
      <c r="D230" s="260">
        <f>D229/C229-1</f>
        <v>8.5354977900161E-2</v>
      </c>
      <c r="E230" s="260">
        <f>E229/D229-1</f>
        <v>-1.1768791097964248E-2</v>
      </c>
      <c r="F230" s="260">
        <f t="shared" ref="F230:G230" si="381">F229/E229-1</f>
        <v>6.4611000508787146</v>
      </c>
      <c r="G230" s="260">
        <f t="shared" si="381"/>
        <v>7.4171755462847599E-2</v>
      </c>
      <c r="H230" s="260"/>
      <c r="I230" s="260"/>
      <c r="J230" s="260">
        <f>J229/G229-1</f>
        <v>0.69159029028306596</v>
      </c>
      <c r="K230" s="260">
        <f t="shared" ref="K230" si="382">K229/J229-1</f>
        <v>1.2999999999999901E-2</v>
      </c>
      <c r="L230" s="260">
        <f t="shared" ref="L230" si="383">L229/K229-1</f>
        <v>1.4999999999999902E-2</v>
      </c>
      <c r="M230" s="260">
        <f t="shared" ref="M230" si="384">M229/L229-1</f>
        <v>1.8000000000000016E-2</v>
      </c>
      <c r="N230" s="260">
        <f t="shared" ref="N230" si="385">N229/M229-1</f>
        <v>2.0000000000000018E-2</v>
      </c>
      <c r="O230" s="783">
        <f t="shared" ref="O230" si="386">O229/N229-1</f>
        <v>2.200000000000002E-2</v>
      </c>
      <c r="Q230" s="1258"/>
      <c r="R230" s="1265"/>
      <c r="S230" s="1264"/>
      <c r="T230" s="1265"/>
      <c r="U230" s="1265"/>
    </row>
    <row r="231" spans="2:21" s="825" customFormat="1" ht="13.5" customHeight="1" outlineLevel="1" x14ac:dyDescent="0.3">
      <c r="B231" s="861" t="s">
        <v>133</v>
      </c>
      <c r="C231" s="182"/>
      <c r="D231" s="182">
        <f>D229/D$64</f>
        <v>3.253407579600094E-4</v>
      </c>
      <c r="E231" s="182">
        <f t="shared" ref="E231:O231" si="387">E229/E$64</f>
        <v>3.0971357223757415E-4</v>
      </c>
      <c r="F231" s="182">
        <f t="shared" si="387"/>
        <v>1.6445764543013862E-3</v>
      </c>
      <c r="G231" s="182">
        <f t="shared" si="387"/>
        <v>1.5364567664832534E-3</v>
      </c>
      <c r="H231" s="182">
        <f t="shared" si="387"/>
        <v>2.4963528483843782E-3</v>
      </c>
      <c r="I231" s="182"/>
      <c r="J231" s="182">
        <f t="shared" si="387"/>
        <v>2.4963528483843782E-3</v>
      </c>
      <c r="K231" s="182">
        <f t="shared" si="387"/>
        <v>2.42948384705893E-3</v>
      </c>
      <c r="L231" s="182">
        <f t="shared" si="387"/>
        <v>2.3720440366938604E-3</v>
      </c>
      <c r="M231" s="182">
        <f t="shared" si="387"/>
        <v>2.3271167096464377E-3</v>
      </c>
      <c r="N231" s="182">
        <f t="shared" si="387"/>
        <v>2.2845735023300992E-3</v>
      </c>
      <c r="O231" s="787">
        <f t="shared" si="387"/>
        <v>2.2434028764195899E-3</v>
      </c>
      <c r="Q231" s="1258"/>
      <c r="R231" s="1265"/>
      <c r="S231" s="1264"/>
      <c r="T231" s="1265"/>
      <c r="U231" s="1265"/>
    </row>
    <row r="232" spans="2:21" s="825" customFormat="1" ht="13.5" customHeight="1" outlineLevel="1" x14ac:dyDescent="0.3">
      <c r="B232" s="861" t="s">
        <v>4559</v>
      </c>
      <c r="C232" s="182">
        <f>C229/C$17</f>
        <v>5.5748973436216048E-4</v>
      </c>
      <c r="D232" s="182">
        <f t="shared" ref="D232:O232" si="388">D229/D$17</f>
        <v>3.9681125962565491E-4</v>
      </c>
      <c r="E232" s="182">
        <f t="shared" si="388"/>
        <v>3.7504941804735581E-4</v>
      </c>
      <c r="F232" s="182">
        <f t="shared" si="388"/>
        <v>1.9274378205575682E-3</v>
      </c>
      <c r="G232" s="182">
        <f t="shared" si="388"/>
        <v>1.7619223881860974E-3</v>
      </c>
      <c r="H232" s="182">
        <f t="shared" si="388"/>
        <v>2.9724354332576032E-3</v>
      </c>
      <c r="I232" s="182"/>
      <c r="J232" s="182">
        <f t="shared" ca="1" si="388"/>
        <v>2.9716983433226659E-3</v>
      </c>
      <c r="K232" s="182">
        <f t="shared" ca="1" si="388"/>
        <v>2.7575643203844474E-3</v>
      </c>
      <c r="L232" s="182">
        <f t="shared" ca="1" si="388"/>
        <v>2.6924977322829043E-3</v>
      </c>
      <c r="M232" s="182">
        <f t="shared" ca="1" si="388"/>
        <v>2.6408805038249995E-3</v>
      </c>
      <c r="N232" s="182">
        <f t="shared" ca="1" si="388"/>
        <v>2.5904744211996916E-3</v>
      </c>
      <c r="O232" s="787">
        <f t="shared" ca="1" si="388"/>
        <v>2.541299500866141E-3</v>
      </c>
      <c r="Q232" s="1258"/>
      <c r="R232" s="1265"/>
      <c r="S232" s="1264"/>
      <c r="T232" s="1265"/>
      <c r="U232" s="1265"/>
    </row>
    <row r="233" spans="2:21" ht="13.5" customHeight="1" x14ac:dyDescent="0.3">
      <c r="B233" s="1657" t="s">
        <v>4594</v>
      </c>
      <c r="C233" s="1120">
        <f>원가명세서!C20/1000000</f>
        <v>41.001210999999998</v>
      </c>
      <c r="D233" s="1120">
        <f>원가명세서!D20/1000000</f>
        <v>23.360959999999999</v>
      </c>
      <c r="E233" s="1120">
        <f>원가명세서!E20/1000000</f>
        <v>78.451436999999999</v>
      </c>
      <c r="F233" s="1120">
        <f>원가명세서!F20/1000000</f>
        <v>137.69862599999999</v>
      </c>
      <c r="G233" s="1120">
        <f>원가명세서!G20/1000000</f>
        <v>199.555182</v>
      </c>
      <c r="H233" s="1120">
        <f>원가명세서!H20/1000000</f>
        <v>145.51557500000001</v>
      </c>
      <c r="I233" s="1808"/>
      <c r="J233" s="1120">
        <f t="shared" si="375"/>
        <v>145.51557500000001</v>
      </c>
      <c r="K233" s="1120">
        <f t="shared" ref="K233:O233" si="389">J233*(1+K$57)</f>
        <v>147.407277475</v>
      </c>
      <c r="L233" s="1120">
        <f t="shared" si="389"/>
        <v>149.61838663712498</v>
      </c>
      <c r="M233" s="1120">
        <f t="shared" si="389"/>
        <v>152.31151759659323</v>
      </c>
      <c r="N233" s="1120">
        <f t="shared" si="389"/>
        <v>155.35774794852509</v>
      </c>
      <c r="O233" s="1655">
        <f t="shared" si="389"/>
        <v>158.77561840339266</v>
      </c>
      <c r="Q233" s="1258"/>
      <c r="R233" s="1265" t="s">
        <v>3819</v>
      </c>
      <c r="S233" s="1264" t="s">
        <v>3824</v>
      </c>
      <c r="T233" s="1265" t="s">
        <v>3818</v>
      </c>
      <c r="U233" s="1265"/>
    </row>
    <row r="234" spans="2:21" s="825" customFormat="1" ht="13.5" customHeight="1" outlineLevel="1" x14ac:dyDescent="0.3">
      <c r="B234" s="863" t="s">
        <v>109</v>
      </c>
      <c r="C234" s="260"/>
      <c r="D234" s="260">
        <f>D233/C233-1</f>
        <v>-0.4302373166490131</v>
      </c>
      <c r="E234" s="260">
        <f>E233/D233-1</f>
        <v>2.3582283005492926</v>
      </c>
      <c r="F234" s="260">
        <f t="shared" ref="F234:G234" si="390">F233/E233-1</f>
        <v>0.75520846099989214</v>
      </c>
      <c r="G234" s="260">
        <f t="shared" si="390"/>
        <v>0.4492169442562195</v>
      </c>
      <c r="H234" s="260"/>
      <c r="I234" s="260"/>
      <c r="J234" s="260">
        <f>J233/G233-1</f>
        <v>-0.27080031928211212</v>
      </c>
      <c r="K234" s="260">
        <f t="shared" ref="K234" si="391">K233/J233-1</f>
        <v>1.2999999999999901E-2</v>
      </c>
      <c r="L234" s="260">
        <f t="shared" ref="L234" si="392">L233/K233-1</f>
        <v>1.4999999999999902E-2</v>
      </c>
      <c r="M234" s="260">
        <f t="shared" ref="M234" si="393">M233/L233-1</f>
        <v>1.8000000000000016E-2</v>
      </c>
      <c r="N234" s="260">
        <f t="shared" ref="N234" si="394">N233/M233-1</f>
        <v>2.0000000000000018E-2</v>
      </c>
      <c r="O234" s="783">
        <f t="shared" ref="O234" si="395">O233/N233-1</f>
        <v>2.200000000000002E-2</v>
      </c>
      <c r="Q234" s="1258"/>
      <c r="R234" s="1265"/>
      <c r="S234" s="1264"/>
      <c r="T234" s="1265"/>
      <c r="U234" s="1265"/>
    </row>
    <row r="235" spans="2:21" s="825" customFormat="1" ht="13.5" customHeight="1" outlineLevel="1" x14ac:dyDescent="0.3">
      <c r="B235" s="861" t="s">
        <v>133</v>
      </c>
      <c r="C235" s="182"/>
      <c r="D235" s="182">
        <f>D233/D$64</f>
        <v>4.2773806895979305E-4</v>
      </c>
      <c r="E235" s="182">
        <f t="shared" ref="E235:O235" si="396">E233/E$64</f>
        <v>1.3837298824596342E-3</v>
      </c>
      <c r="F235" s="182">
        <f t="shared" si="396"/>
        <v>1.7285063947092725E-3</v>
      </c>
      <c r="G235" s="182">
        <f t="shared" si="396"/>
        <v>2.1786975312639623E-3</v>
      </c>
      <c r="H235" s="182">
        <f t="shared" si="396"/>
        <v>1.5259273389778274E-3</v>
      </c>
      <c r="I235" s="182"/>
      <c r="J235" s="182">
        <f t="shared" si="396"/>
        <v>1.5259273389778274E-3</v>
      </c>
      <c r="K235" s="182">
        <f t="shared" si="396"/>
        <v>1.4850528138406122E-3</v>
      </c>
      <c r="L235" s="182">
        <f t="shared" si="396"/>
        <v>1.4499420012651833E-3</v>
      </c>
      <c r="M235" s="182">
        <f t="shared" si="396"/>
        <v>1.4224796028092803E-3</v>
      </c>
      <c r="N235" s="182">
        <f t="shared" si="396"/>
        <v>1.3964745277759902E-3</v>
      </c>
      <c r="O235" s="787">
        <f t="shared" si="396"/>
        <v>1.3713084605350015E-3</v>
      </c>
      <c r="Q235" s="1258"/>
      <c r="R235" s="1265"/>
      <c r="S235" s="1264"/>
      <c r="T235" s="1265"/>
      <c r="U235" s="1265"/>
    </row>
    <row r="236" spans="2:21" s="825" customFormat="1" ht="13.5" customHeight="1" outlineLevel="1" x14ac:dyDescent="0.3">
      <c r="B236" s="861" t="s">
        <v>4559</v>
      </c>
      <c r="C236" s="182">
        <f>C233/C$17</f>
        <v>1.3962208071338189E-3</v>
      </c>
      <c r="D236" s="182">
        <f t="shared" ref="D236:O236" si="397">D233/D$17</f>
        <v>5.217030998453748E-4</v>
      </c>
      <c r="E236" s="182">
        <f t="shared" si="397"/>
        <v>1.6756355990532252E-3</v>
      </c>
      <c r="F236" s="182">
        <f t="shared" si="397"/>
        <v>2.0258034155386925E-3</v>
      </c>
      <c r="G236" s="182">
        <f t="shared" si="397"/>
        <v>2.4984080523176863E-3</v>
      </c>
      <c r="H236" s="182">
        <f t="shared" si="397"/>
        <v>1.8169388569767555E-3</v>
      </c>
      <c r="I236" s="182"/>
      <c r="J236" s="182">
        <f t="shared" ca="1" si="397"/>
        <v>1.8164883014057615E-3</v>
      </c>
      <c r="K236" s="182">
        <f t="shared" ca="1" si="397"/>
        <v>1.6855961640950424E-3</v>
      </c>
      <c r="L236" s="182">
        <f t="shared" ca="1" si="397"/>
        <v>1.6458233869003395E-3</v>
      </c>
      <c r="M236" s="182">
        <f t="shared" ca="1" si="397"/>
        <v>1.6142717013615114E-3</v>
      </c>
      <c r="N236" s="182">
        <f t="shared" ca="1" si="397"/>
        <v>1.5834603440734131E-3</v>
      </c>
      <c r="O236" s="787">
        <f t="shared" ca="1" si="397"/>
        <v>1.5534015503505685E-3</v>
      </c>
      <c r="Q236" s="1258"/>
      <c r="R236" s="1265"/>
      <c r="S236" s="1264"/>
      <c r="T236" s="1265"/>
      <c r="U236" s="1265"/>
    </row>
    <row r="237" spans="2:21" ht="13.5" customHeight="1" x14ac:dyDescent="0.3">
      <c r="B237" s="1657" t="s">
        <v>4595</v>
      </c>
      <c r="C237" s="1120">
        <f>원가명세서!C22/1000000</f>
        <v>0</v>
      </c>
      <c r="D237" s="1120">
        <f>원가명세서!D22/1000000</f>
        <v>0</v>
      </c>
      <c r="E237" s="1120">
        <f>원가명세서!E22/1000000</f>
        <v>0</v>
      </c>
      <c r="F237" s="1120">
        <f>원가명세서!F22/1000000</f>
        <v>1</v>
      </c>
      <c r="G237" s="1120">
        <f>원가명세서!G22/1000000</f>
        <v>0</v>
      </c>
      <c r="H237" s="1120">
        <f>원가명세서!H22/1000000</f>
        <v>0</v>
      </c>
      <c r="I237" s="1808"/>
      <c r="J237" s="1120">
        <f t="shared" si="375"/>
        <v>0</v>
      </c>
      <c r="K237" s="1120"/>
      <c r="L237" s="1120"/>
      <c r="M237" s="1120"/>
      <c r="N237" s="1120"/>
      <c r="O237" s="1655"/>
      <c r="Q237" s="1258"/>
      <c r="R237" s="1265"/>
      <c r="S237" s="1264"/>
      <c r="T237" s="1265" t="s">
        <v>4447</v>
      </c>
      <c r="U237" s="1265"/>
    </row>
    <row r="238" spans="2:21" s="825" customFormat="1" ht="13.5" customHeight="1" outlineLevel="1" x14ac:dyDescent="0.3">
      <c r="B238" s="863" t="s">
        <v>109</v>
      </c>
      <c r="C238" s="260"/>
      <c r="D238" s="260" t="e">
        <f>D237/C237-1</f>
        <v>#DIV/0!</v>
      </c>
      <c r="E238" s="260" t="e">
        <f>E237/D237-1</f>
        <v>#DIV/0!</v>
      </c>
      <c r="F238" s="260" t="e">
        <f t="shared" ref="F238:G238" si="398">F237/E237-1</f>
        <v>#DIV/0!</v>
      </c>
      <c r="G238" s="260">
        <f t="shared" si="398"/>
        <v>-1</v>
      </c>
      <c r="H238" s="260"/>
      <c r="I238" s="260"/>
      <c r="J238" s="260" t="e">
        <f>J237/G237-1</f>
        <v>#DIV/0!</v>
      </c>
      <c r="K238" s="260" t="e">
        <f t="shared" ref="K238" si="399">K237/J237-1</f>
        <v>#DIV/0!</v>
      </c>
      <c r="L238" s="260" t="e">
        <f t="shared" ref="L238" si="400">L237/K237-1</f>
        <v>#DIV/0!</v>
      </c>
      <c r="M238" s="260" t="e">
        <f t="shared" ref="M238" si="401">M237/L237-1</f>
        <v>#DIV/0!</v>
      </c>
      <c r="N238" s="260" t="e">
        <f t="shared" ref="N238" si="402">N237/M237-1</f>
        <v>#DIV/0!</v>
      </c>
      <c r="O238" s="783" t="e">
        <f t="shared" ref="O238" si="403">O237/N237-1</f>
        <v>#DIV/0!</v>
      </c>
      <c r="Q238" s="1258"/>
      <c r="R238" s="1265"/>
      <c r="S238" s="1264"/>
      <c r="T238" s="1265"/>
      <c r="U238" s="1265"/>
    </row>
    <row r="239" spans="2:21" s="825" customFormat="1" ht="13.5" customHeight="1" outlineLevel="1" x14ac:dyDescent="0.3">
      <c r="B239" s="861" t="s">
        <v>133</v>
      </c>
      <c r="C239" s="182"/>
      <c r="D239" s="182">
        <f>D237/D$64</f>
        <v>0</v>
      </c>
      <c r="E239" s="182">
        <f t="shared" ref="E239:O239" si="404">E237/E$64</f>
        <v>0</v>
      </c>
      <c r="F239" s="182">
        <f t="shared" si="404"/>
        <v>1.2552822384075733E-5</v>
      </c>
      <c r="G239" s="182">
        <f t="shared" si="404"/>
        <v>0</v>
      </c>
      <c r="H239" s="182">
        <f t="shared" si="404"/>
        <v>0</v>
      </c>
      <c r="I239" s="182"/>
      <c r="J239" s="182">
        <f t="shared" si="404"/>
        <v>0</v>
      </c>
      <c r="K239" s="182">
        <f t="shared" si="404"/>
        <v>0</v>
      </c>
      <c r="L239" s="182">
        <f t="shared" si="404"/>
        <v>0</v>
      </c>
      <c r="M239" s="182">
        <f t="shared" si="404"/>
        <v>0</v>
      </c>
      <c r="N239" s="182">
        <f t="shared" si="404"/>
        <v>0</v>
      </c>
      <c r="O239" s="787">
        <f t="shared" si="404"/>
        <v>0</v>
      </c>
      <c r="Q239" s="1258"/>
      <c r="R239" s="1265"/>
      <c r="S239" s="1264"/>
      <c r="T239" s="1265"/>
      <c r="U239" s="1265"/>
    </row>
    <row r="240" spans="2:21" s="825" customFormat="1" ht="13.5" customHeight="1" outlineLevel="1" x14ac:dyDescent="0.3">
      <c r="B240" s="861" t="s">
        <v>4559</v>
      </c>
      <c r="C240" s="182">
        <f>C237/C$17</f>
        <v>0</v>
      </c>
      <c r="D240" s="182">
        <f t="shared" ref="D240:O240" si="405">D237/D$17</f>
        <v>0</v>
      </c>
      <c r="E240" s="182">
        <f t="shared" si="405"/>
        <v>0</v>
      </c>
      <c r="F240" s="182">
        <f t="shared" si="405"/>
        <v>1.4711863686560623E-5</v>
      </c>
      <c r="G240" s="182">
        <f t="shared" si="405"/>
        <v>0</v>
      </c>
      <c r="H240" s="182">
        <f t="shared" si="405"/>
        <v>0</v>
      </c>
      <c r="I240" s="182"/>
      <c r="J240" s="182">
        <f t="shared" ca="1" si="405"/>
        <v>0</v>
      </c>
      <c r="K240" s="182">
        <f t="shared" ca="1" si="405"/>
        <v>0</v>
      </c>
      <c r="L240" s="182">
        <f t="shared" ca="1" si="405"/>
        <v>0</v>
      </c>
      <c r="M240" s="182">
        <f t="shared" ca="1" si="405"/>
        <v>0</v>
      </c>
      <c r="N240" s="182">
        <f t="shared" ca="1" si="405"/>
        <v>0</v>
      </c>
      <c r="O240" s="787">
        <f t="shared" ca="1" si="405"/>
        <v>0</v>
      </c>
      <c r="Q240" s="1258"/>
      <c r="R240" s="1265"/>
      <c r="S240" s="1264"/>
      <c r="T240" s="1265"/>
      <c r="U240" s="1265"/>
    </row>
    <row r="241" spans="2:21" ht="13.5" customHeight="1" x14ac:dyDescent="0.3">
      <c r="B241" s="1657" t="s">
        <v>4573</v>
      </c>
      <c r="C241" s="1120">
        <f>원가명세서!C23/1000000</f>
        <v>5.30938</v>
      </c>
      <c r="D241" s="1120">
        <f>원가명세서!D23/1000000</f>
        <v>0</v>
      </c>
      <c r="E241" s="1120">
        <f>원가명세서!E23/1000000</f>
        <v>0</v>
      </c>
      <c r="F241" s="1120">
        <f>원가명세서!F23/1000000</f>
        <v>19.344889999999999</v>
      </c>
      <c r="G241" s="1120">
        <f>원가명세서!G23/1000000</f>
        <v>0</v>
      </c>
      <c r="H241" s="1120">
        <f>원가명세서!H23/1000000</f>
        <v>0</v>
      </c>
      <c r="I241" s="1808"/>
      <c r="J241" s="1120">
        <f t="shared" si="375"/>
        <v>0</v>
      </c>
      <c r="K241" s="1120"/>
      <c r="L241" s="1120"/>
      <c r="M241" s="1120"/>
      <c r="N241" s="1120"/>
      <c r="O241" s="1655"/>
      <c r="Q241" s="1258"/>
      <c r="R241" s="1265"/>
      <c r="S241" s="1264"/>
      <c r="T241" s="1265" t="s">
        <v>4447</v>
      </c>
      <c r="U241" s="1265"/>
    </row>
    <row r="242" spans="2:21" s="825" customFormat="1" ht="13.5" customHeight="1" outlineLevel="1" x14ac:dyDescent="0.3">
      <c r="B242" s="863" t="s">
        <v>109</v>
      </c>
      <c r="C242" s="260"/>
      <c r="D242" s="260">
        <f>D241/C241-1</f>
        <v>-1</v>
      </c>
      <c r="E242" s="260" t="e">
        <f>E241/D241-1</f>
        <v>#DIV/0!</v>
      </c>
      <c r="F242" s="260" t="e">
        <f t="shared" ref="F242:G242" si="406">F241/E241-1</f>
        <v>#DIV/0!</v>
      </c>
      <c r="G242" s="260">
        <f t="shared" si="406"/>
        <v>-1</v>
      </c>
      <c r="H242" s="260"/>
      <c r="I242" s="260"/>
      <c r="J242" s="260" t="e">
        <f>J241/G241-1</f>
        <v>#DIV/0!</v>
      </c>
      <c r="K242" s="260" t="e">
        <f t="shared" ref="K242" si="407">K241/J241-1</f>
        <v>#DIV/0!</v>
      </c>
      <c r="L242" s="260" t="e">
        <f t="shared" ref="L242" si="408">L241/K241-1</f>
        <v>#DIV/0!</v>
      </c>
      <c r="M242" s="260" t="e">
        <f t="shared" ref="M242" si="409">M241/L241-1</f>
        <v>#DIV/0!</v>
      </c>
      <c r="N242" s="260" t="e">
        <f t="shared" ref="N242" si="410">N241/M241-1</f>
        <v>#DIV/0!</v>
      </c>
      <c r="O242" s="783" t="e">
        <f t="shared" ref="O242" si="411">O241/N241-1</f>
        <v>#DIV/0!</v>
      </c>
      <c r="Q242" s="1258"/>
      <c r="R242" s="1265"/>
      <c r="S242" s="1264"/>
      <c r="T242" s="1265"/>
      <c r="U242" s="1265"/>
    </row>
    <row r="243" spans="2:21" s="825" customFormat="1" ht="13.5" customHeight="1" outlineLevel="1" x14ac:dyDescent="0.3">
      <c r="B243" s="861" t="s">
        <v>133</v>
      </c>
      <c r="C243" s="182"/>
      <c r="D243" s="182">
        <f>D241/D$64</f>
        <v>0</v>
      </c>
      <c r="E243" s="182">
        <f t="shared" ref="E243:O243" si="412">E241/E$64</f>
        <v>0</v>
      </c>
      <c r="F243" s="182">
        <f t="shared" si="412"/>
        <v>2.4283296820948281E-4</v>
      </c>
      <c r="G243" s="182">
        <f t="shared" si="412"/>
        <v>0</v>
      </c>
      <c r="H243" s="182">
        <f t="shared" si="412"/>
        <v>0</v>
      </c>
      <c r="I243" s="182"/>
      <c r="J243" s="182">
        <f t="shared" si="412"/>
        <v>0</v>
      </c>
      <c r="K243" s="182">
        <f t="shared" si="412"/>
        <v>0</v>
      </c>
      <c r="L243" s="182">
        <f t="shared" si="412"/>
        <v>0</v>
      </c>
      <c r="M243" s="182">
        <f t="shared" si="412"/>
        <v>0</v>
      </c>
      <c r="N243" s="182">
        <f t="shared" si="412"/>
        <v>0</v>
      </c>
      <c r="O243" s="787">
        <f t="shared" si="412"/>
        <v>0</v>
      </c>
      <c r="Q243" s="1258"/>
      <c r="R243" s="1265"/>
      <c r="S243" s="1264"/>
      <c r="T243" s="1265"/>
      <c r="U243" s="1265"/>
    </row>
    <row r="244" spans="2:21" s="825" customFormat="1" ht="13.5" customHeight="1" outlineLevel="1" x14ac:dyDescent="0.3">
      <c r="B244" s="861" t="s">
        <v>4559</v>
      </c>
      <c r="C244" s="182">
        <f>C241/C$17</f>
        <v>1.8080116777478001E-4</v>
      </c>
      <c r="D244" s="182">
        <f t="shared" ref="D244:O244" si="413">D241/D$17</f>
        <v>0</v>
      </c>
      <c r="E244" s="182">
        <f t="shared" si="413"/>
        <v>0</v>
      </c>
      <c r="F244" s="182">
        <f t="shared" si="413"/>
        <v>2.8459938471150974E-4</v>
      </c>
      <c r="G244" s="182">
        <f t="shared" si="413"/>
        <v>0</v>
      </c>
      <c r="H244" s="182">
        <f t="shared" si="413"/>
        <v>0</v>
      </c>
      <c r="I244" s="182"/>
      <c r="J244" s="182">
        <f t="shared" ca="1" si="413"/>
        <v>0</v>
      </c>
      <c r="K244" s="182">
        <f t="shared" ca="1" si="413"/>
        <v>0</v>
      </c>
      <c r="L244" s="182">
        <f t="shared" ca="1" si="413"/>
        <v>0</v>
      </c>
      <c r="M244" s="182">
        <f t="shared" ca="1" si="413"/>
        <v>0</v>
      </c>
      <c r="N244" s="182">
        <f t="shared" ca="1" si="413"/>
        <v>0</v>
      </c>
      <c r="O244" s="787">
        <f t="shared" ca="1" si="413"/>
        <v>0</v>
      </c>
      <c r="Q244" s="1258"/>
      <c r="R244" s="1265"/>
      <c r="S244" s="1264"/>
      <c r="T244" s="1265"/>
      <c r="U244" s="1265"/>
    </row>
    <row r="245" spans="2:21" ht="13.5" customHeight="1" x14ac:dyDescent="0.3">
      <c r="B245" s="1657" t="s">
        <v>4574</v>
      </c>
      <c r="C245" s="1120">
        <f>원가명세서!C24/1000000</f>
        <v>89.207116999999997</v>
      </c>
      <c r="D245" s="1120">
        <f>원가명세서!D24/1000000</f>
        <v>0</v>
      </c>
      <c r="E245" s="1120">
        <f>원가명세서!E24/1000000</f>
        <v>0.26815099999999997</v>
      </c>
      <c r="F245" s="1120">
        <f>원가명세서!F24/1000000</f>
        <v>26.557615999999999</v>
      </c>
      <c r="G245" s="1120">
        <f>원가명세서!G24/1000000</f>
        <v>42.648043000000001</v>
      </c>
      <c r="H245" s="1120">
        <f>원가명세서!H24/1000000</f>
        <v>29.959534999999999</v>
      </c>
      <c r="I245" s="1808"/>
      <c r="J245" s="1120">
        <f t="shared" si="375"/>
        <v>29.959534999999999</v>
      </c>
      <c r="K245" s="1120">
        <f t="shared" ref="K245:O277" si="414">J245*(1+K$57)</f>
        <v>30.349008954999995</v>
      </c>
      <c r="L245" s="1120">
        <f t="shared" si="414"/>
        <v>30.804244089324992</v>
      </c>
      <c r="M245" s="1120">
        <f t="shared" si="414"/>
        <v>31.358720482932842</v>
      </c>
      <c r="N245" s="1120">
        <f t="shared" si="414"/>
        <v>31.985894892591499</v>
      </c>
      <c r="O245" s="1655">
        <f t="shared" si="414"/>
        <v>32.689584580228512</v>
      </c>
      <c r="Q245" s="1258"/>
      <c r="R245" s="1265" t="s">
        <v>4446</v>
      </c>
      <c r="S245" s="1264"/>
      <c r="T245" s="1265" t="s">
        <v>4446</v>
      </c>
      <c r="U245" s="1265"/>
    </row>
    <row r="246" spans="2:21" s="825" customFormat="1" ht="13.5" customHeight="1" outlineLevel="1" x14ac:dyDescent="0.3">
      <c r="B246" s="863" t="s">
        <v>109</v>
      </c>
      <c r="C246" s="260"/>
      <c r="D246" s="260">
        <f>D245/C245-1</f>
        <v>-1</v>
      </c>
      <c r="E246" s="260" t="e">
        <f>E245/D245-1</f>
        <v>#DIV/0!</v>
      </c>
      <c r="F246" s="260">
        <f t="shared" ref="F246:G246" si="415">F245/E245-1</f>
        <v>98.039779825546063</v>
      </c>
      <c r="G246" s="260">
        <f t="shared" si="415"/>
        <v>0.60586865176452598</v>
      </c>
      <c r="H246" s="260"/>
      <c r="I246" s="260"/>
      <c r="J246" s="260">
        <f>J245/G245-1</f>
        <v>-0.29751676999575338</v>
      </c>
      <c r="K246" s="260">
        <f t="shared" ref="K246" si="416">K245/J245-1</f>
        <v>1.2999999999999901E-2</v>
      </c>
      <c r="L246" s="260">
        <f t="shared" ref="L246" si="417">L245/K245-1</f>
        <v>1.4999999999999902E-2</v>
      </c>
      <c r="M246" s="260">
        <f t="shared" ref="M246" si="418">M245/L245-1</f>
        <v>1.8000000000000016E-2</v>
      </c>
      <c r="N246" s="260">
        <f t="shared" ref="N246" si="419">N245/M245-1</f>
        <v>2.0000000000000018E-2</v>
      </c>
      <c r="O246" s="783">
        <f t="shared" ref="O246" si="420">O245/N245-1</f>
        <v>2.200000000000002E-2</v>
      </c>
      <c r="Q246" s="1258"/>
      <c r="R246" s="1265"/>
      <c r="S246" s="1264"/>
      <c r="T246" s="1265"/>
      <c r="U246" s="1265"/>
    </row>
    <row r="247" spans="2:21" s="825" customFormat="1" ht="13.5" customHeight="1" outlineLevel="1" x14ac:dyDescent="0.3">
      <c r="B247" s="861" t="s">
        <v>133</v>
      </c>
      <c r="C247" s="182"/>
      <c r="D247" s="182">
        <f>D245/D$64</f>
        <v>0</v>
      </c>
      <c r="E247" s="182">
        <f t="shared" ref="E247:O247" si="421">E245/E$64</f>
        <v>4.7296590846568351E-6</v>
      </c>
      <c r="F247" s="182">
        <f t="shared" si="421"/>
        <v>3.3337303659248781E-4</v>
      </c>
      <c r="G247" s="182">
        <f t="shared" si="421"/>
        <v>4.6562151414008044E-4</v>
      </c>
      <c r="H247" s="182">
        <f t="shared" si="421"/>
        <v>3.1416618818681834E-4</v>
      </c>
      <c r="I247" s="182"/>
      <c r="J247" s="182">
        <f t="shared" si="421"/>
        <v>3.1416618818681834E-4</v>
      </c>
      <c r="K247" s="182">
        <f t="shared" si="421"/>
        <v>3.0575071948900519E-4</v>
      </c>
      <c r="L247" s="182">
        <f t="shared" si="421"/>
        <v>2.9852191516182582E-4</v>
      </c>
      <c r="M247" s="182">
        <f t="shared" si="421"/>
        <v>2.9286780777350275E-4</v>
      </c>
      <c r="N247" s="182">
        <f t="shared" si="421"/>
        <v>2.8751374202736201E-4</v>
      </c>
      <c r="O247" s="787">
        <f t="shared" si="421"/>
        <v>2.8233241575133445E-4</v>
      </c>
      <c r="Q247" s="1258"/>
      <c r="R247" s="1265"/>
      <c r="S247" s="1264"/>
      <c r="T247" s="1265"/>
      <c r="U247" s="1265"/>
    </row>
    <row r="248" spans="2:21" s="825" customFormat="1" ht="13.5" customHeight="1" outlineLevel="1" x14ac:dyDescent="0.3">
      <c r="B248" s="861" t="s">
        <v>4559</v>
      </c>
      <c r="C248" s="182">
        <f>C245/C$17</f>
        <v>3.0377842473926202E-3</v>
      </c>
      <c r="D248" s="182">
        <f t="shared" ref="D248:O248" si="422">D245/D$17</f>
        <v>0</v>
      </c>
      <c r="E248" s="182">
        <f t="shared" si="422"/>
        <v>5.7274076639503921E-6</v>
      </c>
      <c r="F248" s="182">
        <f t="shared" si="422"/>
        <v>3.9071202643202138E-4</v>
      </c>
      <c r="G248" s="182">
        <f t="shared" si="422"/>
        <v>5.3394862002025553E-4</v>
      </c>
      <c r="H248" s="182">
        <f t="shared" si="422"/>
        <v>3.7408121624406938E-4</v>
      </c>
      <c r="I248" s="182"/>
      <c r="J248" s="182">
        <f t="shared" ca="1" si="422"/>
        <v>3.7398845342195467E-4</v>
      </c>
      <c r="K248" s="182">
        <f t="shared" ca="1" si="422"/>
        <v>3.4703967100477837E-4</v>
      </c>
      <c r="L248" s="182">
        <f t="shared" ca="1" si="422"/>
        <v>3.3885103614275831E-4</v>
      </c>
      <c r="M248" s="182">
        <f t="shared" ca="1" si="422"/>
        <v>3.3235500417360645E-4</v>
      </c>
      <c r="N248" s="182">
        <f t="shared" ca="1" si="422"/>
        <v>3.2601139499589278E-4</v>
      </c>
      <c r="O248" s="787">
        <f t="shared" ca="1" si="422"/>
        <v>3.1982272768246364E-4</v>
      </c>
      <c r="Q248" s="1258"/>
      <c r="R248" s="1265"/>
      <c r="S248" s="1264"/>
      <c r="T248" s="1265"/>
      <c r="U248" s="1265"/>
    </row>
    <row r="249" spans="2:21" ht="13.5" customHeight="1" x14ac:dyDescent="0.3">
      <c r="B249" s="1657" t="s">
        <v>4575</v>
      </c>
      <c r="C249" s="1120">
        <f>원가명세서!C25/1000000</f>
        <v>1.0162899999999999</v>
      </c>
      <c r="D249" s="1120">
        <f>원가명세서!D25/1000000</f>
        <v>7.2656000000000001</v>
      </c>
      <c r="E249" s="1120">
        <f>원가명세서!E25/1000000</f>
        <v>21.087610000000002</v>
      </c>
      <c r="F249" s="1120">
        <f>원가명세서!F25/1000000</f>
        <v>17.243216</v>
      </c>
      <c r="G249" s="1120">
        <f>원가명세서!G25/1000000</f>
        <v>12.656567000000001</v>
      </c>
      <c r="H249" s="1120">
        <f>원가명세서!H25/1000000</f>
        <v>37.641939000000001</v>
      </c>
      <c r="I249" s="1808"/>
      <c r="J249" s="1120">
        <f t="shared" si="375"/>
        <v>37.641939000000001</v>
      </c>
      <c r="K249" s="1120">
        <f t="shared" si="414"/>
        <v>38.131284207</v>
      </c>
      <c r="L249" s="1120">
        <f t="shared" si="414"/>
        <v>38.703253470104997</v>
      </c>
      <c r="M249" s="1120">
        <f t="shared" si="414"/>
        <v>39.399912032566888</v>
      </c>
      <c r="N249" s="1120">
        <f t="shared" si="414"/>
        <v>40.187910273218229</v>
      </c>
      <c r="O249" s="1655">
        <f t="shared" si="414"/>
        <v>41.072044299229027</v>
      </c>
      <c r="Q249" s="1258"/>
      <c r="R249" s="1265" t="s">
        <v>4446</v>
      </c>
      <c r="S249" s="1264"/>
      <c r="T249" s="1265" t="s">
        <v>4446</v>
      </c>
      <c r="U249" s="1265"/>
    </row>
    <row r="250" spans="2:21" s="825" customFormat="1" ht="13.5" customHeight="1" outlineLevel="1" x14ac:dyDescent="0.3">
      <c r="B250" s="863" t="s">
        <v>109</v>
      </c>
      <c r="C250" s="260"/>
      <c r="D250" s="260">
        <f>D249/C249-1</f>
        <v>6.1491405012348848</v>
      </c>
      <c r="E250" s="260">
        <f>E249/D249-1</f>
        <v>1.9023907179035455</v>
      </c>
      <c r="F250" s="260">
        <f t="shared" ref="F250:G250" si="423">F249/E249-1</f>
        <v>-0.18230581844030691</v>
      </c>
      <c r="G250" s="260">
        <f t="shared" si="423"/>
        <v>-0.26599730583900361</v>
      </c>
      <c r="H250" s="260"/>
      <c r="I250" s="260"/>
      <c r="J250" s="260">
        <f>J249/G249-1</f>
        <v>1.9741034041853527</v>
      </c>
      <c r="K250" s="260">
        <f t="shared" ref="K250" si="424">K249/J249-1</f>
        <v>1.2999999999999901E-2</v>
      </c>
      <c r="L250" s="260">
        <f t="shared" ref="L250" si="425">L249/K249-1</f>
        <v>1.4999999999999902E-2</v>
      </c>
      <c r="M250" s="260">
        <f t="shared" ref="M250" si="426">M249/L249-1</f>
        <v>1.8000000000000016E-2</v>
      </c>
      <c r="N250" s="260">
        <f t="shared" ref="N250" si="427">N249/M249-1</f>
        <v>2.0000000000000018E-2</v>
      </c>
      <c r="O250" s="783">
        <f t="shared" ref="O250" si="428">O249/N249-1</f>
        <v>2.200000000000002E-2</v>
      </c>
      <c r="Q250" s="1258"/>
      <c r="R250" s="1265"/>
      <c r="S250" s="1264"/>
      <c r="T250" s="1265"/>
      <c r="U250" s="1265"/>
    </row>
    <row r="251" spans="2:21" s="825" customFormat="1" ht="13.5" customHeight="1" outlineLevel="1" x14ac:dyDescent="0.3">
      <c r="B251" s="861" t="s">
        <v>133</v>
      </c>
      <c r="C251" s="182"/>
      <c r="D251" s="182">
        <f>D249/D$64</f>
        <v>1.3303279119669193E-4</v>
      </c>
      <c r="E251" s="182">
        <f t="shared" ref="E251:O251" si="429">E249/E$64</f>
        <v>3.7194418894652767E-4</v>
      </c>
      <c r="F251" s="182">
        <f t="shared" si="429"/>
        <v>2.1645102777825283E-4</v>
      </c>
      <c r="G251" s="182">
        <f t="shared" si="429"/>
        <v>1.381814844436209E-4</v>
      </c>
      <c r="H251" s="182">
        <f t="shared" si="429"/>
        <v>3.9472657007496068E-4</v>
      </c>
      <c r="I251" s="182"/>
      <c r="J251" s="182">
        <f t="shared" si="429"/>
        <v>3.9472657007496068E-4</v>
      </c>
      <c r="K251" s="182">
        <f t="shared" si="429"/>
        <v>3.8415315632272823E-4</v>
      </c>
      <c r="L251" s="182">
        <f t="shared" si="429"/>
        <v>3.750706985500484E-4</v>
      </c>
      <c r="M251" s="182">
        <f t="shared" si="429"/>
        <v>3.6796673096808479E-4</v>
      </c>
      <c r="N251" s="182">
        <f t="shared" si="429"/>
        <v>3.6123974350922669E-4</v>
      </c>
      <c r="O251" s="787">
        <f t="shared" si="429"/>
        <v>3.5472979041344842E-4</v>
      </c>
      <c r="Q251" s="1258"/>
      <c r="R251" s="1265"/>
      <c r="S251" s="1264"/>
      <c r="T251" s="1265"/>
      <c r="U251" s="1265"/>
    </row>
    <row r="252" spans="2:21" s="825" customFormat="1" ht="13.5" customHeight="1" outlineLevel="1" x14ac:dyDescent="0.3">
      <c r="B252" s="861" t="s">
        <v>4559</v>
      </c>
      <c r="C252" s="182">
        <f>C249/C$17</f>
        <v>3.4607886193459723E-5</v>
      </c>
      <c r="D252" s="182">
        <f t="shared" ref="D252:O252" si="430">D249/D$17</f>
        <v>1.6225728917974928E-4</v>
      </c>
      <c r="E252" s="182">
        <f t="shared" si="430"/>
        <v>4.5040793854357044E-4</v>
      </c>
      <c r="F252" s="182">
        <f t="shared" si="430"/>
        <v>2.5367984330992112E-4</v>
      </c>
      <c r="G252" s="182">
        <f t="shared" si="430"/>
        <v>1.5845877110572004E-4</v>
      </c>
      <c r="H252" s="182">
        <f t="shared" si="430"/>
        <v>4.7000536967296282E-4</v>
      </c>
      <c r="I252" s="182"/>
      <c r="J252" s="182">
        <f t="shared" ca="1" si="430"/>
        <v>4.6988882005056354E-4</v>
      </c>
      <c r="K252" s="182">
        <f t="shared" ca="1" si="430"/>
        <v>4.3602966890313681E-4</v>
      </c>
      <c r="L252" s="182">
        <f t="shared" ca="1" si="430"/>
        <v>4.2574125508197989E-4</v>
      </c>
      <c r="M252" s="182">
        <f t="shared" ca="1" si="430"/>
        <v>4.1757947155880899E-4</v>
      </c>
      <c r="N252" s="182">
        <f t="shared" ca="1" si="430"/>
        <v>4.0960919599520836E-4</v>
      </c>
      <c r="O252" s="787">
        <f t="shared" ca="1" si="430"/>
        <v>4.0183359341982141E-4</v>
      </c>
      <c r="Q252" s="1258"/>
      <c r="R252" s="1265"/>
      <c r="S252" s="1264"/>
      <c r="T252" s="1265"/>
      <c r="U252" s="1265"/>
    </row>
    <row r="253" spans="2:21" ht="13.5" customHeight="1" x14ac:dyDescent="0.3">
      <c r="B253" s="1657" t="s">
        <v>4576</v>
      </c>
      <c r="C253" s="1120">
        <f>원가명세서!C26/1000000</f>
        <v>265.17433599999998</v>
      </c>
      <c r="D253" s="1120">
        <f>원가명세서!D26/1000000</f>
        <v>112.850841</v>
      </c>
      <c r="E253" s="1120">
        <f>원가명세서!E26/1000000</f>
        <v>72.961572000000004</v>
      </c>
      <c r="F253" s="1120">
        <f>원가명세서!F26/1000000</f>
        <v>105.312341</v>
      </c>
      <c r="G253" s="1120">
        <f>원가명세서!G26/1000000</f>
        <v>195.29551699999999</v>
      </c>
      <c r="H253" s="1120">
        <f>원가명세서!H26/1000000</f>
        <v>160.031857</v>
      </c>
      <c r="I253" s="1808"/>
      <c r="J253" s="1120">
        <f t="shared" si="375"/>
        <v>160.031857</v>
      </c>
      <c r="K253" s="1120">
        <f t="shared" si="414"/>
        <v>162.11227114099998</v>
      </c>
      <c r="L253" s="1120">
        <f t="shared" si="414"/>
        <v>164.54395520811497</v>
      </c>
      <c r="M253" s="1120">
        <f t="shared" si="414"/>
        <v>167.50574640186105</v>
      </c>
      <c r="N253" s="1120">
        <f t="shared" si="414"/>
        <v>170.85586132989826</v>
      </c>
      <c r="O253" s="1655">
        <f t="shared" si="414"/>
        <v>174.61469027915604</v>
      </c>
      <c r="Q253" s="1258"/>
      <c r="R253" s="1265" t="s">
        <v>4446</v>
      </c>
      <c r="S253" s="1264"/>
      <c r="T253" s="1265" t="s">
        <v>4446</v>
      </c>
      <c r="U253" s="1265"/>
    </row>
    <row r="254" spans="2:21" s="825" customFormat="1" ht="13.5" customHeight="1" outlineLevel="1" x14ac:dyDescent="0.3">
      <c r="B254" s="863" t="s">
        <v>109</v>
      </c>
      <c r="C254" s="260"/>
      <c r="D254" s="260">
        <f>D253/C253-1</f>
        <v>-0.57442774175552191</v>
      </c>
      <c r="E254" s="260">
        <f>E253/D253-1</f>
        <v>-0.3534689564254111</v>
      </c>
      <c r="F254" s="260">
        <f t="shared" ref="F254:G254" si="431">F253/E253-1</f>
        <v>0.4433946269688378</v>
      </c>
      <c r="G254" s="260">
        <f t="shared" si="431"/>
        <v>0.85444094344080712</v>
      </c>
      <c r="H254" s="260"/>
      <c r="I254" s="260"/>
      <c r="J254" s="260">
        <f>J253/G253-1</f>
        <v>-0.18056563991686503</v>
      </c>
      <c r="K254" s="260">
        <f t="shared" ref="K254" si="432">K253/J253-1</f>
        <v>1.2999999999999901E-2</v>
      </c>
      <c r="L254" s="260">
        <f t="shared" ref="L254" si="433">L253/K253-1</f>
        <v>1.4999999999999902E-2</v>
      </c>
      <c r="M254" s="260">
        <f t="shared" ref="M254" si="434">M253/L253-1</f>
        <v>1.8000000000000016E-2</v>
      </c>
      <c r="N254" s="260">
        <f t="shared" ref="N254" si="435">N253/M253-1</f>
        <v>2.0000000000000018E-2</v>
      </c>
      <c r="O254" s="783">
        <f t="shared" ref="O254" si="436">O253/N253-1</f>
        <v>2.200000000000002E-2</v>
      </c>
      <c r="Q254" s="1258"/>
      <c r="R254" s="1265"/>
      <c r="S254" s="1264"/>
      <c r="T254" s="1265"/>
      <c r="U254" s="1265"/>
    </row>
    <row r="255" spans="2:21" s="825" customFormat="1" ht="13.5" customHeight="1" outlineLevel="1" x14ac:dyDescent="0.3">
      <c r="B255" s="861" t="s">
        <v>133</v>
      </c>
      <c r="C255" s="182"/>
      <c r="D255" s="182">
        <f>D253/D$64</f>
        <v>2.0662935431518502E-3</v>
      </c>
      <c r="E255" s="182">
        <f t="shared" ref="E255:O255" si="437">E253/E$64</f>
        <v>1.2868994030999093E-3</v>
      </c>
      <c r="F255" s="182">
        <f t="shared" si="437"/>
        <v>1.3219671114242167E-3</v>
      </c>
      <c r="G255" s="182">
        <f t="shared" si="437"/>
        <v>2.1321914895440761E-3</v>
      </c>
      <c r="H255" s="182">
        <f t="shared" si="437"/>
        <v>1.6781501616145913E-3</v>
      </c>
      <c r="I255" s="182"/>
      <c r="J255" s="182">
        <f t="shared" si="437"/>
        <v>1.6781501616145913E-3</v>
      </c>
      <c r="K255" s="182">
        <f t="shared" si="437"/>
        <v>1.6331980926576996E-3</v>
      </c>
      <c r="L255" s="182">
        <f t="shared" si="437"/>
        <v>1.5945847102948507E-3</v>
      </c>
      <c r="M255" s="182">
        <f t="shared" si="437"/>
        <v>1.5643827293552017E-3</v>
      </c>
      <c r="N255" s="182">
        <f t="shared" si="437"/>
        <v>1.5357834508999454E-3</v>
      </c>
      <c r="O255" s="787">
        <f t="shared" si="437"/>
        <v>1.508106877626175E-3</v>
      </c>
      <c r="Q255" s="1258"/>
      <c r="R255" s="1265"/>
      <c r="S255" s="1264"/>
      <c r="T255" s="1265"/>
      <c r="U255" s="1265"/>
    </row>
    <row r="256" spans="2:21" s="825" customFormat="1" ht="13.5" customHeight="1" outlineLevel="1" x14ac:dyDescent="0.3">
      <c r="B256" s="861" t="s">
        <v>4559</v>
      </c>
      <c r="C256" s="182">
        <f>C253/C$17</f>
        <v>9.0300241483378257E-3</v>
      </c>
      <c r="D256" s="182">
        <f t="shared" ref="D256:O256" si="438">D253/D$17</f>
        <v>2.520214647422774E-3</v>
      </c>
      <c r="E256" s="182">
        <f t="shared" si="438"/>
        <v>1.5583781773950813E-3</v>
      </c>
      <c r="F256" s="182">
        <f t="shared" si="438"/>
        <v>1.5493408053045895E-3</v>
      </c>
      <c r="G256" s="182">
        <f t="shared" si="438"/>
        <v>2.4450775337637965E-3</v>
      </c>
      <c r="H256" s="182">
        <f t="shared" si="438"/>
        <v>1.9981922851725498E-3</v>
      </c>
      <c r="I256" s="182"/>
      <c r="J256" s="182">
        <f t="shared" ca="1" si="438"/>
        <v>1.9976967832669437E-3</v>
      </c>
      <c r="K256" s="182">
        <f t="shared" ca="1" si="438"/>
        <v>1.8537471627501476E-3</v>
      </c>
      <c r="L256" s="182">
        <f t="shared" ca="1" si="438"/>
        <v>1.8100067494472036E-3</v>
      </c>
      <c r="M256" s="182">
        <f t="shared" ca="1" si="438"/>
        <v>1.7753075440304731E-3</v>
      </c>
      <c r="N256" s="182">
        <f t="shared" ca="1" si="438"/>
        <v>1.7414225202211325E-3</v>
      </c>
      <c r="O256" s="787">
        <f t="shared" ca="1" si="438"/>
        <v>1.7083651338991065E-3</v>
      </c>
      <c r="Q256" s="1258"/>
      <c r="R256" s="1265"/>
      <c r="S256" s="1264"/>
      <c r="T256" s="1265"/>
      <c r="U256" s="1265"/>
    </row>
    <row r="257" spans="2:21" ht="13.5" customHeight="1" x14ac:dyDescent="0.3">
      <c r="B257" s="1657" t="s">
        <v>4577</v>
      </c>
      <c r="C257" s="1120">
        <f>원가명세서!C27/1000000</f>
        <v>259.80368399999998</v>
      </c>
      <c r="D257" s="1120">
        <f>원가명세서!D27/1000000</f>
        <v>0.9526</v>
      </c>
      <c r="E257" s="1120">
        <f>원가명세서!E27/1000000</f>
        <v>1.4998800000000001</v>
      </c>
      <c r="F257" s="1120">
        <f>원가명세서!F27/1000000</f>
        <v>7.9311610000000003</v>
      </c>
      <c r="G257" s="1120">
        <f>원가명세서!G27/1000000</f>
        <v>5.0530419999999996</v>
      </c>
      <c r="H257" s="1120">
        <f>원가명세서!H27/1000000</f>
        <v>6.5914000000000001</v>
      </c>
      <c r="I257" s="1808"/>
      <c r="J257" s="1120">
        <f t="shared" si="375"/>
        <v>6.5914000000000001</v>
      </c>
      <c r="K257" s="1120">
        <f t="shared" si="414"/>
        <v>6.6770881999999991</v>
      </c>
      <c r="L257" s="1120">
        <f t="shared" si="414"/>
        <v>6.7772445229999985</v>
      </c>
      <c r="M257" s="1120">
        <f t="shared" si="414"/>
        <v>6.8992349244139985</v>
      </c>
      <c r="N257" s="1120">
        <f t="shared" si="414"/>
        <v>7.0372196229022785</v>
      </c>
      <c r="O257" s="1655">
        <f t="shared" si="414"/>
        <v>7.1920384546061289</v>
      </c>
      <c r="Q257" s="1258"/>
      <c r="R257" s="1265"/>
      <c r="S257" s="1264"/>
      <c r="T257" s="1265" t="s">
        <v>4446</v>
      </c>
      <c r="U257" s="1265"/>
    </row>
    <row r="258" spans="2:21" s="825" customFormat="1" ht="13.5" customHeight="1" outlineLevel="1" x14ac:dyDescent="0.3">
      <c r="B258" s="863" t="s">
        <v>109</v>
      </c>
      <c r="C258" s="260"/>
      <c r="D258" s="260">
        <f>D257/C257-1</f>
        <v>-0.99633338532643745</v>
      </c>
      <c r="E258" s="260">
        <f>E257/D257-1</f>
        <v>0.57451186227167761</v>
      </c>
      <c r="F258" s="260">
        <f t="shared" ref="F258:G258" si="439">F257/E257-1</f>
        <v>4.2878636957623275</v>
      </c>
      <c r="G258" s="260">
        <f t="shared" si="439"/>
        <v>-0.36288747637325747</v>
      </c>
      <c r="H258" s="260"/>
      <c r="I258" s="260"/>
      <c r="J258" s="260">
        <f>J257/G257-1</f>
        <v>0.30444195793345874</v>
      </c>
      <c r="K258" s="260">
        <f t="shared" ref="K258" si="440">K257/J257-1</f>
        <v>1.2999999999999901E-2</v>
      </c>
      <c r="L258" s="260">
        <f t="shared" ref="L258" si="441">L257/K257-1</f>
        <v>1.4999999999999902E-2</v>
      </c>
      <c r="M258" s="260">
        <f t="shared" ref="M258" si="442">M257/L257-1</f>
        <v>1.8000000000000016E-2</v>
      </c>
      <c r="N258" s="260">
        <f t="shared" ref="N258" si="443">N257/M257-1</f>
        <v>2.0000000000000018E-2</v>
      </c>
      <c r="O258" s="783">
        <f t="shared" ref="O258" si="444">O257/N257-1</f>
        <v>2.200000000000002E-2</v>
      </c>
      <c r="Q258" s="1258"/>
      <c r="R258" s="1265"/>
      <c r="S258" s="1264"/>
      <c r="T258" s="1265"/>
      <c r="U258" s="1265"/>
    </row>
    <row r="259" spans="2:21" s="825" customFormat="1" ht="13.5" customHeight="1" outlineLevel="1" x14ac:dyDescent="0.3">
      <c r="B259" s="861" t="s">
        <v>133</v>
      </c>
      <c r="C259" s="182"/>
      <c r="D259" s="182">
        <f>D257/D$64</f>
        <v>1.7442060792497348E-5</v>
      </c>
      <c r="E259" s="182">
        <f t="shared" ref="E259:O259" si="445">E257/E$64</f>
        <v>2.6454949143934181E-5</v>
      </c>
      <c r="F259" s="182">
        <f t="shared" si="445"/>
        <v>9.9558455332508485E-5</v>
      </c>
      <c r="G259" s="182">
        <f t="shared" si="445"/>
        <v>5.5167949137863602E-5</v>
      </c>
      <c r="H259" s="182">
        <f t="shared" si="445"/>
        <v>6.9119731424890097E-5</v>
      </c>
      <c r="I259" s="182"/>
      <c r="J259" s="182">
        <f t="shared" si="445"/>
        <v>6.9119731424890097E-5</v>
      </c>
      <c r="K259" s="182">
        <f t="shared" si="445"/>
        <v>6.7268243396962911E-5</v>
      </c>
      <c r="L259" s="182">
        <f t="shared" si="445"/>
        <v>6.5677833504347073E-5</v>
      </c>
      <c r="M259" s="182">
        <f t="shared" si="445"/>
        <v>6.4433872827407583E-5</v>
      </c>
      <c r="N259" s="182">
        <f t="shared" si="445"/>
        <v>6.3255924339251397E-5</v>
      </c>
      <c r="O259" s="787">
        <f t="shared" si="445"/>
        <v>6.2115980277509188E-5</v>
      </c>
      <c r="Q259" s="1258"/>
      <c r="R259" s="1265"/>
      <c r="S259" s="1264"/>
      <c r="T259" s="1265"/>
      <c r="U259" s="1265"/>
    </row>
    <row r="260" spans="2:21" s="825" customFormat="1" ht="13.5" customHeight="1" outlineLevel="1" x14ac:dyDescent="0.3">
      <c r="B260" s="861" t="s">
        <v>4559</v>
      </c>
      <c r="C260" s="182">
        <f>C257/C$17</f>
        <v>8.8471364753304384E-3</v>
      </c>
      <c r="D260" s="182">
        <f t="shared" ref="D260:O260" si="446">D257/D$17</f>
        <v>2.1273713619333457E-5</v>
      </c>
      <c r="E260" s="182">
        <f t="shared" si="446"/>
        <v>3.2035771662257145E-5</v>
      </c>
      <c r="F260" s="182">
        <f t="shared" si="446"/>
        <v>1.1668215950816584E-4</v>
      </c>
      <c r="G260" s="182">
        <f t="shared" si="446"/>
        <v>6.3263507842655102E-5</v>
      </c>
      <c r="H260" s="182">
        <f t="shared" si="446"/>
        <v>8.2301642156700993E-5</v>
      </c>
      <c r="I260" s="182"/>
      <c r="J260" s="182">
        <f t="shared" ca="1" si="446"/>
        <v>8.2281233399833213E-5</v>
      </c>
      <c r="K260" s="182">
        <f t="shared" ca="1" si="446"/>
        <v>7.6352229347381273E-5</v>
      </c>
      <c r="L260" s="182">
        <f t="shared" ca="1" si="446"/>
        <v>7.455064705214473E-5</v>
      </c>
      <c r="M260" s="182">
        <f t="shared" ca="1" si="446"/>
        <v>7.3121454472170868E-5</v>
      </c>
      <c r="N260" s="182">
        <f t="shared" ca="1" si="446"/>
        <v>7.1725796444301537E-5</v>
      </c>
      <c r="O260" s="787">
        <f t="shared" ca="1" si="446"/>
        <v>7.0364227189981122E-5</v>
      </c>
      <c r="Q260" s="1258"/>
      <c r="R260" s="1265"/>
      <c r="S260" s="1264"/>
      <c r="T260" s="1265"/>
      <c r="U260" s="1265"/>
    </row>
    <row r="261" spans="2:21" ht="13.5" customHeight="1" x14ac:dyDescent="0.3">
      <c r="B261" s="1657" t="s">
        <v>4578</v>
      </c>
      <c r="C261" s="1120">
        <f>원가명세서!C29/1000000</f>
        <v>13.09689</v>
      </c>
      <c r="D261" s="1120">
        <f>원가명세서!D29/1000000</f>
        <v>381.46056599999997</v>
      </c>
      <c r="E261" s="1120">
        <f>원가명세서!E29/1000000</f>
        <v>450.70484599999997</v>
      </c>
      <c r="F261" s="1120">
        <f>원가명세서!F29/1000000</f>
        <v>523.65036599999996</v>
      </c>
      <c r="G261" s="1120">
        <f>원가명세서!G29/1000000</f>
        <v>449.55420099999998</v>
      </c>
      <c r="H261" s="1120">
        <f>원가명세서!H29/1000000</f>
        <v>439.00394899999998</v>
      </c>
      <c r="I261" s="1808"/>
      <c r="J261" s="1120">
        <f t="shared" si="375"/>
        <v>439.00394899999998</v>
      </c>
      <c r="K261" s="1120">
        <f t="shared" si="414"/>
        <v>444.71100033699992</v>
      </c>
      <c r="L261" s="1120">
        <f t="shared" si="414"/>
        <v>451.38166534205487</v>
      </c>
      <c r="M261" s="1120">
        <f t="shared" si="414"/>
        <v>459.50653531821189</v>
      </c>
      <c r="N261" s="1120">
        <f t="shared" si="414"/>
        <v>468.69666602457613</v>
      </c>
      <c r="O261" s="1655">
        <f t="shared" si="414"/>
        <v>479.00799267711682</v>
      </c>
      <c r="Q261" s="1258"/>
      <c r="R261" s="1265" t="s">
        <v>4446</v>
      </c>
      <c r="S261" s="1264"/>
      <c r="T261" s="1265" t="s">
        <v>4446</v>
      </c>
      <c r="U261" s="1265"/>
    </row>
    <row r="262" spans="2:21" s="825" customFormat="1" ht="13.5" customHeight="1" outlineLevel="1" x14ac:dyDescent="0.3">
      <c r="B262" s="863" t="s">
        <v>109</v>
      </c>
      <c r="C262" s="260"/>
      <c r="D262" s="260">
        <f>D261/C261-1</f>
        <v>28.126041831304988</v>
      </c>
      <c r="E262" s="260">
        <f>E261/D261-1</f>
        <v>0.18152408445805124</v>
      </c>
      <c r="F262" s="260">
        <f t="shared" ref="F262:G262" si="447">F261/E261-1</f>
        <v>0.16184764962567089</v>
      </c>
      <c r="G262" s="260">
        <f t="shared" si="447"/>
        <v>-0.14149930910198194</v>
      </c>
      <c r="H262" s="260"/>
      <c r="I262" s="260"/>
      <c r="J262" s="260">
        <f>J261/G261-1</f>
        <v>-2.3468253608867951E-2</v>
      </c>
      <c r="K262" s="260">
        <f t="shared" ref="K262" si="448">K261/J261-1</f>
        <v>1.2999999999999901E-2</v>
      </c>
      <c r="L262" s="260">
        <f t="shared" ref="L262" si="449">L261/K261-1</f>
        <v>1.4999999999999902E-2</v>
      </c>
      <c r="M262" s="260">
        <f t="shared" ref="M262" si="450">M261/L261-1</f>
        <v>1.8000000000000016E-2</v>
      </c>
      <c r="N262" s="260">
        <f t="shared" ref="N262" si="451">N261/M261-1</f>
        <v>2.0000000000000018E-2</v>
      </c>
      <c r="O262" s="783">
        <f t="shared" ref="O262" si="452">O261/N261-1</f>
        <v>2.200000000000002E-2</v>
      </c>
      <c r="Q262" s="1258"/>
      <c r="R262" s="1265"/>
      <c r="S262" s="1264"/>
      <c r="T262" s="1265"/>
      <c r="U262" s="1265"/>
    </row>
    <row r="263" spans="2:21" s="825" customFormat="1" ht="13.5" customHeight="1" outlineLevel="1" x14ac:dyDescent="0.3">
      <c r="B263" s="861" t="s">
        <v>133</v>
      </c>
      <c r="C263" s="182"/>
      <c r="D263" s="182">
        <f>D261/D$64</f>
        <v>6.9845248605001544E-3</v>
      </c>
      <c r="E263" s="182">
        <f t="shared" ref="E263:O263" si="453">E261/E$64</f>
        <v>7.9495518173818471E-3</v>
      </c>
      <c r="F263" s="182">
        <f t="shared" si="453"/>
        <v>6.5732900357542501E-3</v>
      </c>
      <c r="G263" s="182">
        <f t="shared" si="453"/>
        <v>4.9081292606475294E-3</v>
      </c>
      <c r="H263" s="182">
        <f t="shared" si="453"/>
        <v>4.6035493293300582E-3</v>
      </c>
      <c r="I263" s="182"/>
      <c r="J263" s="182">
        <f t="shared" si="453"/>
        <v>4.6035493293300582E-3</v>
      </c>
      <c r="K263" s="182">
        <f t="shared" si="453"/>
        <v>4.4802355332038551E-3</v>
      </c>
      <c r="L263" s="182">
        <f t="shared" si="453"/>
        <v>4.3743102027145779E-3</v>
      </c>
      <c r="M263" s="182">
        <f t="shared" si="453"/>
        <v>4.2914592682276485E-3</v>
      </c>
      <c r="N263" s="182">
        <f t="shared" si="453"/>
        <v>4.2130049128525924E-3</v>
      </c>
      <c r="O263" s="787">
        <f t="shared" si="453"/>
        <v>4.1370817486167805E-3</v>
      </c>
      <c r="Q263" s="1258"/>
      <c r="R263" s="1265"/>
      <c r="S263" s="1264"/>
      <c r="T263" s="1265"/>
      <c r="U263" s="1265"/>
    </row>
    <row r="264" spans="2:21" s="825" customFormat="1" ht="13.5" customHeight="1" outlineLevel="1" x14ac:dyDescent="0.3">
      <c r="B264" s="861" t="s">
        <v>4559</v>
      </c>
      <c r="C264" s="182">
        <f>C261/C$17</f>
        <v>4.4599049346964026E-4</v>
      </c>
      <c r="D264" s="182">
        <f t="shared" ref="D264:O264" si="454">D261/D$17</f>
        <v>8.5188776382037045E-3</v>
      </c>
      <c r="E264" s="182">
        <f t="shared" si="454"/>
        <v>9.6265551467642537E-3</v>
      </c>
      <c r="F264" s="182">
        <f t="shared" si="454"/>
        <v>7.703872804009579E-3</v>
      </c>
      <c r="G264" s="182">
        <f t="shared" si="454"/>
        <v>5.6283671738058079E-3</v>
      </c>
      <c r="H264" s="182">
        <f t="shared" si="454"/>
        <v>5.4814979998143963E-3</v>
      </c>
      <c r="I264" s="182"/>
      <c r="J264" s="182">
        <f t="shared" ca="1" si="454"/>
        <v>5.4801387248714197E-3</v>
      </c>
      <c r="K264" s="182">
        <f t="shared" ca="1" si="454"/>
        <v>5.085252025131849E-3</v>
      </c>
      <c r="L264" s="182">
        <f t="shared" ca="1" si="454"/>
        <v>4.965262077312369E-3</v>
      </c>
      <c r="M264" s="182">
        <f t="shared" ca="1" si="454"/>
        <v>4.8700742285260681E-3</v>
      </c>
      <c r="N264" s="182">
        <f t="shared" ca="1" si="454"/>
        <v>4.7771198659190056E-3</v>
      </c>
      <c r="O264" s="787">
        <f t="shared" ca="1" si="454"/>
        <v>4.6864359020443126E-3</v>
      </c>
      <c r="Q264" s="1258"/>
      <c r="R264" s="1265"/>
      <c r="S264" s="1264"/>
      <c r="T264" s="1265"/>
      <c r="U264" s="1265"/>
    </row>
    <row r="265" spans="2:21" ht="13.5" customHeight="1" x14ac:dyDescent="0.3">
      <c r="B265" s="1657" t="s">
        <v>4579</v>
      </c>
      <c r="C265" s="1120">
        <f>원가명세서!C30/1000000</f>
        <v>0</v>
      </c>
      <c r="D265" s="1120">
        <f>원가명세서!D30/1000000</f>
        <v>2.9782229999999998</v>
      </c>
      <c r="E265" s="1120">
        <f>원가명세서!E30/1000000</f>
        <v>1.570614</v>
      </c>
      <c r="F265" s="1120">
        <f>원가명세서!F30/1000000</f>
        <v>4.1166710000000002</v>
      </c>
      <c r="G265" s="1120">
        <f>원가명세서!G30/1000000</f>
        <v>7.4190870000000002</v>
      </c>
      <c r="H265" s="1120">
        <f>원가명세서!H30/1000000</f>
        <v>4.6917359999999997</v>
      </c>
      <c r="I265" s="1808"/>
      <c r="J265" s="1120">
        <f t="shared" si="375"/>
        <v>4.6917359999999997</v>
      </c>
      <c r="K265" s="1120">
        <f t="shared" si="414"/>
        <v>4.7527285679999993</v>
      </c>
      <c r="L265" s="1120">
        <f t="shared" si="414"/>
        <v>4.8240194965199992</v>
      </c>
      <c r="M265" s="1120">
        <f t="shared" si="414"/>
        <v>4.9108518474573595</v>
      </c>
      <c r="N265" s="1120">
        <f t="shared" si="414"/>
        <v>5.0090688844065063</v>
      </c>
      <c r="O265" s="1655">
        <f t="shared" si="414"/>
        <v>5.1192683998634498</v>
      </c>
      <c r="Q265" s="1258"/>
      <c r="R265" s="1265" t="s">
        <v>4446</v>
      </c>
      <c r="S265" s="1264"/>
      <c r="T265" s="1265" t="s">
        <v>4446</v>
      </c>
      <c r="U265" s="1265"/>
    </row>
    <row r="266" spans="2:21" s="825" customFormat="1" ht="13.5" customHeight="1" outlineLevel="1" x14ac:dyDescent="0.3">
      <c r="B266" s="863" t="s">
        <v>109</v>
      </c>
      <c r="C266" s="260"/>
      <c r="D266" s="260" t="e">
        <f>D265/C265-1</f>
        <v>#DIV/0!</v>
      </c>
      <c r="E266" s="260">
        <f>E265/D265-1</f>
        <v>-0.4726338491106945</v>
      </c>
      <c r="F266" s="260">
        <f t="shared" ref="F266:G266" si="455">F265/E265-1</f>
        <v>1.6210583886301793</v>
      </c>
      <c r="G266" s="260">
        <f t="shared" si="455"/>
        <v>0.80220547136266163</v>
      </c>
      <c r="H266" s="260"/>
      <c r="I266" s="260"/>
      <c r="J266" s="260">
        <f>J265/G265-1</f>
        <v>-0.3676127534290945</v>
      </c>
      <c r="K266" s="260">
        <f t="shared" ref="K266" si="456">K265/J265-1</f>
        <v>1.2999999999999901E-2</v>
      </c>
      <c r="L266" s="260">
        <f t="shared" ref="L266" si="457">L265/K265-1</f>
        <v>1.4999999999999902E-2</v>
      </c>
      <c r="M266" s="260">
        <f t="shared" ref="M266" si="458">M265/L265-1</f>
        <v>1.8000000000000016E-2</v>
      </c>
      <c r="N266" s="260">
        <f t="shared" ref="N266" si="459">N265/M265-1</f>
        <v>2.0000000000000018E-2</v>
      </c>
      <c r="O266" s="783">
        <f t="shared" ref="O266" si="460">O265/N265-1</f>
        <v>2.200000000000002E-2</v>
      </c>
      <c r="Q266" s="1258"/>
      <c r="R266" s="1265"/>
      <c r="S266" s="1264"/>
      <c r="T266" s="1265"/>
      <c r="U266" s="1265"/>
    </row>
    <row r="267" spans="2:21" s="825" customFormat="1" ht="13.5" customHeight="1" outlineLevel="1" x14ac:dyDescent="0.3">
      <c r="B267" s="861" t="s">
        <v>133</v>
      </c>
      <c r="C267" s="182"/>
      <c r="D267" s="182">
        <f>D265/D$64</f>
        <v>5.4531121792582228E-5</v>
      </c>
      <c r="E267" s="182">
        <f t="shared" ref="E267:O267" si="461">E265/E$64</f>
        <v>2.7702558534516787E-5</v>
      </c>
      <c r="F267" s="182">
        <f t="shared" si="461"/>
        <v>5.1675839876675439E-5</v>
      </c>
      <c r="G267" s="182">
        <f t="shared" si="461"/>
        <v>8.099988368697215E-5</v>
      </c>
      <c r="H267" s="182">
        <f t="shared" si="461"/>
        <v>4.9199188675620979E-5</v>
      </c>
      <c r="I267" s="182"/>
      <c r="J267" s="182">
        <f t="shared" si="461"/>
        <v>4.9199188675620979E-5</v>
      </c>
      <c r="K267" s="182">
        <f t="shared" si="461"/>
        <v>4.788130582308662E-5</v>
      </c>
      <c r="L267" s="182">
        <f t="shared" si="461"/>
        <v>4.6749257495274346E-5</v>
      </c>
      <c r="M267" s="182">
        <f t="shared" si="461"/>
        <v>4.5863810535511414E-5</v>
      </c>
      <c r="N267" s="182">
        <f t="shared" si="461"/>
        <v>4.5025350826188972E-5</v>
      </c>
      <c r="O267" s="787">
        <f t="shared" si="461"/>
        <v>4.4213942537743097E-5</v>
      </c>
      <c r="Q267" s="1258"/>
      <c r="R267" s="1265"/>
      <c r="S267" s="1264"/>
      <c r="T267" s="1265"/>
      <c r="U267" s="1265"/>
    </row>
    <row r="268" spans="2:21" s="825" customFormat="1" ht="13.5" customHeight="1" outlineLevel="1" x14ac:dyDescent="0.3">
      <c r="B268" s="861" t="s">
        <v>4559</v>
      </c>
      <c r="C268" s="182">
        <f>C265/C$17</f>
        <v>0</v>
      </c>
      <c r="D268" s="182">
        <f t="shared" ref="D268:O268" si="462">D265/D$17</f>
        <v>6.6510458950779072E-5</v>
      </c>
      <c r="E268" s="182">
        <f t="shared" si="462"/>
        <v>3.3546571374739542E-5</v>
      </c>
      <c r="F268" s="182">
        <f t="shared" si="462"/>
        <v>6.0563902594417212E-5</v>
      </c>
      <c r="G268" s="182">
        <f t="shared" si="462"/>
        <v>9.2886120600193018E-5</v>
      </c>
      <c r="H268" s="182">
        <f t="shared" si="462"/>
        <v>5.8582027697562223E-5</v>
      </c>
      <c r="I268" s="182"/>
      <c r="J268" s="182">
        <f t="shared" ca="1" si="462"/>
        <v>5.856750081415175E-5</v>
      </c>
      <c r="K268" s="182">
        <f t="shared" ca="1" si="462"/>
        <v>5.4347255986492278E-5</v>
      </c>
      <c r="L268" s="182">
        <f t="shared" ca="1" si="462"/>
        <v>5.3064895863980546E-5</v>
      </c>
      <c r="M268" s="182">
        <f t="shared" ca="1" si="462"/>
        <v>5.2047601468496087E-5</v>
      </c>
      <c r="N268" s="182">
        <f t="shared" ca="1" si="462"/>
        <v>5.1054176852626384E-5</v>
      </c>
      <c r="O268" s="787">
        <f t="shared" ca="1" si="462"/>
        <v>5.0085016509302008E-5</v>
      </c>
      <c r="Q268" s="1258"/>
      <c r="R268" s="1265"/>
      <c r="S268" s="1264"/>
      <c r="T268" s="1265"/>
      <c r="U268" s="1265"/>
    </row>
    <row r="269" spans="2:21" ht="13.5" customHeight="1" x14ac:dyDescent="0.3">
      <c r="B269" s="1657" t="s">
        <v>4580</v>
      </c>
      <c r="C269" s="1120">
        <f>원가명세서!C31/1000000</f>
        <v>19.865729999999999</v>
      </c>
      <c r="D269" s="1120">
        <f>원가명세서!D31/1000000</f>
        <v>18.905857999999998</v>
      </c>
      <c r="E269" s="1120">
        <f>원가명세서!E31/1000000</f>
        <v>17.958041999999999</v>
      </c>
      <c r="F269" s="1120">
        <f>원가명세서!F31/1000000</f>
        <v>34.813513</v>
      </c>
      <c r="G269" s="1120">
        <f>원가명세서!G31/1000000</f>
        <v>34.100844000000002</v>
      </c>
      <c r="H269" s="1120">
        <f>원가명세서!H31/1000000</f>
        <v>25.61382</v>
      </c>
      <c r="I269" s="1808"/>
      <c r="J269" s="1120">
        <f t="shared" si="375"/>
        <v>25.61382</v>
      </c>
      <c r="K269" s="1120">
        <f t="shared" si="414"/>
        <v>25.946799659999996</v>
      </c>
      <c r="L269" s="1120">
        <f t="shared" si="414"/>
        <v>26.336001654899995</v>
      </c>
      <c r="M269" s="1120">
        <f t="shared" si="414"/>
        <v>26.810049684688195</v>
      </c>
      <c r="N269" s="1120">
        <f t="shared" si="414"/>
        <v>27.34625067838196</v>
      </c>
      <c r="O269" s="1655">
        <f t="shared" si="414"/>
        <v>27.947868193306363</v>
      </c>
      <c r="Q269" s="1258"/>
      <c r="R269" s="1265" t="s">
        <v>4446</v>
      </c>
      <c r="S269" s="1264"/>
      <c r="T269" s="1265" t="s">
        <v>4446</v>
      </c>
      <c r="U269" s="1265"/>
    </row>
    <row r="270" spans="2:21" s="825" customFormat="1" ht="13.5" customHeight="1" outlineLevel="1" x14ac:dyDescent="0.3">
      <c r="B270" s="863" t="s">
        <v>109</v>
      </c>
      <c r="C270" s="260"/>
      <c r="D270" s="260">
        <f>D269/C269-1</f>
        <v>-4.8317982777375978E-2</v>
      </c>
      <c r="E270" s="260">
        <f>E269/D269-1</f>
        <v>-5.0133455990201581E-2</v>
      </c>
      <c r="F270" s="260">
        <f t="shared" ref="F270:G270" si="463">F269/E269-1</f>
        <v>0.93860293900637948</v>
      </c>
      <c r="G270" s="260">
        <f t="shared" si="463"/>
        <v>-2.047104525188248E-2</v>
      </c>
      <c r="H270" s="260"/>
      <c r="I270" s="260"/>
      <c r="J270" s="260">
        <f>J269/G269-1</f>
        <v>-0.24888017434407195</v>
      </c>
      <c r="K270" s="260">
        <f t="shared" ref="K270" si="464">K269/J269-1</f>
        <v>1.2999999999999901E-2</v>
      </c>
      <c r="L270" s="260">
        <f t="shared" ref="L270" si="465">L269/K269-1</f>
        <v>1.4999999999999902E-2</v>
      </c>
      <c r="M270" s="260">
        <f t="shared" ref="M270" si="466">M269/L269-1</f>
        <v>1.8000000000000016E-2</v>
      </c>
      <c r="N270" s="260">
        <f t="shared" ref="N270" si="467">N269/M269-1</f>
        <v>2.0000000000000018E-2</v>
      </c>
      <c r="O270" s="783">
        <f t="shared" ref="O270" si="468">O269/N269-1</f>
        <v>2.200000000000002E-2</v>
      </c>
      <c r="Q270" s="1258"/>
      <c r="R270" s="1265"/>
      <c r="S270" s="1264"/>
      <c r="T270" s="1265"/>
      <c r="U270" s="1265"/>
    </row>
    <row r="271" spans="2:21" s="825" customFormat="1" ht="13.5" customHeight="1" outlineLevel="1" x14ac:dyDescent="0.3">
      <c r="B271" s="861" t="s">
        <v>133</v>
      </c>
      <c r="C271" s="182"/>
      <c r="D271" s="182">
        <f>D269/D$64</f>
        <v>3.4616536276540241E-4</v>
      </c>
      <c r="E271" s="182">
        <f t="shared" ref="E271:O271" si="469">E269/E$64</f>
        <v>3.1674473146827347E-4</v>
      </c>
      <c r="F271" s="182">
        <f t="shared" si="469"/>
        <v>4.3700784525471155E-4</v>
      </c>
      <c r="G271" s="182">
        <f t="shared" si="469"/>
        <v>3.7230516337489805E-4</v>
      </c>
      <c r="H271" s="182">
        <f t="shared" si="469"/>
        <v>2.6859549703636226E-4</v>
      </c>
      <c r="I271" s="182"/>
      <c r="J271" s="182">
        <f t="shared" si="469"/>
        <v>2.6859549703636226E-4</v>
      </c>
      <c r="K271" s="182">
        <f t="shared" si="469"/>
        <v>2.6140071579421617E-4</v>
      </c>
      <c r="L271" s="182">
        <f t="shared" si="469"/>
        <v>2.5522046991084067E-4</v>
      </c>
      <c r="M271" s="182">
        <f t="shared" si="469"/>
        <v>2.5038650673667336E-4</v>
      </c>
      <c r="N271" s="182">
        <f t="shared" si="469"/>
        <v>2.4580906331874932E-4</v>
      </c>
      <c r="O271" s="787">
        <f t="shared" si="469"/>
        <v>2.4137930302389025E-4</v>
      </c>
      <c r="Q271" s="1258"/>
      <c r="R271" s="1265"/>
      <c r="S271" s="1264"/>
      <c r="T271" s="1265"/>
      <c r="U271" s="1265"/>
    </row>
    <row r="272" spans="2:21" s="825" customFormat="1" ht="13.5" customHeight="1" outlineLevel="1" x14ac:dyDescent="0.3">
      <c r="B272" s="861" t="s">
        <v>4559</v>
      </c>
      <c r="C272" s="182">
        <f>C269/C$17</f>
        <v>6.7649088644973249E-4</v>
      </c>
      <c r="D272" s="182">
        <f t="shared" ref="D272:O272" si="470">D269/D$17</f>
        <v>4.2221059082488382E-4</v>
      </c>
      <c r="E272" s="182">
        <f t="shared" si="470"/>
        <v>3.8356384044938501E-4</v>
      </c>
      <c r="F272" s="182">
        <f t="shared" si="470"/>
        <v>5.1217165770630615E-4</v>
      </c>
      <c r="G272" s="182">
        <f t="shared" si="470"/>
        <v>4.2693866622030025E-4</v>
      </c>
      <c r="H272" s="182">
        <f t="shared" si="470"/>
        <v>3.1981968138880226E-4</v>
      </c>
      <c r="I272" s="182"/>
      <c r="J272" s="182">
        <f t="shared" ca="1" si="470"/>
        <v>3.1974037407550993E-4</v>
      </c>
      <c r="K272" s="182">
        <f t="shared" ca="1" si="470"/>
        <v>2.9670058850965518E-4</v>
      </c>
      <c r="L272" s="182">
        <f t="shared" ca="1" si="470"/>
        <v>2.8969973821603391E-4</v>
      </c>
      <c r="M272" s="182">
        <f t="shared" ca="1" si="470"/>
        <v>2.8414597399465665E-4</v>
      </c>
      <c r="N272" s="182">
        <f t="shared" ca="1" si="470"/>
        <v>2.7872252320917858E-4</v>
      </c>
      <c r="O272" s="787">
        <f t="shared" ca="1" si="470"/>
        <v>2.7343153953382927E-4</v>
      </c>
      <c r="Q272" s="1258"/>
      <c r="R272" s="1265"/>
      <c r="S272" s="1264"/>
      <c r="T272" s="1265"/>
      <c r="U272" s="1265"/>
    </row>
    <row r="273" spans="2:21" ht="13.5" customHeight="1" x14ac:dyDescent="0.3">
      <c r="B273" s="1657" t="s">
        <v>4597</v>
      </c>
      <c r="C273" s="1120">
        <f>원가명세서!C32/1000000</f>
        <v>8.8900000000000007E-2</v>
      </c>
      <c r="D273" s="1120">
        <f>원가명세서!D32/1000000</f>
        <v>0</v>
      </c>
      <c r="E273" s="1120">
        <f>원가명세서!E32/1000000</f>
        <v>0</v>
      </c>
      <c r="F273" s="1120">
        <f>원가명세서!F32/1000000</f>
        <v>0</v>
      </c>
      <c r="G273" s="1120">
        <f>원가명세서!G32/1000000</f>
        <v>0</v>
      </c>
      <c r="H273" s="1120">
        <f>원가명세서!H32/1000000</f>
        <v>0</v>
      </c>
      <c r="I273" s="1808"/>
      <c r="J273" s="1120">
        <f t="shared" si="375"/>
        <v>0</v>
      </c>
      <c r="K273" s="1120"/>
      <c r="L273" s="1120"/>
      <c r="M273" s="1120"/>
      <c r="N273" s="1120"/>
      <c r="O273" s="1655"/>
      <c r="Q273" s="1258"/>
      <c r="R273" s="1265"/>
      <c r="S273" s="1264"/>
      <c r="T273" s="1265" t="s">
        <v>4447</v>
      </c>
      <c r="U273" s="1265"/>
    </row>
    <row r="274" spans="2:21" s="825" customFormat="1" ht="13.5" customHeight="1" outlineLevel="1" x14ac:dyDescent="0.3">
      <c r="B274" s="863" t="s">
        <v>109</v>
      </c>
      <c r="C274" s="260"/>
      <c r="D274" s="260">
        <f>D273/C273-1</f>
        <v>-1</v>
      </c>
      <c r="E274" s="260" t="e">
        <f>E273/D273-1</f>
        <v>#DIV/0!</v>
      </c>
      <c r="F274" s="260" t="e">
        <f t="shared" ref="F274:G274" si="471">F273/E273-1</f>
        <v>#DIV/0!</v>
      </c>
      <c r="G274" s="260" t="e">
        <f t="shared" si="471"/>
        <v>#DIV/0!</v>
      </c>
      <c r="H274" s="260"/>
      <c r="I274" s="260"/>
      <c r="J274" s="260" t="e">
        <f>J273/G273-1</f>
        <v>#DIV/0!</v>
      </c>
      <c r="K274" s="260" t="e">
        <f t="shared" ref="K274" si="472">K273/J273-1</f>
        <v>#DIV/0!</v>
      </c>
      <c r="L274" s="260" t="e">
        <f t="shared" ref="L274" si="473">L273/K273-1</f>
        <v>#DIV/0!</v>
      </c>
      <c r="M274" s="260" t="e">
        <f t="shared" ref="M274" si="474">M273/L273-1</f>
        <v>#DIV/0!</v>
      </c>
      <c r="N274" s="260" t="e">
        <f t="shared" ref="N274" si="475">N273/M273-1</f>
        <v>#DIV/0!</v>
      </c>
      <c r="O274" s="783" t="e">
        <f t="shared" ref="O274" si="476">O273/N273-1</f>
        <v>#DIV/0!</v>
      </c>
      <c r="Q274" s="1258"/>
      <c r="R274" s="1265"/>
      <c r="S274" s="1264"/>
      <c r="T274" s="1265"/>
      <c r="U274" s="1265"/>
    </row>
    <row r="275" spans="2:21" s="825" customFormat="1" ht="13.5" customHeight="1" outlineLevel="1" x14ac:dyDescent="0.3">
      <c r="B275" s="861" t="s">
        <v>133</v>
      </c>
      <c r="C275" s="182"/>
      <c r="D275" s="182">
        <f>D273/D$64</f>
        <v>0</v>
      </c>
      <c r="E275" s="182">
        <f t="shared" ref="E275:O275" si="477">E273/E$64</f>
        <v>0</v>
      </c>
      <c r="F275" s="182">
        <f t="shared" si="477"/>
        <v>0</v>
      </c>
      <c r="G275" s="182">
        <f t="shared" si="477"/>
        <v>0</v>
      </c>
      <c r="H275" s="182">
        <f t="shared" si="477"/>
        <v>0</v>
      </c>
      <c r="I275" s="182"/>
      <c r="J275" s="182">
        <f t="shared" si="477"/>
        <v>0</v>
      </c>
      <c r="K275" s="182">
        <f t="shared" si="477"/>
        <v>0</v>
      </c>
      <c r="L275" s="182">
        <f t="shared" si="477"/>
        <v>0</v>
      </c>
      <c r="M275" s="182">
        <f t="shared" si="477"/>
        <v>0</v>
      </c>
      <c r="N275" s="182">
        <f t="shared" si="477"/>
        <v>0</v>
      </c>
      <c r="O275" s="787">
        <f t="shared" si="477"/>
        <v>0</v>
      </c>
      <c r="Q275" s="1258"/>
      <c r="R275" s="1265"/>
      <c r="S275" s="1264"/>
      <c r="T275" s="1265"/>
      <c r="U275" s="1265"/>
    </row>
    <row r="276" spans="2:21" s="825" customFormat="1" ht="13.5" customHeight="1" outlineLevel="1" x14ac:dyDescent="0.3">
      <c r="B276" s="861" t="s">
        <v>4559</v>
      </c>
      <c r="C276" s="182">
        <f>C273/C$17</f>
        <v>3.0273259429873064E-6</v>
      </c>
      <c r="D276" s="182">
        <f t="shared" ref="D276:O276" si="478">D273/D$17</f>
        <v>0</v>
      </c>
      <c r="E276" s="182">
        <f t="shared" si="478"/>
        <v>0</v>
      </c>
      <c r="F276" s="182">
        <f t="shared" si="478"/>
        <v>0</v>
      </c>
      <c r="G276" s="182">
        <f t="shared" si="478"/>
        <v>0</v>
      </c>
      <c r="H276" s="182">
        <f t="shared" si="478"/>
        <v>0</v>
      </c>
      <c r="I276" s="182"/>
      <c r="J276" s="182">
        <f t="shared" ca="1" si="478"/>
        <v>0</v>
      </c>
      <c r="K276" s="182">
        <f t="shared" ca="1" si="478"/>
        <v>0</v>
      </c>
      <c r="L276" s="182">
        <f t="shared" ca="1" si="478"/>
        <v>0</v>
      </c>
      <c r="M276" s="182">
        <f t="shared" ca="1" si="478"/>
        <v>0</v>
      </c>
      <c r="N276" s="182">
        <f t="shared" ca="1" si="478"/>
        <v>0</v>
      </c>
      <c r="O276" s="787">
        <f t="shared" ca="1" si="478"/>
        <v>0</v>
      </c>
      <c r="Q276" s="1258"/>
      <c r="R276" s="1265"/>
      <c r="S276" s="1264"/>
      <c r="T276" s="1265"/>
      <c r="U276" s="1265"/>
    </row>
    <row r="277" spans="2:21" ht="13.5" customHeight="1" x14ac:dyDescent="0.3">
      <c r="B277" s="1657" t="s">
        <v>4581</v>
      </c>
      <c r="C277" s="1120">
        <f>원가명세서!C33/1000000</f>
        <v>1.35E-2</v>
      </c>
      <c r="D277" s="1120">
        <f>원가명세서!D33/1000000</f>
        <v>50.877795999999996</v>
      </c>
      <c r="E277" s="1120">
        <f>원가명세서!E33/1000000</f>
        <v>172.71549999999999</v>
      </c>
      <c r="F277" s="1120">
        <f>원가명세서!F33/1000000</f>
        <v>278.48632700000002</v>
      </c>
      <c r="G277" s="1120">
        <f>원가명세서!G33/1000000</f>
        <v>147.12285199999999</v>
      </c>
      <c r="H277" s="1120">
        <f>원가명세서!H33/1000000</f>
        <v>47.927439999999997</v>
      </c>
      <c r="I277" s="1808"/>
      <c r="J277" s="1120">
        <f t="shared" si="375"/>
        <v>47.927439999999997</v>
      </c>
      <c r="K277" s="1120">
        <f t="shared" si="414"/>
        <v>48.550496719999991</v>
      </c>
      <c r="L277" s="1120">
        <f t="shared" si="414"/>
        <v>49.278754170799985</v>
      </c>
      <c r="M277" s="1120">
        <f t="shared" si="414"/>
        <v>50.165771745874387</v>
      </c>
      <c r="N277" s="1120">
        <f t="shared" si="414"/>
        <v>51.169087180791877</v>
      </c>
      <c r="O277" s="1655">
        <f t="shared" si="414"/>
        <v>52.294807098769297</v>
      </c>
      <c r="Q277" s="1258"/>
      <c r="R277" s="1265" t="s">
        <v>4446</v>
      </c>
      <c r="S277" s="1264"/>
      <c r="T277" s="1265" t="s">
        <v>4446</v>
      </c>
      <c r="U277" s="1265"/>
    </row>
    <row r="278" spans="2:21" s="825" customFormat="1" ht="13.5" customHeight="1" outlineLevel="1" x14ac:dyDescent="0.3">
      <c r="B278" s="863" t="s">
        <v>109</v>
      </c>
      <c r="C278" s="260"/>
      <c r="D278" s="260">
        <f>D277/C277-1</f>
        <v>3767.7256296296296</v>
      </c>
      <c r="E278" s="260">
        <f>E277/D277-1</f>
        <v>2.3947126954949072</v>
      </c>
      <c r="F278" s="260">
        <f t="shared" ref="F278:G278" si="479">F277/E277-1</f>
        <v>0.61239915931112154</v>
      </c>
      <c r="G278" s="260">
        <f t="shared" si="479"/>
        <v>-0.47170529488867874</v>
      </c>
      <c r="H278" s="260"/>
      <c r="I278" s="260"/>
      <c r="J278" s="260">
        <f>J277/G277-1</f>
        <v>-0.67423524388991596</v>
      </c>
      <c r="K278" s="260">
        <f t="shared" ref="K278" si="480">K277/J277-1</f>
        <v>1.2999999999999901E-2</v>
      </c>
      <c r="L278" s="260">
        <f t="shared" ref="L278" si="481">L277/K277-1</f>
        <v>1.4999999999999902E-2</v>
      </c>
      <c r="M278" s="260">
        <f t="shared" ref="M278" si="482">M277/L277-1</f>
        <v>1.8000000000000016E-2</v>
      </c>
      <c r="N278" s="260">
        <f t="shared" ref="N278" si="483">N277/M277-1</f>
        <v>2.0000000000000018E-2</v>
      </c>
      <c r="O278" s="783">
        <f t="shared" ref="O278" si="484">O277/N277-1</f>
        <v>2.200000000000002E-2</v>
      </c>
      <c r="Q278" s="1258"/>
      <c r="R278" s="1265"/>
      <c r="S278" s="1264"/>
      <c r="T278" s="1265"/>
      <c r="U278" s="1265"/>
    </row>
    <row r="279" spans="2:21" s="825" customFormat="1" ht="13.5" customHeight="1" outlineLevel="1" x14ac:dyDescent="0.3">
      <c r="B279" s="861" t="s">
        <v>133</v>
      </c>
      <c r="C279" s="182"/>
      <c r="D279" s="182">
        <f>D277/D$64</f>
        <v>9.3157003025433381E-4</v>
      </c>
      <c r="E279" s="182">
        <f t="shared" ref="E279:O279" si="485">E277/E$64</f>
        <v>3.0463635549971757E-3</v>
      </c>
      <c r="F279" s="182">
        <f t="shared" si="485"/>
        <v>3.4957893992246343E-3</v>
      </c>
      <c r="G279" s="182">
        <f t="shared" si="485"/>
        <v>1.6062534244032475E-3</v>
      </c>
      <c r="H279" s="182">
        <f t="shared" si="485"/>
        <v>5.0258393978252483E-4</v>
      </c>
      <c r="I279" s="182"/>
      <c r="J279" s="182">
        <f t="shared" si="485"/>
        <v>5.0258393978252483E-4</v>
      </c>
      <c r="K279" s="182">
        <f t="shared" si="485"/>
        <v>4.8912138533746031E-4</v>
      </c>
      <c r="L279" s="182">
        <f t="shared" si="485"/>
        <v>4.7755718430220949E-4</v>
      </c>
      <c r="M279" s="182">
        <f t="shared" si="485"/>
        <v>4.685120875539653E-4</v>
      </c>
      <c r="N279" s="182">
        <f t="shared" si="485"/>
        <v>4.5994697915678173E-4</v>
      </c>
      <c r="O279" s="787">
        <f t="shared" si="485"/>
        <v>4.5165820884660382E-4</v>
      </c>
      <c r="Q279" s="1258"/>
      <c r="R279" s="1265"/>
      <c r="S279" s="1264"/>
      <c r="T279" s="1265"/>
      <c r="U279" s="1265"/>
    </row>
    <row r="280" spans="2:21" s="825" customFormat="1" ht="13.5" customHeight="1" outlineLevel="1" x14ac:dyDescent="0.3">
      <c r="B280" s="861" t="s">
        <v>4559</v>
      </c>
      <c r="C280" s="182">
        <f>C277/C$17</f>
        <v>4.5971766288333671E-7</v>
      </c>
      <c r="D280" s="182">
        <f t="shared" ref="D280:O280" si="486">D277/D$17</f>
        <v>1.1362163150187583E-3</v>
      </c>
      <c r="E280" s="182">
        <f t="shared" si="486"/>
        <v>3.6890113345951501E-3</v>
      </c>
      <c r="F280" s="182">
        <f t="shared" si="486"/>
        <v>4.0970528813949478E-3</v>
      </c>
      <c r="G280" s="182">
        <f t="shared" si="486"/>
        <v>1.8419612782430437E-3</v>
      </c>
      <c r="H280" s="182">
        <f t="shared" si="486"/>
        <v>5.9843235372860953E-4</v>
      </c>
      <c r="I280" s="182"/>
      <c r="J280" s="182">
        <f t="shared" ca="1" si="486"/>
        <v>5.982839574136757E-4</v>
      </c>
      <c r="K280" s="182">
        <f t="shared" ca="1" si="486"/>
        <v>5.5517293608533158E-4</v>
      </c>
      <c r="L280" s="182">
        <f t="shared" ca="1" si="486"/>
        <v>5.4207325659993988E-4</v>
      </c>
      <c r="M280" s="182">
        <f t="shared" ca="1" si="486"/>
        <v>5.3168130016805252E-4</v>
      </c>
      <c r="N280" s="182">
        <f t="shared" ca="1" si="486"/>
        <v>5.2153318043761192E-4</v>
      </c>
      <c r="O280" s="787">
        <f t="shared" ca="1" si="486"/>
        <v>5.1163292726798379E-4</v>
      </c>
      <c r="Q280" s="1258"/>
      <c r="R280" s="1265"/>
      <c r="S280" s="1264"/>
      <c r="T280" s="1265"/>
      <c r="U280" s="1265"/>
    </row>
    <row r="281" spans="2:21" ht="13.5" customHeight="1" x14ac:dyDescent="0.3">
      <c r="B281" s="1657" t="s">
        <v>4582</v>
      </c>
      <c r="C281" s="1120">
        <f>원가명세서!C34/1000000</f>
        <v>0.2195</v>
      </c>
      <c r="D281" s="1120">
        <f>원가명세서!D34/1000000</f>
        <v>0</v>
      </c>
      <c r="E281" s="1120">
        <f>원가명세서!E34/1000000</f>
        <v>0.116271</v>
      </c>
      <c r="F281" s="1120">
        <f>원가명세서!F34/1000000</f>
        <v>0.55932800000000005</v>
      </c>
      <c r="G281" s="1120">
        <f>원가명세서!G34/1000000</f>
        <v>0.51575599999999999</v>
      </c>
      <c r="H281" s="1120">
        <f>원가명세서!H34/1000000</f>
        <v>0.67371899999999996</v>
      </c>
      <c r="I281" s="1808"/>
      <c r="J281" s="1120">
        <f t="shared" si="375"/>
        <v>0.67371899999999996</v>
      </c>
      <c r="K281" s="1120">
        <f t="shared" ref="K281:O281" si="487">J281*(1+K$57)</f>
        <v>0.68247734699999985</v>
      </c>
      <c r="L281" s="1120">
        <f t="shared" si="487"/>
        <v>0.69271450720499983</v>
      </c>
      <c r="M281" s="1120">
        <f t="shared" si="487"/>
        <v>0.70518336833468986</v>
      </c>
      <c r="N281" s="1120">
        <f t="shared" si="487"/>
        <v>0.71928703570138364</v>
      </c>
      <c r="O281" s="1655">
        <f t="shared" si="487"/>
        <v>0.73511135048681409</v>
      </c>
      <c r="Q281" s="1258"/>
      <c r="R281" s="1265" t="s">
        <v>4446</v>
      </c>
      <c r="S281" s="1264"/>
      <c r="T281" s="1265" t="s">
        <v>4446</v>
      </c>
      <c r="U281" s="1265"/>
    </row>
    <row r="282" spans="2:21" s="825" customFormat="1" ht="13.5" customHeight="1" outlineLevel="1" x14ac:dyDescent="0.3">
      <c r="B282" s="863" t="s">
        <v>109</v>
      </c>
      <c r="C282" s="260"/>
      <c r="D282" s="260">
        <f>D281/C281-1</f>
        <v>-1</v>
      </c>
      <c r="E282" s="260" t="e">
        <f>E281/D281-1</f>
        <v>#DIV/0!</v>
      </c>
      <c r="F282" s="260">
        <f t="shared" ref="F282:G282" si="488">F281/E281-1</f>
        <v>3.8105546524928835</v>
      </c>
      <c r="G282" s="260">
        <f t="shared" si="488"/>
        <v>-7.7900623605469566E-2</v>
      </c>
      <c r="H282" s="260"/>
      <c r="I282" s="260"/>
      <c r="J282" s="260">
        <f>J281/G281-1</f>
        <v>0.30627467251956353</v>
      </c>
      <c r="K282" s="260">
        <f t="shared" ref="K282" si="489">K281/J281-1</f>
        <v>1.2999999999999901E-2</v>
      </c>
      <c r="L282" s="260">
        <f t="shared" ref="L282" si="490">L281/K281-1</f>
        <v>1.4999999999999902E-2</v>
      </c>
      <c r="M282" s="260">
        <f t="shared" ref="M282" si="491">M281/L281-1</f>
        <v>1.8000000000000016E-2</v>
      </c>
      <c r="N282" s="260">
        <f t="shared" ref="N282" si="492">N281/M281-1</f>
        <v>2.0000000000000018E-2</v>
      </c>
      <c r="O282" s="783">
        <f t="shared" ref="O282" si="493">O281/N281-1</f>
        <v>2.200000000000002E-2</v>
      </c>
      <c r="Q282" s="1258"/>
      <c r="R282" s="1265"/>
      <c r="S282" s="1264"/>
      <c r="T282" s="1265"/>
      <c r="U282" s="1265"/>
    </row>
    <row r="283" spans="2:21" s="825" customFormat="1" ht="13.5" customHeight="1" outlineLevel="1" x14ac:dyDescent="0.3">
      <c r="B283" s="861" t="s">
        <v>133</v>
      </c>
      <c r="C283" s="182"/>
      <c r="D283" s="182">
        <f>D281/D$64</f>
        <v>0</v>
      </c>
      <c r="E283" s="182">
        <f t="shared" ref="E283:O283" si="494">E281/E$64</f>
        <v>2.0507929913822245E-6</v>
      </c>
      <c r="F283" s="182">
        <f t="shared" si="494"/>
        <v>7.021145038440312E-6</v>
      </c>
      <c r="G283" s="182">
        <f t="shared" si="494"/>
        <v>5.6309052597520436E-6</v>
      </c>
      <c r="H283" s="182">
        <f t="shared" si="494"/>
        <v>7.0648536480634651E-6</v>
      </c>
      <c r="I283" s="182"/>
      <c r="J283" s="182">
        <f t="shared" si="494"/>
        <v>7.0648536480634651E-6</v>
      </c>
      <c r="K283" s="182">
        <f t="shared" si="494"/>
        <v>6.8756096843096226E-6</v>
      </c>
      <c r="L283" s="182">
        <f t="shared" si="494"/>
        <v>6.7130509923104658E-6</v>
      </c>
      <c r="M283" s="182">
        <f t="shared" si="494"/>
        <v>6.5859035056904761E-6</v>
      </c>
      <c r="N283" s="182">
        <f t="shared" si="494"/>
        <v>6.4655032451248764E-6</v>
      </c>
      <c r="O283" s="787">
        <f t="shared" si="494"/>
        <v>6.3489874862067551E-6</v>
      </c>
      <c r="Q283" s="1258"/>
      <c r="R283" s="1265"/>
      <c r="S283" s="1264"/>
      <c r="T283" s="1265"/>
      <c r="U283" s="1265"/>
    </row>
    <row r="284" spans="2:21" s="825" customFormat="1" ht="13.5" customHeight="1" outlineLevel="1" x14ac:dyDescent="0.3">
      <c r="B284" s="861" t="s">
        <v>4559</v>
      </c>
      <c r="C284" s="182">
        <f>C281/C$17</f>
        <v>7.4746686668809196E-6</v>
      </c>
      <c r="D284" s="182">
        <f t="shared" ref="D284:O284" si="495">D281/D$17</f>
        <v>0</v>
      </c>
      <c r="E284" s="182">
        <f t="shared" si="495"/>
        <v>2.4834194781864552E-6</v>
      </c>
      <c r="F284" s="182">
        <f t="shared" si="495"/>
        <v>8.2287572920765815E-6</v>
      </c>
      <c r="G284" s="182">
        <f t="shared" si="495"/>
        <v>6.457206124725745E-6</v>
      </c>
      <c r="H284" s="182">
        <f t="shared" si="495"/>
        <v>8.4122007543420866E-6</v>
      </c>
      <c r="I284" s="182"/>
      <c r="J284" s="182">
        <f t="shared" ca="1" si="495"/>
        <v>8.4101147381288092E-6</v>
      </c>
      <c r="K284" s="182">
        <f t="shared" ca="1" si="495"/>
        <v>7.8041004344582881E-6</v>
      </c>
      <c r="L284" s="182">
        <f t="shared" ca="1" si="495"/>
        <v>7.6199574265442697E-6</v>
      </c>
      <c r="M284" s="182">
        <f t="shared" ca="1" si="495"/>
        <v>7.4738770497218328E-6</v>
      </c>
      <c r="N284" s="182">
        <f t="shared" ca="1" si="495"/>
        <v>7.3312243005519909E-6</v>
      </c>
      <c r="O284" s="787">
        <f t="shared" ca="1" si="495"/>
        <v>7.1920558270180665E-6</v>
      </c>
      <c r="Q284" s="1258"/>
      <c r="R284" s="1265"/>
      <c r="S284" s="1264"/>
      <c r="T284" s="1265"/>
      <c r="U284" s="1265"/>
    </row>
    <row r="285" spans="2:21" ht="13.5" customHeight="1" x14ac:dyDescent="0.3">
      <c r="B285" s="1657" t="s">
        <v>4583</v>
      </c>
      <c r="C285" s="1120">
        <f>원가명세서!C35/1000000</f>
        <v>55.526345999999997</v>
      </c>
      <c r="D285" s="1120">
        <f>원가명세서!D35/1000000</f>
        <v>0</v>
      </c>
      <c r="E285" s="1120">
        <f>원가명세서!E35/1000000</f>
        <v>0.18859999999999999</v>
      </c>
      <c r="F285" s="1120">
        <f>원가명세서!F35/1000000</f>
        <v>15.467699</v>
      </c>
      <c r="G285" s="1120">
        <f>원가명세서!G35/1000000</f>
        <v>5.0153189999999999</v>
      </c>
      <c r="H285" s="1120">
        <f>원가명세서!H35/1000000</f>
        <v>7.1822480000000004</v>
      </c>
      <c r="I285" s="1808"/>
      <c r="J285" s="1120">
        <f t="shared" si="375"/>
        <v>7.1822480000000004</v>
      </c>
      <c r="K285" s="1120">
        <f t="shared" ref="K285:O285" si="496">J285*(1+K$57)</f>
        <v>7.2756172239999994</v>
      </c>
      <c r="L285" s="1120">
        <f t="shared" si="496"/>
        <v>7.3847514823599987</v>
      </c>
      <c r="M285" s="1120">
        <f t="shared" si="496"/>
        <v>7.5176770090424787</v>
      </c>
      <c r="N285" s="1120">
        <f t="shared" si="496"/>
        <v>7.6680305492233281</v>
      </c>
      <c r="O285" s="1655">
        <f t="shared" si="496"/>
        <v>7.8367272213062416</v>
      </c>
      <c r="Q285" s="1258"/>
      <c r="R285" s="1265" t="s">
        <v>4446</v>
      </c>
      <c r="S285" s="1264"/>
      <c r="T285" s="1265" t="s">
        <v>4446</v>
      </c>
      <c r="U285" s="1265"/>
    </row>
    <row r="286" spans="2:21" s="825" customFormat="1" ht="13.5" customHeight="1" outlineLevel="1" x14ac:dyDescent="0.3">
      <c r="B286" s="863" t="s">
        <v>109</v>
      </c>
      <c r="C286" s="260"/>
      <c r="D286" s="260">
        <f>D285/C285-1</f>
        <v>-1</v>
      </c>
      <c r="E286" s="260" t="e">
        <f>E285/D285-1</f>
        <v>#DIV/0!</v>
      </c>
      <c r="F286" s="260">
        <f t="shared" ref="F286:G286" si="497">F285/E285-1</f>
        <v>81.013250265111353</v>
      </c>
      <c r="G286" s="260">
        <f t="shared" si="497"/>
        <v>-0.67575532727912535</v>
      </c>
      <c r="H286" s="260"/>
      <c r="I286" s="260"/>
      <c r="J286" s="260">
        <f>J285/G285-1</f>
        <v>0.43206204829642947</v>
      </c>
      <c r="K286" s="260">
        <f t="shared" ref="K286" si="498">K285/J285-1</f>
        <v>1.2999999999999901E-2</v>
      </c>
      <c r="L286" s="260">
        <f t="shared" ref="L286" si="499">L285/K285-1</f>
        <v>1.4999999999999902E-2</v>
      </c>
      <c r="M286" s="260">
        <f t="shared" ref="M286" si="500">M285/L285-1</f>
        <v>1.8000000000000016E-2</v>
      </c>
      <c r="N286" s="260">
        <f t="shared" ref="N286" si="501">N285/M285-1</f>
        <v>2.0000000000000018E-2</v>
      </c>
      <c r="O286" s="783">
        <f t="shared" ref="O286" si="502">O285/N285-1</f>
        <v>2.200000000000002E-2</v>
      </c>
      <c r="Q286" s="1258"/>
      <c r="R286" s="1265"/>
      <c r="S286" s="1264"/>
      <c r="T286" s="1265"/>
      <c r="U286" s="1265"/>
    </row>
    <row r="287" spans="2:21" s="825" customFormat="1" ht="13.5" customHeight="1" outlineLevel="1" x14ac:dyDescent="0.3">
      <c r="B287" s="861" t="s">
        <v>133</v>
      </c>
      <c r="C287" s="182"/>
      <c r="D287" s="182">
        <f>D285/D$64</f>
        <v>0</v>
      </c>
      <c r="E287" s="182">
        <f t="shared" ref="E287:O287" si="503">E285/E$64</f>
        <v>3.3265350618356042E-6</v>
      </c>
      <c r="F287" s="182">
        <f t="shared" si="503"/>
        <v>1.9416327823734583E-4</v>
      </c>
      <c r="G287" s="182">
        <f t="shared" si="503"/>
        <v>5.4756098109250029E-5</v>
      </c>
      <c r="H287" s="182">
        <f t="shared" si="503"/>
        <v>7.5315570711374528E-5</v>
      </c>
      <c r="I287" s="182"/>
      <c r="J287" s="182">
        <f t="shared" si="503"/>
        <v>7.5315570711374528E-5</v>
      </c>
      <c r="K287" s="182">
        <f t="shared" si="503"/>
        <v>7.3298116728062331E-5</v>
      </c>
      <c r="L287" s="182">
        <f t="shared" si="503"/>
        <v>7.1565143722263823E-5</v>
      </c>
      <c r="M287" s="182">
        <f t="shared" si="503"/>
        <v>7.0209675371985081E-5</v>
      </c>
      <c r="N287" s="182">
        <f t="shared" si="503"/>
        <v>6.8926136492056261E-5</v>
      </c>
      <c r="O287" s="787">
        <f t="shared" si="503"/>
        <v>6.7684008725942858E-5</v>
      </c>
      <c r="Q287" s="1258"/>
      <c r="R287" s="1265"/>
      <c r="S287" s="1264"/>
      <c r="T287" s="1265"/>
      <c r="U287" s="1265"/>
    </row>
    <row r="288" spans="2:21" s="825" customFormat="1" ht="13.5" customHeight="1" outlineLevel="1" x14ac:dyDescent="0.3">
      <c r="B288" s="861" t="s">
        <v>4559</v>
      </c>
      <c r="C288" s="182">
        <f>C285/C$17</f>
        <v>1.8908475564127045E-3</v>
      </c>
      <c r="D288" s="182">
        <f t="shared" ref="D288:O288" si="504">D285/D$17</f>
        <v>0</v>
      </c>
      <c r="E288" s="182">
        <f t="shared" si="504"/>
        <v>4.0282866199307256E-6</v>
      </c>
      <c r="F288" s="182">
        <f t="shared" si="504"/>
        <v>2.2755867923275006E-4</v>
      </c>
      <c r="G288" s="182">
        <f t="shared" si="504"/>
        <v>6.2791220197638798E-5</v>
      </c>
      <c r="H288" s="182">
        <f t="shared" si="504"/>
        <v>8.9679097729872473E-5</v>
      </c>
      <c r="I288" s="182"/>
      <c r="J288" s="182">
        <f t="shared" ca="1" si="504"/>
        <v>8.9656859547817657E-5</v>
      </c>
      <c r="K288" s="182">
        <f t="shared" ca="1" si="504"/>
        <v>8.3196384155986665E-5</v>
      </c>
      <c r="L288" s="182">
        <f t="shared" ca="1" si="504"/>
        <v>8.1233309416659964E-5</v>
      </c>
      <c r="M288" s="182">
        <f t="shared" ca="1" si="504"/>
        <v>7.9676005118766929E-5</v>
      </c>
      <c r="N288" s="182">
        <f t="shared" ca="1" si="504"/>
        <v>7.815524138430256E-5</v>
      </c>
      <c r="O288" s="787">
        <f t="shared" ca="1" si="504"/>
        <v>7.6671622114693011E-5</v>
      </c>
      <c r="Q288" s="1258"/>
      <c r="R288" s="1265"/>
      <c r="S288" s="1264"/>
      <c r="T288" s="1265"/>
      <c r="U288" s="1265"/>
    </row>
    <row r="289" spans="2:21" ht="13.5" customHeight="1" x14ac:dyDescent="0.3">
      <c r="B289" s="1657" t="s">
        <v>4584</v>
      </c>
      <c r="C289" s="1120">
        <f>원가명세서!C36/1000000</f>
        <v>11.327211999999999</v>
      </c>
      <c r="D289" s="1120">
        <f>원가명세서!D36/1000000</f>
        <v>16.1267</v>
      </c>
      <c r="E289" s="1120">
        <f>원가명세서!E36/1000000</f>
        <v>12.117744999999999</v>
      </c>
      <c r="F289" s="1120">
        <f>원가명세서!F36/1000000</f>
        <v>17.604596000000001</v>
      </c>
      <c r="G289" s="1120">
        <f>원가명세서!G36/1000000</f>
        <v>21.958618000000001</v>
      </c>
      <c r="H289" s="1120">
        <f>원가명세서!H36/1000000</f>
        <v>26.92426</v>
      </c>
      <c r="I289" s="1808"/>
      <c r="J289" s="1120">
        <f t="shared" si="375"/>
        <v>26.92426</v>
      </c>
      <c r="K289" s="1120">
        <f t="shared" ref="K289:O289" si="505">J289*(1+K$57)</f>
        <v>27.274275379999999</v>
      </c>
      <c r="L289" s="1120">
        <f t="shared" si="505"/>
        <v>27.683389510699996</v>
      </c>
      <c r="M289" s="1120">
        <f t="shared" si="505"/>
        <v>28.181690521892598</v>
      </c>
      <c r="N289" s="1120">
        <f t="shared" si="505"/>
        <v>28.745324332330451</v>
      </c>
      <c r="O289" s="1655">
        <f t="shared" si="505"/>
        <v>29.37772146764172</v>
      </c>
      <c r="Q289" s="1258"/>
      <c r="R289" s="1265" t="s">
        <v>4446</v>
      </c>
      <c r="S289" s="1264"/>
      <c r="T289" s="1265" t="s">
        <v>4446</v>
      </c>
      <c r="U289" s="1265"/>
    </row>
    <row r="290" spans="2:21" s="825" customFormat="1" ht="13.5" customHeight="1" outlineLevel="1" x14ac:dyDescent="0.3">
      <c r="B290" s="863" t="s">
        <v>109</v>
      </c>
      <c r="C290" s="260"/>
      <c r="D290" s="260">
        <f>D289/C289-1</f>
        <v>0.42371309021143078</v>
      </c>
      <c r="E290" s="260">
        <f>E289/D289-1</f>
        <v>-0.24859115628119832</v>
      </c>
      <c r="F290" s="260">
        <f t="shared" ref="F290:G290" si="506">F289/E289-1</f>
        <v>0.45279472377080077</v>
      </c>
      <c r="G290" s="260">
        <f t="shared" si="506"/>
        <v>0.24732302860003141</v>
      </c>
      <c r="H290" s="260"/>
      <c r="I290" s="260"/>
      <c r="J290" s="260">
        <f>J289/G289-1</f>
        <v>0.22613636249785851</v>
      </c>
      <c r="K290" s="260">
        <f t="shared" ref="K290" si="507">K289/J289-1</f>
        <v>1.2999999999999901E-2</v>
      </c>
      <c r="L290" s="260">
        <f t="shared" ref="L290" si="508">L289/K289-1</f>
        <v>1.4999999999999902E-2</v>
      </c>
      <c r="M290" s="260">
        <f t="shared" ref="M290" si="509">M289/L289-1</f>
        <v>1.8000000000000016E-2</v>
      </c>
      <c r="N290" s="260">
        <f t="shared" ref="N290" si="510">N289/M289-1</f>
        <v>2.0000000000000018E-2</v>
      </c>
      <c r="O290" s="783">
        <f t="shared" ref="O290" si="511">O289/N289-1</f>
        <v>2.200000000000002E-2</v>
      </c>
      <c r="Q290" s="1258"/>
      <c r="R290" s="1265"/>
      <c r="S290" s="1264"/>
      <c r="T290" s="1265"/>
      <c r="U290" s="1265"/>
    </row>
    <row r="291" spans="2:21" s="825" customFormat="1" ht="13.5" customHeight="1" outlineLevel="1" x14ac:dyDescent="0.3">
      <c r="B291" s="861" t="s">
        <v>133</v>
      </c>
      <c r="C291" s="182"/>
      <c r="D291" s="182">
        <f>D289/D$64</f>
        <v>2.9527911167579992E-4</v>
      </c>
      <c r="E291" s="182">
        <f t="shared" ref="E291:O291" si="512">E289/E$64</f>
        <v>2.1373331714147977E-4</v>
      </c>
      <c r="F291" s="182">
        <f t="shared" si="512"/>
        <v>2.2098736673141012E-4</v>
      </c>
      <c r="G291" s="182">
        <f t="shared" si="512"/>
        <v>2.3973913554682039E-4</v>
      </c>
      <c r="H291" s="182">
        <f t="shared" si="512"/>
        <v>2.8233723033254109E-4</v>
      </c>
      <c r="I291" s="182"/>
      <c r="J291" s="182">
        <f t="shared" si="512"/>
        <v>2.8233723033254109E-4</v>
      </c>
      <c r="K291" s="182">
        <f t="shared" si="512"/>
        <v>2.7477435369771411E-4</v>
      </c>
      <c r="L291" s="182">
        <f t="shared" si="512"/>
        <v>2.6827791751490604E-4</v>
      </c>
      <c r="M291" s="182">
        <f t="shared" si="512"/>
        <v>2.631966418078188E-4</v>
      </c>
      <c r="N291" s="182">
        <f t="shared" si="512"/>
        <v>2.5838500977794297E-4</v>
      </c>
      <c r="O291" s="787">
        <f t="shared" si="512"/>
        <v>2.5372861655286122E-4</v>
      </c>
      <c r="Q291" s="1258"/>
      <c r="R291" s="1265"/>
      <c r="S291" s="1264"/>
      <c r="T291" s="1265"/>
      <c r="U291" s="1265"/>
    </row>
    <row r="292" spans="2:21" s="825" customFormat="1" ht="13.5" customHeight="1" outlineLevel="1" x14ac:dyDescent="0.3">
      <c r="B292" s="861" t="s">
        <v>4559</v>
      </c>
      <c r="C292" s="182">
        <f>C289/C$17</f>
        <v>3.8572736500919153E-4</v>
      </c>
      <c r="D292" s="182">
        <f t="shared" ref="D292:O292" si="513">D289/D$17</f>
        <v>3.6014570378427969E-4</v>
      </c>
      <c r="E292" s="182">
        <f t="shared" si="513"/>
        <v>2.588215803140639E-4</v>
      </c>
      <c r="F292" s="182">
        <f t="shared" si="513"/>
        <v>2.5899641660897041E-4</v>
      </c>
      <c r="G292" s="182">
        <f t="shared" si="513"/>
        <v>2.7491938560116215E-4</v>
      </c>
      <c r="H292" s="182">
        <f t="shared" si="513"/>
        <v>3.3618211788906426E-4</v>
      </c>
      <c r="I292" s="182"/>
      <c r="J292" s="182">
        <f t="shared" ca="1" si="513"/>
        <v>3.3609875309915851E-4</v>
      </c>
      <c r="K292" s="182">
        <f t="shared" ca="1" si="513"/>
        <v>3.1188021885009614E-4</v>
      </c>
      <c r="L292" s="182">
        <f t="shared" ca="1" si="513"/>
        <v>3.0452119495102384E-4</v>
      </c>
      <c r="M292" s="182">
        <f t="shared" ca="1" si="513"/>
        <v>2.9868329213625204E-4</v>
      </c>
      <c r="N292" s="182">
        <f t="shared" ca="1" si="513"/>
        <v>2.9298236978084332E-4</v>
      </c>
      <c r="O292" s="787">
        <f t="shared" ca="1" si="513"/>
        <v>2.8742069174410919E-4</v>
      </c>
      <c r="Q292" s="1258"/>
      <c r="R292" s="1265"/>
      <c r="S292" s="1264"/>
      <c r="T292" s="1265"/>
      <c r="U292" s="1265"/>
    </row>
    <row r="293" spans="2:21" s="825" customFormat="1" ht="13.5" customHeight="1" x14ac:dyDescent="0.3">
      <c r="B293" s="861"/>
      <c r="C293" s="182"/>
      <c r="D293" s="182"/>
      <c r="E293" s="182"/>
      <c r="F293" s="182"/>
      <c r="G293" s="182"/>
      <c r="H293" s="182"/>
      <c r="I293" s="182"/>
      <c r="J293" s="182"/>
      <c r="K293" s="182"/>
      <c r="L293" s="182"/>
      <c r="M293" s="182"/>
      <c r="N293" s="182"/>
      <c r="O293" s="787"/>
      <c r="Q293" s="1258"/>
      <c r="R293" s="1265"/>
      <c r="S293" s="1264"/>
      <c r="T293" s="1265"/>
      <c r="U293" s="1265"/>
    </row>
    <row r="294" spans="2:21" s="825" customFormat="1" ht="13.5" customHeight="1" x14ac:dyDescent="0.3">
      <c r="B294" s="2052"/>
      <c r="C294" s="2051"/>
      <c r="D294" s="2051"/>
      <c r="E294" s="2051"/>
      <c r="F294" s="2051"/>
      <c r="G294" s="2051"/>
      <c r="H294" s="2051"/>
      <c r="I294" s="2051"/>
      <c r="J294" s="2051"/>
      <c r="K294" s="2051"/>
      <c r="L294" s="2051"/>
      <c r="M294" s="2051"/>
      <c r="N294" s="2051"/>
      <c r="O294" s="2051"/>
      <c r="Q294" s="1258"/>
    </row>
    <row r="295" spans="2:21" s="825" customFormat="1" ht="13.5" customHeight="1" x14ac:dyDescent="0.3">
      <c r="B295" s="2053"/>
      <c r="C295" s="1640"/>
      <c r="D295" s="1640"/>
      <c r="E295" s="1640"/>
      <c r="F295" s="1640"/>
      <c r="G295" s="1640"/>
      <c r="H295" s="1640"/>
      <c r="I295" s="1640"/>
      <c r="J295" s="1640"/>
      <c r="K295" s="1640"/>
      <c r="L295" s="1640"/>
      <c r="M295" s="1640"/>
      <c r="N295" s="1640"/>
      <c r="O295" s="1640"/>
      <c r="Q295" s="1258"/>
    </row>
    <row r="296" spans="2:21" s="825" customFormat="1" ht="13.5" customHeight="1" x14ac:dyDescent="0.3">
      <c r="B296" s="834" t="s">
        <v>4590</v>
      </c>
      <c r="C296" s="838"/>
      <c r="D296" s="838"/>
      <c r="E296" s="838"/>
      <c r="F296" s="838"/>
      <c r="G296" s="838"/>
      <c r="H296" s="838"/>
      <c r="I296" s="838"/>
      <c r="J296" s="838"/>
      <c r="K296" s="838"/>
      <c r="L296" s="838"/>
      <c r="M296" s="838"/>
      <c r="N296" s="838"/>
      <c r="O296" s="1617"/>
      <c r="Q296" s="1258"/>
      <c r="R296" s="2137" t="s">
        <v>2159</v>
      </c>
      <c r="S296" s="2138"/>
      <c r="T296" s="1262" t="s">
        <v>2160</v>
      </c>
      <c r="U296" s="1263" t="s">
        <v>2161</v>
      </c>
    </row>
    <row r="297" spans="2:21" s="825" customFormat="1" ht="13.5" customHeight="1" x14ac:dyDescent="0.3">
      <c r="B297" s="1628" t="str">
        <f>Des!$C$13</f>
        <v>KRW Millions</v>
      </c>
      <c r="C297" s="1596">
        <f>'Pro forma'!C$5</f>
        <v>2010</v>
      </c>
      <c r="D297" s="1596">
        <f>'Pro forma'!D$5</f>
        <v>2011</v>
      </c>
      <c r="E297" s="1596">
        <f>'Pro forma'!E$5</f>
        <v>2012</v>
      </c>
      <c r="F297" s="1596">
        <f>'Pro forma'!F$5</f>
        <v>2013</v>
      </c>
      <c r="G297" s="1596">
        <f>'Pro forma'!G$5</f>
        <v>2014</v>
      </c>
      <c r="H297" s="1597" t="str">
        <f>'Pro forma'!H$5</f>
        <v>2015/12A</v>
      </c>
      <c r="I297" s="1598" t="str">
        <f>'Pro forma'!I$5</f>
        <v>2015/0E</v>
      </c>
      <c r="J297" s="1599">
        <f>'Pro forma'!J$5</f>
        <v>2015</v>
      </c>
      <c r="K297" s="1599">
        <f>'Pro forma'!K$5</f>
        <v>2016</v>
      </c>
      <c r="L297" s="1599">
        <f>'Pro forma'!L$5</f>
        <v>2017</v>
      </c>
      <c r="M297" s="1599">
        <f>'Pro forma'!M$5</f>
        <v>2018</v>
      </c>
      <c r="N297" s="1599">
        <f>'Pro forma'!N$5</f>
        <v>2019</v>
      </c>
      <c r="O297" s="1618">
        <f>'Pro forma'!O$5</f>
        <v>2020</v>
      </c>
      <c r="Q297" s="1258"/>
      <c r="R297" s="1262" t="s">
        <v>2162</v>
      </c>
      <c r="S297" s="1262" t="s">
        <v>2163</v>
      </c>
      <c r="T297" s="1262" t="s">
        <v>2164</v>
      </c>
      <c r="U297" s="1262"/>
    </row>
    <row r="298" spans="2:21" s="825" customFormat="1" ht="13.5" customHeight="1" x14ac:dyDescent="0.3">
      <c r="B298" s="2048" t="s">
        <v>4588</v>
      </c>
      <c r="C298" s="2049">
        <f>C303+C307</f>
        <v>0</v>
      </c>
      <c r="D298" s="2049">
        <f t="shared" ref="D298:H298" si="514">D303+D307</f>
        <v>57.036222000000002</v>
      </c>
      <c r="E298" s="2049">
        <f t="shared" si="514"/>
        <v>199.13919099999998</v>
      </c>
      <c r="F298" s="2049">
        <f t="shared" si="514"/>
        <v>229.15172899999999</v>
      </c>
      <c r="G298" s="2049">
        <f t="shared" si="514"/>
        <v>254.66975500000001</v>
      </c>
      <c r="H298" s="2049">
        <f t="shared" si="514"/>
        <v>229.195322</v>
      </c>
      <c r="I298" s="2049"/>
      <c r="J298" s="2049">
        <f t="shared" ref="J298:O298" ca="1" si="515">J303+J307</f>
        <v>249.06015533333334</v>
      </c>
      <c r="K298" s="2049">
        <f t="shared" ca="1" si="515"/>
        <v>192.77695676688353</v>
      </c>
      <c r="L298" s="2049">
        <f t="shared" ca="1" si="515"/>
        <v>171.70322830918684</v>
      </c>
      <c r="M298" s="2049">
        <f t="shared" ca="1" si="515"/>
        <v>170.00589139598853</v>
      </c>
      <c r="N298" s="2049">
        <f t="shared" ca="1" si="515"/>
        <v>208.49328012087918</v>
      </c>
      <c r="O298" s="2050">
        <f t="shared" ca="1" si="515"/>
        <v>259.67530603395329</v>
      </c>
      <c r="Q298" s="1258"/>
      <c r="R298" s="1265"/>
      <c r="S298" s="1264"/>
      <c r="T298" s="1265"/>
      <c r="U298" s="1265"/>
    </row>
    <row r="299" spans="2:21" s="825" customFormat="1" ht="13.5" customHeight="1" x14ac:dyDescent="0.3">
      <c r="B299" s="863" t="s">
        <v>109</v>
      </c>
      <c r="C299" s="260"/>
      <c r="D299" s="260" t="e">
        <f>D298/C298-1</f>
        <v>#DIV/0!</v>
      </c>
      <c r="E299" s="260">
        <f>E298/D298-1</f>
        <v>2.491451292128009</v>
      </c>
      <c r="F299" s="260">
        <f t="shared" ref="F299" si="516">F298/E298-1</f>
        <v>0.15071135846886108</v>
      </c>
      <c r="G299" s="260">
        <f t="shared" ref="G299" si="517">G298/F298-1</f>
        <v>0.11135864482174607</v>
      </c>
      <c r="H299" s="260"/>
      <c r="I299" s="260"/>
      <c r="J299" s="260">
        <f ca="1">J298/G298-1</f>
        <v>-2.2026956701892919E-2</v>
      </c>
      <c r="K299" s="260">
        <f t="shared" ref="K299" ca="1" si="518">K298/J298-1</f>
        <v>-0.22598234748196622</v>
      </c>
      <c r="L299" s="260">
        <f t="shared" ref="L299" ca="1" si="519">L298/K298-1</f>
        <v>-0.10931663623666488</v>
      </c>
      <c r="M299" s="260">
        <f t="shared" ref="M299" ca="1" si="520">M298/L298-1</f>
        <v>-9.8852941200494593E-3</v>
      </c>
      <c r="N299" s="260">
        <f t="shared" ref="N299" ca="1" si="521">N298/M298-1</f>
        <v>0.22638855870731778</v>
      </c>
      <c r="O299" s="783">
        <f t="shared" ref="O299" ca="1" si="522">O298/N298-1</f>
        <v>0.24548525440915925</v>
      </c>
      <c r="Q299" s="1258"/>
      <c r="R299" s="1265"/>
      <c r="S299" s="1264"/>
      <c r="T299" s="1265"/>
      <c r="U299" s="1265"/>
    </row>
    <row r="300" spans="2:21" s="825" customFormat="1" ht="13.5" customHeight="1" x14ac:dyDescent="0.3">
      <c r="B300" s="1135" t="s">
        <v>4587</v>
      </c>
      <c r="C300" s="182"/>
      <c r="D300" s="182">
        <f>D298/D$64</f>
        <v>1.044330518054141E-3</v>
      </c>
      <c r="E300" s="182">
        <f t="shared" ref="E300:H300" si="523">E298/E$64</f>
        <v>3.5124257743747462E-3</v>
      </c>
      <c r="F300" s="182">
        <f t="shared" si="523"/>
        <v>2.8765009531408563E-3</v>
      </c>
      <c r="G300" s="182">
        <f t="shared" si="523"/>
        <v>2.7804257496359991E-3</v>
      </c>
      <c r="H300" s="182">
        <f t="shared" si="523"/>
        <v>2.4034225051553846E-3</v>
      </c>
      <c r="I300" s="182"/>
      <c r="J300" s="182">
        <f t="shared" ref="J300:O300" ca="1" si="524">J298/J$64</f>
        <v>2.6117321123405356E-3</v>
      </c>
      <c r="K300" s="182">
        <f t="shared" ca="1" si="524"/>
        <v>1.942129092906174E-3</v>
      </c>
      <c r="L300" s="182">
        <f t="shared" ca="1" si="524"/>
        <v>1.6639647577682166E-3</v>
      </c>
      <c r="M300" s="182">
        <f t="shared" ca="1" si="524"/>
        <v>1.587732278452542E-3</v>
      </c>
      <c r="N300" s="182">
        <f t="shared" ca="1" si="524"/>
        <v>1.8740974218919614E-3</v>
      </c>
      <c r="O300" s="787">
        <f t="shared" ca="1" si="524"/>
        <v>2.2427558320173859E-3</v>
      </c>
      <c r="Q300" s="1258"/>
      <c r="R300" s="1265"/>
      <c r="S300" s="1264"/>
      <c r="T300" s="1265"/>
      <c r="U300" s="1265"/>
    </row>
    <row r="301" spans="2:21" s="825" customFormat="1" ht="13.5" customHeight="1" x14ac:dyDescent="0.3">
      <c r="B301" s="861" t="s">
        <v>3865</v>
      </c>
      <c r="C301" s="182"/>
      <c r="D301" s="182">
        <f>D298/D$6</f>
        <v>5.3620842912070548E-4</v>
      </c>
      <c r="E301" s="182">
        <f t="shared" ref="E301:H301" si="525">E298/E$6</f>
        <v>1.2022340058207162E-3</v>
      </c>
      <c r="F301" s="182">
        <f t="shared" si="525"/>
        <v>1.1810167746120672E-3</v>
      </c>
      <c r="G301" s="182">
        <f t="shared" si="525"/>
        <v>1.0898133980990494E-3</v>
      </c>
      <c r="H301" s="182">
        <f t="shared" ca="1" si="525"/>
        <v>1.1849409578985218E-3</v>
      </c>
      <c r="I301" s="182"/>
      <c r="J301" s="182">
        <f t="shared" ref="J301:O301" ca="1" si="526">J298/J$6</f>
        <v>1.2875100163755328E-3</v>
      </c>
      <c r="K301" s="182">
        <f t="shared" ca="1" si="526"/>
        <v>8.5608099147663436E-4</v>
      </c>
      <c r="L301" s="182">
        <f t="shared" ca="1" si="526"/>
        <v>7.3650134333145287E-4</v>
      </c>
      <c r="M301" s="182">
        <f t="shared" ca="1" si="526"/>
        <v>7.0402211965811155E-4</v>
      </c>
      <c r="N301" s="182">
        <f t="shared" ca="1" si="526"/>
        <v>8.3328100178505361E-4</v>
      </c>
      <c r="O301" s="787">
        <f t="shared" ca="1" si="526"/>
        <v>1.000780915742938E-3</v>
      </c>
      <c r="Q301" s="1258"/>
      <c r="R301" s="1265"/>
      <c r="S301" s="1264"/>
      <c r="T301" s="1265"/>
      <c r="U301" s="1265"/>
    </row>
    <row r="302" spans="2:21" s="825" customFormat="1" ht="13.5" customHeight="1" x14ac:dyDescent="0.3">
      <c r="B302" s="861"/>
      <c r="C302" s="182"/>
      <c r="D302" s="182"/>
      <c r="E302" s="182"/>
      <c r="F302" s="182"/>
      <c r="G302" s="182"/>
      <c r="H302" s="182"/>
      <c r="I302" s="182"/>
      <c r="J302" s="182"/>
      <c r="K302" s="182"/>
      <c r="L302" s="182"/>
      <c r="M302" s="182"/>
      <c r="N302" s="182"/>
      <c r="O302" s="787"/>
      <c r="Q302" s="1258"/>
      <c r="R302" s="1265"/>
      <c r="S302" s="1264"/>
      <c r="T302" s="1265"/>
      <c r="U302" s="1265"/>
    </row>
    <row r="303" spans="2:21" ht="13.5" customHeight="1" x14ac:dyDescent="0.3">
      <c r="B303" s="1657" t="s">
        <v>4591</v>
      </c>
      <c r="C303" s="1120">
        <f>'CapEx&amp;Dep'!C135+'CapEx&amp;Dep'!C139</f>
        <v>0</v>
      </c>
      <c r="D303" s="1120">
        <f>'CapEx&amp;Dep'!D135+'CapEx&amp;Dep'!D139</f>
        <v>49.775855</v>
      </c>
      <c r="E303" s="1120">
        <f>'CapEx&amp;Dep'!E135+'CapEx&amp;Dep'!E139</f>
        <v>193.88090599999998</v>
      </c>
      <c r="F303" s="1120">
        <f>'CapEx&amp;Dep'!F135+'CapEx&amp;Dep'!F139</f>
        <v>227.84973199999999</v>
      </c>
      <c r="G303" s="1120">
        <f>'CapEx&amp;Dep'!G135+'CapEx&amp;Dep'!G139</f>
        <v>254.66975500000001</v>
      </c>
      <c r="H303" s="1120">
        <f>'CapEx&amp;Dep'!H135+'CapEx&amp;Dep'!H139</f>
        <v>222.73315600000001</v>
      </c>
      <c r="I303" s="1808"/>
      <c r="J303" s="1120">
        <f ca="1">'CapEx&amp;Dep'!J135+'CapEx&amp;Dep'!J139</f>
        <v>241.92748933333334</v>
      </c>
      <c r="K303" s="1120">
        <f ca="1">'CapEx&amp;Dep'!K135+'CapEx&amp;Dep'!K139</f>
        <v>183.33594921778632</v>
      </c>
      <c r="L303" s="1120">
        <f ca="1">'CapEx&amp;Dep'!L135+'CapEx&amp;Dep'!L139</f>
        <v>159.42396420301714</v>
      </c>
      <c r="M303" s="1120">
        <f ca="1">'CapEx&amp;Dep'!M135+'CapEx&amp;Dep'!M139</f>
        <v>154.78988637137959</v>
      </c>
      <c r="N303" s="1120">
        <f ca="1">'CapEx&amp;Dep'!N135+'CapEx&amp;Dep'!N139</f>
        <v>197.36994537732306</v>
      </c>
      <c r="O303" s="1655">
        <f ca="1">'CapEx&amp;Dep'!O135+'CapEx&amp;Dep'!O139</f>
        <v>247.70647440615582</v>
      </c>
      <c r="Q303" s="1258"/>
      <c r="R303" s="1265"/>
      <c r="S303" s="1264"/>
      <c r="T303" s="1265" t="s">
        <v>4448</v>
      </c>
      <c r="U303" s="1265"/>
    </row>
    <row r="304" spans="2:21" s="825" customFormat="1" ht="13.5" customHeight="1" outlineLevel="1" x14ac:dyDescent="0.3">
      <c r="B304" s="863" t="s">
        <v>109</v>
      </c>
      <c r="C304" s="260"/>
      <c r="D304" s="260" t="e">
        <f>D303/C303-1</f>
        <v>#DIV/0!</v>
      </c>
      <c r="E304" s="260">
        <f>E303/D303-1</f>
        <v>2.8950793713136616</v>
      </c>
      <c r="F304" s="260">
        <f>F303/E303-1</f>
        <v>0.17520459699110336</v>
      </c>
      <c r="G304" s="260">
        <f>G303/F303-1</f>
        <v>0.11770925848620273</v>
      </c>
      <c r="H304" s="260"/>
      <c r="I304" s="260"/>
      <c r="J304" s="260">
        <f ca="1">J303/G303-1</f>
        <v>-5.0034467841172048E-2</v>
      </c>
      <c r="K304" s="260">
        <f ca="1">K303/J303-1</f>
        <v>-0.2421863686388207</v>
      </c>
      <c r="L304" s="260">
        <f ca="1">L303/K303-1</f>
        <v>-0.13042714817683654</v>
      </c>
      <c r="M304" s="260">
        <f ca="1">M303/L303-1</f>
        <v>-2.906763644226229E-2</v>
      </c>
      <c r="N304" s="260">
        <f ca="1">N303/M303-1</f>
        <v>0.27508295279565798</v>
      </c>
      <c r="O304" s="783">
        <f ca="1">O303/N303-1</f>
        <v>0.25503644403711845</v>
      </c>
      <c r="Q304" s="1258"/>
      <c r="R304" s="1265"/>
      <c r="S304" s="1264"/>
      <c r="T304" s="1265"/>
      <c r="U304" s="1265"/>
    </row>
    <row r="305" spans="2:21" s="825" customFormat="1" ht="13.5" customHeight="1" outlineLevel="1" x14ac:dyDescent="0.3">
      <c r="B305" s="861" t="s">
        <v>133</v>
      </c>
      <c r="C305" s="182"/>
      <c r="D305" s="182">
        <f>D303/D$64</f>
        <v>9.1139354283910682E-4</v>
      </c>
      <c r="E305" s="182">
        <f>E303/E$64</f>
        <v>3.4196799131996445E-3</v>
      </c>
      <c r="F305" s="182">
        <f>F303/F$64</f>
        <v>2.8601572160552569E-3</v>
      </c>
      <c r="G305" s="182">
        <f>G303/G$64</f>
        <v>2.7804257496359991E-3</v>
      </c>
      <c r="H305" s="182">
        <f>H303/H$64</f>
        <v>2.3356579667655046E-3</v>
      </c>
      <c r="I305" s="182"/>
      <c r="J305" s="182">
        <f t="shared" ref="J305:O305" ca="1" si="527">J303/J$64</f>
        <v>2.5369364758652127E-3</v>
      </c>
      <c r="K305" s="182">
        <f t="shared" ca="1" si="527"/>
        <v>1.8470157778349076E-3</v>
      </c>
      <c r="L305" s="182">
        <f t="shared" ca="1" si="527"/>
        <v>1.5449672122637014E-3</v>
      </c>
      <c r="M305" s="182">
        <f t="shared" ca="1" si="527"/>
        <v>1.4456257777407805E-3</v>
      </c>
      <c r="N305" s="182">
        <f t="shared" ca="1" si="527"/>
        <v>1.7741123626437512E-3</v>
      </c>
      <c r="O305" s="787">
        <f t="shared" ca="1" si="527"/>
        <v>2.1393837888853099E-3</v>
      </c>
      <c r="Q305" s="1258"/>
      <c r="R305" s="1265"/>
      <c r="S305" s="1264"/>
      <c r="T305" s="1265"/>
      <c r="U305" s="1265"/>
    </row>
    <row r="306" spans="2:21" s="825" customFormat="1" ht="13.5" customHeight="1" outlineLevel="1" x14ac:dyDescent="0.3">
      <c r="B306" s="861" t="s">
        <v>4559</v>
      </c>
      <c r="C306" s="182">
        <f t="shared" ref="C306:H306" si="528">C303/C$17</f>
        <v>0</v>
      </c>
      <c r="D306" s="182">
        <f t="shared" si="528"/>
        <v>1.111607478928687E-3</v>
      </c>
      <c r="E306" s="182">
        <f t="shared" si="528"/>
        <v>4.141080909331107E-3</v>
      </c>
      <c r="F306" s="182">
        <f t="shared" si="528"/>
        <v>3.3520941982033699E-3</v>
      </c>
      <c r="G306" s="182">
        <f t="shared" si="528"/>
        <v>3.1884362019412374E-3</v>
      </c>
      <c r="H306" s="182">
        <f t="shared" si="528"/>
        <v>2.7810942290779892E-3</v>
      </c>
      <c r="I306" s="182"/>
      <c r="J306" s="182">
        <f t="shared" ref="J306:O306" ca="1" si="529">J303/J$17</f>
        <v>3.020009742341788E-3</v>
      </c>
      <c r="K306" s="182">
        <f t="shared" ca="1" si="529"/>
        <v>2.0964390499284206E-3</v>
      </c>
      <c r="L306" s="182">
        <f t="shared" ca="1" si="529"/>
        <v>1.7536861251823081E-3</v>
      </c>
      <c r="M306" s="182">
        <f t="shared" ca="1" si="529"/>
        <v>1.6405386616138011E-3</v>
      </c>
      <c r="N306" s="182">
        <f t="shared" ca="1" si="529"/>
        <v>2.0116633109310833E-3</v>
      </c>
      <c r="O306" s="787">
        <f t="shared" ca="1" si="529"/>
        <v>2.4234679432756905E-3</v>
      </c>
      <c r="Q306" s="1258"/>
      <c r="R306" s="1265"/>
      <c r="S306" s="1264"/>
      <c r="T306" s="1265"/>
      <c r="U306" s="1265"/>
    </row>
    <row r="307" spans="2:21" s="825" customFormat="1" ht="13.5" customHeight="1" x14ac:dyDescent="0.3">
      <c r="B307" s="1657" t="s">
        <v>4592</v>
      </c>
      <c r="C307" s="1120">
        <f>'CapEx&amp;Dep'!C143</f>
        <v>0</v>
      </c>
      <c r="D307" s="1120">
        <f>'CapEx&amp;Dep'!D143</f>
        <v>7.2603669999999996</v>
      </c>
      <c r="E307" s="1120">
        <f>'CapEx&amp;Dep'!E143</f>
        <v>5.2582849999999999</v>
      </c>
      <c r="F307" s="1120">
        <f>'CapEx&amp;Dep'!F143</f>
        <v>1.3019970000000001</v>
      </c>
      <c r="G307" s="1120">
        <f>'CapEx&amp;Dep'!G143</f>
        <v>0</v>
      </c>
      <c r="H307" s="1120">
        <f>'CapEx&amp;Dep'!H143</f>
        <v>6.4621659999999999</v>
      </c>
      <c r="I307" s="1808"/>
      <c r="J307" s="1120">
        <f>'CapEx&amp;Dep'!J143</f>
        <v>7.1326659999999995</v>
      </c>
      <c r="K307" s="1120">
        <f>'CapEx&amp;Dep'!K143</f>
        <v>9.4410075490972218</v>
      </c>
      <c r="L307" s="1120">
        <f>'CapEx&amp;Dep'!L143</f>
        <v>12.279264106169718</v>
      </c>
      <c r="M307" s="1120">
        <f>'CapEx&amp;Dep'!M143</f>
        <v>15.216005024608929</v>
      </c>
      <c r="N307" s="1120">
        <f>'CapEx&amp;Dep'!N143</f>
        <v>11.123334743556127</v>
      </c>
      <c r="O307" s="1655">
        <f>'CapEx&amp;Dep'!O143</f>
        <v>11.96883162779746</v>
      </c>
      <c r="Q307" s="1258"/>
      <c r="R307" s="1265"/>
      <c r="S307" s="1264"/>
      <c r="T307" s="1265" t="s">
        <v>4448</v>
      </c>
      <c r="U307" s="1265"/>
    </row>
    <row r="308" spans="2:21" s="825" customFormat="1" ht="13.5" customHeight="1" outlineLevel="1" x14ac:dyDescent="0.3">
      <c r="B308" s="863" t="s">
        <v>109</v>
      </c>
      <c r="C308" s="260"/>
      <c r="D308" s="260" t="e">
        <f>D307/C307-1</f>
        <v>#DIV/0!</v>
      </c>
      <c r="E308" s="260">
        <f>E307/D307-1</f>
        <v>-0.27575493084578229</v>
      </c>
      <c r="F308" s="260">
        <f t="shared" ref="F308:G308" si="530">F307/E307-1</f>
        <v>-0.75239132150501542</v>
      </c>
      <c r="G308" s="260">
        <f t="shared" si="530"/>
        <v>-1</v>
      </c>
      <c r="H308" s="260"/>
      <c r="I308" s="260"/>
      <c r="J308" s="260" t="e">
        <f>J307/G307-1</f>
        <v>#DIV/0!</v>
      </c>
      <c r="K308" s="260">
        <f t="shared" ref="K308" si="531">K307/J307-1</f>
        <v>0.32362955858261455</v>
      </c>
      <c r="L308" s="260">
        <f t="shared" ref="L308" si="532">L307/K307-1</f>
        <v>0.30063068399345783</v>
      </c>
      <c r="M308" s="260">
        <f t="shared" ref="M308" si="533">M307/L307-1</f>
        <v>0.23916261536907935</v>
      </c>
      <c r="N308" s="260">
        <f t="shared" ref="N308" si="534">N307/M307-1</f>
        <v>-0.26897140704368228</v>
      </c>
      <c r="O308" s="783">
        <f t="shared" ref="O308" si="535">O307/N307-1</f>
        <v>7.6011097726887966E-2</v>
      </c>
      <c r="Q308" s="1258"/>
      <c r="R308" s="1265"/>
      <c r="S308" s="1264"/>
      <c r="T308" s="1265"/>
      <c r="U308" s="1265"/>
    </row>
    <row r="309" spans="2:21" s="825" customFormat="1" ht="13.5" customHeight="1" outlineLevel="1" x14ac:dyDescent="0.3">
      <c r="B309" s="861" t="s">
        <v>133</v>
      </c>
      <c r="C309" s="182"/>
      <c r="D309" s="182">
        <f>D307/D$64</f>
        <v>1.3293697521503422E-4</v>
      </c>
      <c r="E309" s="182">
        <f t="shared" ref="E309:O309" si="536">E307/E$64</f>
        <v>9.2745861175101967E-5</v>
      </c>
      <c r="F309" s="182">
        <f t="shared" si="536"/>
        <v>1.6343737085599454E-5</v>
      </c>
      <c r="G309" s="182">
        <f t="shared" si="536"/>
        <v>0</v>
      </c>
      <c r="H309" s="182">
        <f t="shared" si="536"/>
        <v>6.7764538389880188E-5</v>
      </c>
      <c r="I309" s="182"/>
      <c r="J309" s="182">
        <f t="shared" si="536"/>
        <v>7.4795636475323161E-5</v>
      </c>
      <c r="K309" s="182">
        <f t="shared" si="536"/>
        <v>9.5113315071266571E-5</v>
      </c>
      <c r="L309" s="182">
        <f t="shared" si="536"/>
        <v>1.1899754550451536E-4</v>
      </c>
      <c r="M309" s="182">
        <f t="shared" si="536"/>
        <v>1.4210650071176133E-4</v>
      </c>
      <c r="N309" s="182">
        <f t="shared" si="536"/>
        <v>9.9985059248210327E-5</v>
      </c>
      <c r="O309" s="787">
        <f t="shared" si="536"/>
        <v>1.0337204313207616E-4</v>
      </c>
      <c r="Q309" s="1258"/>
      <c r="R309" s="1265"/>
      <c r="S309" s="1264"/>
      <c r="T309" s="1265"/>
      <c r="U309" s="1265"/>
    </row>
    <row r="310" spans="2:21" s="825" customFormat="1" ht="13.5" customHeight="1" outlineLevel="1" x14ac:dyDescent="0.3">
      <c r="B310" s="861" t="s">
        <v>4559</v>
      </c>
      <c r="C310" s="182">
        <f>C307/C$17</f>
        <v>0</v>
      </c>
      <c r="D310" s="182">
        <f t="shared" ref="D310:O310" si="537">D307/D$17</f>
        <v>1.6214042444809908E-4</v>
      </c>
      <c r="E310" s="182">
        <f t="shared" si="537"/>
        <v>1.1231112995377751E-4</v>
      </c>
      <c r="F310" s="182">
        <f t="shared" si="537"/>
        <v>1.9154802384310873E-5</v>
      </c>
      <c r="G310" s="182">
        <f t="shared" si="537"/>
        <v>0</v>
      </c>
      <c r="H310" s="182">
        <f t="shared" si="537"/>
        <v>8.0687998557089509E-5</v>
      </c>
      <c r="I310" s="182"/>
      <c r="J310" s="182">
        <f t="shared" ca="1" si="537"/>
        <v>8.903792152032265E-5</v>
      </c>
      <c r="K310" s="182">
        <f t="shared" ca="1" si="537"/>
        <v>1.0795753359361482E-4</v>
      </c>
      <c r="L310" s="182">
        <f t="shared" ca="1" si="537"/>
        <v>1.3507363963812059E-4</v>
      </c>
      <c r="M310" s="182">
        <f t="shared" ca="1" si="537"/>
        <v>1.6126663765544518E-4</v>
      </c>
      <c r="N310" s="182">
        <f t="shared" ca="1" si="537"/>
        <v>1.1337290668059242E-4</v>
      </c>
      <c r="O310" s="787">
        <f t="shared" ca="1" si="537"/>
        <v>1.1709859355904872E-4</v>
      </c>
      <c r="Q310" s="1258"/>
      <c r="R310" s="1265"/>
      <c r="S310" s="1264"/>
      <c r="T310" s="1265"/>
      <c r="U310" s="1265"/>
    </row>
    <row r="311" spans="2:21" ht="13.5" customHeight="1" x14ac:dyDescent="0.3">
      <c r="B311" s="1660"/>
      <c r="C311" s="1661"/>
      <c r="D311" s="1661"/>
      <c r="E311" s="1661"/>
      <c r="F311" s="1661"/>
      <c r="G311" s="1661"/>
      <c r="H311" s="1661"/>
      <c r="I311" s="1661"/>
      <c r="J311" s="1661"/>
      <c r="K311" s="1661"/>
      <c r="L311" s="1661"/>
      <c r="M311" s="1661"/>
      <c r="N311" s="1661"/>
      <c r="O311" s="1662"/>
      <c r="Q311" s="1258"/>
      <c r="R311" s="1265"/>
      <c r="S311" s="1264"/>
      <c r="T311" s="1265"/>
      <c r="U311" s="1265"/>
    </row>
    <row r="312" spans="2:21" ht="13.5" customHeight="1" x14ac:dyDescent="0.3">
      <c r="Q312" s="1258"/>
    </row>
    <row r="313" spans="2:21" ht="13.5" customHeight="1" x14ac:dyDescent="0.3">
      <c r="Q313" s="1258"/>
    </row>
    <row r="314" spans="2:21" ht="13.5" customHeight="1" x14ac:dyDescent="0.3">
      <c r="Q314" s="1258"/>
    </row>
    <row r="315" spans="2:21" ht="13.5" customHeight="1" x14ac:dyDescent="0.3">
      <c r="Q315" s="1258"/>
    </row>
  </sheetData>
  <mergeCells count="7">
    <mergeCell ref="R296:S296"/>
    <mergeCell ref="R72:S72"/>
    <mergeCell ref="R85:S85"/>
    <mergeCell ref="R202:S202"/>
    <mergeCell ref="R120:S120"/>
    <mergeCell ref="R222:S222"/>
    <mergeCell ref="R108:S108"/>
  </mergeCells>
  <phoneticPr fontId="1" type="noConversion"/>
  <pageMargins left="0.70866141732283472" right="0.70866141732283472" top="0.74803149606299213" bottom="0.74803149606299213" header="0.31496062992125984" footer="0.31496062992125984"/>
  <pageSetup paperSize="9" scale="74" fitToHeight="10" orientation="landscape"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theme="8" tint="-0.499984740745262"/>
    <pageSetUpPr fitToPage="1"/>
  </sheetPr>
  <dimension ref="B1:U154"/>
  <sheetViews>
    <sheetView showGridLines="0" topLeftCell="A40" zoomScale="85" zoomScaleNormal="85" workbookViewId="0">
      <selection activeCell="H48" sqref="H48"/>
    </sheetView>
  </sheetViews>
  <sheetFormatPr defaultColWidth="8.625" defaultRowHeight="13.5" customHeight="1" outlineLevelRow="1" outlineLevelCol="1" x14ac:dyDescent="0.3"/>
  <cols>
    <col min="1" max="1" width="1.625" style="403" customWidth="1"/>
    <col min="2" max="2" width="13.625" style="403" customWidth="1"/>
    <col min="3" max="4" width="9" style="403" customWidth="1" outlineLevel="1"/>
    <col min="5" max="14" width="8.625" style="403" customWidth="1"/>
    <col min="15" max="15" width="8.625" style="825" customWidth="1"/>
    <col min="16" max="16" width="1.625" style="403" customWidth="1"/>
    <col min="17" max="17" width="1.625" style="1256" customWidth="1"/>
    <col min="18" max="18" width="12.625" style="403" customWidth="1"/>
    <col min="19" max="19" width="24.625" style="403" customWidth="1"/>
    <col min="20" max="21" width="12.625" style="403" customWidth="1"/>
    <col min="22" max="16384" width="8.625" style="403"/>
  </cols>
  <sheetData>
    <row r="1" spans="2:17" s="142" customFormat="1" ht="30" customHeight="1" x14ac:dyDescent="0.3">
      <c r="B1" s="58" t="str">
        <f>"Project"&amp;" "&amp;Title!L6</f>
        <v>Project IT</v>
      </c>
      <c r="C1" s="59"/>
      <c r="D1" s="59"/>
      <c r="E1" s="59"/>
      <c r="F1" s="59"/>
      <c r="G1" s="59"/>
      <c r="H1" s="59"/>
      <c r="I1" s="59"/>
      <c r="J1" s="59"/>
      <c r="K1" s="59"/>
      <c r="L1" s="59"/>
      <c r="M1" s="59"/>
      <c r="N1" s="61"/>
      <c r="O1" s="61" t="str">
        <f>Des!C12</f>
        <v>DRAFT - For Discussion Purposes Only</v>
      </c>
      <c r="Q1" s="1256"/>
    </row>
    <row r="2" spans="2:17" s="142" customFormat="1" ht="20.100000000000001" customHeight="1" x14ac:dyDescent="0.3">
      <c r="B2" s="51" t="s">
        <v>157</v>
      </c>
      <c r="C2" s="60"/>
      <c r="D2" s="60"/>
      <c r="E2" s="60"/>
      <c r="F2" s="60"/>
      <c r="G2" s="60"/>
      <c r="H2" s="60"/>
      <c r="I2" s="60"/>
      <c r="J2" s="60"/>
      <c r="K2" s="60"/>
      <c r="L2" s="60"/>
      <c r="M2" s="60"/>
      <c r="N2" s="60"/>
      <c r="O2" s="60"/>
      <c r="Q2" s="1256"/>
    </row>
    <row r="3" spans="2:17" s="142" customFormat="1" ht="14.1" customHeight="1" x14ac:dyDescent="0.3">
      <c r="C3" s="210"/>
      <c r="D3" s="210"/>
      <c r="E3" s="409"/>
      <c r="F3" s="409"/>
      <c r="G3" s="409"/>
      <c r="H3" s="409"/>
      <c r="I3" s="210"/>
      <c r="J3" s="210"/>
      <c r="K3" s="210"/>
      <c r="L3" s="210"/>
      <c r="O3" s="691"/>
      <c r="Q3" s="1256"/>
    </row>
    <row r="4" spans="2:17" ht="13.5" customHeight="1" x14ac:dyDescent="0.3">
      <c r="B4" s="834" t="s">
        <v>1164</v>
      </c>
      <c r="C4" s="835"/>
      <c r="D4" s="835"/>
      <c r="E4" s="835"/>
      <c r="F4" s="835"/>
      <c r="G4" s="835"/>
      <c r="H4" s="835"/>
      <c r="I4" s="835"/>
      <c r="J4" s="836"/>
      <c r="K4" s="835"/>
      <c r="L4" s="835"/>
      <c r="M4" s="835"/>
      <c r="N4" s="835"/>
      <c r="O4" s="837"/>
      <c r="Q4" s="1258"/>
    </row>
    <row r="5" spans="2:17" s="294" customFormat="1" ht="13.5" customHeight="1" x14ac:dyDescent="0.3">
      <c r="B5" s="773" t="str">
        <f>unit</f>
        <v>KRW Millions</v>
      </c>
      <c r="C5" s="774">
        <f>'Pro forma'!C$5</f>
        <v>2010</v>
      </c>
      <c r="D5" s="774">
        <f>'Pro forma'!D$5</f>
        <v>2011</v>
      </c>
      <c r="E5" s="774">
        <f>'Pro forma'!E$5</f>
        <v>2012</v>
      </c>
      <c r="F5" s="774">
        <f>'Pro forma'!F$5</f>
        <v>2013</v>
      </c>
      <c r="G5" s="774">
        <f>'Pro forma'!G$5</f>
        <v>2014</v>
      </c>
      <c r="H5" s="774" t="str">
        <f>'Pro forma'!H$5</f>
        <v>2015/12A</v>
      </c>
      <c r="I5" s="774" t="str">
        <f>'Pro forma'!I$5</f>
        <v>2015/0E</v>
      </c>
      <c r="J5" s="775">
        <f>'Pro forma'!J$5</f>
        <v>2015</v>
      </c>
      <c r="K5" s="776">
        <f>'Pro forma'!K$5</f>
        <v>2016</v>
      </c>
      <c r="L5" s="776">
        <f>'Pro forma'!L$5</f>
        <v>2017</v>
      </c>
      <c r="M5" s="776">
        <f>'Pro forma'!M$5</f>
        <v>2018</v>
      </c>
      <c r="N5" s="776">
        <f>'Pro forma'!N$5</f>
        <v>2019</v>
      </c>
      <c r="O5" s="777">
        <f>'Pro forma'!O$5</f>
        <v>2020</v>
      </c>
      <c r="Q5" s="1258"/>
    </row>
    <row r="6" spans="2:17" s="294" customFormat="1" ht="13.5" customHeight="1" x14ac:dyDescent="0.3">
      <c r="B6" s="788" t="s">
        <v>128</v>
      </c>
      <c r="C6" s="338">
        <f t="shared" ref="C6:J6" si="0">C10+C14+C18+C22</f>
        <v>8937.6961709999996</v>
      </c>
      <c r="D6" s="338">
        <f t="shared" si="0"/>
        <v>7198.3636840000008</v>
      </c>
      <c r="E6" s="338">
        <f t="shared" si="0"/>
        <v>7996.366868000001</v>
      </c>
      <c r="F6" s="338">
        <f t="shared" si="0"/>
        <v>8441.2134149999983</v>
      </c>
      <c r="G6" s="338">
        <f t="shared" si="0"/>
        <v>8664.1024690000013</v>
      </c>
      <c r="H6" s="338">
        <f t="shared" si="0"/>
        <v>11711.818204000001</v>
      </c>
      <c r="I6" s="394">
        <f t="shared" ca="1" si="0"/>
        <v>44.614311529166656</v>
      </c>
      <c r="J6" s="338">
        <f t="shared" ca="1" si="0"/>
        <v>11722.520795479168</v>
      </c>
      <c r="K6" s="338">
        <f t="shared" ref="K6:M6" ca="1" si="1">K10+K14+K18+K22</f>
        <v>11720.924428312621</v>
      </c>
      <c r="L6" s="338">
        <f t="shared" ca="1" si="1"/>
        <v>12255.522323782843</v>
      </c>
      <c r="M6" s="338">
        <f t="shared" ca="1" si="1"/>
        <v>12744.482040105331</v>
      </c>
      <c r="N6" s="338">
        <f ca="1">N10+N14+N18+N22</f>
        <v>13187.061856378943</v>
      </c>
      <c r="O6" s="623">
        <f ca="1">O10+O14+O18+O22</f>
        <v>13753.784975152757</v>
      </c>
      <c r="Q6" s="1258"/>
    </row>
    <row r="7" spans="2:17" s="317" customFormat="1" ht="13.5" customHeight="1" x14ac:dyDescent="0.3">
      <c r="B7" s="863" t="s">
        <v>109</v>
      </c>
      <c r="C7" s="260" t="s">
        <v>92</v>
      </c>
      <c r="D7" s="260">
        <f t="shared" ref="D7" si="2">D6/C6-1</f>
        <v>-0.19460635646170021</v>
      </c>
      <c r="E7" s="260"/>
      <c r="F7" s="260">
        <f>F6/E6-1</f>
        <v>5.5631082758370143E-2</v>
      </c>
      <c r="G7" s="260">
        <f>G6/F6-1</f>
        <v>2.6404859472446196E-2</v>
      </c>
      <c r="H7" s="260" t="s">
        <v>92</v>
      </c>
      <c r="I7" s="260" t="s">
        <v>92</v>
      </c>
      <c r="J7" s="260">
        <f ca="1">J6/G6-1</f>
        <v>0.35299886369328282</v>
      </c>
      <c r="K7" s="260">
        <f t="shared" ref="K7:O7" ca="1" si="3">K6/J6-1</f>
        <v>-1.3617951244426774E-4</v>
      </c>
      <c r="L7" s="260">
        <f t="shared" ca="1" si="3"/>
        <v>4.5610557319085476E-2</v>
      </c>
      <c r="M7" s="260">
        <f t="shared" ca="1" si="3"/>
        <v>3.9897093196396893E-2</v>
      </c>
      <c r="N7" s="260">
        <f t="shared" ca="1" si="3"/>
        <v>3.4727171718777372E-2</v>
      </c>
      <c r="O7" s="783">
        <f t="shared" ca="1" si="3"/>
        <v>4.297569276204416E-2</v>
      </c>
      <c r="Q7" s="1258"/>
    </row>
    <row r="8" spans="2:17" ht="13.5" customHeight="1" x14ac:dyDescent="0.3">
      <c r="B8" s="861" t="s">
        <v>149</v>
      </c>
      <c r="C8" s="182">
        <f t="shared" ref="C8:N8" si="4">C6/C$34</f>
        <v>8.8314687825755092E-2</v>
      </c>
      <c r="D8" s="182">
        <f t="shared" si="4"/>
        <v>5.9940936172453704E-2</v>
      </c>
      <c r="E8" s="182">
        <f t="shared" si="4"/>
        <v>4.3868768063324688E-2</v>
      </c>
      <c r="F8" s="182">
        <f t="shared" si="4"/>
        <v>3.9876601883968833E-2</v>
      </c>
      <c r="G8" s="182">
        <f t="shared" si="4"/>
        <v>3.4407198937075882E-2</v>
      </c>
      <c r="H8" s="182">
        <f t="shared" si="4"/>
        <v>5.4501933443094758E-2</v>
      </c>
      <c r="I8" s="182" t="e">
        <f t="shared" ca="1" si="4"/>
        <v>#DIV/0!</v>
      </c>
      <c r="J8" s="182">
        <f t="shared" ca="1" si="4"/>
        <v>5.4551738854885297E-2</v>
      </c>
      <c r="K8" s="209">
        <f t="shared" ca="1" si="4"/>
        <v>4.7327124274527857E-2</v>
      </c>
      <c r="L8" s="182">
        <f t="shared" ca="1" si="4"/>
        <v>4.7831650388707091E-2</v>
      </c>
      <c r="M8" s="182">
        <f t="shared" ca="1" si="4"/>
        <v>4.8034527853657333E-2</v>
      </c>
      <c r="N8" s="182">
        <f t="shared" ca="1" si="4"/>
        <v>4.7999956581069168E-2</v>
      </c>
      <c r="O8" s="787">
        <f t="shared" ref="O8" ca="1" si="5">O6/O$34</f>
        <v>4.8314917878903088E-2</v>
      </c>
      <c r="Q8" s="1258"/>
    </row>
    <row r="9" spans="2:17" ht="13.5" customHeight="1" x14ac:dyDescent="0.3">
      <c r="B9" s="861"/>
      <c r="C9" s="182"/>
      <c r="D9" s="182"/>
      <c r="E9" s="182"/>
      <c r="F9" s="182"/>
      <c r="G9" s="182"/>
      <c r="H9" s="182"/>
      <c r="I9" s="182"/>
      <c r="J9" s="182"/>
      <c r="K9" s="182"/>
      <c r="L9" s="182"/>
      <c r="M9" s="182"/>
      <c r="N9" s="182"/>
      <c r="O9" s="787"/>
      <c r="Q9" s="1258"/>
    </row>
    <row r="10" spans="2:17" ht="13.5" customHeight="1" x14ac:dyDescent="0.3">
      <c r="B10" s="864" t="s">
        <v>156</v>
      </c>
      <c r="C10" s="246">
        <f t="shared" ref="C10:N10" si="6">C42</f>
        <v>143.954656</v>
      </c>
      <c r="D10" s="246">
        <f t="shared" si="6"/>
        <v>279.43270799999999</v>
      </c>
      <c r="E10" s="246">
        <f t="shared" si="6"/>
        <v>765.96358800000007</v>
      </c>
      <c r="F10" s="246">
        <f t="shared" si="6"/>
        <v>714.09608000000003</v>
      </c>
      <c r="G10" s="246">
        <f t="shared" si="6"/>
        <v>958.52657900000008</v>
      </c>
      <c r="H10" s="246">
        <f t="shared" si="6"/>
        <v>2974.870469</v>
      </c>
      <c r="I10" s="246">
        <f t="shared" si="6"/>
        <v>0</v>
      </c>
      <c r="J10" s="246">
        <f t="shared" si="6"/>
        <v>2974.870469</v>
      </c>
      <c r="K10" s="246">
        <f t="shared" si="6"/>
        <v>922.36673248505781</v>
      </c>
      <c r="L10" s="246">
        <f t="shared" si="6"/>
        <v>954.26356116132854</v>
      </c>
      <c r="M10" s="246">
        <f t="shared" si="6"/>
        <v>988.14469757993186</v>
      </c>
      <c r="N10" s="246">
        <f t="shared" si="6"/>
        <v>1023.1965802832639</v>
      </c>
      <c r="O10" s="785">
        <f t="shared" ref="O10" si="7">O42</f>
        <v>1060.2123670451767</v>
      </c>
      <c r="Q10" s="1258"/>
    </row>
    <row r="11" spans="2:17" s="317" customFormat="1" ht="13.5" customHeight="1" x14ac:dyDescent="0.3">
      <c r="B11" s="865" t="s">
        <v>109</v>
      </c>
      <c r="C11" s="260"/>
      <c r="D11" s="260">
        <f t="shared" ref="D11:E11" si="8">D10/C10-1</f>
        <v>0.94111615257515524</v>
      </c>
      <c r="E11" s="260">
        <f t="shared" si="8"/>
        <v>1.741137905731494</v>
      </c>
      <c r="F11" s="260">
        <f>F10/E10-1</f>
        <v>-6.7715370302954936E-2</v>
      </c>
      <c r="G11" s="260">
        <f>G10/F10-1</f>
        <v>0.34229357343622446</v>
      </c>
      <c r="H11" s="260" t="s">
        <v>92</v>
      </c>
      <c r="I11" s="260" t="s">
        <v>92</v>
      </c>
      <c r="J11" s="260">
        <f>J10/G10-1</f>
        <v>2.103586832306295</v>
      </c>
      <c r="K11" s="260">
        <f t="shared" ref="K11:O11" si="9">K10/J10-1</f>
        <v>-0.6899472625458174</v>
      </c>
      <c r="L11" s="260">
        <f t="shared" si="9"/>
        <v>3.4581503812842085E-2</v>
      </c>
      <c r="M11" s="260">
        <f t="shared" si="9"/>
        <v>3.5505009095569307E-2</v>
      </c>
      <c r="N11" s="260">
        <f t="shared" si="9"/>
        <v>3.5472418957646301E-2</v>
      </c>
      <c r="O11" s="783">
        <f t="shared" si="9"/>
        <v>3.6176613052855799E-2</v>
      </c>
      <c r="Q11" s="1258"/>
    </row>
    <row r="12" spans="2:17" ht="13.5" customHeight="1" x14ac:dyDescent="0.3">
      <c r="B12" s="862" t="s">
        <v>149</v>
      </c>
      <c r="C12" s="182">
        <f t="shared" ref="C12:N12" si="10">C10/C$34</f>
        <v>1.4224370869704251E-3</v>
      </c>
      <c r="D12" s="182">
        <f t="shared" si="10"/>
        <v>2.3268424394773733E-3</v>
      </c>
      <c r="E12" s="182">
        <f t="shared" si="10"/>
        <v>4.2021432410001809E-3</v>
      </c>
      <c r="F12" s="182">
        <f t="shared" si="10"/>
        <v>3.3734160823918427E-3</v>
      </c>
      <c r="G12" s="182">
        <f t="shared" si="10"/>
        <v>3.8065356230642909E-3</v>
      </c>
      <c r="H12" s="182">
        <f t="shared" si="10"/>
        <v>1.3843810540697329E-2</v>
      </c>
      <c r="I12" s="182" t="e">
        <f t="shared" si="10"/>
        <v>#DIV/0!</v>
      </c>
      <c r="J12" s="182">
        <f t="shared" si="10"/>
        <v>1.3843810540697329E-2</v>
      </c>
      <c r="K12" s="182">
        <f t="shared" si="10"/>
        <v>3.7243619513119696E-3</v>
      </c>
      <c r="L12" s="182">
        <f t="shared" si="10"/>
        <v>3.7243619513119696E-3</v>
      </c>
      <c r="M12" s="182">
        <f t="shared" si="10"/>
        <v>3.7243619513119691E-3</v>
      </c>
      <c r="N12" s="209">
        <f t="shared" si="10"/>
        <v>3.7243619513119691E-3</v>
      </c>
      <c r="O12" s="866">
        <f t="shared" ref="O12" si="11">O10/O$34</f>
        <v>3.7243619513119696E-3</v>
      </c>
      <c r="Q12" s="1258"/>
    </row>
    <row r="13" spans="2:17" ht="13.5" customHeight="1" x14ac:dyDescent="0.3">
      <c r="B13" s="862"/>
      <c r="C13" s="182"/>
      <c r="D13" s="182"/>
      <c r="E13" s="182"/>
      <c r="F13" s="182"/>
      <c r="G13" s="182"/>
      <c r="H13" s="182"/>
      <c r="I13" s="182"/>
      <c r="J13" s="182"/>
      <c r="K13" s="182"/>
      <c r="L13" s="182"/>
      <c r="M13" s="182"/>
      <c r="N13" s="209"/>
      <c r="O13" s="866"/>
      <c r="Q13" s="1258"/>
    </row>
    <row r="14" spans="2:17" ht="13.5" customHeight="1" x14ac:dyDescent="0.3">
      <c r="B14" s="864" t="s">
        <v>165</v>
      </c>
      <c r="C14" s="246">
        <f>노무비!C53</f>
        <v>6344.9108610000003</v>
      </c>
      <c r="D14" s="246">
        <f>노무비!D53</f>
        <v>4899.5274570000001</v>
      </c>
      <c r="E14" s="246">
        <f>노무비!E53</f>
        <v>5478.037311</v>
      </c>
      <c r="F14" s="246">
        <f>노무비!F53</f>
        <v>5596.7852309999989</v>
      </c>
      <c r="G14" s="246">
        <f>노무비!G53</f>
        <v>5560.1473500000002</v>
      </c>
      <c r="H14" s="246">
        <f>노무비!H53</f>
        <v>6451.2331970000005</v>
      </c>
      <c r="I14" s="246">
        <f>노무비!I53</f>
        <v>0</v>
      </c>
      <c r="J14" s="246">
        <f>노무비!J53</f>
        <v>6451.2331970000005</v>
      </c>
      <c r="K14" s="246">
        <f>노무비!K53</f>
        <v>8359.5769639153586</v>
      </c>
      <c r="L14" s="246">
        <f>노무비!L53</f>
        <v>8710.6791963998057</v>
      </c>
      <c r="M14" s="246">
        <f>노무비!M53</f>
        <v>9059.1063642557965</v>
      </c>
      <c r="N14" s="246">
        <f>노무비!N53</f>
        <v>9439.5888315545399</v>
      </c>
      <c r="O14" s="785">
        <f>노무비!O53</f>
        <v>9854.9307401429396</v>
      </c>
      <c r="Q14" s="1258"/>
    </row>
    <row r="15" spans="2:17" s="317" customFormat="1" ht="13.5" customHeight="1" x14ac:dyDescent="0.3">
      <c r="B15" s="865" t="s">
        <v>109</v>
      </c>
      <c r="C15" s="260"/>
      <c r="D15" s="260">
        <f t="shared" ref="D15:E15" si="12">D14/C14-1</f>
        <v>-0.22780200315882737</v>
      </c>
      <c r="E15" s="260">
        <f t="shared" si="12"/>
        <v>0.11807462231352073</v>
      </c>
      <c r="F15" s="260">
        <f>F14/E14-1</f>
        <v>2.1677092224536398E-2</v>
      </c>
      <c r="G15" s="260">
        <f>G14/F14-1</f>
        <v>-6.5462367212280048E-3</v>
      </c>
      <c r="H15" s="260" t="s">
        <v>92</v>
      </c>
      <c r="I15" s="260" t="s">
        <v>92</v>
      </c>
      <c r="J15" s="260">
        <f>J14/G14-1</f>
        <v>0.16026299141154965</v>
      </c>
      <c r="K15" s="260">
        <f t="shared" ref="K15" si="13">K14/J14-1</f>
        <v>0.29581069365199664</v>
      </c>
      <c r="L15" s="260">
        <f t="shared" ref="L15" si="14">L14/K14-1</f>
        <v>4.2000000000000259E-2</v>
      </c>
      <c r="M15" s="260">
        <f t="shared" ref="M15" si="15">M14/L14-1</f>
        <v>3.9999999999999813E-2</v>
      </c>
      <c r="N15" s="260">
        <f t="shared" ref="N15:O15" si="16">N14/M14-1</f>
        <v>4.2000000000000037E-2</v>
      </c>
      <c r="O15" s="783">
        <f t="shared" si="16"/>
        <v>4.4000000000000039E-2</v>
      </c>
      <c r="Q15" s="1258"/>
    </row>
    <row r="16" spans="2:17" ht="13.5" customHeight="1" x14ac:dyDescent="0.3">
      <c r="B16" s="862" t="s">
        <v>149</v>
      </c>
      <c r="C16" s="182">
        <f t="shared" ref="C16:E16" si="17">C14/C$34</f>
        <v>6.2694995583941732E-2</v>
      </c>
      <c r="D16" s="182">
        <f t="shared" si="17"/>
        <v>4.0798475246255898E-2</v>
      </c>
      <c r="E16" s="182">
        <f t="shared" si="17"/>
        <v>3.0052991840606211E-2</v>
      </c>
      <c r="F16" s="182">
        <f t="shared" ref="F16:N16" si="18">F14/F$34</f>
        <v>2.64394187795409E-2</v>
      </c>
      <c r="G16" s="182">
        <f t="shared" si="18"/>
        <v>2.2080659442268336E-2</v>
      </c>
      <c r="H16" s="182">
        <f t="shared" si="18"/>
        <v>3.0021357589779866E-2</v>
      </c>
      <c r="I16" s="182" t="e">
        <f t="shared" si="18"/>
        <v>#DIV/0!</v>
      </c>
      <c r="J16" s="182">
        <f t="shared" si="18"/>
        <v>3.0021357589779866E-2</v>
      </c>
      <c r="K16" s="182">
        <f t="shared" si="18"/>
        <v>3.3754567762421722E-2</v>
      </c>
      <c r="L16" s="182">
        <f t="shared" si="18"/>
        <v>3.399660585349705E-2</v>
      </c>
      <c r="M16" s="182">
        <f t="shared" si="18"/>
        <v>3.4144180643334562E-2</v>
      </c>
      <c r="N16" s="209">
        <f t="shared" si="18"/>
        <v>3.4359424335193102E-2</v>
      </c>
      <c r="O16" s="866">
        <f t="shared" ref="O16" si="19">O14/O$34</f>
        <v>3.4618846395553411E-2</v>
      </c>
      <c r="Q16" s="1258"/>
    </row>
    <row r="17" spans="2:17" ht="13.5" customHeight="1" x14ac:dyDescent="0.3">
      <c r="B17" s="862"/>
      <c r="C17" s="182"/>
      <c r="D17" s="182"/>
      <c r="E17" s="182"/>
      <c r="F17" s="182"/>
      <c r="G17" s="182"/>
      <c r="H17" s="182"/>
      <c r="I17" s="502"/>
      <c r="J17" s="502"/>
      <c r="K17" s="182"/>
      <c r="L17" s="182"/>
      <c r="M17" s="182"/>
      <c r="N17" s="209"/>
      <c r="O17" s="866"/>
      <c r="Q17" s="1258"/>
    </row>
    <row r="18" spans="2:17" ht="13.5" customHeight="1" x14ac:dyDescent="0.3">
      <c r="B18" s="864" t="s">
        <v>155</v>
      </c>
      <c r="C18" s="246">
        <f t="shared" ref="C18:N18" si="20">C55</f>
        <v>1838.1416030000003</v>
      </c>
      <c r="D18" s="246">
        <f t="shared" si="20"/>
        <v>1476.8577810000002</v>
      </c>
      <c r="E18" s="246">
        <f t="shared" si="20"/>
        <v>1396.3466620000002</v>
      </c>
      <c r="F18" s="246">
        <f t="shared" si="20"/>
        <v>1647.6907599999997</v>
      </c>
      <c r="G18" s="246">
        <f t="shared" si="20"/>
        <v>1658.9767080000004</v>
      </c>
      <c r="H18" s="246">
        <f t="shared" si="20"/>
        <v>1770.0961460000001</v>
      </c>
      <c r="I18" s="246">
        <f t="shared" si="20"/>
        <v>0</v>
      </c>
      <c r="J18" s="246">
        <f t="shared" si="20"/>
        <v>1770.0961460000001</v>
      </c>
      <c r="K18" s="246">
        <f t="shared" si="20"/>
        <v>1793.1073958979998</v>
      </c>
      <c r="L18" s="246">
        <f t="shared" si="20"/>
        <v>1820.0040068364701</v>
      </c>
      <c r="M18" s="246">
        <f t="shared" si="20"/>
        <v>1852.7640789595266</v>
      </c>
      <c r="N18" s="246">
        <f t="shared" si="20"/>
        <v>1889.8193605387169</v>
      </c>
      <c r="O18" s="785">
        <f t="shared" ref="O18" si="21">O55</f>
        <v>1931.3953864705688</v>
      </c>
      <c r="Q18" s="1258"/>
    </row>
    <row r="19" spans="2:17" s="317" customFormat="1" ht="13.5" customHeight="1" x14ac:dyDescent="0.3">
      <c r="B19" s="865" t="s">
        <v>109</v>
      </c>
      <c r="C19" s="260"/>
      <c r="D19" s="260">
        <f t="shared" ref="D19:E19" si="22">D18/C18-1</f>
        <v>-0.1965484168414201</v>
      </c>
      <c r="E19" s="260">
        <f t="shared" si="22"/>
        <v>-5.4515146980154583E-2</v>
      </c>
      <c r="F19" s="260">
        <f>F18/E18-1</f>
        <v>0.18000121663197666</v>
      </c>
      <c r="G19" s="260">
        <f>G18/F18-1</f>
        <v>6.8495547064915119E-3</v>
      </c>
      <c r="H19" s="260" t="s">
        <v>92</v>
      </c>
      <c r="I19" s="260" t="s">
        <v>92</v>
      </c>
      <c r="J19" s="260">
        <f>J18/G18-1</f>
        <v>6.6980710135443156E-2</v>
      </c>
      <c r="K19" s="260">
        <f t="shared" ref="K19:O19" si="23">K18/J18-1</f>
        <v>1.2999999999999901E-2</v>
      </c>
      <c r="L19" s="260">
        <f t="shared" si="23"/>
        <v>1.5000000000000124E-2</v>
      </c>
      <c r="M19" s="260">
        <f t="shared" si="23"/>
        <v>1.8000000000000016E-2</v>
      </c>
      <c r="N19" s="260">
        <f t="shared" si="23"/>
        <v>1.9999999999999796E-2</v>
      </c>
      <c r="O19" s="783">
        <f t="shared" si="23"/>
        <v>2.200000000000002E-2</v>
      </c>
      <c r="Q19" s="1258"/>
    </row>
    <row r="20" spans="2:17" ht="13.5" customHeight="1" x14ac:dyDescent="0.3">
      <c r="B20" s="862" t="s">
        <v>149</v>
      </c>
      <c r="C20" s="182">
        <f t="shared" ref="C20:N20" si="24">C18/C$34</f>
        <v>1.8162946999161097E-2</v>
      </c>
      <c r="D20" s="182">
        <f t="shared" si="24"/>
        <v>1.2297827933239585E-2</v>
      </c>
      <c r="E20" s="182">
        <f t="shared" si="24"/>
        <v>7.66047992325252E-3</v>
      </c>
      <c r="F20" s="182">
        <f t="shared" si="24"/>
        <v>7.7837516046754332E-3</v>
      </c>
      <c r="G20" s="182">
        <f t="shared" si="24"/>
        <v>6.5881886587058607E-3</v>
      </c>
      <c r="H20" s="182">
        <f t="shared" si="24"/>
        <v>8.2372916533336692E-3</v>
      </c>
      <c r="I20" s="182" t="e">
        <f t="shared" si="24"/>
        <v>#DIV/0!</v>
      </c>
      <c r="J20" s="182">
        <f t="shared" si="24"/>
        <v>8.2372916533336692E-3</v>
      </c>
      <c r="K20" s="182">
        <f t="shared" si="24"/>
        <v>7.2402665064752693E-3</v>
      </c>
      <c r="L20" s="182">
        <f t="shared" si="24"/>
        <v>7.1032301244405632E-3</v>
      </c>
      <c r="M20" s="182">
        <f t="shared" si="24"/>
        <v>6.9831514122720368E-3</v>
      </c>
      <c r="N20" s="209">
        <f t="shared" si="24"/>
        <v>6.8788065332417315E-3</v>
      </c>
      <c r="O20" s="866">
        <f t="shared" ref="O20" si="25">O18/O$34</f>
        <v>6.7846930614080952E-3</v>
      </c>
      <c r="Q20" s="1258"/>
    </row>
    <row r="21" spans="2:17" ht="13.5" customHeight="1" x14ac:dyDescent="0.3">
      <c r="B21" s="862"/>
      <c r="C21" s="182"/>
      <c r="D21" s="182"/>
      <c r="E21" s="182"/>
      <c r="F21" s="182"/>
      <c r="G21" s="182"/>
      <c r="H21" s="182"/>
      <c r="I21" s="182"/>
      <c r="J21" s="182"/>
      <c r="K21" s="182"/>
      <c r="L21" s="182"/>
      <c r="M21" s="182"/>
      <c r="N21" s="209"/>
      <c r="O21" s="866"/>
      <c r="Q21" s="1258"/>
    </row>
    <row r="22" spans="2:17" ht="13.5" customHeight="1" x14ac:dyDescent="0.3">
      <c r="B22" s="864" t="s">
        <v>1166</v>
      </c>
      <c r="C22" s="246">
        <f t="shared" ref="C22:N22" si="26">C110</f>
        <v>610.68905100000006</v>
      </c>
      <c r="D22" s="246">
        <f t="shared" si="26"/>
        <v>542.54573800000003</v>
      </c>
      <c r="E22" s="246">
        <f t="shared" si="26"/>
        <v>356.01930700000003</v>
      </c>
      <c r="F22" s="246">
        <f t="shared" si="26"/>
        <v>482.641344</v>
      </c>
      <c r="G22" s="246">
        <f t="shared" si="26"/>
        <v>486.45183199999997</v>
      </c>
      <c r="H22" s="246">
        <f t="shared" si="26"/>
        <v>515.61839199999997</v>
      </c>
      <c r="I22" s="246">
        <f t="shared" ca="1" si="26"/>
        <v>44.614311529166656</v>
      </c>
      <c r="J22" s="246">
        <f t="shared" ca="1" si="26"/>
        <v>526.32098347916667</v>
      </c>
      <c r="K22" s="246">
        <f t="shared" ca="1" si="26"/>
        <v>645.87333601420505</v>
      </c>
      <c r="L22" s="246">
        <f t="shared" ca="1" si="26"/>
        <v>770.57555938523853</v>
      </c>
      <c r="M22" s="246">
        <f t="shared" ca="1" si="26"/>
        <v>844.46689931007666</v>
      </c>
      <c r="N22" s="246">
        <f t="shared" ca="1" si="26"/>
        <v>834.45708400242199</v>
      </c>
      <c r="O22" s="785">
        <f t="shared" ref="O22" ca="1" si="27">O110</f>
        <v>907.24648149407278</v>
      </c>
      <c r="Q22" s="1258"/>
    </row>
    <row r="23" spans="2:17" s="317" customFormat="1" ht="13.5" customHeight="1" x14ac:dyDescent="0.3">
      <c r="B23" s="865" t="s">
        <v>109</v>
      </c>
      <c r="C23" s="260"/>
      <c r="D23" s="260">
        <f t="shared" ref="D23:E23" si="28">D22/C22-1</f>
        <v>-0.11158430446463008</v>
      </c>
      <c r="E23" s="260">
        <f t="shared" si="28"/>
        <v>-0.34379853703689034</v>
      </c>
      <c r="F23" s="260">
        <f>F22/E22-1</f>
        <v>0.35566059062072153</v>
      </c>
      <c r="G23" s="260">
        <f>G22/F22-1</f>
        <v>7.8950716663013232E-3</v>
      </c>
      <c r="H23" s="260" t="s">
        <v>92</v>
      </c>
      <c r="I23" s="260" t="s">
        <v>92</v>
      </c>
      <c r="J23" s="260">
        <f ca="1">J22/G22-1</f>
        <v>8.1959094110610087E-2</v>
      </c>
      <c r="K23" s="260">
        <f t="shared" ref="K23:O23" ca="1" si="29">K22/J22-1</f>
        <v>0.22714722818907074</v>
      </c>
      <c r="L23" s="260">
        <f t="shared" ca="1" si="29"/>
        <v>0.1930753545897903</v>
      </c>
      <c r="M23" s="260">
        <f t="shared" ca="1" si="29"/>
        <v>9.589110246863819E-2</v>
      </c>
      <c r="N23" s="260">
        <f t="shared" ca="1" si="29"/>
        <v>-1.185341345626767E-2</v>
      </c>
      <c r="O23" s="783">
        <f t="shared" ca="1" si="29"/>
        <v>8.7229647739966332E-2</v>
      </c>
      <c r="Q23" s="1258"/>
    </row>
    <row r="24" spans="2:17" ht="13.5" customHeight="1" x14ac:dyDescent="0.3">
      <c r="B24" s="862" t="s">
        <v>149</v>
      </c>
      <c r="C24" s="182">
        <f t="shared" ref="C24:N24" si="30">C22/C$34</f>
        <v>6.0343081556818385E-3</v>
      </c>
      <c r="D24" s="182">
        <f t="shared" si="30"/>
        <v>4.5177905534808469E-3</v>
      </c>
      <c r="E24" s="182">
        <f t="shared" si="30"/>
        <v>1.9531530584657748E-3</v>
      </c>
      <c r="F24" s="182">
        <f t="shared" si="30"/>
        <v>2.2800154173606632E-3</v>
      </c>
      <c r="G24" s="182">
        <f t="shared" si="30"/>
        <v>1.93181521303739E-3</v>
      </c>
      <c r="H24" s="182">
        <f t="shared" si="30"/>
        <v>2.3994736592838884E-3</v>
      </c>
      <c r="I24" s="182" t="e">
        <f t="shared" ca="1" si="30"/>
        <v>#DIV/0!</v>
      </c>
      <c r="J24" s="182">
        <f t="shared" ca="1" si="30"/>
        <v>2.4492790710744297E-3</v>
      </c>
      <c r="K24" s="182">
        <f t="shared" ca="1" si="30"/>
        <v>2.6079280543188977E-3</v>
      </c>
      <c r="L24" s="182">
        <f t="shared" ca="1" si="30"/>
        <v>3.0074524594575097E-3</v>
      </c>
      <c r="M24" s="182">
        <f t="shared" ca="1" si="30"/>
        <v>3.1828338467387619E-3</v>
      </c>
      <c r="N24" s="182">
        <f t="shared" ca="1" si="30"/>
        <v>3.0373637613223658E-3</v>
      </c>
      <c r="O24" s="787">
        <f t="shared" ref="O24" ca="1" si="31">O22/O$34</f>
        <v>3.1870164706296095E-3</v>
      </c>
      <c r="Q24" s="1258"/>
    </row>
    <row r="25" spans="2:17" s="825" customFormat="1" ht="13.5" customHeight="1" thickBot="1" x14ac:dyDescent="0.35">
      <c r="B25" s="876"/>
      <c r="C25" s="790"/>
      <c r="D25" s="790"/>
      <c r="E25" s="790"/>
      <c r="F25" s="790"/>
      <c r="G25" s="790"/>
      <c r="H25" s="790"/>
      <c r="I25" s="790"/>
      <c r="J25" s="790"/>
      <c r="K25" s="790"/>
      <c r="L25" s="790"/>
      <c r="M25" s="790"/>
      <c r="N25" s="790"/>
      <c r="O25" s="791"/>
      <c r="Q25" s="1258"/>
    </row>
    <row r="26" spans="2:17" s="825" customFormat="1" ht="13.5" customHeight="1" x14ac:dyDescent="0.3">
      <c r="B26" s="1145"/>
      <c r="C26" s="1876">
        <f>C6-IS!J19</f>
        <v>0</v>
      </c>
      <c r="D26" s="1876">
        <f>D6-IS!K19</f>
        <v>0</v>
      </c>
      <c r="E26" s="1876">
        <f>E6-IS!L19</f>
        <v>0</v>
      </c>
      <c r="F26" s="1876">
        <f>F6-IS!M19</f>
        <v>0</v>
      </c>
      <c r="G26" s="1876">
        <f>G6-IS!N19</f>
        <v>0</v>
      </c>
      <c r="H26" s="1877">
        <f>H6-IS!O19</f>
        <v>0</v>
      </c>
      <c r="I26" s="182"/>
      <c r="J26" s="182"/>
      <c r="K26" s="182"/>
      <c r="L26" s="182"/>
      <c r="M26" s="182"/>
      <c r="N26" s="182"/>
      <c r="O26" s="182"/>
      <c r="Q26" s="1258"/>
    </row>
    <row r="27" spans="2:17" s="825" customFormat="1" ht="13.5" customHeight="1" x14ac:dyDescent="0.3">
      <c r="B27" s="1146" t="s">
        <v>2022</v>
      </c>
      <c r="C27" s="1147"/>
      <c r="D27" s="1147"/>
      <c r="E27" s="1147"/>
      <c r="F27" s="1147"/>
      <c r="G27" s="1147"/>
      <c r="H27" s="1147"/>
      <c r="I27" s="1147"/>
      <c r="J27" s="1147"/>
      <c r="K27" s="1147"/>
      <c r="L27" s="1147"/>
      <c r="M27" s="1147"/>
      <c r="N27" s="1147"/>
      <c r="O27" s="1148"/>
      <c r="Q27" s="1258"/>
    </row>
    <row r="28" spans="2:17" s="825" customFormat="1" ht="13.5" customHeight="1" x14ac:dyDescent="0.3">
      <c r="B28" s="1149"/>
      <c r="C28" s="1150">
        <f>'Pro forma'!C5</f>
        <v>2010</v>
      </c>
      <c r="D28" s="1150">
        <f>'Pro forma'!D5</f>
        <v>2011</v>
      </c>
      <c r="E28" s="1150">
        <f>'Pro forma'!E5</f>
        <v>2012</v>
      </c>
      <c r="F28" s="1150">
        <f>'Pro forma'!F5</f>
        <v>2013</v>
      </c>
      <c r="G28" s="1151">
        <f>'Pro forma'!G5</f>
        <v>2014</v>
      </c>
      <c r="H28" s="1151" t="str">
        <f>'Pro forma'!H5</f>
        <v>2015/12A</v>
      </c>
      <c r="I28" s="1152" t="str">
        <f>'Pro forma'!I5</f>
        <v>2015/0E</v>
      </c>
      <c r="J28" s="1153">
        <f>'Pro forma'!J5</f>
        <v>2015</v>
      </c>
      <c r="K28" s="1153">
        <f>'Pro forma'!K5</f>
        <v>2016</v>
      </c>
      <c r="L28" s="1153">
        <f>'Pro forma'!L5</f>
        <v>2017</v>
      </c>
      <c r="M28" s="1153">
        <f>'Pro forma'!M5</f>
        <v>2018</v>
      </c>
      <c r="N28" s="1153">
        <f>'Pro forma'!N5</f>
        <v>2019</v>
      </c>
      <c r="O28" s="1154">
        <f>'Pro forma'!O5</f>
        <v>2020</v>
      </c>
      <c r="Q28" s="1258"/>
    </row>
    <row r="29" spans="2:17" s="825" customFormat="1" ht="13.5" customHeight="1" x14ac:dyDescent="0.3">
      <c r="B29" s="1155" t="s">
        <v>2023</v>
      </c>
      <c r="C29" s="1156">
        <f>Macro!H87/100</f>
        <v>2.9380000000000003E-2</v>
      </c>
      <c r="D29" s="1156">
        <f>Macro!I87/100</f>
        <v>4.0250000000000001E-2</v>
      </c>
      <c r="E29" s="1156">
        <f>Macro!J87/100</f>
        <v>2.1829999999999999E-2</v>
      </c>
      <c r="F29" s="1156">
        <f>Macro!K87/100</f>
        <v>1.3009999999999999E-2</v>
      </c>
      <c r="G29" s="1156">
        <f>Macro!L87/100</f>
        <v>1.2749999999999999E-2</v>
      </c>
      <c r="H29" s="1156"/>
      <c r="I29" s="1156"/>
      <c r="J29" s="1156">
        <f>Macro!M87/100</f>
        <v>6.0000000000000001E-3</v>
      </c>
      <c r="K29" s="1156">
        <f>Macro!N87/100</f>
        <v>1.3000000000000001E-2</v>
      </c>
      <c r="L29" s="1156">
        <f>Macro!O87/100</f>
        <v>1.4999999999999999E-2</v>
      </c>
      <c r="M29" s="1156">
        <f>Macro!P87/100</f>
        <v>1.8000000000000002E-2</v>
      </c>
      <c r="N29" s="1156">
        <f>Macro!Q87/100</f>
        <v>0.02</v>
      </c>
      <c r="O29" s="1157">
        <f>Macro!R87/100</f>
        <v>2.2000000000000002E-2</v>
      </c>
      <c r="Q29" s="1258"/>
    </row>
    <row r="30" spans="2:17" s="825" customFormat="1" ht="13.5" customHeight="1" x14ac:dyDescent="0.3">
      <c r="B30" s="1158" t="s">
        <v>2028</v>
      </c>
      <c r="C30" s="1159">
        <f>Macro!H90/100</f>
        <v>6.8440000000000001E-2</v>
      </c>
      <c r="D30" s="1159">
        <f>Macro!I90/100</f>
        <v>9.2300000000000004E-3</v>
      </c>
      <c r="E30" s="1159">
        <f>Macro!J90/100</f>
        <v>5.3710000000000008E-2</v>
      </c>
      <c r="F30" s="1159">
        <f>Macro!K90/100</f>
        <v>3.8559999999999997E-2</v>
      </c>
      <c r="G30" s="1159">
        <f>Macro!L90/100</f>
        <v>2.5539999999999997E-2</v>
      </c>
      <c r="H30" s="1159"/>
      <c r="I30" s="1159"/>
      <c r="J30" s="1159">
        <f>Macro!M90/100</f>
        <v>4.2000000000000003E-2</v>
      </c>
      <c r="K30" s="1159">
        <f>Macro!N90/100</f>
        <v>4.2999999999999997E-2</v>
      </c>
      <c r="L30" s="1159">
        <f>Macro!O90/100</f>
        <v>4.2000000000000003E-2</v>
      </c>
      <c r="M30" s="1159">
        <f>Macro!P90/100</f>
        <v>0.04</v>
      </c>
      <c r="N30" s="1159">
        <f>Macro!Q90/100</f>
        <v>4.2000000000000003E-2</v>
      </c>
      <c r="O30" s="1160">
        <f>Macro!R90/100</f>
        <v>4.4000000000000004E-2</v>
      </c>
      <c r="Q30" s="1258"/>
    </row>
    <row r="31" spans="2:17" s="825" customFormat="1" ht="13.5" customHeight="1" x14ac:dyDescent="0.3">
      <c r="B31" s="1126"/>
      <c r="C31" s="1126"/>
      <c r="D31" s="1126"/>
      <c r="E31" s="1126"/>
      <c r="F31" s="1126"/>
      <c r="G31" s="1126"/>
      <c r="H31" s="1126"/>
      <c r="I31" s="1126"/>
      <c r="J31" s="1126"/>
      <c r="K31" s="1126"/>
      <c r="L31" s="1126"/>
      <c r="M31" s="1126"/>
      <c r="N31" s="1132"/>
      <c r="O31" s="1132"/>
      <c r="Q31" s="1258"/>
    </row>
    <row r="32" spans="2:17" s="825" customFormat="1" ht="13.5" customHeight="1" x14ac:dyDescent="0.3">
      <c r="B32" s="1161" t="s">
        <v>2024</v>
      </c>
      <c r="C32" s="1162"/>
      <c r="D32" s="1162"/>
      <c r="E32" s="1162"/>
      <c r="F32" s="1162"/>
      <c r="G32" s="1162"/>
      <c r="H32" s="1162"/>
      <c r="I32" s="1162"/>
      <c r="J32" s="1162"/>
      <c r="K32" s="1162"/>
      <c r="L32" s="1162"/>
      <c r="M32" s="1162"/>
      <c r="N32" s="1162"/>
      <c r="O32" s="1163"/>
      <c r="Q32" s="1258"/>
    </row>
    <row r="33" spans="2:21" s="825" customFormat="1" ht="13.5" customHeight="1" x14ac:dyDescent="0.3">
      <c r="B33" s="1164"/>
      <c r="C33" s="1165">
        <f>'Pro forma'!C5</f>
        <v>2010</v>
      </c>
      <c r="D33" s="1165">
        <f>'Pro forma'!D5</f>
        <v>2011</v>
      </c>
      <c r="E33" s="1165">
        <f>'Pro forma'!E5</f>
        <v>2012</v>
      </c>
      <c r="F33" s="1165">
        <f>'Pro forma'!F5</f>
        <v>2013</v>
      </c>
      <c r="G33" s="1166">
        <f>'Pro forma'!G5</f>
        <v>2014</v>
      </c>
      <c r="H33" s="1166" t="str">
        <f>'Pro forma'!H5</f>
        <v>2015/12A</v>
      </c>
      <c r="I33" s="1167" t="str">
        <f>'Pro forma'!I5</f>
        <v>2015/0E</v>
      </c>
      <c r="J33" s="1168">
        <f>'Pro forma'!J5</f>
        <v>2015</v>
      </c>
      <c r="K33" s="1168">
        <f>'Pro forma'!K5</f>
        <v>2016</v>
      </c>
      <c r="L33" s="1168">
        <f>'Pro forma'!L5</f>
        <v>2017</v>
      </c>
      <c r="M33" s="1168">
        <f>'Pro forma'!M5</f>
        <v>2018</v>
      </c>
      <c r="N33" s="1445">
        <f>'Pro forma'!N5</f>
        <v>2019</v>
      </c>
      <c r="O33" s="1172">
        <f>'Pro forma'!O5</f>
        <v>2020</v>
      </c>
      <c r="Q33" s="1258"/>
    </row>
    <row r="34" spans="2:21" s="825" customFormat="1" ht="13.5" customHeight="1" x14ac:dyDescent="0.3">
      <c r="B34" s="1169" t="s">
        <v>71</v>
      </c>
      <c r="C34" s="1177">
        <f>매출액!C6</f>
        <v>101202.82810300001</v>
      </c>
      <c r="D34" s="1177">
        <f>매출액!D6</f>
        <v>120090.945248</v>
      </c>
      <c r="E34" s="1177">
        <f>매출액!E6</f>
        <v>182279.26657199999</v>
      </c>
      <c r="F34" s="1177">
        <f>매출액!F6</f>
        <v>211683.36859699996</v>
      </c>
      <c r="G34" s="1177">
        <f>매출액!G6</f>
        <v>251810.747072</v>
      </c>
      <c r="H34" s="1177">
        <f>매출액!H6</f>
        <v>214888.123487</v>
      </c>
      <c r="I34" s="1177">
        <f>매출액!I6</f>
        <v>0</v>
      </c>
      <c r="J34" s="1177">
        <f>매출액!J6</f>
        <v>214888.123487</v>
      </c>
      <c r="K34" s="1177">
        <f>매출액!K6</f>
        <v>247657.65104010326</v>
      </c>
      <c r="L34" s="1177">
        <f>매출액!L6</f>
        <v>256222.02504382611</v>
      </c>
      <c r="M34" s="1177">
        <f>매출액!M6</f>
        <v>265319.19037349237</v>
      </c>
      <c r="N34" s="1177">
        <f>매출액!N6</f>
        <v>274730.70385192439</v>
      </c>
      <c r="O34" s="1178">
        <f>매출액!O6</f>
        <v>284669.53021891415</v>
      </c>
      <c r="Q34" s="1258"/>
    </row>
    <row r="35" spans="2:21" s="825" customFormat="1" ht="13.5" customHeight="1" x14ac:dyDescent="0.3">
      <c r="B35" s="1170" t="s">
        <v>2025</v>
      </c>
      <c r="C35" s="1173">
        <f>매출액!C9</f>
        <v>28667.764768000001</v>
      </c>
      <c r="D35" s="1173">
        <f>매출액!D9</f>
        <v>33818.960225000003</v>
      </c>
      <c r="E35" s="1173">
        <f>매출액!E9</f>
        <v>72895.967908999999</v>
      </c>
      <c r="F35" s="1173">
        <f>매출액!F9</f>
        <v>71774.780262999993</v>
      </c>
      <c r="G35" s="1173">
        <f>매출액!G9</f>
        <v>69236.768544999999</v>
      </c>
      <c r="H35" s="1173">
        <f>매출액!H9</f>
        <v>43311.994716999994</v>
      </c>
      <c r="I35" s="1173">
        <f>매출액!I9</f>
        <v>0</v>
      </c>
      <c r="J35" s="1173">
        <f>매출액!J9</f>
        <v>43311.994716999994</v>
      </c>
      <c r="K35" s="1173">
        <f>매출액!K9</f>
        <v>52024.746419865536</v>
      </c>
      <c r="L35" s="1173">
        <f>매출액!L9</f>
        <v>54263.917178921365</v>
      </c>
      <c r="M35" s="1173">
        <f>매출액!M9</f>
        <v>56179.286752237422</v>
      </c>
      <c r="N35" s="1173">
        <f>매출액!N9</f>
        <v>58153.964164879944</v>
      </c>
      <c r="O35" s="1174">
        <f>매출액!O9</f>
        <v>60235.145329856794</v>
      </c>
      <c r="Q35" s="1258"/>
    </row>
    <row r="36" spans="2:21" s="825" customFormat="1" ht="13.5" customHeight="1" x14ac:dyDescent="0.3">
      <c r="B36" s="1170" t="s">
        <v>2026</v>
      </c>
      <c r="C36" s="1173">
        <f>매출액!C13</f>
        <v>32345.633293999999</v>
      </c>
      <c r="D36" s="1173">
        <f>매출액!D13</f>
        <v>31656.878968000001</v>
      </c>
      <c r="E36" s="1173">
        <f>매출액!E13</f>
        <v>52687.668978000002</v>
      </c>
      <c r="F36" s="1173">
        <f>매출액!F13</f>
        <v>60245.229018999999</v>
      </c>
      <c r="G36" s="1173">
        <f>매출액!G13</f>
        <v>90980.180334999997</v>
      </c>
      <c r="H36" s="1173">
        <f>매출액!H13</f>
        <v>76214.068412999986</v>
      </c>
      <c r="I36" s="1173">
        <f>매출액!I13</f>
        <v>0</v>
      </c>
      <c r="J36" s="1173">
        <f>매출액!J13</f>
        <v>76214.068412999986</v>
      </c>
      <c r="K36" s="1173">
        <f>매출액!K13</f>
        <v>96372.274896384057</v>
      </c>
      <c r="L36" s="1173">
        <f>매출액!L13</f>
        <v>98768.886153573054</v>
      </c>
      <c r="M36" s="1173">
        <f>매출액!M13</f>
        <v>102065.24518974527</v>
      </c>
      <c r="N36" s="1173">
        <f>매출액!N13</f>
        <v>105326.77066974621</v>
      </c>
      <c r="O36" s="1174">
        <f>매출액!O13</f>
        <v>108650.35600510516</v>
      </c>
      <c r="Q36" s="1258"/>
    </row>
    <row r="37" spans="2:21" s="825" customFormat="1" ht="13.5" customHeight="1" x14ac:dyDescent="0.3">
      <c r="B37" s="1171" t="s">
        <v>2027</v>
      </c>
      <c r="C37" s="1175">
        <f>매출액!C17</f>
        <v>40189.430041</v>
      </c>
      <c r="D37" s="1175">
        <f>매출액!D17</f>
        <v>54615.106054999997</v>
      </c>
      <c r="E37" s="1175">
        <f>매출액!E17</f>
        <v>56695.629685</v>
      </c>
      <c r="F37" s="1175">
        <f>매출액!F17</f>
        <v>79663.359314999994</v>
      </c>
      <c r="G37" s="1175">
        <f>매출액!G17</f>
        <v>91593.798192000002</v>
      </c>
      <c r="H37" s="1175">
        <f>매출액!H17</f>
        <v>95362.060357000024</v>
      </c>
      <c r="I37" s="1175">
        <f>매출액!I17</f>
        <v>0</v>
      </c>
      <c r="J37" s="1175">
        <f>매출액!J17</f>
        <v>95362.060357000024</v>
      </c>
      <c r="K37" s="1175">
        <f>매출액!K17</f>
        <v>99260.629723853664</v>
      </c>
      <c r="L37" s="1175">
        <f>매출액!L17</f>
        <v>103189.22171133169</v>
      </c>
      <c r="M37" s="1175">
        <f>매출액!M17</f>
        <v>107074.65843150967</v>
      </c>
      <c r="N37" s="1175">
        <f>매출액!N17</f>
        <v>111249.96901729822</v>
      </c>
      <c r="O37" s="1176">
        <f>매출액!O17</f>
        <v>115784.02888395221</v>
      </c>
      <c r="Q37" s="1258"/>
    </row>
    <row r="38" spans="2:21" s="825" customFormat="1" ht="13.5" customHeight="1" x14ac:dyDescent="0.3">
      <c r="B38" s="1145"/>
      <c r="C38" s="182"/>
      <c r="D38" s="182"/>
      <c r="E38" s="182"/>
      <c r="F38" s="182"/>
      <c r="G38" s="182"/>
      <c r="H38" s="182"/>
      <c r="I38" s="182"/>
      <c r="J38" s="182"/>
      <c r="K38" s="182"/>
      <c r="L38" s="182"/>
      <c r="M38" s="182"/>
      <c r="N38" s="182"/>
      <c r="O38" s="182"/>
      <c r="Q38" s="1258"/>
    </row>
    <row r="39" spans="2:21" ht="13.5" customHeight="1" x14ac:dyDescent="0.3">
      <c r="Q39" s="1258"/>
      <c r="S39" s="321"/>
      <c r="T39" s="322"/>
    </row>
    <row r="40" spans="2:21" ht="13.5" customHeight="1" x14ac:dyDescent="0.3">
      <c r="B40" s="834" t="s">
        <v>3792</v>
      </c>
      <c r="C40" s="838"/>
      <c r="D40" s="838"/>
      <c r="E40" s="838"/>
      <c r="F40" s="838"/>
      <c r="G40" s="838"/>
      <c r="H40" s="838"/>
      <c r="I40" s="838"/>
      <c r="J40" s="838"/>
      <c r="K40" s="838"/>
      <c r="L40" s="838"/>
      <c r="M40" s="838"/>
      <c r="N40" s="838"/>
      <c r="O40" s="1617"/>
      <c r="Q40" s="1258"/>
      <c r="R40" s="2137" t="s">
        <v>2159</v>
      </c>
      <c r="S40" s="2138"/>
      <c r="T40" s="1262" t="s">
        <v>2160</v>
      </c>
      <c r="U40" s="1263" t="s">
        <v>2161</v>
      </c>
    </row>
    <row r="41" spans="2:21" s="294" customFormat="1" ht="13.5" customHeight="1" x14ac:dyDescent="0.3">
      <c r="B41" s="1595" t="str">
        <f>unit</f>
        <v>KRW Millions</v>
      </c>
      <c r="C41" s="1596">
        <f>'Pro forma'!C$5</f>
        <v>2010</v>
      </c>
      <c r="D41" s="1596">
        <f>'Pro forma'!D$5</f>
        <v>2011</v>
      </c>
      <c r="E41" s="1596">
        <f>'Pro forma'!E$5</f>
        <v>2012</v>
      </c>
      <c r="F41" s="1596">
        <f>'Pro forma'!F$5</f>
        <v>2013</v>
      </c>
      <c r="G41" s="1596">
        <f>'Pro forma'!G$5</f>
        <v>2014</v>
      </c>
      <c r="H41" s="1597" t="str">
        <f>'Pro forma'!H$5</f>
        <v>2015/12A</v>
      </c>
      <c r="I41" s="1598" t="str">
        <f>'Pro forma'!I$5</f>
        <v>2015/0E</v>
      </c>
      <c r="J41" s="1596">
        <f>'Pro forma'!J$5</f>
        <v>2015</v>
      </c>
      <c r="K41" s="1599">
        <f>'Pro forma'!K$5</f>
        <v>2016</v>
      </c>
      <c r="L41" s="1599">
        <f>'Pro forma'!L$5</f>
        <v>2017</v>
      </c>
      <c r="M41" s="1599">
        <f>'Pro forma'!M$5</f>
        <v>2018</v>
      </c>
      <c r="N41" s="1599">
        <f>'Pro forma'!N$5</f>
        <v>2019</v>
      </c>
      <c r="O41" s="1618">
        <f>'Pro forma'!O$5</f>
        <v>2020</v>
      </c>
      <c r="Q41" s="1258"/>
      <c r="R41" s="1262" t="s">
        <v>2162</v>
      </c>
      <c r="S41" s="1262" t="s">
        <v>2163</v>
      </c>
      <c r="T41" s="1262" t="s">
        <v>2164</v>
      </c>
      <c r="U41" s="1262"/>
    </row>
    <row r="42" spans="2:21" s="294" customFormat="1" ht="13.5" customHeight="1" x14ac:dyDescent="0.3">
      <c r="B42" s="1670" t="s">
        <v>156</v>
      </c>
      <c r="C42" s="1671">
        <f>C46+C48</f>
        <v>143.954656</v>
      </c>
      <c r="D42" s="1671">
        <f t="shared" ref="D42:O42" si="32">D46+D48</f>
        <v>279.43270799999999</v>
      </c>
      <c r="E42" s="1671">
        <f t="shared" si="32"/>
        <v>765.96358800000007</v>
      </c>
      <c r="F42" s="1671">
        <f t="shared" si="32"/>
        <v>714.09608000000003</v>
      </c>
      <c r="G42" s="1671">
        <f t="shared" si="32"/>
        <v>958.52657900000008</v>
      </c>
      <c r="H42" s="1671">
        <f t="shared" si="32"/>
        <v>2974.870469</v>
      </c>
      <c r="I42" s="1671">
        <f t="shared" si="32"/>
        <v>0</v>
      </c>
      <c r="J42" s="1671">
        <f t="shared" si="32"/>
        <v>2974.870469</v>
      </c>
      <c r="K42" s="1671">
        <f t="shared" si="32"/>
        <v>922.36673248505781</v>
      </c>
      <c r="L42" s="1671">
        <f t="shared" si="32"/>
        <v>954.26356116132854</v>
      </c>
      <c r="M42" s="1671">
        <f t="shared" si="32"/>
        <v>988.14469757993186</v>
      </c>
      <c r="N42" s="1671">
        <f t="shared" si="32"/>
        <v>1023.1965802832639</v>
      </c>
      <c r="O42" s="1666">
        <f t="shared" si="32"/>
        <v>1060.2123670451767</v>
      </c>
      <c r="Q42" s="1258"/>
      <c r="R42" s="1264"/>
      <c r="S42" s="1264"/>
      <c r="T42" s="1265"/>
      <c r="U42" s="1265"/>
    </row>
    <row r="43" spans="2:21" s="317" customFormat="1" ht="13.5" customHeight="1" x14ac:dyDescent="0.3">
      <c r="B43" s="1611" t="s">
        <v>109</v>
      </c>
      <c r="C43" s="260"/>
      <c r="D43" s="260">
        <f>D42/C42-1</f>
        <v>0.94111615257515524</v>
      </c>
      <c r="E43" s="260">
        <f t="shared" ref="E43:G43" si="33">E42/D42-1</f>
        <v>1.741137905731494</v>
      </c>
      <c r="F43" s="260">
        <f t="shared" si="33"/>
        <v>-6.7715370302954936E-2</v>
      </c>
      <c r="G43" s="260">
        <f t="shared" si="33"/>
        <v>0.34229357343622446</v>
      </c>
      <c r="H43" s="260" t="s">
        <v>92</v>
      </c>
      <c r="I43" s="260" t="s">
        <v>92</v>
      </c>
      <c r="J43" s="260">
        <f>J42/G42-1</f>
        <v>2.103586832306295</v>
      </c>
      <c r="K43" s="260">
        <f>K42/J42-1</f>
        <v>-0.6899472625458174</v>
      </c>
      <c r="L43" s="260">
        <f>L42/K42-1</f>
        <v>3.4581503812842085E-2</v>
      </c>
      <c r="M43" s="260">
        <f>M42/L42-1</f>
        <v>3.5505009095569307E-2</v>
      </c>
      <c r="N43" s="260">
        <f>N42/M42-1</f>
        <v>3.5472418957646301E-2</v>
      </c>
      <c r="O43" s="1667">
        <f>O42/N42-1</f>
        <v>3.6176613052855799E-2</v>
      </c>
      <c r="Q43" s="1258"/>
      <c r="S43" s="1264"/>
      <c r="T43" s="1265"/>
      <c r="U43" s="1265"/>
    </row>
    <row r="44" spans="2:21" ht="13.5" customHeight="1" x14ac:dyDescent="0.3">
      <c r="B44" s="1612" t="s">
        <v>149</v>
      </c>
      <c r="C44" s="182">
        <f>C42/C$34</f>
        <v>1.4224370869704251E-3</v>
      </c>
      <c r="D44" s="182">
        <f>D42/D$34</f>
        <v>2.3268424394773733E-3</v>
      </c>
      <c r="E44" s="182">
        <f>E42/E$34</f>
        <v>4.2021432410001809E-3</v>
      </c>
      <c r="F44" s="182">
        <f>F42/F$34</f>
        <v>3.3734160823918427E-3</v>
      </c>
      <c r="G44" s="182">
        <f>G42/G$34</f>
        <v>3.8065356230642909E-3</v>
      </c>
      <c r="H44" s="182">
        <f t="shared" ref="H44:O44" si="34">H42/H$34</f>
        <v>1.3843810540697329E-2</v>
      </c>
      <c r="I44" s="182" t="e">
        <f t="shared" si="34"/>
        <v>#DIV/0!</v>
      </c>
      <c r="J44" s="182">
        <f t="shared" si="34"/>
        <v>1.3843810540697329E-2</v>
      </c>
      <c r="K44" s="182">
        <f t="shared" si="34"/>
        <v>3.7243619513119696E-3</v>
      </c>
      <c r="L44" s="182">
        <f t="shared" si="34"/>
        <v>3.7243619513119696E-3</v>
      </c>
      <c r="M44" s="182">
        <f t="shared" si="34"/>
        <v>3.7243619513119691E-3</v>
      </c>
      <c r="N44" s="182">
        <f t="shared" si="34"/>
        <v>3.7243619513119691E-3</v>
      </c>
      <c r="O44" s="1668">
        <f t="shared" si="34"/>
        <v>3.7243619513119696E-3</v>
      </c>
      <c r="Q44" s="1258"/>
      <c r="R44" s="1264"/>
      <c r="S44" s="1264"/>
      <c r="T44" s="1265"/>
      <c r="U44" s="1265"/>
    </row>
    <row r="45" spans="2:21" s="825" customFormat="1" ht="13.5" customHeight="1" x14ac:dyDescent="0.3">
      <c r="B45" s="1612"/>
      <c r="C45" s="182"/>
      <c r="D45" s="182"/>
      <c r="E45" s="182"/>
      <c r="F45" s="182"/>
      <c r="G45" s="182"/>
      <c r="H45" s="182"/>
      <c r="I45" s="182"/>
      <c r="J45" s="182"/>
      <c r="K45" s="182"/>
      <c r="L45" s="182"/>
      <c r="M45" s="182"/>
      <c r="N45" s="182"/>
      <c r="O45" s="1668"/>
      <c r="Q45" s="1258"/>
      <c r="R45" s="1264"/>
      <c r="S45" s="1264"/>
      <c r="T45" s="1265"/>
      <c r="U45" s="1265"/>
    </row>
    <row r="46" spans="2:21" s="825" customFormat="1" ht="13.5" customHeight="1" x14ac:dyDescent="0.3">
      <c r="B46" s="1136" t="s">
        <v>1904</v>
      </c>
      <c r="C46" s="1141">
        <f>IS!J29</f>
        <v>65.597645</v>
      </c>
      <c r="D46" s="1141">
        <f>IS!K29</f>
        <v>257.3843</v>
      </c>
      <c r="E46" s="1141">
        <f>IS!L29</f>
        <v>371.55853300000001</v>
      </c>
      <c r="F46" s="1141">
        <f>IS!M29</f>
        <v>454.360704</v>
      </c>
      <c r="G46" s="1141">
        <f>IS!N29</f>
        <v>509.71275700000001</v>
      </c>
      <c r="H46" s="1141">
        <f>IS!O29</f>
        <v>437.29700000000003</v>
      </c>
      <c r="I46" s="1141"/>
      <c r="J46" s="1141">
        <f>H46+I46</f>
        <v>437.29700000000003</v>
      </c>
      <c r="K46" s="1141">
        <f>K34*K$47</f>
        <v>495.31530208020655</v>
      </c>
      <c r="L46" s="1141">
        <f t="shared" ref="L46:O46" si="35">L34*L$47</f>
        <v>512.44405008765227</v>
      </c>
      <c r="M46" s="1141">
        <f t="shared" si="35"/>
        <v>530.63838074698469</v>
      </c>
      <c r="N46" s="1141">
        <f t="shared" si="35"/>
        <v>549.46140770384875</v>
      </c>
      <c r="O46" s="1669">
        <f t="shared" si="35"/>
        <v>569.33906043782827</v>
      </c>
      <c r="Q46" s="1258"/>
      <c r="R46" s="1264" t="s">
        <v>3815</v>
      </c>
      <c r="S46" s="1264" t="s">
        <v>3816</v>
      </c>
      <c r="T46" s="1265" t="s">
        <v>3815</v>
      </c>
      <c r="U46" s="1265"/>
    </row>
    <row r="47" spans="2:21" s="825" customFormat="1" ht="13.5" customHeight="1" x14ac:dyDescent="0.3">
      <c r="B47" s="1135" t="s">
        <v>2013</v>
      </c>
      <c r="C47" s="182">
        <f t="shared" ref="C47:J47" si="36">C46/C$34</f>
        <v>6.4817995929162631E-4</v>
      </c>
      <c r="D47" s="182">
        <f t="shared" si="36"/>
        <v>2.1432448505461863E-3</v>
      </c>
      <c r="E47" s="182">
        <f t="shared" si="36"/>
        <v>2.0384026114853553E-3</v>
      </c>
      <c r="F47" s="182">
        <f t="shared" si="36"/>
        <v>2.1464166363726286E-3</v>
      </c>
      <c r="G47" s="182">
        <f t="shared" si="36"/>
        <v>2.0241898446624216E-3</v>
      </c>
      <c r="H47" s="182">
        <f t="shared" si="36"/>
        <v>2.0349984582859228E-3</v>
      </c>
      <c r="I47" s="182" t="e">
        <f t="shared" si="36"/>
        <v>#DIV/0!</v>
      </c>
      <c r="J47" s="182">
        <f t="shared" si="36"/>
        <v>2.0349984582859228E-3</v>
      </c>
      <c r="K47" s="182">
        <v>2E-3</v>
      </c>
      <c r="L47" s="182">
        <f>K47</f>
        <v>2E-3</v>
      </c>
      <c r="M47" s="182">
        <f t="shared" ref="M47:O47" si="37">L47</f>
        <v>2E-3</v>
      </c>
      <c r="N47" s="182">
        <f t="shared" si="37"/>
        <v>2E-3</v>
      </c>
      <c r="O47" s="1668">
        <f t="shared" si="37"/>
        <v>2E-3</v>
      </c>
      <c r="Q47" s="1258"/>
      <c r="R47" s="1264"/>
      <c r="S47" s="1264"/>
      <c r="T47" s="1265"/>
      <c r="U47" s="1265"/>
    </row>
    <row r="48" spans="2:21" s="825" customFormat="1" ht="13.5" customHeight="1" x14ac:dyDescent="0.3">
      <c r="B48" s="1136" t="s">
        <v>2019</v>
      </c>
      <c r="C48" s="1141">
        <f>IS!J30</f>
        <v>78.357011</v>
      </c>
      <c r="D48" s="1141">
        <f>IS!K30</f>
        <v>22.048407999999998</v>
      </c>
      <c r="E48" s="1141">
        <f>IS!L30</f>
        <v>394.405055</v>
      </c>
      <c r="F48" s="1141">
        <f>IS!M30</f>
        <v>259.73537599999997</v>
      </c>
      <c r="G48" s="1141">
        <f>IS!N30</f>
        <v>448.81382200000002</v>
      </c>
      <c r="H48" s="1141">
        <f>IS!O30</f>
        <v>2537.5734689999999</v>
      </c>
      <c r="I48" s="1141"/>
      <c r="J48" s="1141">
        <f>H48+I48</f>
        <v>2537.5734689999999</v>
      </c>
      <c r="K48" s="1141">
        <f>K34*K$49</f>
        <v>427.0514304048512</v>
      </c>
      <c r="L48" s="1141">
        <f t="shared" ref="L48:O48" si="38">L34*L$49</f>
        <v>441.81951107367627</v>
      </c>
      <c r="M48" s="1141">
        <f t="shared" si="38"/>
        <v>457.50631683294716</v>
      </c>
      <c r="N48" s="1141">
        <f t="shared" si="38"/>
        <v>473.73517257941512</v>
      </c>
      <c r="O48" s="1669">
        <f t="shared" si="38"/>
        <v>490.87330660734841</v>
      </c>
      <c r="Q48" s="1258"/>
      <c r="R48" s="1264" t="s">
        <v>3815</v>
      </c>
      <c r="S48" s="1264"/>
      <c r="T48" s="1265"/>
      <c r="U48" s="1264" t="s">
        <v>4596</v>
      </c>
    </row>
    <row r="49" spans="2:21" s="825" customFormat="1" ht="13.5" customHeight="1" x14ac:dyDescent="0.3">
      <c r="B49" s="1135" t="s">
        <v>2013</v>
      </c>
      <c r="C49" s="182">
        <f t="shared" ref="C49:J49" si="39">C48/C$34</f>
        <v>7.7425712767879872E-4</v>
      </c>
      <c r="D49" s="182">
        <f t="shared" si="39"/>
        <v>1.8359758893118707E-4</v>
      </c>
      <c r="E49" s="182">
        <f t="shared" si="39"/>
        <v>2.1637406295148256E-3</v>
      </c>
      <c r="F49" s="182">
        <f t="shared" si="39"/>
        <v>1.2269994460192136E-3</v>
      </c>
      <c r="G49" s="182">
        <f t="shared" si="39"/>
        <v>1.7823457784018691E-3</v>
      </c>
      <c r="H49" s="182">
        <f t="shared" si="39"/>
        <v>1.1808812082411406E-2</v>
      </c>
      <c r="I49" s="182" t="e">
        <f t="shared" si="39"/>
        <v>#DIV/0!</v>
      </c>
      <c r="J49" s="182">
        <f t="shared" si="39"/>
        <v>1.1808812082411406E-2</v>
      </c>
      <c r="K49" s="182">
        <f>AVERAGE(E49:G49)</f>
        <v>1.7243619513119693E-3</v>
      </c>
      <c r="L49" s="182">
        <f>K49</f>
        <v>1.7243619513119693E-3</v>
      </c>
      <c r="M49" s="182">
        <f t="shared" ref="M49:O49" si="40">L49</f>
        <v>1.7243619513119693E-3</v>
      </c>
      <c r="N49" s="182">
        <f t="shared" si="40"/>
        <v>1.7243619513119693E-3</v>
      </c>
      <c r="O49" s="1668">
        <f t="shared" si="40"/>
        <v>1.7243619513119693E-3</v>
      </c>
      <c r="Q49" s="1258"/>
      <c r="R49" s="1264"/>
      <c r="S49" s="1264"/>
      <c r="T49" s="1265"/>
      <c r="U49" s="1265"/>
    </row>
    <row r="50" spans="2:21" ht="13.5" customHeight="1" x14ac:dyDescent="0.3">
      <c r="B50" s="1672"/>
      <c r="C50" s="1673"/>
      <c r="D50" s="1673"/>
      <c r="E50" s="1673"/>
      <c r="F50" s="1673"/>
      <c r="G50" s="1673"/>
      <c r="H50" s="1673"/>
      <c r="I50" s="1673"/>
      <c r="J50" s="1673"/>
      <c r="K50" s="1673"/>
      <c r="L50" s="1673"/>
      <c r="M50" s="1673"/>
      <c r="N50" s="1673"/>
      <c r="O50" s="1674"/>
      <c r="Q50" s="1260"/>
      <c r="R50" s="1264"/>
      <c r="S50" s="1264"/>
      <c r="T50" s="1265"/>
      <c r="U50" s="1265"/>
    </row>
    <row r="51" spans="2:21" ht="13.5" customHeight="1" x14ac:dyDescent="0.3">
      <c r="Q51" s="1260"/>
    </row>
    <row r="52" spans="2:21" ht="13.5" customHeight="1" x14ac:dyDescent="0.3">
      <c r="Q52" s="1260"/>
    </row>
    <row r="53" spans="2:21" ht="13.5" customHeight="1" x14ac:dyDescent="0.3">
      <c r="B53" s="834" t="s">
        <v>155</v>
      </c>
      <c r="C53" s="838"/>
      <c r="D53" s="838"/>
      <c r="E53" s="838"/>
      <c r="F53" s="838"/>
      <c r="G53" s="838"/>
      <c r="H53" s="838"/>
      <c r="I53" s="838"/>
      <c r="J53" s="838"/>
      <c r="K53" s="838"/>
      <c r="L53" s="838"/>
      <c r="M53" s="838"/>
      <c r="N53" s="838"/>
      <c r="O53" s="1617"/>
      <c r="Q53" s="1260"/>
      <c r="R53" s="2137" t="s">
        <v>2159</v>
      </c>
      <c r="S53" s="2138"/>
      <c r="T53" s="1262" t="s">
        <v>2160</v>
      </c>
      <c r="U53" s="1263" t="s">
        <v>2161</v>
      </c>
    </row>
    <row r="54" spans="2:21" s="294" customFormat="1" ht="13.5" customHeight="1" x14ac:dyDescent="0.3">
      <c r="B54" s="1628" t="str">
        <f>unit</f>
        <v>KRW Millions</v>
      </c>
      <c r="C54" s="1596">
        <f>'Pro forma'!C$5</f>
        <v>2010</v>
      </c>
      <c r="D54" s="1596">
        <f>'Pro forma'!D$5</f>
        <v>2011</v>
      </c>
      <c r="E54" s="1596">
        <f>'Pro forma'!E$5</f>
        <v>2012</v>
      </c>
      <c r="F54" s="1596">
        <f>'Pro forma'!F$5</f>
        <v>2013</v>
      </c>
      <c r="G54" s="1596">
        <f>'Pro forma'!G$5</f>
        <v>2014</v>
      </c>
      <c r="H54" s="1597" t="str">
        <f>'Pro forma'!H$5</f>
        <v>2015/12A</v>
      </c>
      <c r="I54" s="1598" t="str">
        <f>'Pro forma'!I$5</f>
        <v>2015/0E</v>
      </c>
      <c r="J54" s="1596">
        <f>'Pro forma'!J$5</f>
        <v>2015</v>
      </c>
      <c r="K54" s="1599">
        <f>'Pro forma'!K$5</f>
        <v>2016</v>
      </c>
      <c r="L54" s="1599">
        <f>'Pro forma'!L$5</f>
        <v>2017</v>
      </c>
      <c r="M54" s="1599">
        <f>'Pro forma'!M$5</f>
        <v>2018</v>
      </c>
      <c r="N54" s="1599">
        <f>'Pro forma'!N$5</f>
        <v>2019</v>
      </c>
      <c r="O54" s="1618">
        <f>'Pro forma'!O$5</f>
        <v>2020</v>
      </c>
      <c r="Q54" s="1260"/>
      <c r="R54" s="1262" t="s">
        <v>2162</v>
      </c>
      <c r="S54" s="1262" t="s">
        <v>2163</v>
      </c>
      <c r="T54" s="1262" t="s">
        <v>2164</v>
      </c>
      <c r="U54" s="1262"/>
    </row>
    <row r="55" spans="2:21" s="294" customFormat="1" ht="13.5" customHeight="1" x14ac:dyDescent="0.3">
      <c r="B55" s="1675" t="s">
        <v>154</v>
      </c>
      <c r="C55" s="261">
        <f>C59+C62+C68+C71+C74+C77+C80+C83+C86+C89+C94+C97+C100+C103</f>
        <v>1838.1416030000003</v>
      </c>
      <c r="D55" s="1014">
        <f t="shared" ref="D55:O55" si="41">D59+D62+D68+D71+D74+D77+D80+D83+D86+D89+D94+D97+D100+D103</f>
        <v>1476.8577810000002</v>
      </c>
      <c r="E55" s="1014">
        <f t="shared" si="41"/>
        <v>1396.3466620000002</v>
      </c>
      <c r="F55" s="1014">
        <f t="shared" si="41"/>
        <v>1647.6907599999997</v>
      </c>
      <c r="G55" s="1014">
        <f t="shared" si="41"/>
        <v>1658.9767080000004</v>
      </c>
      <c r="H55" s="1014">
        <f t="shared" si="41"/>
        <v>1770.0961460000001</v>
      </c>
      <c r="I55" s="1014">
        <f t="shared" si="41"/>
        <v>0</v>
      </c>
      <c r="J55" s="1014">
        <f t="shared" si="41"/>
        <v>1770.0961460000001</v>
      </c>
      <c r="K55" s="1014">
        <f t="shared" si="41"/>
        <v>1793.1073958979998</v>
      </c>
      <c r="L55" s="1014">
        <f t="shared" si="41"/>
        <v>1820.0040068364701</v>
      </c>
      <c r="M55" s="1014">
        <f t="shared" si="41"/>
        <v>1852.7640789595266</v>
      </c>
      <c r="N55" s="1014">
        <f t="shared" si="41"/>
        <v>1889.8193605387169</v>
      </c>
      <c r="O55" s="1676">
        <f t="shared" si="41"/>
        <v>1931.3953864705688</v>
      </c>
      <c r="P55" s="405"/>
      <c r="Q55" s="1260"/>
      <c r="R55" s="1264"/>
      <c r="S55" s="1264"/>
      <c r="T55" s="1265"/>
      <c r="U55" s="1265"/>
    </row>
    <row r="56" spans="2:21" s="317" customFormat="1" ht="13.5" customHeight="1" x14ac:dyDescent="0.3">
      <c r="B56" s="863" t="s">
        <v>109</v>
      </c>
      <c r="C56" s="260"/>
      <c r="D56" s="259">
        <f>D55/C55-1</f>
        <v>-0.1965484168414201</v>
      </c>
      <c r="E56" s="259">
        <f t="shared" ref="E56:G56" si="42">E55/D55-1</f>
        <v>-5.4515146980154583E-2</v>
      </c>
      <c r="F56" s="259">
        <f t="shared" si="42"/>
        <v>0.18000121663197666</v>
      </c>
      <c r="G56" s="259">
        <f t="shared" si="42"/>
        <v>6.8495547064915119E-3</v>
      </c>
      <c r="H56" s="259"/>
      <c r="I56" s="259"/>
      <c r="J56" s="259">
        <f>J55/G55-1</f>
        <v>6.6980710135443156E-2</v>
      </c>
      <c r="K56" s="259">
        <f t="shared" ref="K56" si="43">K55/J55-1</f>
        <v>1.2999999999999901E-2</v>
      </c>
      <c r="L56" s="259">
        <f t="shared" ref="L56" si="44">L55/K55-1</f>
        <v>1.5000000000000124E-2</v>
      </c>
      <c r="M56" s="259">
        <f t="shared" ref="M56" si="45">M55/L55-1</f>
        <v>1.8000000000000016E-2</v>
      </c>
      <c r="N56" s="259">
        <f t="shared" ref="N56:O56" si="46">N55/M55-1</f>
        <v>1.9999999999999796E-2</v>
      </c>
      <c r="O56" s="1677">
        <f t="shared" si="46"/>
        <v>2.200000000000002E-2</v>
      </c>
      <c r="P56" s="1016"/>
      <c r="Q56" s="1260"/>
      <c r="R56" s="1264"/>
      <c r="S56" s="1264"/>
      <c r="T56" s="1265"/>
      <c r="U56" s="1265"/>
    </row>
    <row r="57" spans="2:21" ht="13.5" customHeight="1" x14ac:dyDescent="0.3">
      <c r="B57" s="861" t="s">
        <v>149</v>
      </c>
      <c r="C57" s="182">
        <f>C55/C$34</f>
        <v>1.8162946999161097E-2</v>
      </c>
      <c r="D57" s="182">
        <f>D55/D$34</f>
        <v>1.2297827933239585E-2</v>
      </c>
      <c r="E57" s="182">
        <f>E55/E$34</f>
        <v>7.66047992325252E-3</v>
      </c>
      <c r="F57" s="182">
        <f>F55/F$34</f>
        <v>7.7837516046754332E-3</v>
      </c>
      <c r="G57" s="182">
        <f>G55/G$34</f>
        <v>6.5881886587058607E-3</v>
      </c>
      <c r="H57" s="209">
        <f t="shared" ref="H57:N57" si="47">H55/H$34</f>
        <v>8.2372916533336692E-3</v>
      </c>
      <c r="I57" s="209" t="e">
        <f t="shared" si="47"/>
        <v>#DIV/0!</v>
      </c>
      <c r="J57" s="209">
        <f t="shared" si="47"/>
        <v>8.2372916533336692E-3</v>
      </c>
      <c r="K57" s="209">
        <f t="shared" si="47"/>
        <v>7.2402665064752693E-3</v>
      </c>
      <c r="L57" s="209">
        <f t="shared" si="47"/>
        <v>7.1032301244405632E-3</v>
      </c>
      <c r="M57" s="209">
        <f t="shared" si="47"/>
        <v>6.9831514122720368E-3</v>
      </c>
      <c r="N57" s="209">
        <f t="shared" si="47"/>
        <v>6.8788065332417315E-3</v>
      </c>
      <c r="O57" s="866">
        <f t="shared" ref="O57" si="48">O55/O$34</f>
        <v>6.7846930614080952E-3</v>
      </c>
      <c r="P57" s="404"/>
      <c r="Q57" s="1260"/>
      <c r="R57" s="1264"/>
      <c r="S57" s="1264"/>
      <c r="T57" s="1265"/>
      <c r="U57" s="1265"/>
    </row>
    <row r="58" spans="2:21" s="825" customFormat="1" ht="13.5" customHeight="1" x14ac:dyDescent="0.3">
      <c r="B58" s="861"/>
      <c r="C58" s="182"/>
      <c r="D58" s="209"/>
      <c r="E58" s="209"/>
      <c r="F58" s="209"/>
      <c r="G58" s="209"/>
      <c r="H58" s="209"/>
      <c r="I58" s="209"/>
      <c r="J58" s="209"/>
      <c r="K58" s="209"/>
      <c r="L58" s="209"/>
      <c r="M58" s="209"/>
      <c r="N58" s="209"/>
      <c r="O58" s="866"/>
      <c r="P58" s="404"/>
      <c r="Q58" s="1260"/>
      <c r="R58" s="1264"/>
      <c r="S58" s="1264"/>
      <c r="T58" s="1265"/>
      <c r="U58" s="1265"/>
    </row>
    <row r="59" spans="2:21" s="825" customFormat="1" ht="13.5" customHeight="1" x14ac:dyDescent="0.3">
      <c r="B59" s="1678" t="s">
        <v>2029</v>
      </c>
      <c r="C59" s="1182">
        <f>IS!J25</f>
        <v>550.74758999999995</v>
      </c>
      <c r="D59" s="1182">
        <f>IS!K25</f>
        <v>571.45627300000001</v>
      </c>
      <c r="E59" s="1182">
        <f>IS!L25</f>
        <v>598.68979999999999</v>
      </c>
      <c r="F59" s="1182">
        <f>IS!M25</f>
        <v>692.177818</v>
      </c>
      <c r="G59" s="1182">
        <f>IS!N25</f>
        <v>677.70822399999997</v>
      </c>
      <c r="H59" s="1182">
        <f>IS!O25</f>
        <v>672.10346400000003</v>
      </c>
      <c r="I59" s="1183"/>
      <c r="J59" s="1183">
        <f>H59+I59</f>
        <v>672.10346400000003</v>
      </c>
      <c r="K59" s="1183">
        <f>J59*(1+K$29)</f>
        <v>680.84080903199992</v>
      </c>
      <c r="L59" s="1183">
        <f t="shared" ref="L59:O59" si="49">K59*(1+L$29)</f>
        <v>691.05342116747988</v>
      </c>
      <c r="M59" s="1183">
        <f t="shared" si="49"/>
        <v>703.49238274849449</v>
      </c>
      <c r="N59" s="1183">
        <f t="shared" si="49"/>
        <v>717.56223040346435</v>
      </c>
      <c r="O59" s="1679">
        <f t="shared" si="49"/>
        <v>733.34859947234054</v>
      </c>
      <c r="P59" s="404"/>
      <c r="Q59" s="1260"/>
      <c r="R59" s="1264" t="s">
        <v>3819</v>
      </c>
      <c r="S59" s="1264" t="s">
        <v>3817</v>
      </c>
      <c r="T59" s="1265" t="s">
        <v>3819</v>
      </c>
      <c r="U59" s="1265"/>
    </row>
    <row r="60" spans="2:21" s="317" customFormat="1" ht="13.5" customHeight="1" outlineLevel="1" x14ac:dyDescent="0.3">
      <c r="B60" s="863" t="s">
        <v>109</v>
      </c>
      <c r="C60" s="260"/>
      <c r="D60" s="259">
        <f>D59/C59-1</f>
        <v>3.7601041522487666E-2</v>
      </c>
      <c r="E60" s="259">
        <f t="shared" ref="E60" si="50">E59/D59-1</f>
        <v>4.7656361976798234E-2</v>
      </c>
      <c r="F60" s="259">
        <f t="shared" ref="F60" si="51">F59/E59-1</f>
        <v>0.15615435238749686</v>
      </c>
      <c r="G60" s="259">
        <f t="shared" ref="G60" si="52">G59/F59-1</f>
        <v>-2.0904446261813092E-2</v>
      </c>
      <c r="H60" s="259"/>
      <c r="I60" s="259"/>
      <c r="J60" s="259">
        <f>J59/G59-1</f>
        <v>-8.2701667200071327E-3</v>
      </c>
      <c r="K60" s="259">
        <f t="shared" ref="K60" si="53">K59/J59-1</f>
        <v>1.2999999999999901E-2</v>
      </c>
      <c r="L60" s="259">
        <f t="shared" ref="L60" si="54">L59/K59-1</f>
        <v>1.4999999999999902E-2</v>
      </c>
      <c r="M60" s="259">
        <f t="shared" ref="M60" si="55">M59/L59-1</f>
        <v>1.8000000000000016E-2</v>
      </c>
      <c r="N60" s="259">
        <f t="shared" ref="N60" si="56">N59/M59-1</f>
        <v>2.0000000000000018E-2</v>
      </c>
      <c r="O60" s="1677">
        <f t="shared" ref="O60" si="57">O59/N59-1</f>
        <v>2.200000000000002E-2</v>
      </c>
      <c r="P60" s="1016"/>
      <c r="Q60" s="1260"/>
      <c r="R60" s="1264"/>
      <c r="S60" s="1264"/>
      <c r="T60" s="1265"/>
      <c r="U60" s="1265"/>
    </row>
    <row r="61" spans="2:21" s="825" customFormat="1" ht="13.5" customHeight="1" outlineLevel="1" x14ac:dyDescent="0.3">
      <c r="B61" s="861" t="s">
        <v>149</v>
      </c>
      <c r="C61" s="182">
        <f>C59/C$34</f>
        <v>5.4420177807627283E-3</v>
      </c>
      <c r="D61" s="182">
        <f>D59/D$34</f>
        <v>4.7585292281602477E-3</v>
      </c>
      <c r="E61" s="182">
        <f>E59/E$34</f>
        <v>3.2844646089439829E-3</v>
      </c>
      <c r="F61" s="182">
        <f>F59/F$34</f>
        <v>3.2698734085140108E-3</v>
      </c>
      <c r="G61" s="182">
        <f>G59/G$34</f>
        <v>2.6913395551232113E-3</v>
      </c>
      <c r="H61" s="209">
        <f t="shared" ref="H61:O61" si="58">H59/H$34</f>
        <v>3.1276901351910218E-3</v>
      </c>
      <c r="I61" s="209" t="e">
        <f t="shared" si="58"/>
        <v>#DIV/0!</v>
      </c>
      <c r="J61" s="209">
        <f t="shared" si="58"/>
        <v>3.1276901351910218E-3</v>
      </c>
      <c r="K61" s="209">
        <f t="shared" si="58"/>
        <v>2.7491208374650668E-3</v>
      </c>
      <c r="L61" s="209">
        <f t="shared" si="58"/>
        <v>2.6970882813422345E-3</v>
      </c>
      <c r="M61" s="209">
        <f t="shared" si="58"/>
        <v>2.651494532898964E-3</v>
      </c>
      <c r="N61" s="209">
        <f t="shared" si="58"/>
        <v>2.6118749027419204E-3</v>
      </c>
      <c r="O61" s="866">
        <f t="shared" si="58"/>
        <v>2.5761401260907236E-3</v>
      </c>
      <c r="P61" s="404"/>
      <c r="Q61" s="1260"/>
      <c r="R61" s="1264"/>
      <c r="S61" s="1264"/>
      <c r="T61" s="1265"/>
      <c r="U61" s="1265"/>
    </row>
    <row r="62" spans="2:21" s="825" customFormat="1" ht="13.5" customHeight="1" x14ac:dyDescent="0.3">
      <c r="B62" s="1678" t="s">
        <v>2030</v>
      </c>
      <c r="C62" s="1182">
        <f>IS!J26</f>
        <v>73.783389999999997</v>
      </c>
      <c r="D62" s="1182">
        <f>IS!K26</f>
        <v>76.838881999999998</v>
      </c>
      <c r="E62" s="1182">
        <f>IS!L26</f>
        <v>42.847974000000001</v>
      </c>
      <c r="F62" s="1182">
        <f>IS!M26</f>
        <v>65.240137000000004</v>
      </c>
      <c r="G62" s="1182">
        <f>IS!N26</f>
        <v>70.333850999999996</v>
      </c>
      <c r="H62" s="1182">
        <f>IS!O26</f>
        <v>71.079569000000006</v>
      </c>
      <c r="I62" s="1183"/>
      <c r="J62" s="1183">
        <f t="shared" ref="J62:J103" si="59">H62+I62</f>
        <v>71.079569000000006</v>
      </c>
      <c r="K62" s="1183">
        <f t="shared" ref="K62:O103" si="60">J62*(1+K$29)</f>
        <v>72.003603397000006</v>
      </c>
      <c r="L62" s="1183">
        <f t="shared" si="60"/>
        <v>73.083657447955005</v>
      </c>
      <c r="M62" s="1183">
        <f t="shared" si="60"/>
        <v>74.399163282018193</v>
      </c>
      <c r="N62" s="1183">
        <f t="shared" si="60"/>
        <v>75.88714654765856</v>
      </c>
      <c r="O62" s="1679">
        <f t="shared" si="60"/>
        <v>77.556663771707051</v>
      </c>
      <c r="P62" s="404"/>
      <c r="Q62" s="1260"/>
      <c r="R62" s="1264" t="s">
        <v>3819</v>
      </c>
      <c r="S62" s="1264" t="s">
        <v>3824</v>
      </c>
      <c r="T62" s="1265" t="s">
        <v>3818</v>
      </c>
      <c r="U62" s="1265"/>
    </row>
    <row r="63" spans="2:21" s="317" customFormat="1" ht="13.5" customHeight="1" outlineLevel="1" x14ac:dyDescent="0.3">
      <c r="B63" s="863" t="s">
        <v>109</v>
      </c>
      <c r="C63" s="260"/>
      <c r="D63" s="259">
        <f>D62/C62-1</f>
        <v>4.1411651050460074E-2</v>
      </c>
      <c r="E63" s="259">
        <f t="shared" ref="E63" si="61">E62/D62-1</f>
        <v>-0.44236598861498266</v>
      </c>
      <c r="F63" s="259">
        <f t="shared" ref="F63" si="62">F62/E62-1</f>
        <v>0.52259560743758859</v>
      </c>
      <c r="G63" s="259">
        <f t="shared" ref="G63" si="63">G62/F62-1</f>
        <v>7.807638417436169E-2</v>
      </c>
      <c r="H63" s="259"/>
      <c r="I63" s="259"/>
      <c r="J63" s="259">
        <f>J62/G62-1</f>
        <v>1.060254755565726E-2</v>
      </c>
      <c r="K63" s="259">
        <f t="shared" ref="K63" si="64">K62/J62-1</f>
        <v>1.2999999999999901E-2</v>
      </c>
      <c r="L63" s="259">
        <f t="shared" ref="L63" si="65">L62/K62-1</f>
        <v>1.4999999999999902E-2</v>
      </c>
      <c r="M63" s="259">
        <f t="shared" ref="M63" si="66">M62/L62-1</f>
        <v>1.8000000000000016E-2</v>
      </c>
      <c r="N63" s="259">
        <f t="shared" ref="N63" si="67">N62/M62-1</f>
        <v>2.0000000000000018E-2</v>
      </c>
      <c r="O63" s="1677">
        <f t="shared" ref="O63" si="68">O62/N62-1</f>
        <v>2.200000000000002E-2</v>
      </c>
      <c r="P63" s="1016"/>
      <c r="Q63" s="1260"/>
      <c r="R63" s="1264"/>
      <c r="S63" s="1264"/>
      <c r="T63" s="1265"/>
      <c r="U63" s="1265"/>
    </row>
    <row r="64" spans="2:21" s="825" customFormat="1" ht="13.5" customHeight="1" outlineLevel="1" x14ac:dyDescent="0.3">
      <c r="B64" s="861" t="s">
        <v>149</v>
      </c>
      <c r="C64" s="182">
        <f>C62/C$34</f>
        <v>7.2906450721818116E-4</v>
      </c>
      <c r="D64" s="182">
        <f>D62/D$34</f>
        <v>6.3983909728847503E-4</v>
      </c>
      <c r="E64" s="182">
        <f>E62/E$34</f>
        <v>2.3506773318662178E-4</v>
      </c>
      <c r="F64" s="182">
        <f>F62/F$34</f>
        <v>3.0819680087481661E-4</v>
      </c>
      <c r="G64" s="182">
        <f>G62/G$34</f>
        <v>2.7931234793521144E-4</v>
      </c>
      <c r="H64" s="209">
        <f t="shared" ref="H64:O64" si="69">H62/H$34</f>
        <v>3.3077476710480035E-4</v>
      </c>
      <c r="I64" s="209" t="e">
        <f t="shared" si="69"/>
        <v>#DIV/0!</v>
      </c>
      <c r="J64" s="209">
        <f t="shared" si="69"/>
        <v>3.3077476710480035E-4</v>
      </c>
      <c r="K64" s="209">
        <f t="shared" si="69"/>
        <v>2.9073845728004762E-4</v>
      </c>
      <c r="L64" s="209">
        <f t="shared" si="69"/>
        <v>2.8523565620658191E-4</v>
      </c>
      <c r="M64" s="209">
        <f t="shared" si="69"/>
        <v>2.8041380337881245E-4</v>
      </c>
      <c r="N64" s="209">
        <f t="shared" si="69"/>
        <v>2.7622375469383485E-4</v>
      </c>
      <c r="O64" s="866">
        <f t="shared" si="69"/>
        <v>2.7244455601576001E-4</v>
      </c>
      <c r="P64" s="404"/>
      <c r="Q64" s="1260"/>
      <c r="R64" s="1264"/>
      <c r="S64" s="1264"/>
      <c r="T64" s="1265"/>
      <c r="U64" s="1265"/>
    </row>
    <row r="65" spans="2:21" s="825" customFormat="1" ht="13.5" customHeight="1" x14ac:dyDescent="0.3">
      <c r="B65" s="1678" t="s">
        <v>2031</v>
      </c>
      <c r="C65" s="1182"/>
      <c r="D65" s="1182"/>
      <c r="E65" s="1182"/>
      <c r="F65" s="1182"/>
      <c r="G65" s="1182"/>
      <c r="H65" s="1182"/>
      <c r="I65" s="1183"/>
      <c r="J65" s="1183"/>
      <c r="K65" s="1183"/>
      <c r="L65" s="1183"/>
      <c r="M65" s="1183"/>
      <c r="N65" s="1183"/>
      <c r="O65" s="1679"/>
      <c r="P65" s="404"/>
      <c r="Q65" s="1260"/>
      <c r="R65" s="1264" t="s">
        <v>3819</v>
      </c>
      <c r="S65" s="1264" t="s">
        <v>3825</v>
      </c>
      <c r="T65" s="1265" t="s">
        <v>3826</v>
      </c>
      <c r="U65" s="1265"/>
    </row>
    <row r="66" spans="2:21" s="317" customFormat="1" ht="13.5" customHeight="1" outlineLevel="1" x14ac:dyDescent="0.3">
      <c r="B66" s="863" t="s">
        <v>109</v>
      </c>
      <c r="C66" s="260"/>
      <c r="D66" s="259" t="e">
        <f>D65/C65-1</f>
        <v>#DIV/0!</v>
      </c>
      <c r="E66" s="259" t="e">
        <f t="shared" ref="E66" si="70">E65/D65-1</f>
        <v>#DIV/0!</v>
      </c>
      <c r="F66" s="259" t="e">
        <f t="shared" ref="F66" si="71">F65/E65-1</f>
        <v>#DIV/0!</v>
      </c>
      <c r="G66" s="259" t="e">
        <f t="shared" ref="G66" si="72">G65/F65-1</f>
        <v>#DIV/0!</v>
      </c>
      <c r="H66" s="259"/>
      <c r="I66" s="259"/>
      <c r="J66" s="259" t="e">
        <f>J65/G65-1</f>
        <v>#DIV/0!</v>
      </c>
      <c r="K66" s="259" t="e">
        <f t="shared" ref="K66" si="73">K65/J65-1</f>
        <v>#DIV/0!</v>
      </c>
      <c r="L66" s="259" t="e">
        <f t="shared" ref="L66" si="74">L65/K65-1</f>
        <v>#DIV/0!</v>
      </c>
      <c r="M66" s="259" t="e">
        <f t="shared" ref="M66" si="75">M65/L65-1</f>
        <v>#DIV/0!</v>
      </c>
      <c r="N66" s="259" t="e">
        <f t="shared" ref="N66" si="76">N65/M65-1</f>
        <v>#DIV/0!</v>
      </c>
      <c r="O66" s="1677" t="e">
        <f t="shared" ref="O66" si="77">O65/N65-1</f>
        <v>#DIV/0!</v>
      </c>
      <c r="P66" s="1016"/>
      <c r="Q66" s="1260"/>
      <c r="R66" s="1264"/>
      <c r="S66" s="1264"/>
      <c r="T66" s="1265"/>
      <c r="U66" s="1265"/>
    </row>
    <row r="67" spans="2:21" s="825" customFormat="1" ht="13.5" customHeight="1" outlineLevel="1" x14ac:dyDescent="0.3">
      <c r="B67" s="861" t="s">
        <v>3827</v>
      </c>
      <c r="C67" s="182">
        <f>C65/노무비!C$152</f>
        <v>0</v>
      </c>
      <c r="D67" s="182">
        <f>D65/노무비!D$152</f>
        <v>0</v>
      </c>
      <c r="E67" s="182">
        <f>E65/노무비!E$152</f>
        <v>0</v>
      </c>
      <c r="F67" s="182">
        <f>F65/노무비!F$152</f>
        <v>0</v>
      </c>
      <c r="G67" s="182">
        <f>G65/노무비!G$152</f>
        <v>0</v>
      </c>
      <c r="H67" s="209">
        <f>H65/노무비!H$152</f>
        <v>0</v>
      </c>
      <c r="I67" s="209" t="e">
        <f>I65/노무비!I$152</f>
        <v>#DIV/0!</v>
      </c>
      <c r="J67" s="209">
        <f>J65/노무비!J$152</f>
        <v>0</v>
      </c>
      <c r="K67" s="209">
        <f>K65/노무비!K$152</f>
        <v>0</v>
      </c>
      <c r="L67" s="209">
        <f>L65/노무비!L$152</f>
        <v>0</v>
      </c>
      <c r="M67" s="209">
        <f>M65/노무비!M$152</f>
        <v>0</v>
      </c>
      <c r="N67" s="209">
        <f>N65/노무비!N$152</f>
        <v>0</v>
      </c>
      <c r="O67" s="866">
        <f>O65/노무비!O$152</f>
        <v>0</v>
      </c>
      <c r="P67" s="404"/>
      <c r="Q67" s="1260"/>
      <c r="R67" s="1264"/>
      <c r="S67" s="1264"/>
      <c r="T67" s="1265"/>
      <c r="U67" s="1265"/>
    </row>
    <row r="68" spans="2:21" s="825" customFormat="1" ht="13.5" customHeight="1" x14ac:dyDescent="0.3">
      <c r="B68" s="1678" t="s">
        <v>2032</v>
      </c>
      <c r="C68" s="1182">
        <f>IS!J31</f>
        <v>41.243307999999999</v>
      </c>
      <c r="D68" s="1182">
        <f>IS!K31</f>
        <v>66.029358999999999</v>
      </c>
      <c r="E68" s="1182">
        <f>IS!L31</f>
        <v>101.439272</v>
      </c>
      <c r="F68" s="1182">
        <f>IS!M31</f>
        <v>122.52878800000001</v>
      </c>
      <c r="G68" s="1182">
        <f>IS!N31</f>
        <v>113.170205</v>
      </c>
      <c r="H68" s="1182">
        <f>IS!O31</f>
        <v>124.761017</v>
      </c>
      <c r="I68" s="1183"/>
      <c r="J68" s="1183">
        <f t="shared" si="59"/>
        <v>124.761017</v>
      </c>
      <c r="K68" s="1183">
        <f t="shared" si="60"/>
        <v>126.38291022099999</v>
      </c>
      <c r="L68" s="1183">
        <f t="shared" si="60"/>
        <v>128.27865387431498</v>
      </c>
      <c r="M68" s="1183">
        <f t="shared" si="60"/>
        <v>130.58766964405265</v>
      </c>
      <c r="N68" s="1183">
        <f t="shared" si="60"/>
        <v>133.19942303693369</v>
      </c>
      <c r="O68" s="1679">
        <f t="shared" si="60"/>
        <v>136.12981034374624</v>
      </c>
      <c r="P68" s="404"/>
      <c r="Q68" s="1260"/>
      <c r="R68" s="1264" t="s">
        <v>3819</v>
      </c>
      <c r="S68" s="1264" t="s">
        <v>3820</v>
      </c>
      <c r="T68" s="1265" t="s">
        <v>3819</v>
      </c>
      <c r="U68" s="1265"/>
    </row>
    <row r="69" spans="2:21" s="317" customFormat="1" ht="13.5" customHeight="1" outlineLevel="1" x14ac:dyDescent="0.3">
      <c r="B69" s="863" t="s">
        <v>109</v>
      </c>
      <c r="C69" s="260"/>
      <c r="D69" s="259">
        <f>D68/C68-1</f>
        <v>0.60097145941833774</v>
      </c>
      <c r="E69" s="259">
        <f t="shared" ref="E69" si="78">E68/D68-1</f>
        <v>0.53627528021285209</v>
      </c>
      <c r="F69" s="259">
        <f t="shared" ref="F69" si="79">F68/E68-1</f>
        <v>0.20790287217360937</v>
      </c>
      <c r="G69" s="259">
        <f t="shared" ref="G69" si="80">G68/F68-1</f>
        <v>-7.6378646624661095E-2</v>
      </c>
      <c r="H69" s="259"/>
      <c r="I69" s="259"/>
      <c r="J69" s="259">
        <f>J68/G68-1</f>
        <v>0.10241928960012037</v>
      </c>
      <c r="K69" s="259">
        <f t="shared" ref="K69" si="81">K68/J68-1</f>
        <v>1.2999999999999901E-2</v>
      </c>
      <c r="L69" s="259">
        <f t="shared" ref="L69" si="82">L68/K68-1</f>
        <v>1.4999999999999902E-2</v>
      </c>
      <c r="M69" s="259">
        <f t="shared" ref="M69" si="83">M68/L68-1</f>
        <v>1.8000000000000016E-2</v>
      </c>
      <c r="N69" s="259">
        <f t="shared" ref="N69" si="84">N68/M68-1</f>
        <v>2.0000000000000018E-2</v>
      </c>
      <c r="O69" s="1677">
        <f t="shared" ref="O69" si="85">O68/N68-1</f>
        <v>2.200000000000002E-2</v>
      </c>
      <c r="P69" s="1016"/>
      <c r="Q69" s="1260"/>
      <c r="R69" s="1264"/>
      <c r="S69" s="1264"/>
      <c r="T69" s="1265"/>
      <c r="U69" s="1265"/>
    </row>
    <row r="70" spans="2:21" s="825" customFormat="1" ht="13.5" customHeight="1" outlineLevel="1" x14ac:dyDescent="0.3">
      <c r="B70" s="861" t="s">
        <v>149</v>
      </c>
      <c r="C70" s="182">
        <f>C68/C$34</f>
        <v>4.0753118043326104E-4</v>
      </c>
      <c r="D70" s="182">
        <f>D68/D$34</f>
        <v>5.4982795633461514E-4</v>
      </c>
      <c r="E70" s="182">
        <f>E68/E$34</f>
        <v>5.5650471887284925E-4</v>
      </c>
      <c r="F70" s="182">
        <f>F68/F$34</f>
        <v>5.7883049014241983E-4</v>
      </c>
      <c r="G70" s="182">
        <f>G68/G$34</f>
        <v>4.4942563538656811E-4</v>
      </c>
      <c r="H70" s="209">
        <f t="shared" ref="H70:O70" si="86">H68/H$34</f>
        <v>5.8058591128954415E-4</v>
      </c>
      <c r="I70" s="209" t="e">
        <f t="shared" si="86"/>
        <v>#DIV/0!</v>
      </c>
      <c r="J70" s="209">
        <f t="shared" si="86"/>
        <v>5.8058591128954415E-4</v>
      </c>
      <c r="K70" s="209">
        <f t="shared" si="86"/>
        <v>5.1031296505567997E-4</v>
      </c>
      <c r="L70" s="209">
        <f t="shared" si="86"/>
        <v>5.0065428158400222E-4</v>
      </c>
      <c r="M70" s="209">
        <f t="shared" si="86"/>
        <v>4.9219081914211762E-4</v>
      </c>
      <c r="N70" s="209">
        <f t="shared" si="86"/>
        <v>4.8483631850892837E-4</v>
      </c>
      <c r="O70" s="866">
        <f t="shared" si="86"/>
        <v>4.7820295427846056E-4</v>
      </c>
      <c r="P70" s="404"/>
      <c r="Q70" s="1260"/>
      <c r="R70" s="1264"/>
      <c r="S70" s="1264"/>
      <c r="T70" s="1265"/>
      <c r="U70" s="1265"/>
    </row>
    <row r="71" spans="2:21" s="825" customFormat="1" ht="13.5" customHeight="1" x14ac:dyDescent="0.3">
      <c r="B71" s="1678" t="s">
        <v>2033</v>
      </c>
      <c r="C71" s="1182">
        <f>IS!J32</f>
        <v>264.57650699999999</v>
      </c>
      <c r="D71" s="1182">
        <f>IS!K32</f>
        <v>294.69728700000002</v>
      </c>
      <c r="E71" s="1182">
        <f>IS!L32</f>
        <v>148.49386200000001</v>
      </c>
      <c r="F71" s="1182">
        <f>IS!M32</f>
        <v>157.74476200000001</v>
      </c>
      <c r="G71" s="1182">
        <f>IS!N32</f>
        <v>83.142655000000005</v>
      </c>
      <c r="H71" s="1182">
        <f>IS!O32</f>
        <v>52.484068000000001</v>
      </c>
      <c r="I71" s="1183"/>
      <c r="J71" s="1183">
        <f t="shared" si="59"/>
        <v>52.484068000000001</v>
      </c>
      <c r="K71" s="1183">
        <f t="shared" si="60"/>
        <v>53.166360883999992</v>
      </c>
      <c r="L71" s="1183">
        <f t="shared" si="60"/>
        <v>53.963856297259987</v>
      </c>
      <c r="M71" s="1183">
        <f t="shared" si="60"/>
        <v>54.935205710610667</v>
      </c>
      <c r="N71" s="1183">
        <f t="shared" si="60"/>
        <v>56.033909824822878</v>
      </c>
      <c r="O71" s="1679">
        <f t="shared" si="60"/>
        <v>57.26665584096898</v>
      </c>
      <c r="P71" s="404"/>
      <c r="Q71" s="1260"/>
      <c r="R71" s="1264" t="s">
        <v>3818</v>
      </c>
      <c r="S71" s="1264" t="s">
        <v>3821</v>
      </c>
      <c r="T71" s="1265" t="s">
        <v>3819</v>
      </c>
      <c r="U71" s="1265"/>
    </row>
    <row r="72" spans="2:21" s="317" customFormat="1" ht="13.5" customHeight="1" outlineLevel="1" x14ac:dyDescent="0.3">
      <c r="B72" s="863" t="s">
        <v>109</v>
      </c>
      <c r="C72" s="260"/>
      <c r="D72" s="259">
        <f>D71/C71-1</f>
        <v>0.11384525535368129</v>
      </c>
      <c r="E72" s="259">
        <f t="shared" ref="E72" si="87">E71/D71-1</f>
        <v>-0.49611391570089347</v>
      </c>
      <c r="F72" s="259">
        <f t="shared" ref="F72" si="88">F71/E71-1</f>
        <v>6.2298197887802331E-2</v>
      </c>
      <c r="G72" s="259">
        <f t="shared" ref="G72" si="89">G71/F71-1</f>
        <v>-0.47292921840409508</v>
      </c>
      <c r="H72" s="259"/>
      <c r="I72" s="259"/>
      <c r="J72" s="259">
        <f>J71/G71-1</f>
        <v>-0.36874678827612617</v>
      </c>
      <c r="K72" s="259">
        <f t="shared" ref="K72" si="90">K71/J71-1</f>
        <v>1.2999999999999901E-2</v>
      </c>
      <c r="L72" s="259">
        <f t="shared" ref="L72" si="91">L71/K71-1</f>
        <v>1.4999999999999902E-2</v>
      </c>
      <c r="M72" s="259">
        <f t="shared" ref="M72" si="92">M71/L71-1</f>
        <v>1.8000000000000016E-2</v>
      </c>
      <c r="N72" s="259">
        <f t="shared" ref="N72" si="93">N71/M71-1</f>
        <v>2.0000000000000018E-2</v>
      </c>
      <c r="O72" s="1677">
        <f t="shared" ref="O72" si="94">O71/N71-1</f>
        <v>2.200000000000002E-2</v>
      </c>
      <c r="P72" s="1016"/>
      <c r="Q72" s="1260"/>
      <c r="R72" s="1264"/>
      <c r="S72" s="1264"/>
      <c r="T72" s="1265"/>
      <c r="U72" s="1265"/>
    </row>
    <row r="73" spans="2:21" s="825" customFormat="1" ht="13.5" customHeight="1" outlineLevel="1" x14ac:dyDescent="0.3">
      <c r="B73" s="861" t="s">
        <v>149</v>
      </c>
      <c r="C73" s="182">
        <f>C71/C$34</f>
        <v>2.6143193027246738E-3</v>
      </c>
      <c r="D73" s="182">
        <f>D71/D$34</f>
        <v>2.4539509318660135E-3</v>
      </c>
      <c r="E73" s="182">
        <f>E71/E$34</f>
        <v>8.1465031537936974E-4</v>
      </c>
      <c r="F73" s="182">
        <f>F71/F$34</f>
        <v>7.4519204340664296E-4</v>
      </c>
      <c r="G73" s="182">
        <f>G71/G$34</f>
        <v>3.3017913638224149E-4</v>
      </c>
      <c r="H73" s="209">
        <f t="shared" ref="H73:O73" si="95">H71/H$34</f>
        <v>2.4423903540288076E-4</v>
      </c>
      <c r="I73" s="209" t="e">
        <f t="shared" si="95"/>
        <v>#DIV/0!</v>
      </c>
      <c r="J73" s="209">
        <f t="shared" si="95"/>
        <v>2.4423903540288076E-4</v>
      </c>
      <c r="K73" s="209">
        <f t="shared" si="95"/>
        <v>2.1467683578808857E-4</v>
      </c>
      <c r="L73" s="209">
        <f t="shared" si="95"/>
        <v>2.1061365153143884E-4</v>
      </c>
      <c r="M73" s="209">
        <f t="shared" si="95"/>
        <v>2.0705326905783879E-4</v>
      </c>
      <c r="N73" s="209">
        <f t="shared" si="95"/>
        <v>2.0395940111238636E-4</v>
      </c>
      <c r="O73" s="866">
        <f t="shared" si="95"/>
        <v>2.0116889853624397E-4</v>
      </c>
      <c r="P73" s="404"/>
      <c r="Q73" s="1260"/>
      <c r="R73" s="1264"/>
      <c r="S73" s="1264"/>
      <c r="T73" s="1265"/>
      <c r="U73" s="1265"/>
    </row>
    <row r="74" spans="2:21" s="825" customFormat="1" ht="13.5" customHeight="1" x14ac:dyDescent="0.3">
      <c r="B74" s="1678" t="s">
        <v>2034</v>
      </c>
      <c r="C74" s="1182">
        <f>IS!J33</f>
        <v>101.969015</v>
      </c>
      <c r="D74" s="1182">
        <f>IS!K33</f>
        <v>68.909325999999993</v>
      </c>
      <c r="E74" s="1182">
        <f>IS!L33</f>
        <v>61.012652000000003</v>
      </c>
      <c r="F74" s="1182">
        <f>IS!M33</f>
        <v>51.392932000000002</v>
      </c>
      <c r="G74" s="1182">
        <f>IS!N33</f>
        <v>68.484012000000007</v>
      </c>
      <c r="H74" s="1182">
        <f>IS!O33</f>
        <v>104.108496</v>
      </c>
      <c r="I74" s="1183"/>
      <c r="J74" s="1183">
        <f t="shared" si="59"/>
        <v>104.108496</v>
      </c>
      <c r="K74" s="1183">
        <f t="shared" si="60"/>
        <v>105.46190644799999</v>
      </c>
      <c r="L74" s="1183">
        <f t="shared" si="60"/>
        <v>107.04383504471998</v>
      </c>
      <c r="M74" s="1183">
        <f t="shared" si="60"/>
        <v>108.97062407552494</v>
      </c>
      <c r="N74" s="1183">
        <f t="shared" si="60"/>
        <v>111.15003655703543</v>
      </c>
      <c r="O74" s="1679">
        <f t="shared" si="60"/>
        <v>113.59533736129022</v>
      </c>
      <c r="P74" s="404"/>
      <c r="Q74" s="1260"/>
      <c r="R74" s="1264" t="s">
        <v>3818</v>
      </c>
      <c r="S74" s="1264" t="s">
        <v>3828</v>
      </c>
      <c r="T74" s="1265" t="s">
        <v>3819</v>
      </c>
      <c r="U74" s="1265"/>
    </row>
    <row r="75" spans="2:21" s="317" customFormat="1" ht="13.5" customHeight="1" outlineLevel="1" x14ac:dyDescent="0.3">
      <c r="B75" s="863" t="s">
        <v>109</v>
      </c>
      <c r="C75" s="260"/>
      <c r="D75" s="259">
        <f>D74/C74-1</f>
        <v>-0.32421308571039942</v>
      </c>
      <c r="E75" s="259">
        <f t="shared" ref="E75" si="96">E74/D74-1</f>
        <v>-0.11459514202765519</v>
      </c>
      <c r="F75" s="259">
        <f t="shared" ref="F75" si="97">F74/E74-1</f>
        <v>-0.15766762605238005</v>
      </c>
      <c r="G75" s="259">
        <f t="shared" ref="G75" si="98">G74/F74-1</f>
        <v>0.33255701387109027</v>
      </c>
      <c r="H75" s="259"/>
      <c r="I75" s="259"/>
      <c r="J75" s="259">
        <f>J74/G74-1</f>
        <v>0.52018687222938964</v>
      </c>
      <c r="K75" s="259">
        <f t="shared" ref="K75" si="99">K74/J74-1</f>
        <v>1.2999999999999901E-2</v>
      </c>
      <c r="L75" s="259">
        <f t="shared" ref="L75" si="100">L74/K74-1</f>
        <v>1.4999999999999902E-2</v>
      </c>
      <c r="M75" s="259">
        <f t="shared" ref="M75" si="101">M74/L74-1</f>
        <v>1.8000000000000016E-2</v>
      </c>
      <c r="N75" s="259">
        <f t="shared" ref="N75" si="102">N74/M74-1</f>
        <v>2.0000000000000018E-2</v>
      </c>
      <c r="O75" s="1677">
        <f t="shared" ref="O75" si="103">O74/N74-1</f>
        <v>2.200000000000002E-2</v>
      </c>
      <c r="P75" s="1016"/>
      <c r="Q75" s="1260"/>
      <c r="R75" s="1264"/>
      <c r="S75" s="1264"/>
      <c r="T75" s="1265"/>
      <c r="U75" s="1265"/>
    </row>
    <row r="76" spans="2:21" s="825" customFormat="1" ht="13.5" customHeight="1" outlineLevel="1" x14ac:dyDescent="0.3">
      <c r="B76" s="861" t="s">
        <v>149</v>
      </c>
      <c r="C76" s="182">
        <f>C74/C$34</f>
        <v>1.0075708051974614E-3</v>
      </c>
      <c r="D76" s="182">
        <f>D74/D$34</f>
        <v>5.738095062678975E-4</v>
      </c>
      <c r="E76" s="182">
        <f>E74/E$34</f>
        <v>3.3472074552099492E-4</v>
      </c>
      <c r="F76" s="182">
        <f>F74/F$34</f>
        <v>2.4278209639530632E-4</v>
      </c>
      <c r="G76" s="182">
        <f>G74/G$34</f>
        <v>2.7196619999867773E-4</v>
      </c>
      <c r="H76" s="209">
        <f t="shared" ref="H76:O76" si="104">H74/H$34</f>
        <v>4.844776635889708E-4</v>
      </c>
      <c r="I76" s="209" t="e">
        <f t="shared" si="104"/>
        <v>#DIV/0!</v>
      </c>
      <c r="J76" s="209">
        <f t="shared" si="104"/>
        <v>4.844776635889708E-4</v>
      </c>
      <c r="K76" s="209">
        <f t="shared" si="104"/>
        <v>4.2583746557025415E-4</v>
      </c>
      <c r="L76" s="209">
        <f t="shared" si="104"/>
        <v>4.1777764821900233E-4</v>
      </c>
      <c r="M76" s="209">
        <f t="shared" si="104"/>
        <v>4.1071519901039174E-4</v>
      </c>
      <c r="N76" s="209">
        <f t="shared" si="104"/>
        <v>4.0457813778595197E-4</v>
      </c>
      <c r="O76" s="866">
        <f t="shared" si="104"/>
        <v>3.9904283845880554E-4</v>
      </c>
      <c r="P76" s="404"/>
      <c r="Q76" s="1260"/>
      <c r="R76" s="1264"/>
      <c r="S76" s="1264"/>
      <c r="T76" s="1265"/>
      <c r="U76" s="1265"/>
    </row>
    <row r="77" spans="2:21" s="825" customFormat="1" ht="13.5" customHeight="1" x14ac:dyDescent="0.3">
      <c r="B77" s="1678" t="s">
        <v>2035</v>
      </c>
      <c r="C77" s="1182">
        <f>IS!J34</f>
        <v>4.8697400000000002</v>
      </c>
      <c r="D77" s="1182">
        <f>IS!K34</f>
        <v>5.27691</v>
      </c>
      <c r="E77" s="1182">
        <f>IS!L34</f>
        <v>7.8383580000000004</v>
      </c>
      <c r="F77" s="1182">
        <f>IS!M34</f>
        <v>6.9787499999999998</v>
      </c>
      <c r="G77" s="1182">
        <f>IS!N34</f>
        <v>8.9112899999999993</v>
      </c>
      <c r="H77" s="1182">
        <f>IS!O34</f>
        <v>7.4897099999999996</v>
      </c>
      <c r="I77" s="1183"/>
      <c r="J77" s="1183">
        <f t="shared" si="59"/>
        <v>7.4897099999999996</v>
      </c>
      <c r="K77" s="1183">
        <f t="shared" si="60"/>
        <v>7.5870762299999992</v>
      </c>
      <c r="L77" s="1183">
        <f t="shared" si="60"/>
        <v>7.700882373449998</v>
      </c>
      <c r="M77" s="1183">
        <f t="shared" si="60"/>
        <v>7.8394982561720985</v>
      </c>
      <c r="N77" s="1183">
        <f t="shared" si="60"/>
        <v>7.9962882212955408</v>
      </c>
      <c r="O77" s="1679">
        <f t="shared" si="60"/>
        <v>8.1722065621640425</v>
      </c>
      <c r="P77" s="404"/>
      <c r="Q77" s="1260"/>
      <c r="R77" s="1264" t="s">
        <v>3818</v>
      </c>
      <c r="S77" s="1264" t="s">
        <v>3822</v>
      </c>
      <c r="T77" s="1265" t="s">
        <v>3819</v>
      </c>
      <c r="U77" s="1265"/>
    </row>
    <row r="78" spans="2:21" s="317" customFormat="1" ht="13.5" customHeight="1" outlineLevel="1" x14ac:dyDescent="0.3">
      <c r="B78" s="863" t="s">
        <v>109</v>
      </c>
      <c r="C78" s="260"/>
      <c r="D78" s="259">
        <f>D77/C77-1</f>
        <v>8.3612266773996025E-2</v>
      </c>
      <c r="E78" s="259">
        <f t="shared" ref="E78" si="105">E77/D77-1</f>
        <v>0.48540680057078855</v>
      </c>
      <c r="F78" s="259">
        <f t="shared" ref="F78" si="106">F77/E77-1</f>
        <v>-0.10966684604096932</v>
      </c>
      <c r="G78" s="259">
        <f t="shared" ref="G78" si="107">G77/F77-1</f>
        <v>0.27691778613648577</v>
      </c>
      <c r="H78" s="259"/>
      <c r="I78" s="259"/>
      <c r="J78" s="259">
        <f>J77/G77-1</f>
        <v>-0.15952572523170039</v>
      </c>
      <c r="K78" s="259">
        <f t="shared" ref="K78" si="108">K77/J77-1</f>
        <v>1.2999999999999901E-2</v>
      </c>
      <c r="L78" s="259">
        <f t="shared" ref="L78" si="109">L77/K77-1</f>
        <v>1.4999999999999902E-2</v>
      </c>
      <c r="M78" s="259">
        <f t="shared" ref="M78" si="110">M77/L77-1</f>
        <v>1.8000000000000016E-2</v>
      </c>
      <c r="N78" s="259">
        <f t="shared" ref="N78" si="111">N77/M77-1</f>
        <v>2.0000000000000018E-2</v>
      </c>
      <c r="O78" s="1677">
        <f t="shared" ref="O78" si="112">O77/N77-1</f>
        <v>2.200000000000002E-2</v>
      </c>
      <c r="P78" s="1016"/>
      <c r="Q78" s="1260"/>
      <c r="R78" s="1264"/>
      <c r="S78" s="1264"/>
      <c r="T78" s="1265"/>
      <c r="U78" s="1265"/>
    </row>
    <row r="79" spans="2:21" s="825" customFormat="1" ht="13.5" customHeight="1" outlineLevel="1" x14ac:dyDescent="0.3">
      <c r="B79" s="861" t="s">
        <v>149</v>
      </c>
      <c r="C79" s="182">
        <f>C77/C$34</f>
        <v>4.811861576678255E-5</v>
      </c>
      <c r="D79" s="182">
        <f>D77/D$34</f>
        <v>4.3940948163099598E-5</v>
      </c>
      <c r="E79" s="182">
        <f>E77/E$34</f>
        <v>4.3001917592771653E-5</v>
      </c>
      <c r="F79" s="182">
        <f>F77/F$34</f>
        <v>3.2967871053139053E-5</v>
      </c>
      <c r="G79" s="182">
        <f>G77/G$34</f>
        <v>3.5388839053211669E-5</v>
      </c>
      <c r="H79" s="209">
        <f t="shared" ref="H79:O79" si="113">H77/H$34</f>
        <v>3.4853996947174709E-5</v>
      </c>
      <c r="I79" s="209" t="e">
        <f t="shared" si="113"/>
        <v>#DIV/0!</v>
      </c>
      <c r="J79" s="209">
        <f t="shared" si="113"/>
        <v>3.4853996947174709E-5</v>
      </c>
      <c r="K79" s="209">
        <f t="shared" si="113"/>
        <v>3.0635339542857176E-5</v>
      </c>
      <c r="L79" s="209">
        <f t="shared" si="113"/>
        <v>3.0055505072730505E-5</v>
      </c>
      <c r="M79" s="209">
        <f t="shared" si="113"/>
        <v>2.9547422653960167E-5</v>
      </c>
      <c r="N79" s="209">
        <f t="shared" si="113"/>
        <v>2.9105913933833246E-5</v>
      </c>
      <c r="O79" s="866">
        <f t="shared" si="113"/>
        <v>2.8707696801549225E-5</v>
      </c>
      <c r="P79" s="404"/>
      <c r="Q79" s="1260"/>
      <c r="R79" s="1264"/>
      <c r="S79" s="1264"/>
      <c r="T79" s="1265"/>
      <c r="U79" s="1265"/>
    </row>
    <row r="80" spans="2:21" s="825" customFormat="1" ht="13.5" customHeight="1" x14ac:dyDescent="0.3">
      <c r="B80" s="1678" t="s">
        <v>2037</v>
      </c>
      <c r="C80" s="1182">
        <f>IS!J36</f>
        <v>77.461589000000004</v>
      </c>
      <c r="D80" s="1182">
        <f>IS!K36</f>
        <v>119.295597</v>
      </c>
      <c r="E80" s="1182">
        <f>IS!L36</f>
        <v>54.966966999999997</v>
      </c>
      <c r="F80" s="1182">
        <f>IS!M36</f>
        <v>40.220956999999999</v>
      </c>
      <c r="G80" s="1182">
        <f>IS!N36</f>
        <v>52.089793999999998</v>
      </c>
      <c r="H80" s="1182">
        <f>IS!O36</f>
        <v>93.845882000000003</v>
      </c>
      <c r="I80" s="1183"/>
      <c r="J80" s="1183">
        <f t="shared" si="59"/>
        <v>93.845882000000003</v>
      </c>
      <c r="K80" s="1183">
        <f t="shared" si="60"/>
        <v>95.065878466000001</v>
      </c>
      <c r="L80" s="1183">
        <f t="shared" si="60"/>
        <v>96.49186664298999</v>
      </c>
      <c r="M80" s="1183">
        <f t="shared" si="60"/>
        <v>98.22872024256381</v>
      </c>
      <c r="N80" s="1183">
        <f t="shared" si="60"/>
        <v>100.19329464741509</v>
      </c>
      <c r="O80" s="1679">
        <f t="shared" si="60"/>
        <v>102.39754712965822</v>
      </c>
      <c r="P80" s="404"/>
      <c r="Q80" s="1260"/>
      <c r="R80" s="1264" t="s">
        <v>3818</v>
      </c>
      <c r="S80" s="1264" t="s">
        <v>3823</v>
      </c>
      <c r="T80" s="1265" t="s">
        <v>3819</v>
      </c>
      <c r="U80" s="1265"/>
    </row>
    <row r="81" spans="2:21" s="317" customFormat="1" ht="13.5" customHeight="1" outlineLevel="1" x14ac:dyDescent="0.3">
      <c r="B81" s="863" t="s">
        <v>109</v>
      </c>
      <c r="C81" s="260"/>
      <c r="D81" s="259">
        <f>D80/C80-1</f>
        <v>0.54006131994013185</v>
      </c>
      <c r="E81" s="259">
        <f t="shared" ref="E81" si="114">E80/D80-1</f>
        <v>-0.53923725282166113</v>
      </c>
      <c r="F81" s="259">
        <f t="shared" ref="F81" si="115">F80/E80-1</f>
        <v>-0.26827039592706647</v>
      </c>
      <c r="G81" s="259">
        <f t="shared" ref="G81" si="116">G80/F80-1</f>
        <v>0.2950908651924915</v>
      </c>
      <c r="H81" s="259"/>
      <c r="I81" s="259"/>
      <c r="J81" s="259">
        <f>J80/G80-1</f>
        <v>0.80161745312335086</v>
      </c>
      <c r="K81" s="259">
        <f t="shared" ref="K81" si="117">K80/J80-1</f>
        <v>1.2999999999999901E-2</v>
      </c>
      <c r="L81" s="259">
        <f t="shared" ref="L81" si="118">L80/K80-1</f>
        <v>1.4999999999999902E-2</v>
      </c>
      <c r="M81" s="259">
        <f t="shared" ref="M81" si="119">M80/L80-1</f>
        <v>1.8000000000000016E-2</v>
      </c>
      <c r="N81" s="259">
        <f t="shared" ref="N81" si="120">N80/M80-1</f>
        <v>2.0000000000000018E-2</v>
      </c>
      <c r="O81" s="1677">
        <f t="shared" ref="O81" si="121">O80/N80-1</f>
        <v>2.200000000000002E-2</v>
      </c>
      <c r="P81" s="1016"/>
      <c r="Q81" s="1260"/>
      <c r="R81" s="1264"/>
      <c r="S81" s="1264"/>
      <c r="T81" s="1265"/>
      <c r="U81" s="1265"/>
    </row>
    <row r="82" spans="2:21" s="825" customFormat="1" ht="13.5" customHeight="1" outlineLevel="1" x14ac:dyDescent="0.3">
      <c r="B82" s="861" t="s">
        <v>149</v>
      </c>
      <c r="C82" s="182">
        <f>C80/C$34</f>
        <v>7.6540933145823585E-4</v>
      </c>
      <c r="D82" s="182">
        <f>D80/D$34</f>
        <v>9.9337711726427396E-4</v>
      </c>
      <c r="E82" s="182">
        <f>E80/E$34</f>
        <v>3.0155358880757917E-4</v>
      </c>
      <c r="F82" s="182">
        <f>F80/F$34</f>
        <v>1.9000527659105866E-4</v>
      </c>
      <c r="G82" s="182">
        <f>G80/G$34</f>
        <v>2.0686088503246453E-4</v>
      </c>
      <c r="H82" s="209">
        <f t="shared" ref="H82:O82" si="122">H80/H$34</f>
        <v>4.3671972409251069E-4</v>
      </c>
      <c r="I82" s="209" t="e">
        <f t="shared" si="122"/>
        <v>#DIV/0!</v>
      </c>
      <c r="J82" s="209">
        <f t="shared" si="122"/>
        <v>4.3671972409251069E-4</v>
      </c>
      <c r="K82" s="209">
        <f t="shared" si="122"/>
        <v>3.8386005062531246E-4</v>
      </c>
      <c r="L82" s="209">
        <f t="shared" si="122"/>
        <v>3.7659473898266673E-4</v>
      </c>
      <c r="M82" s="209">
        <f t="shared" si="122"/>
        <v>3.7022847877790633E-4</v>
      </c>
      <c r="N82" s="209">
        <f t="shared" si="122"/>
        <v>3.646963853789627E-4</v>
      </c>
      <c r="O82" s="866">
        <f t="shared" si="122"/>
        <v>3.5970673451041045E-4</v>
      </c>
      <c r="P82" s="404"/>
      <c r="Q82" s="1260"/>
      <c r="R82" s="1264"/>
      <c r="S82" s="1264"/>
      <c r="T82" s="1265"/>
      <c r="U82" s="1265"/>
    </row>
    <row r="83" spans="2:21" s="825" customFormat="1" ht="13.5" customHeight="1" x14ac:dyDescent="0.3">
      <c r="B83" s="1678" t="s">
        <v>2038</v>
      </c>
      <c r="C83" s="1182">
        <f>IS!J37</f>
        <v>66.573729999999998</v>
      </c>
      <c r="D83" s="1182">
        <f>IS!K37</f>
        <v>40.953180000000003</v>
      </c>
      <c r="E83" s="1182">
        <f>IS!L37</f>
        <v>2.7064900000000001</v>
      </c>
      <c r="F83" s="1182">
        <f>IS!M37</f>
        <v>2.6925759999999999</v>
      </c>
      <c r="G83" s="1182">
        <f>IS!N37</f>
        <v>4.7504999999999997</v>
      </c>
      <c r="H83" s="1182">
        <f>IS!O37</f>
        <v>5.09476</v>
      </c>
      <c r="I83" s="1183"/>
      <c r="J83" s="1183">
        <f t="shared" si="59"/>
        <v>5.09476</v>
      </c>
      <c r="K83" s="1183">
        <f t="shared" si="60"/>
        <v>5.1609918799999992</v>
      </c>
      <c r="L83" s="1183">
        <f t="shared" si="60"/>
        <v>5.2384067581999991</v>
      </c>
      <c r="M83" s="1183">
        <f t="shared" si="60"/>
        <v>5.3326980798475994</v>
      </c>
      <c r="N83" s="1183">
        <f t="shared" si="60"/>
        <v>5.4393520414445513</v>
      </c>
      <c r="O83" s="1679">
        <f t="shared" si="60"/>
        <v>5.5590177863563319</v>
      </c>
      <c r="P83" s="404"/>
      <c r="Q83" s="1258"/>
      <c r="R83" s="1264" t="s">
        <v>3818</v>
      </c>
      <c r="S83" s="1264" t="s">
        <v>3829</v>
      </c>
      <c r="T83" s="1265" t="s">
        <v>3819</v>
      </c>
      <c r="U83" s="1265"/>
    </row>
    <row r="84" spans="2:21" s="317" customFormat="1" ht="13.5" customHeight="1" outlineLevel="1" x14ac:dyDescent="0.3">
      <c r="B84" s="863" t="s">
        <v>109</v>
      </c>
      <c r="C84" s="260"/>
      <c r="D84" s="259">
        <f>D83/C83-1</f>
        <v>-0.38484474281371939</v>
      </c>
      <c r="E84" s="259">
        <f t="shared" ref="E84" si="123">E83/D83-1</f>
        <v>-0.93391258017081946</v>
      </c>
      <c r="F84" s="259">
        <f t="shared" ref="F84" si="124">F83/E83-1</f>
        <v>-5.1409759504007502E-3</v>
      </c>
      <c r="G84" s="259">
        <f t="shared" ref="G84" si="125">G83/F83-1</f>
        <v>0.76429560391238716</v>
      </c>
      <c r="H84" s="259"/>
      <c r="I84" s="259"/>
      <c r="J84" s="259">
        <f>J83/G83-1</f>
        <v>7.2468161246184604E-2</v>
      </c>
      <c r="K84" s="259">
        <f t="shared" ref="K84" si="126">K83/J83-1</f>
        <v>1.2999999999999901E-2</v>
      </c>
      <c r="L84" s="259">
        <f t="shared" ref="L84" si="127">L83/K83-1</f>
        <v>1.4999999999999902E-2</v>
      </c>
      <c r="M84" s="259">
        <f t="shared" ref="M84" si="128">M83/L83-1</f>
        <v>1.8000000000000016E-2</v>
      </c>
      <c r="N84" s="259">
        <f t="shared" ref="N84" si="129">N83/M83-1</f>
        <v>2.0000000000000018E-2</v>
      </c>
      <c r="O84" s="1677">
        <f t="shared" ref="O84" si="130">O83/N83-1</f>
        <v>2.200000000000002E-2</v>
      </c>
      <c r="P84" s="1016"/>
      <c r="Q84" s="1260"/>
      <c r="R84" s="1264"/>
      <c r="S84" s="1264"/>
      <c r="T84" s="1265"/>
      <c r="U84" s="1265"/>
    </row>
    <row r="85" spans="2:21" s="825" customFormat="1" ht="13.5" customHeight="1" outlineLevel="1" x14ac:dyDescent="0.3">
      <c r="B85" s="861" t="s">
        <v>149</v>
      </c>
      <c r="C85" s="182">
        <f>C83/C$34</f>
        <v>6.5782479845567202E-4</v>
      </c>
      <c r="D85" s="182">
        <f>D83/D$34</f>
        <v>3.4101805024040342E-4</v>
      </c>
      <c r="E85" s="182">
        <f>E83/E$34</f>
        <v>1.4848040871016679E-5</v>
      </c>
      <c r="F85" s="182">
        <f>F83/F$34</f>
        <v>1.271982781569435E-5</v>
      </c>
      <c r="G85" s="182">
        <f>G83/G$34</f>
        <v>1.8865358429843717E-5</v>
      </c>
      <c r="H85" s="209">
        <f t="shared" ref="H85:O85" si="131">H83/H$34</f>
        <v>2.3708895202429442E-5</v>
      </c>
      <c r="I85" s="209" t="e">
        <f t="shared" si="131"/>
        <v>#DIV/0!</v>
      </c>
      <c r="J85" s="209">
        <f t="shared" si="131"/>
        <v>2.3708895202429442E-5</v>
      </c>
      <c r="K85" s="209">
        <f t="shared" si="131"/>
        <v>2.0839218406235624E-5</v>
      </c>
      <c r="L85" s="209">
        <f t="shared" si="131"/>
        <v>2.0444794928554574E-5</v>
      </c>
      <c r="M85" s="209">
        <f t="shared" si="131"/>
        <v>2.0099179679919532E-5</v>
      </c>
      <c r="N85" s="209">
        <f t="shared" si="131"/>
        <v>1.9798850165565323E-5</v>
      </c>
      <c r="O85" s="866">
        <f t="shared" si="131"/>
        <v>1.9527969087809936E-5</v>
      </c>
      <c r="P85" s="404"/>
      <c r="Q85" s="1260"/>
      <c r="R85" s="1264"/>
      <c r="S85" s="1264"/>
      <c r="T85" s="1265"/>
      <c r="U85" s="1265"/>
    </row>
    <row r="86" spans="2:21" s="825" customFormat="1" ht="13.5" customHeight="1" x14ac:dyDescent="0.3">
      <c r="B86" s="1678" t="s">
        <v>2039</v>
      </c>
      <c r="C86" s="1182">
        <f>IS!J38</f>
        <v>51.723711999999999</v>
      </c>
      <c r="D86" s="1182">
        <f>IS!K38</f>
        <v>70.063489000000004</v>
      </c>
      <c r="E86" s="1182">
        <f>IS!L38</f>
        <v>90.152743999999998</v>
      </c>
      <c r="F86" s="1182">
        <f>IS!M38</f>
        <v>112.407391</v>
      </c>
      <c r="G86" s="1182">
        <f>IS!N38</f>
        <v>177.452853</v>
      </c>
      <c r="H86" s="1182">
        <f>IS!O38</f>
        <v>333.77764100000002</v>
      </c>
      <c r="I86" s="1183"/>
      <c r="J86" s="1183">
        <f t="shared" si="59"/>
        <v>333.77764100000002</v>
      </c>
      <c r="K86" s="1183">
        <f t="shared" si="60"/>
        <v>338.11675033299997</v>
      </c>
      <c r="L86" s="1183">
        <f t="shared" si="60"/>
        <v>343.18850158799495</v>
      </c>
      <c r="M86" s="1183">
        <f t="shared" si="60"/>
        <v>349.36589461657888</v>
      </c>
      <c r="N86" s="1183">
        <f t="shared" si="60"/>
        <v>356.35321250891047</v>
      </c>
      <c r="O86" s="1679">
        <f t="shared" si="60"/>
        <v>364.19298318410654</v>
      </c>
      <c r="P86" s="404"/>
      <c r="Q86" s="1258"/>
      <c r="R86" s="1264" t="s">
        <v>3818</v>
      </c>
      <c r="S86" s="1264" t="s">
        <v>3830</v>
      </c>
      <c r="T86" s="1265" t="s">
        <v>3819</v>
      </c>
      <c r="U86" s="1265"/>
    </row>
    <row r="87" spans="2:21" s="317" customFormat="1" ht="13.5" customHeight="1" outlineLevel="1" x14ac:dyDescent="0.3">
      <c r="B87" s="863" t="s">
        <v>109</v>
      </c>
      <c r="C87" s="260"/>
      <c r="D87" s="259">
        <f>D86/C86-1</f>
        <v>0.35457194178175011</v>
      </c>
      <c r="E87" s="259">
        <f t="shared" ref="E87" si="132">E86/D86-1</f>
        <v>0.28672929776591616</v>
      </c>
      <c r="F87" s="259">
        <f t="shared" ref="F87" si="133">F86/E86-1</f>
        <v>0.2468549043831656</v>
      </c>
      <c r="G87" s="259">
        <f t="shared" ref="G87" si="134">G86/F86-1</f>
        <v>0.57865823075637435</v>
      </c>
      <c r="H87" s="259"/>
      <c r="I87" s="259"/>
      <c r="J87" s="259">
        <f>J86/G86-1</f>
        <v>0.88093702274823382</v>
      </c>
      <c r="K87" s="259">
        <f t="shared" ref="K87" si="135">K86/J86-1</f>
        <v>1.2999999999999901E-2</v>
      </c>
      <c r="L87" s="259">
        <f t="shared" ref="L87" si="136">L86/K86-1</f>
        <v>1.4999999999999902E-2</v>
      </c>
      <c r="M87" s="259">
        <f t="shared" ref="M87" si="137">M86/L86-1</f>
        <v>1.8000000000000016E-2</v>
      </c>
      <c r="N87" s="259">
        <f t="shared" ref="N87" si="138">N86/M86-1</f>
        <v>2.0000000000000018E-2</v>
      </c>
      <c r="O87" s="1677">
        <f t="shared" ref="O87" si="139">O86/N86-1</f>
        <v>2.200000000000002E-2</v>
      </c>
      <c r="P87" s="1016"/>
      <c r="Q87" s="1260"/>
      <c r="R87" s="1264"/>
      <c r="S87" s="1264"/>
      <c r="T87" s="1265"/>
      <c r="U87" s="1265"/>
    </row>
    <row r="88" spans="2:21" s="825" customFormat="1" ht="13.5" customHeight="1" outlineLevel="1" x14ac:dyDescent="0.3">
      <c r="B88" s="861" t="s">
        <v>149</v>
      </c>
      <c r="C88" s="182">
        <f>C86/C$34</f>
        <v>5.1108959077070227E-4</v>
      </c>
      <c r="D88" s="182">
        <f>D86/D$34</f>
        <v>5.8342024750751846E-4</v>
      </c>
      <c r="E88" s="182">
        <f>E86/E$34</f>
        <v>4.9458583905586339E-4</v>
      </c>
      <c r="F88" s="182">
        <f>F86/F$34</f>
        <v>5.3101663935630069E-4</v>
      </c>
      <c r="G88" s="182">
        <f>G86/G$34</f>
        <v>7.0470722581693899E-4</v>
      </c>
      <c r="H88" s="209">
        <f t="shared" ref="H88:O88" si="140">H86/H$34</f>
        <v>1.5532623933969642E-3</v>
      </c>
      <c r="I88" s="209" t="e">
        <f t="shared" si="140"/>
        <v>#DIV/0!</v>
      </c>
      <c r="J88" s="209">
        <f t="shared" si="140"/>
        <v>1.5532623933969642E-3</v>
      </c>
      <c r="K88" s="209">
        <f t="shared" si="140"/>
        <v>1.3652586500477171E-3</v>
      </c>
      <c r="L88" s="209">
        <f t="shared" si="140"/>
        <v>1.3394184263795957E-3</v>
      </c>
      <c r="M88" s="209">
        <f t="shared" si="140"/>
        <v>1.3167758205683243E-3</v>
      </c>
      <c r="N88" s="209">
        <f t="shared" si="140"/>
        <v>1.2971000602137988E-3</v>
      </c>
      <c r="O88" s="866">
        <f t="shared" si="140"/>
        <v>1.2793535820431428E-3</v>
      </c>
      <c r="P88" s="404"/>
      <c r="Q88" s="1260"/>
      <c r="R88" s="1264"/>
      <c r="S88" s="1264"/>
      <c r="T88" s="1265"/>
      <c r="U88" s="1265"/>
    </row>
    <row r="89" spans="2:21" s="825" customFormat="1" ht="13.5" customHeight="1" x14ac:dyDescent="0.3">
      <c r="B89" s="1678" t="s">
        <v>3832</v>
      </c>
      <c r="C89" s="1182">
        <f>IS!J40</f>
        <v>583.364957</v>
      </c>
      <c r="D89" s="1182">
        <f>IS!K40</f>
        <v>139.95263399999999</v>
      </c>
      <c r="E89" s="1182">
        <f>IS!L40</f>
        <v>236.48546400000001</v>
      </c>
      <c r="F89" s="1182">
        <f>IS!M40</f>
        <v>368.81184100000002</v>
      </c>
      <c r="G89" s="1182">
        <f>IS!N40</f>
        <v>357.97965499999998</v>
      </c>
      <c r="H89" s="1182">
        <f>IS!O40</f>
        <v>253.039603</v>
      </c>
      <c r="I89" s="1183"/>
      <c r="J89" s="1183">
        <f>H89+I89</f>
        <v>253.039603</v>
      </c>
      <c r="K89" s="1183">
        <f t="shared" ref="K89" si="141">J89*(1+K$29)</f>
        <v>256.32911783899999</v>
      </c>
      <c r="L89" s="1183">
        <f t="shared" ref="L89" si="142">K89*(1+L$29)</f>
        <v>260.17405460658495</v>
      </c>
      <c r="M89" s="1183">
        <f t="shared" ref="M89" si="143">L89*(1+M$29)</f>
        <v>264.8571875895035</v>
      </c>
      <c r="N89" s="1183">
        <f t="shared" ref="N89" si="144">M89*(1+N$29)</f>
        <v>270.15433134129358</v>
      </c>
      <c r="O89" s="1679">
        <f t="shared" ref="O89" si="145">N89*(1+O$29)</f>
        <v>276.09772663080207</v>
      </c>
      <c r="P89" s="404"/>
      <c r="Q89" s="1258"/>
      <c r="R89" s="1264" t="s">
        <v>3818</v>
      </c>
      <c r="S89" s="1264" t="s">
        <v>3833</v>
      </c>
      <c r="T89" s="1265" t="s">
        <v>3819</v>
      </c>
      <c r="U89" s="1265"/>
    </row>
    <row r="90" spans="2:21" s="317" customFormat="1" ht="13.5" customHeight="1" outlineLevel="1" x14ac:dyDescent="0.3">
      <c r="B90" s="863" t="s">
        <v>109</v>
      </c>
      <c r="C90" s="260"/>
      <c r="D90" s="259">
        <f>D89/C89-1</f>
        <v>-0.76009420463012145</v>
      </c>
      <c r="E90" s="259">
        <f t="shared" ref="E90" si="146">E89/D89-1</f>
        <v>0.68975357762827127</v>
      </c>
      <c r="F90" s="259">
        <f t="shared" ref="F90" si="147">F89/E89-1</f>
        <v>0.55955395634803162</v>
      </c>
      <c r="G90" s="259">
        <f t="shared" ref="G90" si="148">G89/F89-1</f>
        <v>-2.9370494099727251E-2</v>
      </c>
      <c r="H90" s="259"/>
      <c r="I90" s="259"/>
      <c r="J90" s="259">
        <f>J89/G89-1</f>
        <v>-0.29314529620405383</v>
      </c>
      <c r="K90" s="259">
        <f t="shared" ref="K90" si="149">K89/J89-1</f>
        <v>1.2999999999999901E-2</v>
      </c>
      <c r="L90" s="259">
        <f t="shared" ref="L90" si="150">L89/K89-1</f>
        <v>1.4999999999999902E-2</v>
      </c>
      <c r="M90" s="259">
        <f t="shared" ref="M90" si="151">M89/L89-1</f>
        <v>1.8000000000000016E-2</v>
      </c>
      <c r="N90" s="259">
        <f t="shared" ref="N90" si="152">N89/M89-1</f>
        <v>2.0000000000000018E-2</v>
      </c>
      <c r="O90" s="1677">
        <f t="shared" ref="O90" si="153">O89/N89-1</f>
        <v>2.200000000000002E-2</v>
      </c>
      <c r="P90" s="1016"/>
      <c r="Q90" s="1260"/>
      <c r="R90" s="1264"/>
      <c r="S90" s="1264"/>
      <c r="T90" s="1265"/>
      <c r="U90" s="1265"/>
    </row>
    <row r="91" spans="2:21" s="825" customFormat="1" ht="13.5" customHeight="1" outlineLevel="1" x14ac:dyDescent="0.3">
      <c r="B91" s="861" t="s">
        <v>149</v>
      </c>
      <c r="C91" s="182">
        <f>C89/C$34</f>
        <v>5.7643147719772768E-3</v>
      </c>
      <c r="D91" s="182">
        <f>D89/D$34</f>
        <v>1.1653887286088354E-3</v>
      </c>
      <c r="E91" s="182">
        <f>E89/E$34</f>
        <v>1.2973799403926648E-3</v>
      </c>
      <c r="F91" s="182">
        <f>F89/F$34</f>
        <v>1.7422806687385024E-3</v>
      </c>
      <c r="G91" s="182">
        <f>G89/G$34</f>
        <v>1.421621829737248E-3</v>
      </c>
      <c r="H91" s="209">
        <f t="shared" ref="H91:O91" si="154">H89/H$34</f>
        <v>1.1775411264890498E-3</v>
      </c>
      <c r="I91" s="209" t="e">
        <f t="shared" si="154"/>
        <v>#DIV/0!</v>
      </c>
      <c r="J91" s="209">
        <f t="shared" si="154"/>
        <v>1.1775411264890498E-3</v>
      </c>
      <c r="K91" s="209">
        <f t="shared" si="154"/>
        <v>1.0350139265331744E-3</v>
      </c>
      <c r="L91" s="209">
        <f t="shared" si="154"/>
        <v>1.0154242382639934E-3</v>
      </c>
      <c r="M91" s="209">
        <f t="shared" si="154"/>
        <v>9.9825869066109203E-4</v>
      </c>
      <c r="N91" s="209">
        <f t="shared" si="154"/>
        <v>9.8334233325046401E-4</v>
      </c>
      <c r="O91" s="866">
        <f t="shared" si="154"/>
        <v>9.6988858069383028E-4</v>
      </c>
      <c r="P91" s="404"/>
      <c r="Q91" s="1260"/>
      <c r="R91" s="1264"/>
      <c r="S91" s="1264"/>
      <c r="T91" s="1265"/>
      <c r="U91" s="1265"/>
    </row>
    <row r="92" spans="2:21" s="825" customFormat="1" ht="13.5" customHeight="1" outlineLevel="1" x14ac:dyDescent="0.3">
      <c r="B92" s="1678" t="s">
        <v>2040</v>
      </c>
      <c r="C92" s="1182">
        <f>IS!J40</f>
        <v>583.364957</v>
      </c>
      <c r="D92" s="1182">
        <f>IS!K40</f>
        <v>139.95263399999999</v>
      </c>
      <c r="E92" s="1182">
        <f>IS!L40</f>
        <v>236.48546400000001</v>
      </c>
      <c r="F92" s="1182">
        <f>IS!M40</f>
        <v>368.81184100000002</v>
      </c>
      <c r="G92" s="1182">
        <f>IS!N40</f>
        <v>357.97965499999998</v>
      </c>
      <c r="H92" s="1182">
        <f>IS!O40</f>
        <v>253.039603</v>
      </c>
      <c r="I92" s="1183"/>
      <c r="J92" s="1183">
        <f t="shared" ref="J92" si="155">H92+I92</f>
        <v>253.039603</v>
      </c>
      <c r="K92" s="1183">
        <f t="shared" ref="K92" si="156">J92*(1+K$29)</f>
        <v>256.32911783899999</v>
      </c>
      <c r="L92" s="1183">
        <f t="shared" ref="L92" si="157">K92*(1+L$29)</f>
        <v>260.17405460658495</v>
      </c>
      <c r="M92" s="1183">
        <f t="shared" ref="M92" si="158">L92*(1+M$29)</f>
        <v>264.8571875895035</v>
      </c>
      <c r="N92" s="1183">
        <f t="shared" ref="N92" si="159">M92*(1+N$29)</f>
        <v>270.15433134129358</v>
      </c>
      <c r="O92" s="1679">
        <f t="shared" ref="O92" si="160">N92*(1+O$29)</f>
        <v>276.09772663080207</v>
      </c>
      <c r="P92" s="404"/>
      <c r="Q92" s="1260"/>
      <c r="R92" s="1264"/>
      <c r="S92" s="1264"/>
      <c r="T92" s="1265"/>
      <c r="U92" s="1265"/>
    </row>
    <row r="93" spans="2:21" s="825" customFormat="1" ht="13.5" customHeight="1" outlineLevel="1" x14ac:dyDescent="0.3">
      <c r="B93" s="1678" t="s">
        <v>3831</v>
      </c>
      <c r="C93" s="1182">
        <v>314.34300000000002</v>
      </c>
      <c r="D93" s="1182">
        <v>74.666685999999999</v>
      </c>
      <c r="E93" s="1182">
        <v>90</v>
      </c>
      <c r="F93" s="1182">
        <v>0</v>
      </c>
      <c r="G93" s="1182">
        <v>125</v>
      </c>
      <c r="H93" s="1182">
        <v>172</v>
      </c>
      <c r="I93" s="1183"/>
      <c r="J93" s="1183"/>
      <c r="K93" s="1183"/>
      <c r="L93" s="1183"/>
      <c r="M93" s="1183"/>
      <c r="N93" s="1183"/>
      <c r="O93" s="1679"/>
      <c r="P93" s="404"/>
      <c r="Q93" s="1260"/>
      <c r="R93" s="1264"/>
      <c r="S93" s="1264"/>
      <c r="T93" s="1265"/>
      <c r="U93" s="1265"/>
    </row>
    <row r="94" spans="2:21" s="825" customFormat="1" ht="13.5" customHeight="1" x14ac:dyDescent="0.3">
      <c r="B94" s="1678" t="s">
        <v>2041</v>
      </c>
      <c r="C94" s="1182">
        <f>IS!J41</f>
        <v>7.7799170000000002</v>
      </c>
      <c r="D94" s="1182">
        <f>IS!K41</f>
        <v>7.4390450000000001</v>
      </c>
      <c r="E94" s="1182">
        <f>IS!L41</f>
        <v>8.9260300000000008</v>
      </c>
      <c r="F94" s="1182">
        <f>IS!M41</f>
        <v>7.4432879999999999</v>
      </c>
      <c r="G94" s="1182">
        <f>IS!N41</f>
        <v>4.5379639999999997</v>
      </c>
      <c r="H94" s="1182">
        <f>IS!O41</f>
        <v>7.234877</v>
      </c>
      <c r="I94" s="1183"/>
      <c r="J94" s="1183">
        <f t="shared" si="59"/>
        <v>7.234877</v>
      </c>
      <c r="K94" s="1183">
        <f t="shared" si="60"/>
        <v>7.3289304009999992</v>
      </c>
      <c r="L94" s="1183">
        <f t="shared" si="60"/>
        <v>7.4388643570149986</v>
      </c>
      <c r="M94" s="1183">
        <f t="shared" si="60"/>
        <v>7.5727639154412687</v>
      </c>
      <c r="N94" s="1183">
        <f t="shared" si="60"/>
        <v>7.7242191937500939</v>
      </c>
      <c r="O94" s="1679">
        <f t="shared" si="60"/>
        <v>7.8941520160125958</v>
      </c>
      <c r="P94" s="404"/>
      <c r="Q94" s="1258"/>
      <c r="R94" s="1264"/>
      <c r="S94" s="1264"/>
      <c r="T94" s="1265"/>
      <c r="U94" s="1265"/>
    </row>
    <row r="95" spans="2:21" s="317" customFormat="1" ht="13.5" customHeight="1" outlineLevel="1" x14ac:dyDescent="0.3">
      <c r="B95" s="863" t="s">
        <v>109</v>
      </c>
      <c r="C95" s="260"/>
      <c r="D95" s="259">
        <f>D94/C94-1</f>
        <v>-4.3814349176218736E-2</v>
      </c>
      <c r="E95" s="259">
        <f t="shared" ref="E95" si="161">E94/D94-1</f>
        <v>0.19988923309376405</v>
      </c>
      <c r="F95" s="259">
        <f t="shared" ref="F95" si="162">F94/E94-1</f>
        <v>-0.16611438679905854</v>
      </c>
      <c r="G95" s="259">
        <f t="shared" ref="G95" si="163">G94/F94-1</f>
        <v>-0.39032803782414438</v>
      </c>
      <c r="H95" s="259"/>
      <c r="I95" s="259"/>
      <c r="J95" s="259">
        <f>J94/G94-1</f>
        <v>0.59430021921725262</v>
      </c>
      <c r="K95" s="259">
        <f t="shared" ref="K95" si="164">K94/J94-1</f>
        <v>1.2999999999999901E-2</v>
      </c>
      <c r="L95" s="259">
        <f t="shared" ref="L95" si="165">L94/K94-1</f>
        <v>1.4999999999999902E-2</v>
      </c>
      <c r="M95" s="259">
        <f t="shared" ref="M95" si="166">M94/L94-1</f>
        <v>1.8000000000000016E-2</v>
      </c>
      <c r="N95" s="259">
        <f t="shared" ref="N95" si="167">N94/M94-1</f>
        <v>2.0000000000000018E-2</v>
      </c>
      <c r="O95" s="1677">
        <f t="shared" ref="O95" si="168">O94/N94-1</f>
        <v>2.200000000000002E-2</v>
      </c>
      <c r="P95" s="1016"/>
      <c r="Q95" s="1260"/>
      <c r="R95" s="1264"/>
      <c r="S95" s="1264"/>
      <c r="T95" s="1265"/>
      <c r="U95" s="1265"/>
    </row>
    <row r="96" spans="2:21" s="825" customFormat="1" ht="13.5" customHeight="1" outlineLevel="1" x14ac:dyDescent="0.3">
      <c r="B96" s="861" t="s">
        <v>149</v>
      </c>
      <c r="C96" s="182">
        <f>C94/C$34</f>
        <v>7.6874501887258786E-5</v>
      </c>
      <c r="D96" s="182">
        <f>D94/D$34</f>
        <v>6.1945094899849579E-5</v>
      </c>
      <c r="E96" s="182">
        <f>E94/E$34</f>
        <v>4.8968981321165423E-5</v>
      </c>
      <c r="F96" s="182">
        <f>F94/F$34</f>
        <v>3.5162365609224759E-5</v>
      </c>
      <c r="G96" s="182">
        <f>G94/G$34</f>
        <v>1.8021327734286354E-5</v>
      </c>
      <c r="H96" s="209">
        <f t="shared" ref="H96:O96" si="169">H94/H$34</f>
        <v>3.3668110096543729E-5</v>
      </c>
      <c r="I96" s="209" t="e">
        <f t="shared" si="169"/>
        <v>#DIV/0!</v>
      </c>
      <c r="J96" s="209">
        <f t="shared" si="169"/>
        <v>3.3668110096543729E-5</v>
      </c>
      <c r="K96" s="209">
        <f t="shared" si="169"/>
        <v>2.9592990041778374E-5</v>
      </c>
      <c r="L96" s="209">
        <f t="shared" si="169"/>
        <v>2.9032884100196304E-5</v>
      </c>
      <c r="M96" s="209">
        <f t="shared" si="169"/>
        <v>2.8542088888410283E-5</v>
      </c>
      <c r="N96" s="209">
        <f t="shared" si="169"/>
        <v>2.8115602244128232E-5</v>
      </c>
      <c r="O96" s="866">
        <f t="shared" si="169"/>
        <v>2.7730934216745647E-5</v>
      </c>
      <c r="P96" s="404"/>
      <c r="Q96" s="1260"/>
      <c r="R96" s="1264"/>
      <c r="S96" s="1264"/>
      <c r="T96" s="1265"/>
      <c r="U96" s="1265"/>
    </row>
    <row r="97" spans="2:21" s="825" customFormat="1" ht="13.5" customHeight="1" x14ac:dyDescent="0.3">
      <c r="B97" s="1678" t="s">
        <v>2042</v>
      </c>
      <c r="C97" s="1182">
        <f>IS!J42</f>
        <v>12.636177999999999</v>
      </c>
      <c r="D97" s="1182">
        <f>IS!K42</f>
        <v>10.646129</v>
      </c>
      <c r="E97" s="1182">
        <f>IS!L42</f>
        <v>8.5666259999999994</v>
      </c>
      <c r="F97" s="1182">
        <f>IS!M42</f>
        <v>8.8105879999999992</v>
      </c>
      <c r="G97" s="1182">
        <f>IS!N42</f>
        <v>9.2542139999999993</v>
      </c>
      <c r="H97" s="1182">
        <f>IS!O42</f>
        <v>9.6379940000000008</v>
      </c>
      <c r="I97" s="1183"/>
      <c r="J97" s="1183">
        <f t="shared" si="59"/>
        <v>9.6379940000000008</v>
      </c>
      <c r="K97" s="1183">
        <f t="shared" si="60"/>
        <v>9.763287922</v>
      </c>
      <c r="L97" s="1183">
        <f t="shared" si="60"/>
        <v>9.9097372408299993</v>
      </c>
      <c r="M97" s="1183">
        <f t="shared" si="60"/>
        <v>10.088112511164939</v>
      </c>
      <c r="N97" s="1183">
        <f t="shared" si="60"/>
        <v>10.289874761388237</v>
      </c>
      <c r="O97" s="1679">
        <f t="shared" si="60"/>
        <v>10.516252006138778</v>
      </c>
      <c r="P97" s="404"/>
      <c r="Q97" s="1258"/>
      <c r="R97" s="1264"/>
      <c r="S97" s="1264"/>
      <c r="T97" s="1265"/>
      <c r="U97" s="1265"/>
    </row>
    <row r="98" spans="2:21" s="317" customFormat="1" ht="13.5" customHeight="1" outlineLevel="1" x14ac:dyDescent="0.3">
      <c r="B98" s="863" t="s">
        <v>109</v>
      </c>
      <c r="C98" s="260"/>
      <c r="D98" s="259">
        <f>D97/C97-1</f>
        <v>-0.15748820569004329</v>
      </c>
      <c r="E98" s="259">
        <f t="shared" ref="E98" si="170">E97/D97-1</f>
        <v>-0.19532949488025186</v>
      </c>
      <c r="F98" s="259">
        <f t="shared" ref="F98" si="171">F97/E97-1</f>
        <v>2.847818966300153E-2</v>
      </c>
      <c r="G98" s="259">
        <f t="shared" ref="G98" si="172">G97/F97-1</f>
        <v>5.0351463489156423E-2</v>
      </c>
      <c r="H98" s="259"/>
      <c r="I98" s="259"/>
      <c r="J98" s="259">
        <f>J97/G97-1</f>
        <v>4.1470836961410296E-2</v>
      </c>
      <c r="K98" s="259">
        <f t="shared" ref="K98" si="173">K97/J97-1</f>
        <v>1.2999999999999901E-2</v>
      </c>
      <c r="L98" s="259">
        <f t="shared" ref="L98" si="174">L97/K97-1</f>
        <v>1.4999999999999902E-2</v>
      </c>
      <c r="M98" s="259">
        <f t="shared" ref="M98" si="175">M97/L97-1</f>
        <v>1.8000000000000016E-2</v>
      </c>
      <c r="N98" s="259">
        <f t="shared" ref="N98" si="176">N97/M97-1</f>
        <v>2.0000000000000018E-2</v>
      </c>
      <c r="O98" s="1677">
        <f t="shared" ref="O98" si="177">O97/N97-1</f>
        <v>2.200000000000002E-2</v>
      </c>
      <c r="P98" s="1016"/>
      <c r="Q98" s="1260"/>
      <c r="R98" s="1264"/>
      <c r="S98" s="1264"/>
      <c r="T98" s="1265"/>
      <c r="U98" s="1265"/>
    </row>
    <row r="99" spans="2:21" s="825" customFormat="1" ht="13.5" customHeight="1" outlineLevel="1" x14ac:dyDescent="0.3">
      <c r="B99" s="861" t="s">
        <v>149</v>
      </c>
      <c r="C99" s="182">
        <f>C97/C$34</f>
        <v>1.2485992967646543E-4</v>
      </c>
      <c r="D99" s="182">
        <f>D97/D$34</f>
        <v>8.8650555443748586E-5</v>
      </c>
      <c r="E99" s="182">
        <f>E97/E$34</f>
        <v>4.6997259540849632E-5</v>
      </c>
      <c r="F99" s="182">
        <f>F97/F$34</f>
        <v>4.1621540976010645E-5</v>
      </c>
      <c r="G99" s="182">
        <f>G97/G$34</f>
        <v>3.67506713180671E-5</v>
      </c>
      <c r="H99" s="209">
        <f t="shared" ref="H99:O99" si="178">H97/H$34</f>
        <v>4.4851217664353916E-5</v>
      </c>
      <c r="I99" s="209" t="e">
        <f t="shared" si="178"/>
        <v>#DIV/0!</v>
      </c>
      <c r="J99" s="209">
        <f t="shared" si="178"/>
        <v>4.4851217664353916E-5</v>
      </c>
      <c r="K99" s="209">
        <f t="shared" si="178"/>
        <v>3.9422516853392221E-5</v>
      </c>
      <c r="L99" s="209">
        <f t="shared" si="178"/>
        <v>3.867636765080974E-5</v>
      </c>
      <c r="M99" s="209">
        <f t="shared" si="178"/>
        <v>3.8022551240880114E-5</v>
      </c>
      <c r="N99" s="209">
        <f t="shared" si="178"/>
        <v>3.7454403956735471E-5</v>
      </c>
      <c r="O99" s="866">
        <f t="shared" si="178"/>
        <v>3.694196564715465E-5</v>
      </c>
      <c r="P99" s="404"/>
      <c r="Q99" s="1260"/>
      <c r="R99" s="1264"/>
      <c r="S99" s="1264"/>
      <c r="T99" s="1265"/>
      <c r="U99" s="1265"/>
    </row>
    <row r="100" spans="2:21" s="825" customFormat="1" ht="13.5" customHeight="1" x14ac:dyDescent="0.3">
      <c r="B100" s="1678" t="s">
        <v>2043</v>
      </c>
      <c r="C100" s="1182">
        <f>IS!J43</f>
        <v>0</v>
      </c>
      <c r="D100" s="1182">
        <f>IS!K43</f>
        <v>1.85</v>
      </c>
      <c r="E100" s="1182">
        <f>IS!L43</f>
        <v>23.578980000000001</v>
      </c>
      <c r="F100" s="1182">
        <f>IS!M43</f>
        <v>5.2278399999999996</v>
      </c>
      <c r="G100" s="1182">
        <f>IS!N43</f>
        <v>0</v>
      </c>
      <c r="H100" s="1182">
        <f>IS!O43</f>
        <v>0</v>
      </c>
      <c r="I100" s="1183"/>
      <c r="J100" s="1183">
        <f t="shared" si="59"/>
        <v>0</v>
      </c>
      <c r="K100" s="1183">
        <f t="shared" si="60"/>
        <v>0</v>
      </c>
      <c r="L100" s="1183">
        <f t="shared" si="60"/>
        <v>0</v>
      </c>
      <c r="M100" s="1183">
        <f t="shared" si="60"/>
        <v>0</v>
      </c>
      <c r="N100" s="1183">
        <f t="shared" si="60"/>
        <v>0</v>
      </c>
      <c r="O100" s="1679">
        <f t="shared" si="60"/>
        <v>0</v>
      </c>
      <c r="P100" s="404"/>
      <c r="Q100" s="1258"/>
      <c r="R100" s="1264"/>
      <c r="S100" s="1264"/>
      <c r="T100" s="1265"/>
      <c r="U100" s="1265"/>
    </row>
    <row r="101" spans="2:21" s="317" customFormat="1" ht="13.5" customHeight="1" outlineLevel="1" x14ac:dyDescent="0.3">
      <c r="B101" s="863" t="s">
        <v>109</v>
      </c>
      <c r="C101" s="260"/>
      <c r="D101" s="259" t="e">
        <f>D100/C100-1</f>
        <v>#DIV/0!</v>
      </c>
      <c r="E101" s="259">
        <f t="shared" ref="E101" si="179">E100/D100-1</f>
        <v>11.745394594594595</v>
      </c>
      <c r="F101" s="259">
        <f t="shared" ref="F101" si="180">F100/E100-1</f>
        <v>-0.77828387826784706</v>
      </c>
      <c r="G101" s="259">
        <f t="shared" ref="G101" si="181">G100/F100-1</f>
        <v>-1</v>
      </c>
      <c r="H101" s="259"/>
      <c r="I101" s="259"/>
      <c r="J101" s="259" t="e">
        <f>J100/G100-1</f>
        <v>#DIV/0!</v>
      </c>
      <c r="K101" s="259" t="e">
        <f t="shared" ref="K101" si="182">K100/J100-1</f>
        <v>#DIV/0!</v>
      </c>
      <c r="L101" s="259" t="e">
        <f t="shared" ref="L101" si="183">L100/K100-1</f>
        <v>#DIV/0!</v>
      </c>
      <c r="M101" s="259" t="e">
        <f t="shared" ref="M101" si="184">M100/L100-1</f>
        <v>#DIV/0!</v>
      </c>
      <c r="N101" s="259" t="e">
        <f t="shared" ref="N101" si="185">N100/M100-1</f>
        <v>#DIV/0!</v>
      </c>
      <c r="O101" s="1677" t="e">
        <f t="shared" ref="O101" si="186">O100/N100-1</f>
        <v>#DIV/0!</v>
      </c>
      <c r="P101" s="1016"/>
      <c r="Q101" s="1260"/>
      <c r="R101" s="1264"/>
      <c r="S101" s="1264"/>
      <c r="T101" s="1265"/>
      <c r="U101" s="1265"/>
    </row>
    <row r="102" spans="2:21" s="825" customFormat="1" ht="13.5" customHeight="1" outlineLevel="1" x14ac:dyDescent="0.3">
      <c r="B102" s="861" t="s">
        <v>149</v>
      </c>
      <c r="C102" s="182">
        <f>C100/C$34</f>
        <v>0</v>
      </c>
      <c r="D102" s="182">
        <f>D100/D$34</f>
        <v>1.540499157683839E-5</v>
      </c>
      <c r="E102" s="182">
        <f>E100/E$34</f>
        <v>1.2935634668403905E-4</v>
      </c>
      <c r="F102" s="182">
        <f>F100/F$34</f>
        <v>2.4696507971548267E-5</v>
      </c>
      <c r="G102" s="182">
        <f>G100/G$34</f>
        <v>0</v>
      </c>
      <c r="H102" s="209">
        <f t="shared" ref="H102:O102" si="187">H100/H$34</f>
        <v>0</v>
      </c>
      <c r="I102" s="209" t="e">
        <f t="shared" si="187"/>
        <v>#DIV/0!</v>
      </c>
      <c r="J102" s="209">
        <f t="shared" si="187"/>
        <v>0</v>
      </c>
      <c r="K102" s="209">
        <f t="shared" si="187"/>
        <v>0</v>
      </c>
      <c r="L102" s="209">
        <f t="shared" si="187"/>
        <v>0</v>
      </c>
      <c r="M102" s="209">
        <f t="shared" si="187"/>
        <v>0</v>
      </c>
      <c r="N102" s="209">
        <f t="shared" si="187"/>
        <v>0</v>
      </c>
      <c r="O102" s="866">
        <f t="shared" si="187"/>
        <v>0</v>
      </c>
      <c r="P102" s="404"/>
      <c r="Q102" s="1260"/>
      <c r="R102" s="1264"/>
      <c r="S102" s="1264"/>
      <c r="T102" s="1265"/>
      <c r="U102" s="1265"/>
    </row>
    <row r="103" spans="2:21" s="825" customFormat="1" ht="13.5" customHeight="1" x14ac:dyDescent="0.3">
      <c r="B103" s="1678" t="s">
        <v>2044</v>
      </c>
      <c r="C103" s="1182">
        <f>IS!J44</f>
        <v>1.4119699999999999</v>
      </c>
      <c r="D103" s="1182">
        <f>IS!K44</f>
        <v>3.4496699999999998</v>
      </c>
      <c r="E103" s="1182">
        <f>IS!L44</f>
        <v>10.641443000000001</v>
      </c>
      <c r="F103" s="1182">
        <f>IS!M44</f>
        <v>6.0130920000000003</v>
      </c>
      <c r="G103" s="1182">
        <f>IS!N44</f>
        <v>31.161491000000002</v>
      </c>
      <c r="H103" s="1182">
        <f>IS!O44</f>
        <v>35.439064999999999</v>
      </c>
      <c r="I103" s="1183"/>
      <c r="J103" s="1183">
        <f t="shared" si="59"/>
        <v>35.439064999999999</v>
      </c>
      <c r="K103" s="1183">
        <f t="shared" si="60"/>
        <v>35.899772844999994</v>
      </c>
      <c r="L103" s="1183">
        <f t="shared" si="60"/>
        <v>36.43826943767499</v>
      </c>
      <c r="M103" s="1183">
        <f t="shared" si="60"/>
        <v>37.094158287553142</v>
      </c>
      <c r="N103" s="1183">
        <f t="shared" si="60"/>
        <v>37.836041453304205</v>
      </c>
      <c r="O103" s="1679">
        <f t="shared" si="60"/>
        <v>38.668434365276894</v>
      </c>
      <c r="P103" s="404"/>
      <c r="Q103" s="1258"/>
      <c r="R103" s="1264"/>
      <c r="S103" s="1264"/>
      <c r="T103" s="1265"/>
      <c r="U103" s="1265"/>
    </row>
    <row r="104" spans="2:21" s="317" customFormat="1" ht="13.5" customHeight="1" outlineLevel="1" x14ac:dyDescent="0.3">
      <c r="B104" s="863" t="s">
        <v>109</v>
      </c>
      <c r="C104" s="260"/>
      <c r="D104" s="259">
        <f>D103/C103-1</f>
        <v>1.4431609736750781</v>
      </c>
      <c r="E104" s="259">
        <f t="shared" ref="E104" si="188">E103/D103-1</f>
        <v>2.0847712969646377</v>
      </c>
      <c r="F104" s="259">
        <f t="shared" ref="F104" si="189">F103/E103-1</f>
        <v>-0.43493640853030924</v>
      </c>
      <c r="G104" s="259">
        <f t="shared" ref="G104" si="190">G103/F103-1</f>
        <v>4.1822741112226458</v>
      </c>
      <c r="H104" s="259"/>
      <c r="I104" s="259"/>
      <c r="J104" s="259">
        <f>J103/G103-1</f>
        <v>0.13727115945767809</v>
      </c>
      <c r="K104" s="259">
        <f t="shared" ref="K104" si="191">K103/J103-1</f>
        <v>1.2999999999999901E-2</v>
      </c>
      <c r="L104" s="259">
        <f t="shared" ref="L104" si="192">L103/K103-1</f>
        <v>1.4999999999999902E-2</v>
      </c>
      <c r="M104" s="259">
        <f t="shared" ref="M104" si="193">M103/L103-1</f>
        <v>1.8000000000000016E-2</v>
      </c>
      <c r="N104" s="259">
        <f t="shared" ref="N104" si="194">N103/M103-1</f>
        <v>2.0000000000000018E-2</v>
      </c>
      <c r="O104" s="1677">
        <f t="shared" ref="O104" si="195">O103/N103-1</f>
        <v>2.200000000000002E-2</v>
      </c>
      <c r="P104" s="1016"/>
      <c r="Q104" s="1260"/>
      <c r="R104" s="1264"/>
      <c r="S104" s="1264"/>
      <c r="T104" s="1265"/>
      <c r="U104" s="1265"/>
    </row>
    <row r="105" spans="2:21" s="825" customFormat="1" ht="13.5" customHeight="1" outlineLevel="1" x14ac:dyDescent="0.3">
      <c r="B105" s="861" t="s">
        <v>149</v>
      </c>
      <c r="C105" s="182">
        <f>C103/C$34</f>
        <v>1.3951882832394327E-5</v>
      </c>
      <c r="D105" s="182">
        <f>D103/D$34</f>
        <v>2.8725479617768688E-5</v>
      </c>
      <c r="E105" s="182">
        <f>E103/E$34</f>
        <v>5.8379887082750848E-5</v>
      </c>
      <c r="F105" s="182">
        <f>F103/F$34</f>
        <v>2.8406067230759383E-5</v>
      </c>
      <c r="G105" s="182">
        <f>G103/G$34</f>
        <v>1.2374964675788849E-4</v>
      </c>
      <c r="H105" s="209">
        <f t="shared" ref="H105:O105" si="196">H103/H$34</f>
        <v>1.6491867686742559E-4</v>
      </c>
      <c r="I105" s="209" t="e">
        <f t="shared" si="196"/>
        <v>#DIV/0!</v>
      </c>
      <c r="J105" s="209">
        <f t="shared" si="196"/>
        <v>1.6491867686742559E-4</v>
      </c>
      <c r="K105" s="209">
        <f t="shared" si="196"/>
        <v>1.4495725326566525E-4</v>
      </c>
      <c r="L105" s="209">
        <f t="shared" si="196"/>
        <v>1.422136501787554E-4</v>
      </c>
      <c r="M105" s="209">
        <f t="shared" si="196"/>
        <v>1.3980955631341758E-4</v>
      </c>
      <c r="N105" s="209">
        <f t="shared" si="196"/>
        <v>1.3772046925522108E-4</v>
      </c>
      <c r="O105" s="866">
        <f t="shared" si="196"/>
        <v>1.35836225027457E-4</v>
      </c>
      <c r="P105" s="404"/>
      <c r="Q105" s="1260"/>
      <c r="R105" s="1264"/>
      <c r="S105" s="1264"/>
      <c r="T105" s="1265"/>
      <c r="U105" s="1265"/>
    </row>
    <row r="106" spans="2:21" ht="13.5" customHeight="1" x14ac:dyDescent="0.3">
      <c r="B106" s="1680"/>
      <c r="C106" s="1180"/>
      <c r="D106" s="1181"/>
      <c r="E106" s="1181"/>
      <c r="F106" s="1181"/>
      <c r="G106" s="1181"/>
      <c r="H106" s="1181"/>
      <c r="I106" s="1181"/>
      <c r="J106" s="1181"/>
      <c r="K106" s="1181"/>
      <c r="L106" s="1181"/>
      <c r="M106" s="1181"/>
      <c r="N106" s="1181"/>
      <c r="O106" s="1681"/>
      <c r="P106" s="404"/>
      <c r="Q106" s="1258"/>
      <c r="R106" s="1264"/>
      <c r="S106" s="1264"/>
      <c r="T106" s="1265"/>
      <c r="U106" s="1265"/>
    </row>
    <row r="107" spans="2:21" ht="13.5" customHeight="1" x14ac:dyDescent="0.3">
      <c r="Q107" s="1258"/>
    </row>
    <row r="108" spans="2:21" ht="13.5" customHeight="1" x14ac:dyDescent="0.3">
      <c r="B108" s="834" t="s">
        <v>3793</v>
      </c>
      <c r="C108" s="838"/>
      <c r="D108" s="838"/>
      <c r="E108" s="838"/>
      <c r="F108" s="838"/>
      <c r="G108" s="838"/>
      <c r="H108" s="838"/>
      <c r="I108" s="838"/>
      <c r="J108" s="838"/>
      <c r="K108" s="838"/>
      <c r="L108" s="838"/>
      <c r="M108" s="838"/>
      <c r="N108" s="838"/>
      <c r="O108" s="1617"/>
      <c r="Q108" s="1258"/>
      <c r="R108" s="2137" t="s">
        <v>2159</v>
      </c>
      <c r="S108" s="2138"/>
      <c r="T108" s="1262" t="s">
        <v>2160</v>
      </c>
      <c r="U108" s="1263" t="s">
        <v>2161</v>
      </c>
    </row>
    <row r="109" spans="2:21" s="294" customFormat="1" ht="13.5" customHeight="1" x14ac:dyDescent="0.3">
      <c r="B109" s="1595" t="str">
        <f>unit</f>
        <v>KRW Millions</v>
      </c>
      <c r="C109" s="1596">
        <f>'Pro forma'!C$5</f>
        <v>2010</v>
      </c>
      <c r="D109" s="1596">
        <f>'Pro forma'!D$5</f>
        <v>2011</v>
      </c>
      <c r="E109" s="1596">
        <f>'Pro forma'!E$5</f>
        <v>2012</v>
      </c>
      <c r="F109" s="1596">
        <f>'Pro forma'!F$5</f>
        <v>2013</v>
      </c>
      <c r="G109" s="1596">
        <f>'Pro forma'!G$5</f>
        <v>2014</v>
      </c>
      <c r="H109" s="1597" t="str">
        <f>'Pro forma'!H$5</f>
        <v>2015/12A</v>
      </c>
      <c r="I109" s="1598" t="str">
        <f>'Pro forma'!I$5</f>
        <v>2015/0E</v>
      </c>
      <c r="J109" s="1596">
        <f>'Pro forma'!J$5</f>
        <v>2015</v>
      </c>
      <c r="K109" s="1599">
        <f>'Pro forma'!K$5</f>
        <v>2016</v>
      </c>
      <c r="L109" s="1599">
        <f>'Pro forma'!L$5</f>
        <v>2017</v>
      </c>
      <c r="M109" s="1599">
        <f>'Pro forma'!M$5</f>
        <v>2018</v>
      </c>
      <c r="N109" s="1599">
        <f>'Pro forma'!N$5</f>
        <v>2019</v>
      </c>
      <c r="O109" s="1618">
        <f>'Pro forma'!O$5</f>
        <v>2020</v>
      </c>
      <c r="Q109" s="1258"/>
      <c r="R109" s="1262" t="s">
        <v>2162</v>
      </c>
      <c r="S109" s="1262" t="s">
        <v>2163</v>
      </c>
      <c r="T109" s="1262" t="s">
        <v>2164</v>
      </c>
      <c r="U109" s="1262"/>
    </row>
    <row r="110" spans="2:21" s="294" customFormat="1" ht="13.5" customHeight="1" x14ac:dyDescent="0.3">
      <c r="B110" s="268" t="s">
        <v>1003</v>
      </c>
      <c r="C110" s="1289">
        <f t="shared" ref="C110:O110" si="197">C115+C119</f>
        <v>610.68905100000006</v>
      </c>
      <c r="D110" s="1289">
        <f t="shared" si="197"/>
        <v>542.54573800000003</v>
      </c>
      <c r="E110" s="1289">
        <f t="shared" si="197"/>
        <v>356.01930700000003</v>
      </c>
      <c r="F110" s="1289">
        <f t="shared" si="197"/>
        <v>482.641344</v>
      </c>
      <c r="G110" s="1289">
        <f t="shared" si="197"/>
        <v>486.45183199999997</v>
      </c>
      <c r="H110" s="1289">
        <f t="shared" si="197"/>
        <v>515.61839199999997</v>
      </c>
      <c r="I110" s="1290">
        <f t="shared" ca="1" si="197"/>
        <v>44.614311529166656</v>
      </c>
      <c r="J110" s="1290">
        <f t="shared" ca="1" si="197"/>
        <v>526.32098347916667</v>
      </c>
      <c r="K110" s="1290">
        <f t="shared" ca="1" si="197"/>
        <v>645.87333601420505</v>
      </c>
      <c r="L110" s="1290">
        <f t="shared" ca="1" si="197"/>
        <v>770.57555938523853</v>
      </c>
      <c r="M110" s="1290">
        <f t="shared" ca="1" si="197"/>
        <v>844.46689931007666</v>
      </c>
      <c r="N110" s="1290">
        <f t="shared" ca="1" si="197"/>
        <v>834.45708400242199</v>
      </c>
      <c r="O110" s="1291">
        <f t="shared" ca="1" si="197"/>
        <v>907.24648149407278</v>
      </c>
      <c r="P110" s="405"/>
      <c r="Q110" s="1258"/>
      <c r="R110" s="1264"/>
      <c r="S110" s="1264"/>
      <c r="T110" s="1265"/>
      <c r="U110" s="1265"/>
    </row>
    <row r="111" spans="2:21" s="317" customFormat="1" ht="13.5" customHeight="1" x14ac:dyDescent="0.3">
      <c r="B111" s="269" t="s">
        <v>109</v>
      </c>
      <c r="C111" s="260"/>
      <c r="D111" s="259">
        <f>D110/C110-1</f>
        <v>-0.11158430446463008</v>
      </c>
      <c r="E111" s="259">
        <f t="shared" ref="E111:G111" si="198">E110/D110-1</f>
        <v>-0.34379853703689034</v>
      </c>
      <c r="F111" s="259">
        <f t="shared" si="198"/>
        <v>0.35566059062072153</v>
      </c>
      <c r="G111" s="259">
        <f t="shared" si="198"/>
        <v>7.8950716663013232E-3</v>
      </c>
      <c r="H111" s="259"/>
      <c r="I111" s="259"/>
      <c r="J111" s="259">
        <f ca="1">J110/G110-1</f>
        <v>8.1959094110610087E-2</v>
      </c>
      <c r="K111" s="259">
        <f ca="1">K110/J110-1</f>
        <v>0.22714722818907074</v>
      </c>
      <c r="L111" s="259">
        <f t="shared" ref="L111:O111" ca="1" si="199">L110/K110-1</f>
        <v>0.1930753545897903</v>
      </c>
      <c r="M111" s="259">
        <f t="shared" ca="1" si="199"/>
        <v>9.589110246863819E-2</v>
      </c>
      <c r="N111" s="259">
        <f t="shared" ca="1" si="199"/>
        <v>-1.185341345626767E-2</v>
      </c>
      <c r="O111" s="1015">
        <f t="shared" ca="1" si="199"/>
        <v>8.7229647739966332E-2</v>
      </c>
      <c r="P111" s="1016"/>
      <c r="Q111" s="1258"/>
      <c r="R111" s="1264"/>
      <c r="S111" s="1264"/>
      <c r="T111" s="1265"/>
      <c r="U111" s="1265"/>
    </row>
    <row r="112" spans="2:21" ht="13.5" customHeight="1" x14ac:dyDescent="0.3">
      <c r="B112" s="391" t="s">
        <v>149</v>
      </c>
      <c r="C112" s="182">
        <f t="shared" ref="C112:H112" si="200">C110/C$34</f>
        <v>6.0343081556818385E-3</v>
      </c>
      <c r="D112" s="209">
        <f t="shared" si="200"/>
        <v>4.5177905534808469E-3</v>
      </c>
      <c r="E112" s="209">
        <f t="shared" si="200"/>
        <v>1.9531530584657748E-3</v>
      </c>
      <c r="F112" s="209">
        <f t="shared" si="200"/>
        <v>2.2800154173606632E-3</v>
      </c>
      <c r="G112" s="209">
        <f t="shared" si="200"/>
        <v>1.93181521303739E-3</v>
      </c>
      <c r="H112" s="209">
        <f t="shared" si="200"/>
        <v>2.3994736592838884E-3</v>
      </c>
      <c r="I112" s="209" t="e">
        <f t="shared" ref="I112:O112" ca="1" si="201">I110/I$34</f>
        <v>#DIV/0!</v>
      </c>
      <c r="J112" s="209">
        <f t="shared" ca="1" si="201"/>
        <v>2.4492790710744297E-3</v>
      </c>
      <c r="K112" s="209">
        <f t="shared" ca="1" si="201"/>
        <v>2.6079280543188977E-3</v>
      </c>
      <c r="L112" s="209">
        <f t="shared" ca="1" si="201"/>
        <v>3.0074524594575097E-3</v>
      </c>
      <c r="M112" s="209">
        <f t="shared" ca="1" si="201"/>
        <v>3.1828338467387619E-3</v>
      </c>
      <c r="N112" s="209">
        <f t="shared" ca="1" si="201"/>
        <v>3.0373637613223658E-3</v>
      </c>
      <c r="O112" s="480">
        <f t="shared" ca="1" si="201"/>
        <v>3.1870164706296095E-3</v>
      </c>
      <c r="P112" s="404"/>
      <c r="Q112" s="1258"/>
      <c r="R112" s="1264"/>
      <c r="S112" s="1264"/>
      <c r="T112" s="1265"/>
      <c r="U112" s="1265"/>
    </row>
    <row r="113" spans="2:21" ht="13.5" customHeight="1" x14ac:dyDescent="0.3">
      <c r="B113" s="391" t="s">
        <v>1001</v>
      </c>
      <c r="C113" s="182">
        <f>C110/'CapEx&amp;Dep'!C7</f>
        <v>0.90133017731742093</v>
      </c>
      <c r="D113" s="182">
        <f>D110/'CapEx&amp;Dep'!D7</f>
        <v>0.90487178255554268</v>
      </c>
      <c r="E113" s="182">
        <f>E110/'CapEx&amp;Dep'!E7</f>
        <v>0.64151784079688046</v>
      </c>
      <c r="F113" s="182">
        <f>F110/'CapEx&amp;Dep'!F7</f>
        <v>0.67806514262593554</v>
      </c>
      <c r="G113" s="182">
        <f>G110/'CapEx&amp;Dep'!G7</f>
        <v>0.65637302410807397</v>
      </c>
      <c r="H113" s="182">
        <f>H110/'CapEx&amp;Dep'!H7</f>
        <v>0.72332109867670014</v>
      </c>
      <c r="I113" s="209">
        <f ca="1">I110/'CapEx&amp;Dep'!I7</f>
        <v>0.69191847417184971</v>
      </c>
      <c r="J113" s="209">
        <f ca="1">J110/'CapEx&amp;Dep'!J7</f>
        <v>0.67879002613505635</v>
      </c>
      <c r="K113" s="209">
        <f ca="1">K110/'CapEx&amp;Dep'!K7</f>
        <v>0.68323370387072002</v>
      </c>
      <c r="L113" s="209">
        <f ca="1">L110/'CapEx&amp;Dep'!L7</f>
        <v>0.60868313015564401</v>
      </c>
      <c r="M113" s="209">
        <f ca="1">M110/'CapEx&amp;Dep'!M7</f>
        <v>0.54035598055024958</v>
      </c>
      <c r="N113" s="209">
        <f ca="1">N110/'CapEx&amp;Dep'!N7</f>
        <v>0.45751790970713008</v>
      </c>
      <c r="O113" s="1292">
        <f ca="1">O110/'CapEx&amp;Dep'!O7</f>
        <v>0.41620881900545409</v>
      </c>
      <c r="P113" s="404"/>
      <c r="Q113" s="1258"/>
      <c r="R113" s="1264"/>
      <c r="S113" s="1264"/>
      <c r="T113" s="1265"/>
      <c r="U113" s="1265"/>
    </row>
    <row r="114" spans="2:21" s="825" customFormat="1" ht="13.5" customHeight="1" x14ac:dyDescent="0.3">
      <c r="B114" s="391"/>
      <c r="C114" s="182"/>
      <c r="D114" s="209"/>
      <c r="E114" s="209"/>
      <c r="F114" s="209"/>
      <c r="G114" s="209"/>
      <c r="H114" s="209"/>
      <c r="I114" s="209"/>
      <c r="J114" s="209"/>
      <c r="K114" s="209"/>
      <c r="L114" s="209"/>
      <c r="M114" s="209"/>
      <c r="N114" s="209"/>
      <c r="O114" s="1292"/>
      <c r="P114" s="404"/>
      <c r="Q114" s="1258"/>
      <c r="R114" s="1264"/>
      <c r="S114" s="1264"/>
      <c r="T114" s="1265"/>
      <c r="U114" s="1265"/>
    </row>
    <row r="115" spans="2:21" s="825" customFormat="1" ht="13.5" customHeight="1" x14ac:dyDescent="0.3">
      <c r="B115" s="1186" t="s">
        <v>2169</v>
      </c>
      <c r="C115" s="1137">
        <f>IS!J27</f>
        <v>174.63043300000001</v>
      </c>
      <c r="D115" s="1137">
        <f>IS!K27</f>
        <v>271.81789700000002</v>
      </c>
      <c r="E115" s="1137">
        <f>IS!L27</f>
        <v>262.10296</v>
      </c>
      <c r="F115" s="1137">
        <f>IS!M27</f>
        <v>384.81116900000001</v>
      </c>
      <c r="G115" s="1137">
        <f>IS!N27</f>
        <v>391.21589999999998</v>
      </c>
      <c r="H115" s="1137">
        <f>IS!O27</f>
        <v>456.47530899999998</v>
      </c>
      <c r="I115" s="1288">
        <f ca="1">'CapEx&amp;Dep'!I154</f>
        <v>40.601020799999986</v>
      </c>
      <c r="J115" s="1288">
        <f ca="1">'CapEx&amp;Dep'!J154</f>
        <v>468.22237074999998</v>
      </c>
      <c r="K115" s="1288">
        <f ca="1">'CapEx&amp;Dep'!K154</f>
        <v>624.4818654340329</v>
      </c>
      <c r="L115" s="1288">
        <f ca="1">'CapEx&amp;Dep'!L154</f>
        <v>744.78738394574259</v>
      </c>
      <c r="M115" s="1288">
        <f ca="1">'CapEx&amp;Dep'!M154</f>
        <v>804.39659298622121</v>
      </c>
      <c r="N115" s="1288">
        <f ca="1">'CapEx&amp;Dep'!N154</f>
        <v>778.77959198218741</v>
      </c>
      <c r="O115" s="1293">
        <f ca="1">'CapEx&amp;Dep'!O154</f>
        <v>841.99685286569843</v>
      </c>
      <c r="P115" s="404"/>
      <c r="Q115" s="1258"/>
      <c r="R115" s="1264" t="s">
        <v>2172</v>
      </c>
      <c r="S115" s="1264"/>
      <c r="T115" s="1265"/>
      <c r="U115" s="1265"/>
    </row>
    <row r="116" spans="2:21" s="825" customFormat="1" ht="13.5" customHeight="1" x14ac:dyDescent="0.3">
      <c r="B116" s="1179" t="s">
        <v>2170</v>
      </c>
      <c r="C116" s="1137">
        <f>'CapEx&amp;Dep'!C53</f>
        <v>230.15700000000004</v>
      </c>
      <c r="D116" s="1137">
        <f>'CapEx&amp;Dep'!D53</f>
        <v>321.59399999999999</v>
      </c>
      <c r="E116" s="1137">
        <f>'CapEx&amp;Dep'!E53</f>
        <v>455.79</v>
      </c>
      <c r="F116" s="1137">
        <f>'CapEx&amp;Dep'!F53</f>
        <v>612.66000000000008</v>
      </c>
      <c r="G116" s="1137">
        <f>'CapEx&amp;Dep'!G53</f>
        <v>645.8850000000001</v>
      </c>
      <c r="H116" s="1137">
        <f>'CapEx&amp;Dep'!H53</f>
        <v>650.35450594999998</v>
      </c>
      <c r="I116" s="1137">
        <f ca="1">'CapEx&amp;Dep'!I53</f>
        <v>59.795354133333326</v>
      </c>
      <c r="J116" s="1137">
        <f ca="1">'CapEx&amp;Dep'!J53</f>
        <v>710.14986008333335</v>
      </c>
      <c r="K116" s="1137">
        <f ca="1">'CapEx&amp;Dep'!K53</f>
        <v>807.81781465181916</v>
      </c>
      <c r="L116" s="1137">
        <f ca="1">'CapEx&amp;Dep'!L53</f>
        <v>904.21134814875973</v>
      </c>
      <c r="M116" s="1137">
        <f ca="1">'CapEx&amp;Dep'!M53</f>
        <v>959.18647935760077</v>
      </c>
      <c r="N116" s="1137">
        <f ca="1">'CapEx&amp;Dep'!N53</f>
        <v>976.14953735951042</v>
      </c>
      <c r="O116" s="1294">
        <f ca="1">'CapEx&amp;Dep'!O53</f>
        <v>1089.7033272718543</v>
      </c>
      <c r="P116" s="404"/>
      <c r="Q116" s="1258"/>
      <c r="R116" s="1264"/>
      <c r="S116" s="1264"/>
      <c r="T116" s="1265"/>
      <c r="U116" s="1265"/>
    </row>
    <row r="117" spans="2:21" s="825" customFormat="1" ht="13.5" customHeight="1" x14ac:dyDescent="0.3">
      <c r="B117" s="391" t="s">
        <v>2046</v>
      </c>
      <c r="C117" s="182">
        <f>C115/C116</f>
        <v>0.75874482635766016</v>
      </c>
      <c r="D117" s="182">
        <f t="shared" ref="D117:O117" si="202">D115/D116</f>
        <v>0.8452206726493654</v>
      </c>
      <c r="E117" s="182">
        <f t="shared" si="202"/>
        <v>0.57505201957041618</v>
      </c>
      <c r="F117" s="182">
        <f t="shared" si="202"/>
        <v>0.62809905820520351</v>
      </c>
      <c r="G117" s="182">
        <f t="shared" si="202"/>
        <v>0.60570519519728727</v>
      </c>
      <c r="H117" s="182">
        <f t="shared" si="202"/>
        <v>0.70188690141111187</v>
      </c>
      <c r="I117" s="209">
        <f t="shared" ca="1" si="202"/>
        <v>0.67899958765135349</v>
      </c>
      <c r="J117" s="209">
        <f t="shared" ca="1" si="202"/>
        <v>0.65932896289672704</v>
      </c>
      <c r="K117" s="209">
        <f t="shared" ca="1" si="202"/>
        <v>0.77304790029072756</v>
      </c>
      <c r="L117" s="209">
        <f t="shared" ca="1" si="202"/>
        <v>0.82368727783674212</v>
      </c>
      <c r="M117" s="209">
        <f t="shared" ca="1" si="202"/>
        <v>0.8386237820251099</v>
      </c>
      <c r="N117" s="209">
        <f t="shared" ca="1" si="202"/>
        <v>0.79780767410779119</v>
      </c>
      <c r="O117" s="1292">
        <f t="shared" ca="1" si="202"/>
        <v>0.77268448374264787</v>
      </c>
      <c r="P117" s="404"/>
      <c r="Q117" s="1258"/>
      <c r="R117" s="1264"/>
      <c r="S117" s="1264"/>
      <c r="T117" s="1265"/>
      <c r="U117" s="1265"/>
    </row>
    <row r="118" spans="2:21" s="825" customFormat="1" ht="13.5" customHeight="1" x14ac:dyDescent="0.3">
      <c r="B118" s="1186"/>
      <c r="C118" s="1184"/>
      <c r="D118" s="1184"/>
      <c r="E118" s="1184"/>
      <c r="F118" s="1184"/>
      <c r="G118" s="1184"/>
      <c r="H118" s="1184"/>
      <c r="I118" s="1185"/>
      <c r="J118" s="1185"/>
      <c r="K118" s="1185"/>
      <c r="L118" s="1185"/>
      <c r="M118" s="1185"/>
      <c r="N118" s="209"/>
      <c r="O118" s="1292"/>
      <c r="P118" s="404"/>
      <c r="Q118" s="1258"/>
      <c r="R118" s="1264"/>
      <c r="S118" s="1264"/>
      <c r="T118" s="1265"/>
      <c r="U118" s="1265"/>
    </row>
    <row r="119" spans="2:21" s="825" customFormat="1" ht="13.5" customHeight="1" x14ac:dyDescent="0.3">
      <c r="B119" s="1186" t="s">
        <v>1790</v>
      </c>
      <c r="C119" s="246">
        <f>IS!J39</f>
        <v>436.05861800000002</v>
      </c>
      <c r="D119" s="246">
        <f>IS!K39</f>
        <v>270.72784100000001</v>
      </c>
      <c r="E119" s="246">
        <f>IS!L39</f>
        <v>93.916347000000002</v>
      </c>
      <c r="F119" s="246">
        <f>IS!M39</f>
        <v>97.830174999999997</v>
      </c>
      <c r="G119" s="246">
        <f>IS!N39</f>
        <v>95.235932000000005</v>
      </c>
      <c r="H119" s="246">
        <f>IS!O39</f>
        <v>59.143082999999997</v>
      </c>
      <c r="I119" s="1188">
        <f ca="1">'CapEx&amp;Dep'!I155</f>
        <v>4.0132907291666671</v>
      </c>
      <c r="J119" s="1188">
        <f ca="1">'CapEx&amp;Dep'!J155</f>
        <v>58.098612729166661</v>
      </c>
      <c r="K119" s="1188">
        <f ca="1">'CapEx&amp;Dep'!K155</f>
        <v>21.391470580172161</v>
      </c>
      <c r="L119" s="1188">
        <f ca="1">'CapEx&amp;Dep'!L155</f>
        <v>25.78817543949598</v>
      </c>
      <c r="M119" s="1188">
        <f ca="1">'CapEx&amp;Dep'!M155</f>
        <v>40.070306323855476</v>
      </c>
      <c r="N119" s="1188">
        <f ca="1">'CapEx&amp;Dep'!N155</f>
        <v>55.677492020234581</v>
      </c>
      <c r="O119" s="1295">
        <f ca="1">'CapEx&amp;Dep'!O155</f>
        <v>65.249628628374325</v>
      </c>
      <c r="P119" s="404"/>
      <c r="Q119" s="1258"/>
      <c r="R119" s="1264" t="s">
        <v>2172</v>
      </c>
      <c r="S119" s="1264"/>
      <c r="T119" s="1265"/>
      <c r="U119" s="1265"/>
    </row>
    <row r="120" spans="2:21" s="825" customFormat="1" ht="13.5" customHeight="1" x14ac:dyDescent="0.3">
      <c r="B120" s="1179" t="s">
        <v>2171</v>
      </c>
      <c r="C120" s="1137">
        <f>'CapEx&amp;Dep'!C99</f>
        <v>447.38499999999999</v>
      </c>
      <c r="D120" s="1137">
        <f>'CapEx&amp;Dep'!D99</f>
        <v>277.98900000000003</v>
      </c>
      <c r="E120" s="1137">
        <f>'CapEx&amp;Dep'!E99</f>
        <v>99.174000000000007</v>
      </c>
      <c r="F120" s="1137">
        <f>'CapEx&amp;Dep'!F99</f>
        <v>99.132000000000005</v>
      </c>
      <c r="G120" s="1137">
        <f>'CapEx&amp;Dep'!G99</f>
        <v>95.23599999999999</v>
      </c>
      <c r="H120" s="1137">
        <f>'CapEx&amp;Dep'!H99</f>
        <v>62.494038000000003</v>
      </c>
      <c r="I120" s="1137">
        <f ca="1">'CapEx&amp;Dep'!I99</f>
        <v>4.6837907291666667</v>
      </c>
      <c r="J120" s="1137">
        <f ca="1">'CapEx&amp;Dep'!J99</f>
        <v>65.231278729166661</v>
      </c>
      <c r="K120" s="1137">
        <f ca="1">'CapEx&amp;Dep'!K99</f>
        <v>30.832478129269383</v>
      </c>
      <c r="L120" s="1137">
        <f ca="1">'CapEx&amp;Dep'!L99</f>
        <v>38.0674395456657</v>
      </c>
      <c r="M120" s="1137">
        <f ca="1">'CapEx&amp;Dep'!M99</f>
        <v>55.286311348464402</v>
      </c>
      <c r="N120" s="1137">
        <f ca="1">'CapEx&amp;Dep'!N99</f>
        <v>66.80082676379071</v>
      </c>
      <c r="O120" s="1294">
        <f ca="1">'CapEx&amp;Dep'!O99</f>
        <v>77.218460256171781</v>
      </c>
      <c r="P120" s="404"/>
      <c r="Q120" s="1258"/>
      <c r="R120" s="1264"/>
      <c r="S120" s="1264"/>
      <c r="T120" s="1265"/>
      <c r="U120" s="1265"/>
    </row>
    <row r="121" spans="2:21" s="825" customFormat="1" ht="13.5" customHeight="1" x14ac:dyDescent="0.3">
      <c r="B121" s="391" t="s">
        <v>2047</v>
      </c>
      <c r="C121" s="182">
        <f>C119/C120</f>
        <v>0.97468314315410676</v>
      </c>
      <c r="D121" s="182">
        <f t="shared" ref="D121" si="203">D119/D120</f>
        <v>0.97387968948411618</v>
      </c>
      <c r="E121" s="182">
        <f t="shared" ref="E121" si="204">E119/E120</f>
        <v>0.94698557081493129</v>
      </c>
      <c r="F121" s="182">
        <f t="shared" ref="F121" si="205">F119/F120</f>
        <v>0.98686776217568484</v>
      </c>
      <c r="G121" s="182">
        <f t="shared" ref="G121:O121" si="206">G119/G120</f>
        <v>0.99999928598429177</v>
      </c>
      <c r="H121" s="182">
        <f t="shared" si="206"/>
        <v>0.94637960504328422</v>
      </c>
      <c r="I121" s="209">
        <f t="shared" ca="1" si="206"/>
        <v>0.85684672121990946</v>
      </c>
      <c r="J121" s="209">
        <f t="shared" ca="1" si="206"/>
        <v>0.89065573848990343</v>
      </c>
      <c r="K121" s="209">
        <f t="shared" ca="1" si="206"/>
        <v>0.6937966676076277</v>
      </c>
      <c r="L121" s="209">
        <f t="shared" ca="1" si="206"/>
        <v>0.67743393690979625</v>
      </c>
      <c r="M121" s="209">
        <f t="shared" ca="1" si="206"/>
        <v>0.72477807519651871</v>
      </c>
      <c r="N121" s="209">
        <f t="shared" ca="1" si="206"/>
        <v>0.83348507372687919</v>
      </c>
      <c r="O121" s="1292">
        <f t="shared" ca="1" si="206"/>
        <v>0.8450003847772809</v>
      </c>
      <c r="P121" s="404"/>
      <c r="Q121" s="1258"/>
      <c r="R121" s="1264"/>
      <c r="S121" s="1264"/>
      <c r="T121" s="1265"/>
      <c r="U121" s="1265"/>
    </row>
    <row r="122" spans="2:21" s="825" customFormat="1" ht="13.5" customHeight="1" x14ac:dyDescent="0.3">
      <c r="B122" s="1187"/>
      <c r="C122" s="182"/>
      <c r="D122" s="209"/>
      <c r="E122" s="209"/>
      <c r="F122" s="209"/>
      <c r="G122" s="209"/>
      <c r="H122" s="209"/>
      <c r="I122" s="209"/>
      <c r="J122" s="209"/>
      <c r="K122" s="209"/>
      <c r="L122" s="209"/>
      <c r="M122" s="209"/>
      <c r="N122" s="209"/>
      <c r="O122" s="1292"/>
      <c r="P122" s="404"/>
      <c r="Q122" s="1258"/>
      <c r="R122" s="1264"/>
      <c r="S122" s="1264"/>
      <c r="T122" s="1265"/>
      <c r="U122" s="1265"/>
    </row>
    <row r="123" spans="2:21" s="825" customFormat="1" ht="13.5" customHeight="1" x14ac:dyDescent="0.3">
      <c r="B123" s="1187"/>
      <c r="C123" s="182"/>
      <c r="D123" s="209"/>
      <c r="E123" s="209"/>
      <c r="F123" s="209"/>
      <c r="G123" s="209"/>
      <c r="H123" s="209"/>
      <c r="I123" s="209"/>
      <c r="J123" s="209"/>
      <c r="K123" s="209"/>
      <c r="L123" s="209"/>
      <c r="M123" s="209"/>
      <c r="N123" s="209"/>
      <c r="O123" s="480"/>
      <c r="P123" s="404"/>
      <c r="Q123" s="1258"/>
      <c r="R123" s="1264"/>
      <c r="S123" s="1264"/>
      <c r="T123" s="1265"/>
      <c r="U123" s="1265"/>
    </row>
    <row r="124" spans="2:21" ht="13.5" customHeight="1" x14ac:dyDescent="0.3">
      <c r="B124" s="477"/>
      <c r="C124" s="478"/>
      <c r="D124" s="478"/>
      <c r="E124" s="478"/>
      <c r="F124" s="478"/>
      <c r="G124" s="478"/>
      <c r="H124" s="478"/>
      <c r="I124" s="478"/>
      <c r="J124" s="478"/>
      <c r="K124" s="478"/>
      <c r="L124" s="478"/>
      <c r="M124" s="478"/>
      <c r="N124" s="478"/>
      <c r="O124" s="479"/>
      <c r="Q124" s="1258"/>
      <c r="R124" s="1264"/>
      <c r="S124" s="1264"/>
      <c r="T124" s="1265"/>
      <c r="U124" s="1265"/>
    </row>
    <row r="125" spans="2:21" ht="13.5" customHeight="1" x14ac:dyDescent="0.3">
      <c r="Q125" s="1258"/>
    </row>
    <row r="126" spans="2:21" ht="13.5" customHeight="1" x14ac:dyDescent="0.3">
      <c r="Q126" s="1258"/>
    </row>
    <row r="127" spans="2:21" ht="13.5" customHeight="1" x14ac:dyDescent="0.3">
      <c r="Q127" s="1258"/>
    </row>
    <row r="128" spans="2:21" ht="13.5" customHeight="1" x14ac:dyDescent="0.3">
      <c r="Q128" s="1258"/>
    </row>
    <row r="129" spans="17:17" ht="13.5" customHeight="1" x14ac:dyDescent="0.3">
      <c r="Q129" s="1258"/>
    </row>
    <row r="130" spans="17:17" ht="13.5" customHeight="1" x14ac:dyDescent="0.3">
      <c r="Q130" s="1258"/>
    </row>
    <row r="131" spans="17:17" ht="13.5" customHeight="1" x14ac:dyDescent="0.3">
      <c r="Q131" s="1258"/>
    </row>
    <row r="132" spans="17:17" ht="13.5" customHeight="1" x14ac:dyDescent="0.3">
      <c r="Q132" s="1258"/>
    </row>
    <row r="133" spans="17:17" ht="13.5" customHeight="1" x14ac:dyDescent="0.3">
      <c r="Q133" s="1258"/>
    </row>
    <row r="134" spans="17:17" ht="13.5" customHeight="1" x14ac:dyDescent="0.3">
      <c r="Q134" s="1258"/>
    </row>
    <row r="135" spans="17:17" ht="13.5" customHeight="1" x14ac:dyDescent="0.3">
      <c r="Q135" s="1258"/>
    </row>
    <row r="136" spans="17:17" ht="13.5" customHeight="1" x14ac:dyDescent="0.3">
      <c r="Q136" s="1258"/>
    </row>
    <row r="137" spans="17:17" ht="13.5" customHeight="1" x14ac:dyDescent="0.3">
      <c r="Q137" s="1258"/>
    </row>
    <row r="138" spans="17:17" ht="13.5" customHeight="1" x14ac:dyDescent="0.3">
      <c r="Q138" s="1258"/>
    </row>
    <row r="139" spans="17:17" ht="13.5" customHeight="1" x14ac:dyDescent="0.3">
      <c r="Q139" s="1258"/>
    </row>
    <row r="140" spans="17:17" ht="13.5" customHeight="1" x14ac:dyDescent="0.3">
      <c r="Q140" s="1258"/>
    </row>
    <row r="141" spans="17:17" ht="13.5" customHeight="1" x14ac:dyDescent="0.3">
      <c r="Q141" s="1258"/>
    </row>
    <row r="142" spans="17:17" ht="13.5" customHeight="1" x14ac:dyDescent="0.3">
      <c r="Q142" s="1258"/>
    </row>
    <row r="143" spans="17:17" ht="13.5" customHeight="1" x14ac:dyDescent="0.3">
      <c r="Q143" s="1258"/>
    </row>
    <row r="144" spans="17:17" ht="13.5" customHeight="1" x14ac:dyDescent="0.3">
      <c r="Q144" s="1258"/>
    </row>
    <row r="145" spans="17:17" ht="13.5" customHeight="1" x14ac:dyDescent="0.3">
      <c r="Q145" s="1258"/>
    </row>
    <row r="146" spans="17:17" ht="13.5" customHeight="1" x14ac:dyDescent="0.3">
      <c r="Q146" s="1258"/>
    </row>
    <row r="147" spans="17:17" ht="13.5" customHeight="1" x14ac:dyDescent="0.3">
      <c r="Q147" s="1258"/>
    </row>
    <row r="148" spans="17:17" ht="13.5" customHeight="1" x14ac:dyDescent="0.3">
      <c r="Q148" s="1258"/>
    </row>
    <row r="149" spans="17:17" ht="13.5" customHeight="1" x14ac:dyDescent="0.3">
      <c r="Q149" s="1258"/>
    </row>
    <row r="150" spans="17:17" ht="13.5" customHeight="1" x14ac:dyDescent="0.3">
      <c r="Q150" s="1258"/>
    </row>
    <row r="151" spans="17:17" ht="13.5" customHeight="1" x14ac:dyDescent="0.3">
      <c r="Q151" s="1258"/>
    </row>
    <row r="152" spans="17:17" ht="13.5" customHeight="1" x14ac:dyDescent="0.3">
      <c r="Q152" s="1258"/>
    </row>
    <row r="153" spans="17:17" ht="13.5" customHeight="1" x14ac:dyDescent="0.3">
      <c r="Q153" s="1258"/>
    </row>
    <row r="154" spans="17:17" ht="13.5" customHeight="1" x14ac:dyDescent="0.3">
      <c r="Q154" s="1258"/>
    </row>
  </sheetData>
  <mergeCells count="3">
    <mergeCell ref="R108:S108"/>
    <mergeCell ref="R53:S53"/>
    <mergeCell ref="R40:S40"/>
  </mergeCells>
  <phoneticPr fontId="1" type="noConversion"/>
  <pageMargins left="0.70866141732283472" right="0.70866141732283472" top="0.74803149606299213" bottom="0.74803149606299213" header="0.31496062992125984" footer="0.31496062992125984"/>
  <pageSetup paperSize="9" scale="38" fitToHeight="10" orientation="landscape" r:id="rId1"/>
  <ignoredErrors>
    <ignoredError sqref="L47:O47" formula="1"/>
  </ignoredErrors>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pageSetUpPr fitToPage="1"/>
  </sheetPr>
  <dimension ref="B1:T187"/>
  <sheetViews>
    <sheetView showGridLines="0" topLeftCell="A19" zoomScale="85" zoomScaleNormal="85" workbookViewId="0">
      <selection activeCell="I47" sqref="I44:I47"/>
    </sheetView>
  </sheetViews>
  <sheetFormatPr defaultColWidth="8.625" defaultRowHeight="13.5" customHeight="1" outlineLevelCol="1" x14ac:dyDescent="0.3"/>
  <cols>
    <col min="1" max="1" width="1.625" style="825" customWidth="1"/>
    <col min="2" max="2" width="13.625" style="825" customWidth="1"/>
    <col min="3" max="4" width="9" style="825" customWidth="1" outlineLevel="1"/>
    <col min="5" max="15" width="8.625" style="825" customWidth="1"/>
    <col min="16" max="16" width="1.625" style="825" customWidth="1"/>
    <col min="17" max="17" width="1.625" style="1256" customWidth="1"/>
    <col min="18" max="18" width="12.625" style="825" customWidth="1"/>
    <col min="19" max="19" width="24.625" style="825" customWidth="1"/>
    <col min="20" max="21" width="12.625" style="825" customWidth="1"/>
    <col min="22" max="16384" width="8.625" style="825"/>
  </cols>
  <sheetData>
    <row r="1" spans="2:17" s="691" customFormat="1" ht="30" customHeight="1" x14ac:dyDescent="0.3">
      <c r="B1" s="58" t="str">
        <f>"Project"&amp;" "&amp;Title!L6</f>
        <v>Project IT</v>
      </c>
      <c r="C1" s="59"/>
      <c r="D1" s="59"/>
      <c r="E1" s="59"/>
      <c r="F1" s="59"/>
      <c r="G1" s="59"/>
      <c r="H1" s="59"/>
      <c r="I1" s="59"/>
      <c r="J1" s="59"/>
      <c r="K1" s="59"/>
      <c r="L1" s="59"/>
      <c r="M1" s="59"/>
      <c r="N1" s="61"/>
      <c r="O1" s="61" t="str">
        <f>Des!C12</f>
        <v>DRAFT - For Discussion Purposes Only</v>
      </c>
      <c r="Q1" s="1256"/>
    </row>
    <row r="2" spans="2:17" s="691" customFormat="1" ht="20.100000000000001" customHeight="1" x14ac:dyDescent="0.3">
      <c r="B2" s="51" t="s">
        <v>3771</v>
      </c>
      <c r="C2" s="60"/>
      <c r="D2" s="60"/>
      <c r="E2" s="60"/>
      <c r="F2" s="60"/>
      <c r="G2" s="60"/>
      <c r="H2" s="60"/>
      <c r="I2" s="60"/>
      <c r="J2" s="60"/>
      <c r="K2" s="60"/>
      <c r="L2" s="60"/>
      <c r="M2" s="60"/>
      <c r="N2" s="60"/>
      <c r="O2" s="60"/>
      <c r="Q2" s="1256"/>
    </row>
    <row r="3" spans="2:17" s="691" customFormat="1" ht="14.1" customHeight="1" x14ac:dyDescent="0.3">
      <c r="C3" s="210"/>
      <c r="D3" s="210"/>
      <c r="E3" s="409"/>
      <c r="F3" s="409"/>
      <c r="G3" s="409"/>
      <c r="H3" s="409"/>
      <c r="I3" s="210"/>
      <c r="J3" s="210"/>
      <c r="K3" s="210"/>
      <c r="L3" s="210"/>
      <c r="Q3" s="1256"/>
    </row>
    <row r="4" spans="2:17" ht="13.5" customHeight="1" x14ac:dyDescent="0.3">
      <c r="B4" s="834" t="s">
        <v>3771</v>
      </c>
      <c r="C4" s="835"/>
      <c r="D4" s="835"/>
      <c r="E4" s="835"/>
      <c r="F4" s="835"/>
      <c r="G4" s="835"/>
      <c r="H4" s="835"/>
      <c r="I4" s="835"/>
      <c r="J4" s="836"/>
      <c r="K4" s="835"/>
      <c r="L4" s="835"/>
      <c r="M4" s="835"/>
      <c r="N4" s="835"/>
      <c r="O4" s="837"/>
      <c r="Q4" s="1258"/>
    </row>
    <row r="5" spans="2:17" s="294" customFormat="1" ht="13.5" customHeight="1" x14ac:dyDescent="0.3">
      <c r="B5" s="773" t="str">
        <f>unit</f>
        <v>KRW Millions</v>
      </c>
      <c r="C5" s="774">
        <f>'Pro forma'!C$5</f>
        <v>2010</v>
      </c>
      <c r="D5" s="774">
        <f>'Pro forma'!D$5</f>
        <v>2011</v>
      </c>
      <c r="E5" s="774">
        <f>'Pro forma'!E$5</f>
        <v>2012</v>
      </c>
      <c r="F5" s="774">
        <f>'Pro forma'!F$5</f>
        <v>2013</v>
      </c>
      <c r="G5" s="774">
        <f>'Pro forma'!G$5</f>
        <v>2014</v>
      </c>
      <c r="H5" s="774" t="str">
        <f>'Pro forma'!H$5</f>
        <v>2015/12A</v>
      </c>
      <c r="I5" s="774" t="str">
        <f>'Pro forma'!I$5</f>
        <v>2015/0E</v>
      </c>
      <c r="J5" s="774">
        <f>'Pro forma'!J$5</f>
        <v>2015</v>
      </c>
      <c r="K5" s="776">
        <f>'Pro forma'!K$5</f>
        <v>2016</v>
      </c>
      <c r="L5" s="776">
        <f>'Pro forma'!L$5</f>
        <v>2017</v>
      </c>
      <c r="M5" s="776">
        <f>'Pro forma'!M$5</f>
        <v>2018</v>
      </c>
      <c r="N5" s="776">
        <f>'Pro forma'!N$5</f>
        <v>2019</v>
      </c>
      <c r="O5" s="777">
        <f>'Pro forma'!O$5</f>
        <v>2020</v>
      </c>
      <c r="Q5" s="1258"/>
    </row>
    <row r="6" spans="2:17" s="294" customFormat="1" ht="13.5" customHeight="1" x14ac:dyDescent="0.3">
      <c r="B6" s="788" t="s">
        <v>3771</v>
      </c>
      <c r="C6" s="338">
        <f t="shared" ref="C6:M6" si="0">C10+C14+C18+C22</f>
        <v>16648.581357999999</v>
      </c>
      <c r="D6" s="338">
        <f t="shared" si="0"/>
        <v>19493.080739999998</v>
      </c>
      <c r="E6" s="338">
        <f t="shared" si="0"/>
        <v>26547.783572</v>
      </c>
      <c r="F6" s="338">
        <f t="shared" si="0"/>
        <v>30230.851469000001</v>
      </c>
      <c r="G6" s="338">
        <f t="shared" si="0"/>
        <v>30990.735109000005</v>
      </c>
      <c r="H6" s="338">
        <f t="shared" si="0"/>
        <v>29018.681810999999</v>
      </c>
      <c r="I6" s="394"/>
      <c r="J6" s="338">
        <f t="shared" si="0"/>
        <v>29018.681810999999</v>
      </c>
      <c r="K6" s="338">
        <f t="shared" si="0"/>
        <v>37055.598987415797</v>
      </c>
      <c r="L6" s="338">
        <f t="shared" si="0"/>
        <v>38611.934144887258</v>
      </c>
      <c r="M6" s="338">
        <f t="shared" si="0"/>
        <v>40156.411510682752</v>
      </c>
      <c r="N6" s="338">
        <f>N10+N14+N18+N22</f>
        <v>41842.980794131436</v>
      </c>
      <c r="O6" s="623">
        <f>O10+O14+O18+O22</f>
        <v>43684.071949073215</v>
      </c>
      <c r="Q6" s="1258"/>
    </row>
    <row r="7" spans="2:17" s="317" customFormat="1" ht="13.5" customHeight="1" x14ac:dyDescent="0.3">
      <c r="B7" s="863" t="s">
        <v>109</v>
      </c>
      <c r="C7" s="260" t="s">
        <v>92</v>
      </c>
      <c r="D7" s="260">
        <f t="shared" ref="D7" si="1">D6/C6-1</f>
        <v>0.17085536123671918</v>
      </c>
      <c r="E7" s="260"/>
      <c r="F7" s="260">
        <f>F6/E6-1</f>
        <v>0.13873353634254193</v>
      </c>
      <c r="G7" s="260">
        <f>G6/F6-1</f>
        <v>2.5136031672122083E-2</v>
      </c>
      <c r="H7" s="260">
        <f>H6/G6-1</f>
        <v>-6.3633640540114333E-2</v>
      </c>
      <c r="I7" s="260"/>
      <c r="J7" s="260">
        <f>J6/G6-1</f>
        <v>-6.3633640540114333E-2</v>
      </c>
      <c r="K7" s="260">
        <f t="shared" ref="K7:O7" si="2">K6/J6-1</f>
        <v>0.27695665946374159</v>
      </c>
      <c r="L7" s="260">
        <f t="shared" si="2"/>
        <v>4.2000000000000037E-2</v>
      </c>
      <c r="M7" s="260">
        <f t="shared" si="2"/>
        <v>4.0000000000000036E-2</v>
      </c>
      <c r="N7" s="260">
        <f t="shared" si="2"/>
        <v>4.2000000000000259E-2</v>
      </c>
      <c r="O7" s="783">
        <f t="shared" si="2"/>
        <v>4.3999999999999817E-2</v>
      </c>
      <c r="Q7" s="1258"/>
    </row>
    <row r="8" spans="2:17" ht="13.5" customHeight="1" x14ac:dyDescent="0.3">
      <c r="B8" s="861" t="s">
        <v>149</v>
      </c>
      <c r="C8" s="182">
        <f t="shared" ref="C8:O8" si="3">C6/C$44</f>
        <v>0.16450707623561439</v>
      </c>
      <c r="D8" s="182">
        <f t="shared" si="3"/>
        <v>0.16231932140882732</v>
      </c>
      <c r="E8" s="182">
        <f t="shared" si="3"/>
        <v>0.14564346275506695</v>
      </c>
      <c r="F8" s="182">
        <f t="shared" si="3"/>
        <v>0.1428116515216323</v>
      </c>
      <c r="G8" s="182">
        <f t="shared" si="3"/>
        <v>0.12307153475121081</v>
      </c>
      <c r="H8" s="182">
        <f t="shared" si="3"/>
        <v>0.13504088239085735</v>
      </c>
      <c r="I8" s="182"/>
      <c r="J8" s="182">
        <f t="shared" si="3"/>
        <v>0.13504088239085735</v>
      </c>
      <c r="K8" s="209">
        <f t="shared" si="3"/>
        <v>0.14962428510401796</v>
      </c>
      <c r="L8" s="182">
        <f t="shared" si="3"/>
        <v>0.15069717030876947</v>
      </c>
      <c r="M8" s="182">
        <f t="shared" si="3"/>
        <v>0.15135132688349526</v>
      </c>
      <c r="N8" s="182">
        <f t="shared" si="3"/>
        <v>0.1523054402273295</v>
      </c>
      <c r="O8" s="787">
        <f t="shared" si="3"/>
        <v>0.15345538356521565</v>
      </c>
      <c r="Q8" s="1258"/>
    </row>
    <row r="9" spans="2:17" ht="13.5" customHeight="1" x14ac:dyDescent="0.3">
      <c r="B9" s="861"/>
      <c r="C9" s="182"/>
      <c r="D9" s="182"/>
      <c r="E9" s="182"/>
      <c r="F9" s="182"/>
      <c r="G9" s="182"/>
      <c r="H9" s="182"/>
      <c r="I9" s="182"/>
      <c r="J9" s="182"/>
      <c r="K9" s="182"/>
      <c r="L9" s="182"/>
      <c r="M9" s="182"/>
      <c r="N9" s="182"/>
      <c r="O9" s="787"/>
      <c r="Q9" s="1258"/>
    </row>
    <row r="10" spans="2:17" ht="13.5" customHeight="1" x14ac:dyDescent="0.3">
      <c r="B10" s="864" t="s">
        <v>1891</v>
      </c>
      <c r="C10" s="246">
        <f t="shared" ref="C10:H10" si="4">C80+C117+C156</f>
        <v>11266.167415999998</v>
      </c>
      <c r="D10" s="246">
        <f t="shared" si="4"/>
        <v>10894.267792000001</v>
      </c>
      <c r="E10" s="246">
        <f t="shared" si="4"/>
        <v>13195.419577999999</v>
      </c>
      <c r="F10" s="246">
        <f t="shared" si="4"/>
        <v>16205.225345999999</v>
      </c>
      <c r="G10" s="246">
        <f t="shared" si="4"/>
        <v>18864.429088000001</v>
      </c>
      <c r="H10" s="246">
        <f t="shared" si="4"/>
        <v>24011.682771</v>
      </c>
      <c r="I10" s="246"/>
      <c r="J10" s="246">
        <f t="shared" ref="J10:O10" si="5">J80+J117+J156</f>
        <v>24011.682771</v>
      </c>
      <c r="K10" s="246">
        <f t="shared" si="5"/>
        <v>24011.682771</v>
      </c>
      <c r="L10" s="246">
        <f t="shared" si="5"/>
        <v>25020.173447382</v>
      </c>
      <c r="M10" s="246">
        <f t="shared" si="5"/>
        <v>26020.980385277282</v>
      </c>
      <c r="N10" s="246">
        <f t="shared" si="5"/>
        <v>27113.861561458929</v>
      </c>
      <c r="O10" s="785">
        <f t="shared" si="5"/>
        <v>28306.871470163122</v>
      </c>
      <c r="Q10" s="1258"/>
    </row>
    <row r="11" spans="2:17" s="317" customFormat="1" ht="13.5" customHeight="1" x14ac:dyDescent="0.3">
      <c r="B11" s="865" t="s">
        <v>109</v>
      </c>
      <c r="C11" s="260"/>
      <c r="D11" s="260">
        <f t="shared" ref="D11:E11" si="6">D10/C10-1</f>
        <v>-3.301030512575498E-2</v>
      </c>
      <c r="E11" s="260">
        <f t="shared" si="6"/>
        <v>0.21122592448937283</v>
      </c>
      <c r="F11" s="260">
        <f>F10/E10-1</f>
        <v>0.22809473773900191</v>
      </c>
      <c r="G11" s="260">
        <f>G10/F10-1</f>
        <v>0.16409544978381829</v>
      </c>
      <c r="H11" s="260">
        <f>H10/G10-1</f>
        <v>0.27285499386113199</v>
      </c>
      <c r="I11" s="260"/>
      <c r="J11" s="260">
        <f>J10/G10-1</f>
        <v>0.27285499386113199</v>
      </c>
      <c r="K11" s="260">
        <f t="shared" ref="K11:O11" si="7">K10/J10-1</f>
        <v>0</v>
      </c>
      <c r="L11" s="260">
        <f t="shared" si="7"/>
        <v>4.2000000000000037E-2</v>
      </c>
      <c r="M11" s="260">
        <f t="shared" si="7"/>
        <v>4.0000000000000036E-2</v>
      </c>
      <c r="N11" s="260">
        <f t="shared" si="7"/>
        <v>4.2000000000000037E-2</v>
      </c>
      <c r="O11" s="783">
        <f t="shared" si="7"/>
        <v>4.4000000000000039E-2</v>
      </c>
      <c r="Q11" s="1258"/>
    </row>
    <row r="12" spans="2:17" ht="13.5" customHeight="1" x14ac:dyDescent="0.3">
      <c r="B12" s="862" t="s">
        <v>149</v>
      </c>
      <c r="C12" s="182">
        <f t="shared" ref="C12:O12" si="8">C10/C$44</f>
        <v>0.1113226539927695</v>
      </c>
      <c r="D12" s="182">
        <f t="shared" si="8"/>
        <v>9.0716812741395536E-2</v>
      </c>
      <c r="E12" s="182">
        <f t="shared" si="8"/>
        <v>7.2391225980645652E-2</v>
      </c>
      <c r="F12" s="182">
        <f t="shared" si="8"/>
        <v>7.6554079110727383E-2</v>
      </c>
      <c r="G12" s="182">
        <f t="shared" si="8"/>
        <v>7.4915107108618012E-2</v>
      </c>
      <c r="H12" s="182">
        <f t="shared" si="8"/>
        <v>0.11174039021496981</v>
      </c>
      <c r="I12" s="182"/>
      <c r="J12" s="182">
        <f t="shared" si="8"/>
        <v>0.11174039021496981</v>
      </c>
      <c r="K12" s="182">
        <f t="shared" si="8"/>
        <v>9.6955142189860233E-2</v>
      </c>
      <c r="L12" s="182">
        <f t="shared" si="8"/>
        <v>9.7650361802824576E-2</v>
      </c>
      <c r="M12" s="182">
        <f t="shared" si="8"/>
        <v>9.8074249166248767E-2</v>
      </c>
      <c r="N12" s="209">
        <f t="shared" si="8"/>
        <v>9.8692505720339441E-2</v>
      </c>
      <c r="O12" s="866">
        <f t="shared" si="8"/>
        <v>9.9437658285362718E-2</v>
      </c>
      <c r="Q12" s="1258"/>
    </row>
    <row r="13" spans="2:17" ht="13.5" customHeight="1" x14ac:dyDescent="0.3">
      <c r="B13" s="862"/>
      <c r="C13" s="182"/>
      <c r="D13" s="182"/>
      <c r="E13" s="182"/>
      <c r="F13" s="182"/>
      <c r="G13" s="182"/>
      <c r="H13" s="182"/>
      <c r="I13" s="182"/>
      <c r="J13" s="182"/>
      <c r="K13" s="182"/>
      <c r="L13" s="182"/>
      <c r="M13" s="182"/>
      <c r="N13" s="209"/>
      <c r="O13" s="866"/>
      <c r="Q13" s="1258"/>
    </row>
    <row r="14" spans="2:17" ht="13.5" customHeight="1" x14ac:dyDescent="0.3">
      <c r="B14" s="864" t="s">
        <v>3775</v>
      </c>
      <c r="C14" s="246">
        <f t="shared" ref="C14:H14" si="9">C88+C125+C164</f>
        <v>3266.412554</v>
      </c>
      <c r="D14" s="246">
        <f t="shared" si="9"/>
        <v>5821.6886400000003</v>
      </c>
      <c r="E14" s="246">
        <f t="shared" si="9"/>
        <v>10059.996777</v>
      </c>
      <c r="F14" s="246">
        <f t="shared" si="9"/>
        <v>10099.981351999999</v>
      </c>
      <c r="G14" s="246">
        <f t="shared" si="9"/>
        <v>7853.303962</v>
      </c>
      <c r="H14" s="246">
        <f t="shared" si="9"/>
        <v>501.90459799999996</v>
      </c>
      <c r="I14" s="246"/>
      <c r="J14" s="246">
        <f t="shared" ref="J14:O14" si="10">J88+J125+J164</f>
        <v>501.90459799999996</v>
      </c>
      <c r="K14" s="246">
        <f t="shared" si="10"/>
        <v>7673.5421891408205</v>
      </c>
      <c r="L14" s="246">
        <f t="shared" si="10"/>
        <v>7995.8309610847336</v>
      </c>
      <c r="M14" s="246">
        <f t="shared" si="10"/>
        <v>8315.6641995281243</v>
      </c>
      <c r="N14" s="246">
        <f t="shared" si="10"/>
        <v>8664.9220959083068</v>
      </c>
      <c r="O14" s="785">
        <f t="shared" si="10"/>
        <v>9046.178668128272</v>
      </c>
      <c r="Q14" s="1258"/>
    </row>
    <row r="15" spans="2:17" s="317" customFormat="1" ht="13.5" customHeight="1" x14ac:dyDescent="0.3">
      <c r="B15" s="865" t="s">
        <v>109</v>
      </c>
      <c r="C15" s="260"/>
      <c r="D15" s="260">
        <f t="shared" ref="D15:E15" si="11">D14/C14-1</f>
        <v>0.7822882271471947</v>
      </c>
      <c r="E15" s="260">
        <f t="shared" si="11"/>
        <v>0.72802040766646003</v>
      </c>
      <c r="F15" s="260">
        <f>F14/E14-1</f>
        <v>3.9746111143310614E-3</v>
      </c>
      <c r="G15" s="260">
        <f>G14/F14-1</f>
        <v>-0.22244371664657692</v>
      </c>
      <c r="H15" s="260">
        <f>H14/G14-1</f>
        <v>-0.93609000741234771</v>
      </c>
      <c r="I15" s="260"/>
      <c r="J15" s="260">
        <f>J14/G14-1</f>
        <v>-0.93609000741234771</v>
      </c>
      <c r="K15" s="260">
        <f t="shared" ref="K15:O15" si="12">K14/J14-1</f>
        <v>14.288846166619141</v>
      </c>
      <c r="L15" s="260">
        <f t="shared" si="12"/>
        <v>4.1999999999999815E-2</v>
      </c>
      <c r="M15" s="260">
        <f t="shared" si="12"/>
        <v>4.0000000000000258E-2</v>
      </c>
      <c r="N15" s="260">
        <f t="shared" si="12"/>
        <v>4.2000000000000259E-2</v>
      </c>
      <c r="O15" s="783">
        <f t="shared" si="12"/>
        <v>4.4000000000000039E-2</v>
      </c>
      <c r="Q15" s="1258"/>
    </row>
    <row r="16" spans="2:17" ht="13.5" customHeight="1" x14ac:dyDescent="0.3">
      <c r="B16" s="862" t="s">
        <v>149</v>
      </c>
      <c r="C16" s="182">
        <f t="shared" ref="C16:O16" si="13">C14/C$44</f>
        <v>3.2275901921195144E-2</v>
      </c>
      <c r="D16" s="182">
        <f t="shared" si="13"/>
        <v>4.8477332141716609E-2</v>
      </c>
      <c r="E16" s="182">
        <f t="shared" si="13"/>
        <v>5.5190022245488461E-2</v>
      </c>
      <c r="F16" s="182">
        <f t="shared" si="13"/>
        <v>4.7712682479218345E-2</v>
      </c>
      <c r="G16" s="182">
        <f t="shared" si="13"/>
        <v>3.1187326408092155E-2</v>
      </c>
      <c r="H16" s="182">
        <f t="shared" si="13"/>
        <v>2.3356553626862654E-3</v>
      </c>
      <c r="I16" s="182"/>
      <c r="J16" s="182">
        <f t="shared" si="13"/>
        <v>2.3356553626862654E-3</v>
      </c>
      <c r="K16" s="182">
        <f t="shared" si="13"/>
        <v>3.098447456363156E-2</v>
      </c>
      <c r="L16" s="182">
        <f t="shared" si="13"/>
        <v>3.1206649622400991E-2</v>
      </c>
      <c r="M16" s="182">
        <f t="shared" si="13"/>
        <v>3.1342113579579688E-2</v>
      </c>
      <c r="N16" s="209">
        <f t="shared" si="13"/>
        <v>3.1539693141027898E-2</v>
      </c>
      <c r="O16" s="866">
        <f t="shared" si="13"/>
        <v>3.1777825540976079E-2</v>
      </c>
      <c r="Q16" s="1258"/>
    </row>
    <row r="17" spans="2:17" ht="13.5" customHeight="1" x14ac:dyDescent="0.3">
      <c r="B17" s="862"/>
      <c r="C17" s="182"/>
      <c r="D17" s="182"/>
      <c r="E17" s="182"/>
      <c r="F17" s="182"/>
      <c r="G17" s="182"/>
      <c r="H17" s="182"/>
      <c r="I17" s="502"/>
      <c r="J17" s="502"/>
      <c r="K17" s="182"/>
      <c r="L17" s="182"/>
      <c r="M17" s="182"/>
      <c r="N17" s="209"/>
      <c r="O17" s="866"/>
      <c r="Q17" s="1258"/>
    </row>
    <row r="18" spans="2:17" ht="13.5" customHeight="1" x14ac:dyDescent="0.3">
      <c r="B18" s="864" t="s">
        <v>1893</v>
      </c>
      <c r="C18" s="246">
        <f t="shared" ref="C18:H18" si="14">C94+C133+C172</f>
        <v>1112.4413569999999</v>
      </c>
      <c r="D18" s="246">
        <f t="shared" si="14"/>
        <v>1475.7957969999998</v>
      </c>
      <c r="E18" s="246">
        <f t="shared" si="14"/>
        <v>1836.1895539999998</v>
      </c>
      <c r="F18" s="246">
        <f t="shared" si="14"/>
        <v>2321.0451600000001</v>
      </c>
      <c r="G18" s="246">
        <f t="shared" si="14"/>
        <v>2611.303371</v>
      </c>
      <c r="H18" s="246">
        <f t="shared" si="14"/>
        <v>2861.677565</v>
      </c>
      <c r="I18" s="246"/>
      <c r="J18" s="246">
        <f t="shared" ref="J18:O18" si="15">J94+J133+J172</f>
        <v>2861.677565</v>
      </c>
      <c r="K18" s="246">
        <f t="shared" si="15"/>
        <v>3250.7646897550412</v>
      </c>
      <c r="L18" s="246">
        <f t="shared" si="15"/>
        <v>3387.2968067247539</v>
      </c>
      <c r="M18" s="246">
        <f t="shared" si="15"/>
        <v>3522.7886789937438</v>
      </c>
      <c r="N18" s="246">
        <f t="shared" si="15"/>
        <v>3670.745803511481</v>
      </c>
      <c r="O18" s="785">
        <f t="shared" si="15"/>
        <v>3832.2586188659861</v>
      </c>
      <c r="Q18" s="1258"/>
    </row>
    <row r="19" spans="2:17" s="317" customFormat="1" ht="13.5" customHeight="1" x14ac:dyDescent="0.3">
      <c r="B19" s="865" t="s">
        <v>109</v>
      </c>
      <c r="C19" s="260"/>
      <c r="D19" s="260">
        <f t="shared" ref="D19:E19" si="16">D18/C18-1</f>
        <v>0.32662795006101142</v>
      </c>
      <c r="E19" s="260">
        <f t="shared" si="16"/>
        <v>0.24420299727957562</v>
      </c>
      <c r="F19" s="260">
        <f>F18/E18-1</f>
        <v>0.26405531223275891</v>
      </c>
      <c r="G19" s="260">
        <f>G18/F18-1</f>
        <v>0.12505496058508392</v>
      </c>
      <c r="H19" s="260">
        <f>H18/G18-1</f>
        <v>9.5880929339940746E-2</v>
      </c>
      <c r="I19" s="260"/>
      <c r="J19" s="260">
        <f>J18/G18-1</f>
        <v>9.5880929339940746E-2</v>
      </c>
      <c r="K19" s="260">
        <f t="shared" ref="K19:O19" si="17">K18/J18-1</f>
        <v>0.13596469760038854</v>
      </c>
      <c r="L19" s="260">
        <f t="shared" si="17"/>
        <v>4.2000000000000259E-2</v>
      </c>
      <c r="M19" s="260">
        <f t="shared" si="17"/>
        <v>4.0000000000000036E-2</v>
      </c>
      <c r="N19" s="260">
        <f t="shared" si="17"/>
        <v>4.2000000000000037E-2</v>
      </c>
      <c r="O19" s="783">
        <f t="shared" si="17"/>
        <v>4.4000000000000039E-2</v>
      </c>
      <c r="Q19" s="1258"/>
    </row>
    <row r="20" spans="2:17" ht="13.5" customHeight="1" x14ac:dyDescent="0.3">
      <c r="B20" s="862" t="s">
        <v>149</v>
      </c>
      <c r="C20" s="182">
        <f t="shared" ref="C20:O20" si="18">C18/C$44</f>
        <v>1.0992196343246491E-2</v>
      </c>
      <c r="D20" s="182">
        <f t="shared" si="18"/>
        <v>1.2288984768604589E-2</v>
      </c>
      <c r="E20" s="182">
        <f t="shared" si="18"/>
        <v>1.0073496500901863E-2</v>
      </c>
      <c r="F20" s="182">
        <f t="shared" si="18"/>
        <v>1.0964702495918683E-2</v>
      </c>
      <c r="G20" s="182">
        <f t="shared" si="18"/>
        <v>1.0370102949789321E-2</v>
      </c>
      <c r="H20" s="182">
        <f t="shared" si="18"/>
        <v>1.3317057818568189E-2</v>
      </c>
      <c r="I20" s="182"/>
      <c r="J20" s="182">
        <f t="shared" si="18"/>
        <v>1.3317057818568189E-2</v>
      </c>
      <c r="K20" s="182">
        <f t="shared" si="18"/>
        <v>1.3126041840833918E-2</v>
      </c>
      <c r="L20" s="182">
        <f t="shared" si="18"/>
        <v>1.3220162498307339E-2</v>
      </c>
      <c r="M20" s="182">
        <f t="shared" si="18"/>
        <v>1.3277549483076141E-2</v>
      </c>
      <c r="N20" s="209">
        <f t="shared" si="18"/>
        <v>1.3361250679465213E-2</v>
      </c>
      <c r="O20" s="866">
        <f t="shared" si="18"/>
        <v>1.346213139115709E-2</v>
      </c>
      <c r="Q20" s="1258"/>
    </row>
    <row r="21" spans="2:17" ht="13.5" customHeight="1" x14ac:dyDescent="0.3">
      <c r="B21" s="862"/>
      <c r="C21" s="182"/>
      <c r="D21" s="182"/>
      <c r="E21" s="182"/>
      <c r="F21" s="182"/>
      <c r="G21" s="182"/>
      <c r="H21" s="182"/>
      <c r="I21" s="182"/>
      <c r="J21" s="182"/>
      <c r="K21" s="182"/>
      <c r="L21" s="182"/>
      <c r="M21" s="182"/>
      <c r="N21" s="209"/>
      <c r="O21" s="866"/>
      <c r="Q21" s="1258"/>
    </row>
    <row r="22" spans="2:17" ht="13.5" customHeight="1" x14ac:dyDescent="0.3">
      <c r="B22" s="864" t="s">
        <v>1894</v>
      </c>
      <c r="C22" s="246">
        <f t="shared" ref="C22:H22" si="19">C98+C137+C176</f>
        <v>1003.560031</v>
      </c>
      <c r="D22" s="246">
        <f t="shared" si="19"/>
        <v>1301.3285110000002</v>
      </c>
      <c r="E22" s="246">
        <f t="shared" si="19"/>
        <v>1456.1776629999999</v>
      </c>
      <c r="F22" s="246">
        <f t="shared" si="19"/>
        <v>1604.5996110000001</v>
      </c>
      <c r="G22" s="246">
        <f t="shared" si="19"/>
        <v>1661.6986879999999</v>
      </c>
      <c r="H22" s="246">
        <f t="shared" si="19"/>
        <v>1643.4168770000001</v>
      </c>
      <c r="I22" s="246"/>
      <c r="J22" s="246">
        <f t="shared" ref="J22:O22" si="20">J98+J137+J176</f>
        <v>1643.4168770000001</v>
      </c>
      <c r="K22" s="246">
        <f t="shared" si="20"/>
        <v>2119.6093375199353</v>
      </c>
      <c r="L22" s="246">
        <f t="shared" si="20"/>
        <v>2208.6329296957724</v>
      </c>
      <c r="M22" s="246">
        <f t="shared" si="20"/>
        <v>2296.9782468836033</v>
      </c>
      <c r="N22" s="246">
        <f t="shared" si="20"/>
        <v>2393.4513332527149</v>
      </c>
      <c r="O22" s="785">
        <f t="shared" si="20"/>
        <v>2498.7631919158343</v>
      </c>
      <c r="Q22" s="1258"/>
    </row>
    <row r="23" spans="2:17" s="317" customFormat="1" ht="13.5" customHeight="1" x14ac:dyDescent="0.3">
      <c r="B23" s="865" t="s">
        <v>109</v>
      </c>
      <c r="C23" s="260"/>
      <c r="D23" s="260">
        <f t="shared" ref="D23:E23" si="21">D22/C22-1</f>
        <v>0.29671217545729478</v>
      </c>
      <c r="E23" s="260">
        <f t="shared" si="21"/>
        <v>0.11899312947582064</v>
      </c>
      <c r="F23" s="260">
        <f>F22/E22-1</f>
        <v>0.1019257139916725</v>
      </c>
      <c r="G23" s="260">
        <f>G22/F22-1</f>
        <v>3.5584625976828654E-2</v>
      </c>
      <c r="H23" s="260">
        <f>H22/G22-1</f>
        <v>-1.100188086566023E-2</v>
      </c>
      <c r="I23" s="260"/>
      <c r="J23" s="260">
        <f>J22/G22-1</f>
        <v>-1.100188086566023E-2</v>
      </c>
      <c r="K23" s="260">
        <f t="shared" ref="K23:O23" si="22">K22/J22-1</f>
        <v>0.28975755767411115</v>
      </c>
      <c r="L23" s="260">
        <f t="shared" si="22"/>
        <v>4.2000000000000037E-2</v>
      </c>
      <c r="M23" s="260">
        <f t="shared" si="22"/>
        <v>4.0000000000000036E-2</v>
      </c>
      <c r="N23" s="260">
        <f t="shared" si="22"/>
        <v>4.2000000000000037E-2</v>
      </c>
      <c r="O23" s="783">
        <f t="shared" si="22"/>
        <v>4.4000000000000039E-2</v>
      </c>
      <c r="Q23" s="1258"/>
    </row>
    <row r="24" spans="2:17" ht="13.5" customHeight="1" x14ac:dyDescent="0.3">
      <c r="B24" s="862" t="s">
        <v>149</v>
      </c>
      <c r="C24" s="182">
        <f t="shared" ref="C24:O24" si="23">C22/C$44</f>
        <v>9.9163239784032381E-3</v>
      </c>
      <c r="D24" s="182">
        <f t="shared" si="23"/>
        <v>1.0836191757110617E-2</v>
      </c>
      <c r="E24" s="182">
        <f t="shared" si="23"/>
        <v>7.9887180280309739E-3</v>
      </c>
      <c r="F24" s="182">
        <f t="shared" si="23"/>
        <v>7.5801874357678796E-3</v>
      </c>
      <c r="G24" s="182">
        <f t="shared" si="23"/>
        <v>6.598998284711304E-3</v>
      </c>
      <c r="H24" s="182">
        <f t="shared" si="23"/>
        <v>7.6477789946330895E-3</v>
      </c>
      <c r="I24" s="182"/>
      <c r="J24" s="182">
        <f t="shared" si="23"/>
        <v>7.6477789946330895E-3</v>
      </c>
      <c r="K24" s="182">
        <f t="shared" si="23"/>
        <v>8.5586265096922309E-3</v>
      </c>
      <c r="L24" s="182">
        <f t="shared" si="23"/>
        <v>8.6199963852365592E-3</v>
      </c>
      <c r="M24" s="182">
        <f t="shared" si="23"/>
        <v>8.6574146545906651E-3</v>
      </c>
      <c r="N24" s="182">
        <f t="shared" si="23"/>
        <v>8.7119906864969419E-3</v>
      </c>
      <c r="O24" s="787">
        <f t="shared" si="23"/>
        <v>8.7777683477197454E-3</v>
      </c>
      <c r="Q24" s="1258"/>
    </row>
    <row r="25" spans="2:17" ht="13.5" customHeight="1" x14ac:dyDescent="0.3">
      <c r="B25" s="862"/>
      <c r="C25" s="182"/>
      <c r="D25" s="182"/>
      <c r="E25" s="182"/>
      <c r="F25" s="182"/>
      <c r="G25" s="182"/>
      <c r="H25" s="182"/>
      <c r="I25" s="182"/>
      <c r="J25" s="182"/>
      <c r="K25" s="182"/>
      <c r="L25" s="182"/>
      <c r="M25" s="182"/>
      <c r="N25" s="182"/>
      <c r="O25" s="787"/>
      <c r="Q25" s="1258"/>
    </row>
    <row r="26" spans="2:17" ht="13.5" customHeight="1" x14ac:dyDescent="0.3">
      <c r="B26" s="864" t="s">
        <v>1910</v>
      </c>
      <c r="C26" s="246">
        <f t="shared" ref="C26:H26" si="24">C102+C141+C180</f>
        <v>414.95967499999995</v>
      </c>
      <c r="D26" s="246">
        <f t="shared" si="24"/>
        <v>840.91451800000004</v>
      </c>
      <c r="E26" s="246">
        <f t="shared" si="24"/>
        <v>1040.4416920000001</v>
      </c>
      <c r="F26" s="246">
        <f t="shared" si="24"/>
        <v>1426.9934320000002</v>
      </c>
      <c r="G26" s="246">
        <f t="shared" si="24"/>
        <v>1767.5192729999999</v>
      </c>
      <c r="H26" s="246">
        <f t="shared" si="24"/>
        <v>1732.2977540000002</v>
      </c>
      <c r="I26" s="246"/>
      <c r="J26" s="246">
        <f t="shared" ref="J26:O26" si="25">J102+J141+J180</f>
        <v>1732.2977540000002</v>
      </c>
      <c r="K26" s="246">
        <f t="shared" si="25"/>
        <v>2161.5043628032472</v>
      </c>
      <c r="L26" s="246">
        <f t="shared" si="25"/>
        <v>2252.2875460409841</v>
      </c>
      <c r="M26" s="246">
        <f t="shared" si="25"/>
        <v>2342.3790478826231</v>
      </c>
      <c r="N26" s="246">
        <f t="shared" si="25"/>
        <v>2440.7589678936938</v>
      </c>
      <c r="O26" s="785">
        <f t="shared" si="25"/>
        <v>2548.1523624810161</v>
      </c>
      <c r="Q26" s="1258"/>
    </row>
    <row r="27" spans="2:17" ht="13.5" customHeight="1" x14ac:dyDescent="0.3">
      <c r="B27" s="865" t="s">
        <v>109</v>
      </c>
      <c r="C27" s="260"/>
      <c r="D27" s="260">
        <f t="shared" ref="D27" si="26">D26/C26-1</f>
        <v>1.0264969553969312</v>
      </c>
      <c r="E27" s="260">
        <f t="shared" ref="E27" si="27">E26/D26-1</f>
        <v>0.23727402694217736</v>
      </c>
      <c r="F27" s="260">
        <f>F26/E26-1</f>
        <v>0.37152657661857713</v>
      </c>
      <c r="G27" s="260">
        <f>G26/F26-1</f>
        <v>0.23863168068176477</v>
      </c>
      <c r="H27" s="260">
        <f>H26/G26-1</f>
        <v>-1.9927091906736805E-2</v>
      </c>
      <c r="I27" s="260"/>
      <c r="J27" s="260">
        <f>J26/G26-1</f>
        <v>-1.9927091906736805E-2</v>
      </c>
      <c r="K27" s="260">
        <f t="shared" ref="K27" si="28">K26/J26-1</f>
        <v>0.2477672258202599</v>
      </c>
      <c r="L27" s="260">
        <f t="shared" ref="L27" si="29">L26/K26-1</f>
        <v>4.2000000000000259E-2</v>
      </c>
      <c r="M27" s="260">
        <f t="shared" ref="M27" si="30">M26/L26-1</f>
        <v>3.9999999999999813E-2</v>
      </c>
      <c r="N27" s="260">
        <f t="shared" ref="N27" si="31">N26/M26-1</f>
        <v>4.2000000000000259E-2</v>
      </c>
      <c r="O27" s="783">
        <f t="shared" ref="O27" si="32">O26/N26-1</f>
        <v>4.3999999999999817E-2</v>
      </c>
      <c r="Q27" s="1258"/>
    </row>
    <row r="28" spans="2:17" ht="13.5" customHeight="1" x14ac:dyDescent="0.3">
      <c r="B28" s="862" t="s">
        <v>149</v>
      </c>
      <c r="C28" s="182">
        <f t="shared" ref="C28:O28" si="33">C26/C$44</f>
        <v>4.1002774604052697E-3</v>
      </c>
      <c r="D28" s="182">
        <f t="shared" si="33"/>
        <v>7.0023140900708717E-3</v>
      </c>
      <c r="E28" s="182">
        <f t="shared" si="33"/>
        <v>5.7079541275695637E-3</v>
      </c>
      <c r="F28" s="182">
        <f t="shared" si="33"/>
        <v>6.7411693297298745E-3</v>
      </c>
      <c r="G28" s="182">
        <f t="shared" si="33"/>
        <v>7.019236841764402E-3</v>
      </c>
      <c r="H28" s="182">
        <f t="shared" si="33"/>
        <v>8.0613936493553976E-3</v>
      </c>
      <c r="I28" s="182"/>
      <c r="J28" s="182">
        <f t="shared" si="33"/>
        <v>8.0613936493553976E-3</v>
      </c>
      <c r="K28" s="182">
        <f t="shared" si="33"/>
        <v>8.7277915853818475E-3</v>
      </c>
      <c r="L28" s="182">
        <f t="shared" si="33"/>
        <v>8.7903744639272769E-3</v>
      </c>
      <c r="M28" s="182">
        <f t="shared" si="33"/>
        <v>8.8285323220880993E-3</v>
      </c>
      <c r="N28" s="182">
        <f t="shared" si="33"/>
        <v>8.8841870736414853E-3</v>
      </c>
      <c r="O28" s="787">
        <f t="shared" si="33"/>
        <v>8.9512648597180645E-3</v>
      </c>
      <c r="Q28" s="1258"/>
    </row>
    <row r="29" spans="2:17" ht="13.5" customHeight="1" x14ac:dyDescent="0.3">
      <c r="B29" s="862"/>
      <c r="C29" s="182"/>
      <c r="D29" s="182"/>
      <c r="E29" s="182"/>
      <c r="F29" s="182"/>
      <c r="G29" s="182"/>
      <c r="H29" s="182"/>
      <c r="I29" s="182"/>
      <c r="J29" s="182"/>
      <c r="K29" s="182"/>
      <c r="L29" s="182"/>
      <c r="M29" s="182"/>
      <c r="N29" s="182"/>
      <c r="O29" s="787"/>
      <c r="Q29" s="1258"/>
    </row>
    <row r="30" spans="2:17" ht="13.5" customHeight="1" x14ac:dyDescent="0.3">
      <c r="B30" s="864" t="s">
        <v>4449</v>
      </c>
      <c r="C30" s="246">
        <f t="shared" ref="C30:H30" si="34">C106+C145+C184</f>
        <v>532.92992000000004</v>
      </c>
      <c r="D30" s="246">
        <f t="shared" si="34"/>
        <v>639.03890000000001</v>
      </c>
      <c r="E30" s="246">
        <f t="shared" si="34"/>
        <v>815.83221400000002</v>
      </c>
      <c r="F30" s="246">
        <f t="shared" si="34"/>
        <v>991.99375999999995</v>
      </c>
      <c r="G30" s="246">
        <f t="shared" si="34"/>
        <v>1089.0668479999999</v>
      </c>
      <c r="H30" s="246">
        <f t="shared" si="34"/>
        <v>1242.2301649999999</v>
      </c>
      <c r="I30" s="246"/>
      <c r="J30" s="246">
        <f t="shared" ref="J30:O30" si="35">J106+J145+J184</f>
        <v>1242.2301649999999</v>
      </c>
      <c r="K30" s="246">
        <f t="shared" si="35"/>
        <v>1396.5087379704746</v>
      </c>
      <c r="L30" s="246">
        <f t="shared" si="35"/>
        <v>1455.1621049652344</v>
      </c>
      <c r="M30" s="246">
        <f t="shared" si="35"/>
        <v>1513.3685891638438</v>
      </c>
      <c r="N30" s="246">
        <f t="shared" si="35"/>
        <v>1576.9300699087255</v>
      </c>
      <c r="O30" s="785">
        <f t="shared" si="35"/>
        <v>1646.3149929847095</v>
      </c>
      <c r="Q30" s="1258"/>
    </row>
    <row r="31" spans="2:17" ht="13.5" customHeight="1" x14ac:dyDescent="0.3">
      <c r="B31" s="865" t="s">
        <v>109</v>
      </c>
      <c r="C31" s="260"/>
      <c r="D31" s="260">
        <f t="shared" ref="D31" si="36">D30/C30-1</f>
        <v>0.19910494047697669</v>
      </c>
      <c r="E31" s="260">
        <f t="shared" ref="E31" si="37">E30/D30-1</f>
        <v>0.27665501114251412</v>
      </c>
      <c r="F31" s="260">
        <f>F30/E30-1</f>
        <v>0.21592864681854773</v>
      </c>
      <c r="G31" s="260">
        <f>G30/F30-1</f>
        <v>9.7856551033143502E-2</v>
      </c>
      <c r="H31" s="260">
        <f>H30/G30-1</f>
        <v>0.1406372044849904</v>
      </c>
      <c r="I31" s="260"/>
      <c r="J31" s="260">
        <f>J30/G30-1</f>
        <v>0.1406372044849904</v>
      </c>
      <c r="K31" s="260">
        <f t="shared" ref="K31" si="38">K30/J30-1</f>
        <v>0.12419483709001278</v>
      </c>
      <c r="L31" s="260">
        <f t="shared" ref="L31" si="39">L30/K30-1</f>
        <v>4.2000000000000037E-2</v>
      </c>
      <c r="M31" s="260">
        <f t="shared" ref="M31" si="40">M30/L30-1</f>
        <v>4.0000000000000036E-2</v>
      </c>
      <c r="N31" s="260">
        <f t="shared" ref="N31" si="41">N30/M30-1</f>
        <v>4.2000000000000259E-2</v>
      </c>
      <c r="O31" s="783">
        <f t="shared" ref="O31" si="42">O30/N30-1</f>
        <v>4.4000000000000039E-2</v>
      </c>
      <c r="Q31" s="1258"/>
    </row>
    <row r="32" spans="2:17" ht="13.5" customHeight="1" x14ac:dyDescent="0.3">
      <c r="B32" s="862" t="s">
        <v>149</v>
      </c>
      <c r="C32" s="182">
        <f t="shared" ref="C32:O32" si="43">C30/C$44</f>
        <v>5.2659587680455554E-3</v>
      </c>
      <c r="D32" s="182">
        <f t="shared" si="43"/>
        <v>5.3212912820389561E-3</v>
      </c>
      <c r="E32" s="182">
        <f t="shared" si="43"/>
        <v>4.4757268851405418E-3</v>
      </c>
      <c r="F32" s="182">
        <f t="shared" si="43"/>
        <v>4.6862149188892808E-3</v>
      </c>
      <c r="G32" s="182">
        <f t="shared" si="43"/>
        <v>4.324941888554916E-3</v>
      </c>
      <c r="H32" s="182">
        <f t="shared" si="43"/>
        <v>5.7808228060363259E-3</v>
      </c>
      <c r="I32" s="182"/>
      <c r="J32" s="182">
        <f t="shared" si="43"/>
        <v>5.7808228060363259E-3</v>
      </c>
      <c r="K32" s="182">
        <f t="shared" si="43"/>
        <v>5.6388677357855485E-3</v>
      </c>
      <c r="L32" s="182">
        <f t="shared" si="43"/>
        <v>5.6793013977480379E-3</v>
      </c>
      <c r="M32" s="182">
        <f t="shared" si="43"/>
        <v>5.7039544973488737E-3</v>
      </c>
      <c r="N32" s="182">
        <f t="shared" si="43"/>
        <v>5.7399120222058125E-3</v>
      </c>
      <c r="O32" s="787">
        <f t="shared" si="43"/>
        <v>5.7832497623425813E-3</v>
      </c>
      <c r="Q32" s="1258"/>
    </row>
    <row r="33" spans="2:17" ht="13.5" customHeight="1" thickBot="1" x14ac:dyDescent="0.35">
      <c r="B33" s="876"/>
      <c r="C33" s="790"/>
      <c r="D33" s="790"/>
      <c r="E33" s="790"/>
      <c r="F33" s="790"/>
      <c r="G33" s="790"/>
      <c r="H33" s="790"/>
      <c r="I33" s="790"/>
      <c r="J33" s="790"/>
      <c r="K33" s="790"/>
      <c r="L33" s="790"/>
      <c r="M33" s="790"/>
      <c r="N33" s="790"/>
      <c r="O33" s="791"/>
      <c r="Q33" s="1258"/>
    </row>
    <row r="34" spans="2:17" ht="13.5" customHeight="1" x14ac:dyDescent="0.3">
      <c r="B34" s="1145"/>
      <c r="C34" s="182"/>
      <c r="D34" s="182"/>
      <c r="E34" s="182"/>
      <c r="F34" s="182"/>
      <c r="G34" s="182"/>
      <c r="H34" s="182"/>
      <c r="I34" s="182"/>
      <c r="J34" s="182"/>
      <c r="K34" s="182"/>
      <c r="L34" s="182"/>
      <c r="M34" s="182"/>
      <c r="N34" s="182"/>
      <c r="O34" s="182"/>
      <c r="Q34" s="1258"/>
    </row>
    <row r="35" spans="2:17" ht="13.5" customHeight="1" x14ac:dyDescent="0.3">
      <c r="B35" s="1146" t="s">
        <v>2022</v>
      </c>
      <c r="C35" s="1147"/>
      <c r="D35" s="1147"/>
      <c r="E35" s="1147"/>
      <c r="F35" s="1147"/>
      <c r="G35" s="1147"/>
      <c r="H35" s="1147"/>
      <c r="I35" s="1147"/>
      <c r="J35" s="1147"/>
      <c r="K35" s="1147"/>
      <c r="L35" s="1147"/>
      <c r="M35" s="1147"/>
      <c r="N35" s="1147"/>
      <c r="O35" s="1148"/>
      <c r="Q35" s="1258"/>
    </row>
    <row r="36" spans="2:17" ht="13.5" customHeight="1" x14ac:dyDescent="0.3">
      <c r="B36" s="1149"/>
      <c r="C36" s="1150">
        <f>'Pro forma'!C5</f>
        <v>2010</v>
      </c>
      <c r="D36" s="1150">
        <f>'Pro forma'!D5</f>
        <v>2011</v>
      </c>
      <c r="E36" s="1150">
        <f>'Pro forma'!E5</f>
        <v>2012</v>
      </c>
      <c r="F36" s="1150">
        <f>'Pro forma'!F5</f>
        <v>2013</v>
      </c>
      <c r="G36" s="1150">
        <f>'Pro forma'!G5</f>
        <v>2014</v>
      </c>
      <c r="H36" s="1151" t="str">
        <f>'Pro forma'!H5</f>
        <v>2015/12A</v>
      </c>
      <c r="I36" s="1152" t="str">
        <f>'Pro forma'!I5</f>
        <v>2015/0E</v>
      </c>
      <c r="J36" s="1153">
        <f>'Pro forma'!J5</f>
        <v>2015</v>
      </c>
      <c r="K36" s="1153">
        <f>'Pro forma'!K5</f>
        <v>2016</v>
      </c>
      <c r="L36" s="1153">
        <f>'Pro forma'!L5</f>
        <v>2017</v>
      </c>
      <c r="M36" s="1153">
        <f>'Pro forma'!M5</f>
        <v>2018</v>
      </c>
      <c r="N36" s="1153">
        <f>'Pro forma'!N5</f>
        <v>2019</v>
      </c>
      <c r="O36" s="1154">
        <f>'Pro forma'!O5</f>
        <v>2020</v>
      </c>
      <c r="Q36" s="1258"/>
    </row>
    <row r="37" spans="2:17" ht="13.5" customHeight="1" x14ac:dyDescent="0.3">
      <c r="B37" s="1155" t="s">
        <v>2023</v>
      </c>
      <c r="C37" s="1156">
        <f>Macro!H87/100</f>
        <v>2.9380000000000003E-2</v>
      </c>
      <c r="D37" s="1156">
        <f>Macro!I87/100</f>
        <v>4.0250000000000001E-2</v>
      </c>
      <c r="E37" s="1156">
        <f>Macro!J87/100</f>
        <v>2.1829999999999999E-2</v>
      </c>
      <c r="F37" s="1156">
        <f>Macro!K87/100</f>
        <v>1.3009999999999999E-2</v>
      </c>
      <c r="G37" s="1156">
        <f>Macro!L87/100</f>
        <v>1.2749999999999999E-2</v>
      </c>
      <c r="H37" s="1156"/>
      <c r="I37" s="1156"/>
      <c r="J37" s="1156">
        <f>Macro!M87/100</f>
        <v>6.0000000000000001E-3</v>
      </c>
      <c r="K37" s="1156">
        <f>Macro!N87/100</f>
        <v>1.3000000000000001E-2</v>
      </c>
      <c r="L37" s="1156">
        <f>Macro!O87/100</f>
        <v>1.4999999999999999E-2</v>
      </c>
      <c r="M37" s="1156">
        <f>Macro!P87/100</f>
        <v>1.8000000000000002E-2</v>
      </c>
      <c r="N37" s="1156">
        <f>Macro!Q87/100</f>
        <v>0.02</v>
      </c>
      <c r="O37" s="1157">
        <f>Macro!R87/100</f>
        <v>2.2000000000000002E-2</v>
      </c>
      <c r="Q37" s="1258"/>
    </row>
    <row r="38" spans="2:17" ht="13.5" customHeight="1" x14ac:dyDescent="0.3">
      <c r="B38" s="1155" t="s">
        <v>2028</v>
      </c>
      <c r="C38" s="1156">
        <f>Macro!H90/100</f>
        <v>6.8440000000000001E-2</v>
      </c>
      <c r="D38" s="1156">
        <f>Macro!I90/100</f>
        <v>9.2300000000000004E-3</v>
      </c>
      <c r="E38" s="1156">
        <f>Macro!J90/100</f>
        <v>5.3710000000000008E-2</v>
      </c>
      <c r="F38" s="1156">
        <f>Macro!K90/100</f>
        <v>3.8559999999999997E-2</v>
      </c>
      <c r="G38" s="1156">
        <f>Macro!L90/100</f>
        <v>2.5539999999999997E-2</v>
      </c>
      <c r="H38" s="1156"/>
      <c r="I38" s="1156"/>
      <c r="J38" s="1156">
        <f>Macro!M90/100</f>
        <v>4.2000000000000003E-2</v>
      </c>
      <c r="K38" s="1156">
        <f>Macro!N90/100</f>
        <v>4.2999999999999997E-2</v>
      </c>
      <c r="L38" s="1156">
        <f>Macro!O90/100</f>
        <v>4.2000000000000003E-2</v>
      </c>
      <c r="M38" s="1156">
        <f>Macro!P90/100</f>
        <v>0.04</v>
      </c>
      <c r="N38" s="1156">
        <f>Macro!Q90/100</f>
        <v>4.2000000000000003E-2</v>
      </c>
      <c r="O38" s="1157">
        <f>Macro!R90/100</f>
        <v>4.4000000000000004E-2</v>
      </c>
      <c r="Q38" s="1258"/>
    </row>
    <row r="39" spans="2:17" ht="13.5" customHeight="1" x14ac:dyDescent="0.3">
      <c r="B39" s="1158" t="s">
        <v>1444</v>
      </c>
      <c r="C39" s="1159">
        <f>Macro!H67/100</f>
        <v>5.0999999999999997E-2</v>
      </c>
      <c r="D39" s="1159">
        <f>Macro!I67/100</f>
        <v>1.9E-2</v>
      </c>
      <c r="E39" s="1159">
        <f>Macro!J67/100</f>
        <v>5.0000000000000001E-3</v>
      </c>
      <c r="F39" s="1159">
        <f>Macro!K67/100</f>
        <v>1.3000000000000001E-2</v>
      </c>
      <c r="G39" s="1159">
        <f>Macro!L67/100</f>
        <v>1.2E-2</v>
      </c>
      <c r="H39" s="1159"/>
      <c r="I39" s="1159"/>
      <c r="J39" s="1159">
        <f>Macro!M67/100</f>
        <v>1.2E-2</v>
      </c>
      <c r="K39" s="1159">
        <f>Macro!N67/100</f>
        <v>1.4999999999999999E-2</v>
      </c>
      <c r="L39" s="1159">
        <f>Macro!O67/100</f>
        <v>1.4999999999999999E-2</v>
      </c>
      <c r="M39" s="1159">
        <f>Macro!P67/100</f>
        <v>1.9E-2</v>
      </c>
      <c r="N39" s="1159">
        <f>Macro!Q67/100</f>
        <v>1.9E-2</v>
      </c>
      <c r="O39" s="1160">
        <f>Macro!R67/100</f>
        <v>0.02</v>
      </c>
      <c r="Q39" s="1258"/>
    </row>
    <row r="40" spans="2:17" ht="13.5" customHeight="1" x14ac:dyDescent="0.3">
      <c r="B40" s="1874"/>
      <c r="C40" s="1156"/>
      <c r="D40" s="1156"/>
      <c r="E40" s="1156"/>
      <c r="F40" s="1156"/>
      <c r="G40" s="1156"/>
      <c r="H40" s="1156"/>
      <c r="I40" s="1156"/>
      <c r="J40" s="1156"/>
      <c r="K40" s="1156"/>
      <c r="L40" s="1156"/>
      <c r="M40" s="1156"/>
      <c r="N40" s="1156"/>
      <c r="O40" s="1156"/>
      <c r="Q40" s="1258"/>
    </row>
    <row r="41" spans="2:17" ht="13.5" customHeight="1" x14ac:dyDescent="0.3">
      <c r="B41" s="1126"/>
      <c r="C41" s="1126"/>
      <c r="D41" s="1126"/>
      <c r="E41" s="1126"/>
      <c r="F41" s="1126"/>
      <c r="G41" s="1126"/>
      <c r="H41" s="1126"/>
      <c r="I41" s="1126"/>
      <c r="J41" s="1126"/>
      <c r="K41" s="1126"/>
      <c r="L41" s="1126"/>
      <c r="M41" s="1126"/>
      <c r="N41" s="1132"/>
      <c r="O41" s="1132"/>
      <c r="Q41" s="1258"/>
    </row>
    <row r="42" spans="2:17" ht="13.5" customHeight="1" x14ac:dyDescent="0.3">
      <c r="B42" s="1161" t="s">
        <v>2024</v>
      </c>
      <c r="C42" s="1162"/>
      <c r="D42" s="1162"/>
      <c r="E42" s="1162"/>
      <c r="F42" s="1162"/>
      <c r="G42" s="1162"/>
      <c r="H42" s="1162"/>
      <c r="I42" s="1162"/>
      <c r="J42" s="1162"/>
      <c r="K42" s="1162"/>
      <c r="L42" s="1162"/>
      <c r="M42" s="1162"/>
      <c r="N42" s="1162"/>
      <c r="O42" s="1163"/>
      <c r="Q42" s="1258"/>
    </row>
    <row r="43" spans="2:17" ht="13.5" customHeight="1" x14ac:dyDescent="0.3">
      <c r="B43" s="1164"/>
      <c r="C43" s="1165">
        <f>'Pro forma'!C5</f>
        <v>2010</v>
      </c>
      <c r="D43" s="1165">
        <f>'Pro forma'!D5</f>
        <v>2011</v>
      </c>
      <c r="E43" s="1165">
        <f>'Pro forma'!E5</f>
        <v>2012</v>
      </c>
      <c r="F43" s="1165">
        <f>'Pro forma'!F5</f>
        <v>2013</v>
      </c>
      <c r="G43" s="1165">
        <f>'Pro forma'!G5</f>
        <v>2014</v>
      </c>
      <c r="H43" s="1166" t="str">
        <f>'Pro forma'!H5</f>
        <v>2015/12A</v>
      </c>
      <c r="I43" s="1167" t="str">
        <f>'Pro forma'!I5</f>
        <v>2015/0E</v>
      </c>
      <c r="J43" s="1168">
        <f>'Pro forma'!J5</f>
        <v>2015</v>
      </c>
      <c r="K43" s="1168">
        <f>'Pro forma'!K5</f>
        <v>2016</v>
      </c>
      <c r="L43" s="1168">
        <f>'Pro forma'!L5</f>
        <v>2017</v>
      </c>
      <c r="M43" s="1168">
        <f>'Pro forma'!M5</f>
        <v>2018</v>
      </c>
      <c r="N43" s="1445">
        <f>'Pro forma'!N5</f>
        <v>2019</v>
      </c>
      <c r="O43" s="1172">
        <f>'Pro forma'!O5</f>
        <v>2020</v>
      </c>
      <c r="Q43" s="1258"/>
    </row>
    <row r="44" spans="2:17" ht="13.5" customHeight="1" x14ac:dyDescent="0.3">
      <c r="B44" s="1169" t="s">
        <v>71</v>
      </c>
      <c r="C44" s="1177">
        <f>매출액!C6</f>
        <v>101202.82810300001</v>
      </c>
      <c r="D44" s="1177">
        <f>매출액!D6</f>
        <v>120090.945248</v>
      </c>
      <c r="E44" s="1177">
        <f>매출액!E6</f>
        <v>182279.26657199999</v>
      </c>
      <c r="F44" s="1177">
        <f>매출액!F6</f>
        <v>211683.36859699996</v>
      </c>
      <c r="G44" s="1177">
        <f>매출액!G6</f>
        <v>251810.747072</v>
      </c>
      <c r="H44" s="1177">
        <f>매출액!H6</f>
        <v>214888.123487</v>
      </c>
      <c r="I44" s="1177"/>
      <c r="J44" s="1177">
        <f>매출액!J6</f>
        <v>214888.123487</v>
      </c>
      <c r="K44" s="1177">
        <f>매출액!K6</f>
        <v>247657.65104010326</v>
      </c>
      <c r="L44" s="1177">
        <f>매출액!L6</f>
        <v>256222.02504382611</v>
      </c>
      <c r="M44" s="1177">
        <f>매출액!M6</f>
        <v>265319.19037349237</v>
      </c>
      <c r="N44" s="1177">
        <f>매출액!N6</f>
        <v>274730.70385192439</v>
      </c>
      <c r="O44" s="1178">
        <f>매출액!O6</f>
        <v>284669.53021891415</v>
      </c>
      <c r="Q44" s="1258"/>
    </row>
    <row r="45" spans="2:17" ht="13.5" customHeight="1" x14ac:dyDescent="0.3">
      <c r="B45" s="1170" t="s">
        <v>2025</v>
      </c>
      <c r="C45" s="1173">
        <f>매출액!C9</f>
        <v>28667.764768000001</v>
      </c>
      <c r="D45" s="1173">
        <f>매출액!D9</f>
        <v>33818.960225000003</v>
      </c>
      <c r="E45" s="1173">
        <f>매출액!E9</f>
        <v>72895.967908999999</v>
      </c>
      <c r="F45" s="1173">
        <f>매출액!F9</f>
        <v>71774.780262999993</v>
      </c>
      <c r="G45" s="1173">
        <f>매출액!G9</f>
        <v>69236.768544999999</v>
      </c>
      <c r="H45" s="1173">
        <f>매출액!H9</f>
        <v>43311.994716999994</v>
      </c>
      <c r="I45" s="1173"/>
      <c r="J45" s="1173">
        <f>매출액!J9</f>
        <v>43311.994716999994</v>
      </c>
      <c r="K45" s="1173">
        <f>매출액!K9</f>
        <v>52024.746419865536</v>
      </c>
      <c r="L45" s="1173">
        <f>매출액!L9</f>
        <v>54263.917178921365</v>
      </c>
      <c r="M45" s="1173">
        <f>매출액!M9</f>
        <v>56179.286752237422</v>
      </c>
      <c r="N45" s="1173">
        <f>매출액!N9</f>
        <v>58153.964164879944</v>
      </c>
      <c r="O45" s="1174">
        <f>매출액!O9</f>
        <v>60235.145329856794</v>
      </c>
      <c r="Q45" s="1258"/>
    </row>
    <row r="46" spans="2:17" ht="13.5" customHeight="1" x14ac:dyDescent="0.3">
      <c r="B46" s="1170" t="s">
        <v>3776</v>
      </c>
      <c r="C46" s="1173">
        <f>매출액!C13</f>
        <v>32345.633293999999</v>
      </c>
      <c r="D46" s="1173">
        <f>매출액!D13</f>
        <v>31656.878968000001</v>
      </c>
      <c r="E46" s="1173">
        <f>매출액!E13</f>
        <v>52687.668978000002</v>
      </c>
      <c r="F46" s="1173">
        <f>매출액!F13</f>
        <v>60245.229018999999</v>
      </c>
      <c r="G46" s="1173">
        <f>매출액!G13</f>
        <v>90980.180334999997</v>
      </c>
      <c r="H46" s="1173">
        <f>매출액!H13</f>
        <v>76214.068412999986</v>
      </c>
      <c r="I46" s="1173"/>
      <c r="J46" s="1173">
        <f>매출액!J13</f>
        <v>76214.068412999986</v>
      </c>
      <c r="K46" s="1173">
        <f>매출액!K13</f>
        <v>96372.274896384057</v>
      </c>
      <c r="L46" s="1173">
        <f>매출액!L13</f>
        <v>98768.886153573054</v>
      </c>
      <c r="M46" s="1173">
        <f>매출액!M13</f>
        <v>102065.24518974527</v>
      </c>
      <c r="N46" s="1173">
        <f>매출액!N13</f>
        <v>105326.77066974621</v>
      </c>
      <c r="O46" s="1174">
        <f>매출액!O13</f>
        <v>108650.35600510516</v>
      </c>
      <c r="Q46" s="1258"/>
    </row>
    <row r="47" spans="2:17" ht="13.5" customHeight="1" x14ac:dyDescent="0.3">
      <c r="B47" s="1171" t="s">
        <v>3777</v>
      </c>
      <c r="C47" s="1175">
        <f>매출액!C17</f>
        <v>40189.430041</v>
      </c>
      <c r="D47" s="1175">
        <f>매출액!D17</f>
        <v>54615.106054999997</v>
      </c>
      <c r="E47" s="1175">
        <f>매출액!E17</f>
        <v>56695.629685</v>
      </c>
      <c r="F47" s="1175">
        <f>매출액!F17</f>
        <v>79663.359314999994</v>
      </c>
      <c r="G47" s="1175">
        <f>매출액!G17</f>
        <v>91593.798192000002</v>
      </c>
      <c r="H47" s="1175">
        <f>매출액!H17</f>
        <v>95362.060357000024</v>
      </c>
      <c r="I47" s="1175"/>
      <c r="J47" s="1175">
        <f>매출액!J17</f>
        <v>95362.060357000024</v>
      </c>
      <c r="K47" s="1175">
        <f>매출액!K17</f>
        <v>99260.629723853664</v>
      </c>
      <c r="L47" s="1175">
        <f>매출액!L17</f>
        <v>103189.22171133169</v>
      </c>
      <c r="M47" s="1175">
        <f>매출액!M17</f>
        <v>107074.65843150967</v>
      </c>
      <c r="N47" s="1175">
        <f>매출액!N17</f>
        <v>111249.96901729822</v>
      </c>
      <c r="O47" s="1176">
        <f>매출액!O17</f>
        <v>115784.02888395221</v>
      </c>
      <c r="Q47" s="1258"/>
    </row>
    <row r="48" spans="2:17" ht="13.5" customHeight="1" x14ac:dyDescent="0.3">
      <c r="B48" s="1145"/>
      <c r="C48" s="182"/>
      <c r="D48" s="182"/>
      <c r="E48" s="182"/>
      <c r="F48" s="182"/>
      <c r="G48" s="182"/>
      <c r="H48" s="182"/>
      <c r="I48" s="182"/>
      <c r="J48" s="182"/>
      <c r="K48" s="182"/>
      <c r="L48" s="182"/>
      <c r="M48" s="182"/>
      <c r="N48" s="182"/>
      <c r="O48" s="182"/>
      <c r="Q48" s="1258"/>
    </row>
    <row r="49" spans="2:20" ht="13.5" customHeight="1" x14ac:dyDescent="0.3">
      <c r="B49" s="834" t="s">
        <v>3780</v>
      </c>
      <c r="C49" s="838"/>
      <c r="D49" s="838"/>
      <c r="E49" s="838"/>
      <c r="F49" s="838"/>
      <c r="G49" s="838"/>
      <c r="H49" s="838"/>
      <c r="I49" s="838"/>
      <c r="J49" s="838"/>
      <c r="K49" s="838"/>
      <c r="L49" s="838"/>
      <c r="M49" s="838"/>
      <c r="N49" s="838"/>
      <c r="O49" s="838"/>
      <c r="Q49" s="1258"/>
      <c r="S49" s="321"/>
      <c r="T49" s="322"/>
    </row>
    <row r="50" spans="2:20" ht="13.5" customHeight="1" x14ac:dyDescent="0.3">
      <c r="B50" s="1595" t="str">
        <f>unit</f>
        <v>KRW Millions</v>
      </c>
      <c r="C50" s="1596">
        <f>'Pro forma'!C5</f>
        <v>2010</v>
      </c>
      <c r="D50" s="1596">
        <f>'Pro forma'!D5</f>
        <v>2011</v>
      </c>
      <c r="E50" s="1596">
        <f>'Pro forma'!E5</f>
        <v>2012</v>
      </c>
      <c r="F50" s="1596">
        <f>'Pro forma'!F5</f>
        <v>2013</v>
      </c>
      <c r="G50" s="1596">
        <f>'Pro forma'!G$5</f>
        <v>2014</v>
      </c>
      <c r="H50" s="1597" t="str">
        <f>'Pro forma'!H5</f>
        <v>2015/12A</v>
      </c>
      <c r="I50" s="1598" t="str">
        <f>'Pro forma'!I5</f>
        <v>2015/0E</v>
      </c>
      <c r="J50" s="1596">
        <f>'Pro forma'!J5</f>
        <v>2015</v>
      </c>
      <c r="K50" s="1599">
        <f>'Pro forma'!K5</f>
        <v>2016</v>
      </c>
      <c r="L50" s="1599">
        <f>'Pro forma'!L5</f>
        <v>2017</v>
      </c>
      <c r="M50" s="1599">
        <f>'Pro forma'!M5</f>
        <v>2018</v>
      </c>
      <c r="N50" s="1599">
        <f>'Pro forma'!N5</f>
        <v>2019</v>
      </c>
      <c r="O50" s="1600">
        <f>'Pro forma'!O5</f>
        <v>2020</v>
      </c>
    </row>
    <row r="51" spans="2:20" ht="13.5" customHeight="1" x14ac:dyDescent="0.3">
      <c r="B51" s="1601" t="s">
        <v>3778</v>
      </c>
      <c r="C51" s="1177"/>
      <c r="D51" s="1602">
        <f t="shared" ref="D51:O51" si="44">SUM(D52:D53)</f>
        <v>20973.034158000002</v>
      </c>
      <c r="E51" s="1602">
        <f t="shared" si="44"/>
        <v>28404.057478000002</v>
      </c>
      <c r="F51" s="1602">
        <f t="shared" si="44"/>
        <v>32649.838660999998</v>
      </c>
      <c r="G51" s="1602">
        <f t="shared" si="44"/>
        <v>33847.321229999994</v>
      </c>
      <c r="H51" s="1602">
        <f t="shared" si="44"/>
        <v>31993.209730000002</v>
      </c>
      <c r="I51" s="1602"/>
      <c r="J51" s="1602">
        <f t="shared" si="44"/>
        <v>31993.209730000002</v>
      </c>
      <c r="K51" s="1602">
        <f t="shared" si="44"/>
        <v>40613.612088189519</v>
      </c>
      <c r="L51" s="1602">
        <f t="shared" si="44"/>
        <v>42319.383795893482</v>
      </c>
      <c r="M51" s="1602">
        <f t="shared" si="44"/>
        <v>44012.159147729224</v>
      </c>
      <c r="N51" s="1603">
        <f t="shared" si="44"/>
        <v>45860.669831933854</v>
      </c>
      <c r="O51" s="1604">
        <f t="shared" si="44"/>
        <v>47878.539304538943</v>
      </c>
    </row>
    <row r="52" spans="2:20" ht="13.5" customHeight="1" x14ac:dyDescent="0.3">
      <c r="B52" s="1605" t="s">
        <v>153</v>
      </c>
      <c r="C52" s="1177">
        <f t="shared" ref="C52:O52" si="45">C76+C113</f>
        <v>11251.560092</v>
      </c>
      <c r="D52" s="1602">
        <f t="shared" si="45"/>
        <v>16073.506701</v>
      </c>
      <c r="E52" s="1602">
        <f t="shared" si="45"/>
        <v>22926.020167000002</v>
      </c>
      <c r="F52" s="1602">
        <f t="shared" si="45"/>
        <v>27053.05343</v>
      </c>
      <c r="G52" s="1602">
        <f t="shared" si="45"/>
        <v>28287.173879999995</v>
      </c>
      <c r="H52" s="1602">
        <f t="shared" si="45"/>
        <v>25541.976533000001</v>
      </c>
      <c r="I52" s="1602"/>
      <c r="J52" s="1602">
        <f t="shared" si="45"/>
        <v>25541.976533000001</v>
      </c>
      <c r="K52" s="1602">
        <f t="shared" si="45"/>
        <v>32254.035124274156</v>
      </c>
      <c r="L52" s="1602">
        <f t="shared" si="45"/>
        <v>33608.704599493678</v>
      </c>
      <c r="M52" s="1602">
        <f t="shared" si="45"/>
        <v>34953.052783473424</v>
      </c>
      <c r="N52" s="1602">
        <f t="shared" si="45"/>
        <v>36421.081000379316</v>
      </c>
      <c r="O52" s="1606">
        <f t="shared" si="45"/>
        <v>38023.608564396003</v>
      </c>
    </row>
    <row r="53" spans="2:20" ht="13.5" customHeight="1" x14ac:dyDescent="0.3">
      <c r="B53" s="1607" t="s">
        <v>3779</v>
      </c>
      <c r="C53" s="1643">
        <f>C152</f>
        <v>6344.9108610000003</v>
      </c>
      <c r="D53" s="1608">
        <f t="shared" ref="D53:O53" si="46">D152</f>
        <v>4899.5274570000001</v>
      </c>
      <c r="E53" s="1608">
        <f t="shared" si="46"/>
        <v>5478.037311</v>
      </c>
      <c r="F53" s="1608">
        <f t="shared" si="46"/>
        <v>5596.7852309999989</v>
      </c>
      <c r="G53" s="1608">
        <f t="shared" si="46"/>
        <v>5560.1473500000002</v>
      </c>
      <c r="H53" s="1608">
        <f t="shared" si="46"/>
        <v>6451.2331970000005</v>
      </c>
      <c r="I53" s="1608"/>
      <c r="J53" s="1608">
        <f t="shared" si="46"/>
        <v>6451.2331970000005</v>
      </c>
      <c r="K53" s="1608">
        <f t="shared" si="46"/>
        <v>8359.5769639153586</v>
      </c>
      <c r="L53" s="1608">
        <f t="shared" si="46"/>
        <v>8710.6791963998057</v>
      </c>
      <c r="M53" s="1608">
        <f t="shared" si="46"/>
        <v>9059.1063642557965</v>
      </c>
      <c r="N53" s="1608">
        <f t="shared" si="46"/>
        <v>9439.5888315545399</v>
      </c>
      <c r="O53" s="1609">
        <f t="shared" si="46"/>
        <v>9854.9307401429396</v>
      </c>
    </row>
    <row r="55" spans="2:20" ht="13.5" customHeight="1" x14ac:dyDescent="0.3">
      <c r="B55" s="834" t="s">
        <v>3781</v>
      </c>
      <c r="C55" s="838"/>
      <c r="D55" s="838"/>
      <c r="E55" s="838"/>
      <c r="F55" s="838"/>
      <c r="G55" s="838"/>
      <c r="H55" s="838"/>
      <c r="I55" s="838"/>
      <c r="J55" s="838"/>
      <c r="K55" s="838"/>
      <c r="L55" s="838"/>
      <c r="M55" s="838"/>
      <c r="N55" s="838"/>
      <c r="O55" s="1617"/>
    </row>
    <row r="56" spans="2:20" ht="13.5" customHeight="1" x14ac:dyDescent="0.3">
      <c r="B56" s="1595" t="s">
        <v>3782</v>
      </c>
      <c r="C56" s="1596">
        <f>'Pro forma'!C$5</f>
        <v>2010</v>
      </c>
      <c r="D56" s="1596">
        <f>'Pro forma'!D$5</f>
        <v>2011</v>
      </c>
      <c r="E56" s="1596">
        <f>'Pro forma'!E$5</f>
        <v>2012</v>
      </c>
      <c r="F56" s="1596">
        <f>'Pro forma'!F$5</f>
        <v>2013</v>
      </c>
      <c r="G56" s="1596">
        <f>'Pro forma'!G$5</f>
        <v>2014</v>
      </c>
      <c r="H56" s="1597" t="str">
        <f>'Pro forma'!H$5</f>
        <v>2015/12A</v>
      </c>
      <c r="I56" s="1598" t="str">
        <f>'Pro forma'!I$5</f>
        <v>2015/0E</v>
      </c>
      <c r="J56" s="1596">
        <f>'Pro forma'!J$5</f>
        <v>2015</v>
      </c>
      <c r="K56" s="1599">
        <f>'Pro forma'!K$5</f>
        <v>2016</v>
      </c>
      <c r="L56" s="1599">
        <f>'Pro forma'!L$5</f>
        <v>2017</v>
      </c>
      <c r="M56" s="1599">
        <f>'Pro forma'!M$5</f>
        <v>2018</v>
      </c>
      <c r="N56" s="1599">
        <f>'Pro forma'!N$5</f>
        <v>2019</v>
      </c>
      <c r="O56" s="1618">
        <f>'Pro forma'!O$5</f>
        <v>2020</v>
      </c>
    </row>
    <row r="57" spans="2:20" ht="13.5" customHeight="1" x14ac:dyDescent="0.3">
      <c r="B57" s="1610" t="s">
        <v>3781</v>
      </c>
      <c r="C57" s="1621">
        <f t="shared" ref="C57:O57" si="47">C61+C71</f>
        <v>0</v>
      </c>
      <c r="D57" s="1621">
        <f t="shared" si="47"/>
        <v>352</v>
      </c>
      <c r="E57" s="1621">
        <f t="shared" si="47"/>
        <v>422</v>
      </c>
      <c r="F57" s="1621">
        <f t="shared" si="47"/>
        <v>470</v>
      </c>
      <c r="G57" s="1621">
        <f t="shared" si="47"/>
        <v>483</v>
      </c>
      <c r="H57" s="1621">
        <f t="shared" si="47"/>
        <v>466</v>
      </c>
      <c r="I57" s="1621"/>
      <c r="J57" s="1621">
        <f t="shared" si="47"/>
        <v>466</v>
      </c>
      <c r="K57" s="1621">
        <f t="shared" si="47"/>
        <v>466</v>
      </c>
      <c r="L57" s="1621">
        <f t="shared" si="47"/>
        <v>466</v>
      </c>
      <c r="M57" s="1621">
        <f t="shared" si="47"/>
        <v>466</v>
      </c>
      <c r="N57" s="1621">
        <f t="shared" si="47"/>
        <v>466</v>
      </c>
      <c r="O57" s="1622">
        <f t="shared" si="47"/>
        <v>466</v>
      </c>
    </row>
    <row r="58" spans="2:20" ht="13.5" customHeight="1" x14ac:dyDescent="0.3">
      <c r="B58" s="1611" t="s">
        <v>109</v>
      </c>
      <c r="C58" s="260"/>
      <c r="D58" s="260" t="e">
        <f>D57/C57-1</f>
        <v>#DIV/0!</v>
      </c>
      <c r="E58" s="260">
        <f t="shared" ref="E58" si="48">E57/D57-1</f>
        <v>0.19886363636363646</v>
      </c>
      <c r="F58" s="260">
        <f t="shared" ref="F58" si="49">F57/E57-1</f>
        <v>0.11374407582938395</v>
      </c>
      <c r="G58" s="260">
        <f t="shared" ref="G58" si="50">G57/F57-1</f>
        <v>2.7659574468085202E-2</v>
      </c>
      <c r="H58" s="260" t="s">
        <v>92</v>
      </c>
      <c r="I58" s="260"/>
      <c r="J58" s="260">
        <f>J57/G57-1</f>
        <v>-3.5196687370600444E-2</v>
      </c>
      <c r="K58" s="260">
        <f t="shared" ref="K58" si="51">K57/J57-1</f>
        <v>0</v>
      </c>
      <c r="L58" s="260">
        <f t="shared" ref="L58" si="52">L57/K57-1</f>
        <v>0</v>
      </c>
      <c r="M58" s="260">
        <f t="shared" ref="M58" si="53">M57/L57-1</f>
        <v>0</v>
      </c>
      <c r="N58" s="260">
        <f t="shared" ref="N58" si="54">N57/M57-1</f>
        <v>0</v>
      </c>
      <c r="O58" s="783">
        <f t="shared" ref="O58" si="55">O57/N57-1</f>
        <v>0</v>
      </c>
    </row>
    <row r="59" spans="2:20" ht="13.5" customHeight="1" x14ac:dyDescent="0.3">
      <c r="B59" s="1612" t="s">
        <v>149</v>
      </c>
      <c r="C59" s="182">
        <f>C57/C$44</f>
        <v>0</v>
      </c>
      <c r="D59" s="182">
        <f t="shared" ref="D59:H59" si="56">D57/D$44</f>
        <v>2.9311119108362768E-3</v>
      </c>
      <c r="E59" s="182">
        <f t="shared" si="56"/>
        <v>2.3151289114569196E-3</v>
      </c>
      <c r="F59" s="182">
        <f t="shared" si="56"/>
        <v>2.2202972444886771E-3</v>
      </c>
      <c r="G59" s="182">
        <f t="shared" si="56"/>
        <v>1.918107172216507E-3</v>
      </c>
      <c r="H59" s="182">
        <f t="shared" si="56"/>
        <v>2.168570288753959E-3</v>
      </c>
      <c r="I59" s="182"/>
      <c r="J59" s="182"/>
      <c r="K59" s="182"/>
      <c r="L59" s="182"/>
      <c r="M59" s="182"/>
      <c r="N59" s="182"/>
      <c r="O59" s="1623"/>
    </row>
    <row r="60" spans="2:20" ht="13.5" customHeight="1" x14ac:dyDescent="0.3">
      <c r="B60" s="1613"/>
      <c r="C60" s="401"/>
      <c r="D60" s="401"/>
      <c r="E60" s="401"/>
      <c r="F60" s="401"/>
      <c r="G60" s="401"/>
      <c r="H60" s="401"/>
      <c r="I60" s="401"/>
      <c r="J60" s="401"/>
      <c r="K60" s="401"/>
      <c r="L60" s="401"/>
      <c r="M60" s="401"/>
      <c r="N60" s="401"/>
      <c r="O60" s="1624"/>
    </row>
    <row r="61" spans="2:20" ht="13.5" customHeight="1" x14ac:dyDescent="0.3">
      <c r="B61" s="1614" t="s">
        <v>3783</v>
      </c>
      <c r="C61" s="1177">
        <f>C64+C67</f>
        <v>0</v>
      </c>
      <c r="D61" s="1177">
        <f t="shared" ref="D61:O61" si="57">D64+D67</f>
        <v>312</v>
      </c>
      <c r="E61" s="1177">
        <f t="shared" si="57"/>
        <v>380</v>
      </c>
      <c r="F61" s="1177">
        <f t="shared" si="57"/>
        <v>433</v>
      </c>
      <c r="G61" s="1177">
        <f t="shared" si="57"/>
        <v>432</v>
      </c>
      <c r="H61" s="1177">
        <f t="shared" si="57"/>
        <v>399</v>
      </c>
      <c r="I61" s="1177"/>
      <c r="J61" s="1177">
        <f t="shared" si="57"/>
        <v>399</v>
      </c>
      <c r="K61" s="1177">
        <f t="shared" si="57"/>
        <v>399</v>
      </c>
      <c r="L61" s="1177">
        <f t="shared" si="57"/>
        <v>399</v>
      </c>
      <c r="M61" s="1177">
        <f t="shared" si="57"/>
        <v>399</v>
      </c>
      <c r="N61" s="1177">
        <f t="shared" si="57"/>
        <v>399</v>
      </c>
      <c r="O61" s="1648">
        <f t="shared" si="57"/>
        <v>399</v>
      </c>
    </row>
    <row r="62" spans="2:20" ht="13.5" customHeight="1" x14ac:dyDescent="0.3">
      <c r="B62" s="1615" t="s">
        <v>109</v>
      </c>
      <c r="C62" s="260"/>
      <c r="D62" s="260" t="e">
        <f>D61/C61-1</f>
        <v>#DIV/0!</v>
      </c>
      <c r="E62" s="260">
        <f t="shared" ref="E62" si="58">E61/D61-1</f>
        <v>0.21794871794871784</v>
      </c>
      <c r="F62" s="260">
        <f t="shared" ref="F62" si="59">F61/E61-1</f>
        <v>0.13947368421052642</v>
      </c>
      <c r="G62" s="260">
        <f t="shared" ref="G62" si="60">G61/F61-1</f>
        <v>-2.3094688221708681E-3</v>
      </c>
      <c r="H62" s="260" t="s">
        <v>92</v>
      </c>
      <c r="I62" s="260"/>
      <c r="J62" s="260">
        <f>J61/G61-1</f>
        <v>-7.638888888888884E-2</v>
      </c>
      <c r="K62" s="260">
        <f t="shared" ref="K62" si="61">K61/J61-1</f>
        <v>0</v>
      </c>
      <c r="L62" s="260">
        <f t="shared" ref="L62" si="62">L61/K61-1</f>
        <v>0</v>
      </c>
      <c r="M62" s="260">
        <f t="shared" ref="M62" si="63">M61/L61-1</f>
        <v>0</v>
      </c>
      <c r="N62" s="260">
        <f t="shared" ref="N62" si="64">N61/M61-1</f>
        <v>0</v>
      </c>
      <c r="O62" s="783">
        <f t="shared" ref="O62" si="65">O61/N61-1</f>
        <v>0</v>
      </c>
    </row>
    <row r="63" spans="2:20" ht="13.5" customHeight="1" x14ac:dyDescent="0.3">
      <c r="B63" s="1616" t="s">
        <v>149</v>
      </c>
      <c r="C63" s="182">
        <f>C61/C$44</f>
        <v>0</v>
      </c>
      <c r="D63" s="182">
        <f t="shared" ref="D63:G63" si="66">D61/D$44</f>
        <v>2.5980310118776089E-3</v>
      </c>
      <c r="E63" s="182">
        <f t="shared" si="66"/>
        <v>2.084713237804809E-3</v>
      </c>
      <c r="F63" s="182">
        <f t="shared" si="66"/>
        <v>2.0455078869438237E-3</v>
      </c>
      <c r="G63" s="182">
        <f t="shared" si="66"/>
        <v>1.7155741167650747E-3</v>
      </c>
      <c r="H63" s="182">
        <f t="shared" ref="H63" si="67">H61/H$44</f>
        <v>1.8567801399416944E-3</v>
      </c>
      <c r="I63" s="182"/>
      <c r="J63" s="182"/>
      <c r="K63" s="182"/>
      <c r="L63" s="182"/>
      <c r="M63" s="182"/>
      <c r="N63" s="182"/>
      <c r="O63" s="1623"/>
    </row>
    <row r="64" spans="2:20" ht="13.5" customHeight="1" x14ac:dyDescent="0.3">
      <c r="B64" s="1614" t="s">
        <v>2865</v>
      </c>
      <c r="C64" s="1177"/>
      <c r="D64" s="1177">
        <v>110</v>
      </c>
      <c r="E64" s="1177">
        <v>137</v>
      </c>
      <c r="F64" s="1177">
        <v>175</v>
      </c>
      <c r="G64" s="1177">
        <v>143</v>
      </c>
      <c r="H64" s="1177">
        <v>100</v>
      </c>
      <c r="I64" s="1177"/>
      <c r="J64" s="1177">
        <f>H64+I64</f>
        <v>100</v>
      </c>
      <c r="K64" s="1177">
        <f>K83</f>
        <v>100</v>
      </c>
      <c r="L64" s="1177">
        <f t="shared" ref="L64:O64" si="68">L83</f>
        <v>100</v>
      </c>
      <c r="M64" s="1177">
        <f t="shared" si="68"/>
        <v>100</v>
      </c>
      <c r="N64" s="1177">
        <f t="shared" si="68"/>
        <v>100</v>
      </c>
      <c r="O64" s="1648">
        <f t="shared" si="68"/>
        <v>100</v>
      </c>
    </row>
    <row r="65" spans="2:15" ht="13.5" customHeight="1" x14ac:dyDescent="0.3">
      <c r="B65" s="1615" t="s">
        <v>109</v>
      </c>
      <c r="C65" s="260"/>
      <c r="D65" s="260" t="e">
        <f>D64/C64-1</f>
        <v>#DIV/0!</v>
      </c>
      <c r="E65" s="260">
        <f t="shared" ref="E65" si="69">E64/D64-1</f>
        <v>0.24545454545454537</v>
      </c>
      <c r="F65" s="260">
        <f t="shared" ref="F65" si="70">F64/E64-1</f>
        <v>0.27737226277372273</v>
      </c>
      <c r="G65" s="260">
        <f t="shared" ref="G65" si="71">G64/F64-1</f>
        <v>-0.18285714285714283</v>
      </c>
      <c r="H65" s="260" t="s">
        <v>92</v>
      </c>
      <c r="I65" s="260"/>
      <c r="J65" s="260">
        <f>J64/G64-1</f>
        <v>-0.30069930069930073</v>
      </c>
      <c r="K65" s="260">
        <f t="shared" ref="K65" si="72">K64/J64-1</f>
        <v>0</v>
      </c>
      <c r="L65" s="260">
        <f t="shared" ref="L65" si="73">L64/K64-1</f>
        <v>0</v>
      </c>
      <c r="M65" s="260">
        <f t="shared" ref="M65" si="74">M64/L64-1</f>
        <v>0</v>
      </c>
      <c r="N65" s="260">
        <f t="shared" ref="N65" si="75">N64/M64-1</f>
        <v>0</v>
      </c>
      <c r="O65" s="783">
        <f t="shared" ref="O65" si="76">O64/N64-1</f>
        <v>0</v>
      </c>
    </row>
    <row r="66" spans="2:15" ht="13.5" customHeight="1" x14ac:dyDescent="0.3">
      <c r="B66" s="1616" t="s">
        <v>149</v>
      </c>
      <c r="C66" s="182">
        <f>C64/C$46</f>
        <v>0</v>
      </c>
      <c r="D66" s="182">
        <f>D64/D$46</f>
        <v>3.4747582069348105E-3</v>
      </c>
      <c r="E66" s="182">
        <f t="shared" ref="E66:H66" si="77">E64/E$46</f>
        <v>2.6002289085365502E-3</v>
      </c>
      <c r="F66" s="182">
        <f t="shared" si="77"/>
        <v>2.9047943355781569E-3</v>
      </c>
      <c r="G66" s="182">
        <f t="shared" si="77"/>
        <v>1.5717709007990175E-3</v>
      </c>
      <c r="H66" s="182">
        <f t="shared" si="77"/>
        <v>1.3120937129101325E-3</v>
      </c>
      <c r="I66" s="182"/>
      <c r="J66" s="182"/>
      <c r="K66" s="182"/>
      <c r="L66" s="182"/>
      <c r="M66" s="182"/>
      <c r="N66" s="182"/>
      <c r="O66" s="1623"/>
    </row>
    <row r="67" spans="2:15" ht="13.5" customHeight="1" x14ac:dyDescent="0.3">
      <c r="B67" s="1614" t="s">
        <v>2866</v>
      </c>
      <c r="C67" s="1177"/>
      <c r="D67" s="1177">
        <v>202</v>
      </c>
      <c r="E67" s="1177">
        <v>243</v>
      </c>
      <c r="F67" s="1177">
        <v>258</v>
      </c>
      <c r="G67" s="1177">
        <v>289</v>
      </c>
      <c r="H67" s="1177">
        <v>299</v>
      </c>
      <c r="I67" s="1177"/>
      <c r="J67" s="1177">
        <f>H67+I67</f>
        <v>299</v>
      </c>
      <c r="K67" s="1177">
        <f>K120</f>
        <v>299</v>
      </c>
      <c r="L67" s="1177">
        <f t="shared" ref="L67:O67" si="78">L120</f>
        <v>299</v>
      </c>
      <c r="M67" s="1177">
        <f t="shared" si="78"/>
        <v>299</v>
      </c>
      <c r="N67" s="1177">
        <f t="shared" si="78"/>
        <v>299</v>
      </c>
      <c r="O67" s="1648">
        <f t="shared" si="78"/>
        <v>299</v>
      </c>
    </row>
    <row r="68" spans="2:15" ht="13.5" customHeight="1" x14ac:dyDescent="0.3">
      <c r="B68" s="1615" t="s">
        <v>109</v>
      </c>
      <c r="C68" s="260"/>
      <c r="D68" s="260" t="e">
        <f>D67/C67-1</f>
        <v>#DIV/0!</v>
      </c>
      <c r="E68" s="260">
        <f t="shared" ref="E68" si="79">E67/D67-1</f>
        <v>0.20297029702970293</v>
      </c>
      <c r="F68" s="260">
        <f t="shared" ref="F68" si="80">F67/E67-1</f>
        <v>6.1728395061728447E-2</v>
      </c>
      <c r="G68" s="260">
        <f t="shared" ref="G68" si="81">G67/F67-1</f>
        <v>0.12015503875968991</v>
      </c>
      <c r="H68" s="260" t="s">
        <v>92</v>
      </c>
      <c r="I68" s="260"/>
      <c r="J68" s="260">
        <f>J67/G67-1</f>
        <v>3.460207612456756E-2</v>
      </c>
      <c r="K68" s="260">
        <f t="shared" ref="K68" si="82">K67/J67-1</f>
        <v>0</v>
      </c>
      <c r="L68" s="260">
        <f t="shared" ref="L68" si="83">L67/K67-1</f>
        <v>0</v>
      </c>
      <c r="M68" s="260">
        <f t="shared" ref="M68" si="84">M67/L67-1</f>
        <v>0</v>
      </c>
      <c r="N68" s="260">
        <f t="shared" ref="N68" si="85">N67/M67-1</f>
        <v>0</v>
      </c>
      <c r="O68" s="783">
        <f t="shared" ref="O68" si="86">O67/N67-1</f>
        <v>0</v>
      </c>
    </row>
    <row r="69" spans="2:15" ht="13.5" customHeight="1" x14ac:dyDescent="0.3">
      <c r="B69" s="1616" t="s">
        <v>149</v>
      </c>
      <c r="C69" s="182">
        <f>C67/C$47</f>
        <v>0</v>
      </c>
      <c r="D69" s="182">
        <f>D67/D$47</f>
        <v>3.6986104136935384E-3</v>
      </c>
      <c r="E69" s="182">
        <f t="shared" ref="E69:H69" si="87">E67/E$47</f>
        <v>4.286044644888928E-3</v>
      </c>
      <c r="F69" s="182">
        <f t="shared" si="87"/>
        <v>3.2386281750915393E-3</v>
      </c>
      <c r="G69" s="182">
        <f t="shared" si="87"/>
        <v>3.1552354603113495E-3</v>
      </c>
      <c r="H69" s="182">
        <f t="shared" si="87"/>
        <v>3.1354188330312434E-3</v>
      </c>
      <c r="I69" s="182"/>
      <c r="J69" s="182"/>
      <c r="K69" s="182"/>
      <c r="L69" s="182"/>
      <c r="M69" s="182"/>
      <c r="N69" s="182"/>
      <c r="O69" s="1623"/>
    </row>
    <row r="70" spans="2:15" ht="13.5" customHeight="1" x14ac:dyDescent="0.3">
      <c r="B70" s="1613"/>
      <c r="C70" s="401"/>
      <c r="D70" s="401"/>
      <c r="E70" s="401"/>
      <c r="F70" s="401"/>
      <c r="G70" s="401"/>
      <c r="H70" s="401"/>
      <c r="I70" s="401"/>
      <c r="J70" s="401"/>
      <c r="K70" s="401"/>
      <c r="L70" s="401"/>
      <c r="M70" s="401"/>
      <c r="N70" s="401"/>
      <c r="O70" s="1624"/>
    </row>
    <row r="71" spans="2:15" ht="13.5" customHeight="1" x14ac:dyDescent="0.3">
      <c r="B71" s="1614" t="s">
        <v>3784</v>
      </c>
      <c r="C71" s="1177"/>
      <c r="D71" s="1177">
        <v>40</v>
      </c>
      <c r="E71" s="1177">
        <v>42</v>
      </c>
      <c r="F71" s="1177">
        <v>37</v>
      </c>
      <c r="G71" s="1177">
        <v>51</v>
      </c>
      <c r="H71" s="1177">
        <v>67</v>
      </c>
      <c r="I71" s="1177"/>
      <c r="J71" s="1177">
        <f>H71+I71</f>
        <v>67</v>
      </c>
      <c r="K71" s="1177">
        <f>K159</f>
        <v>67</v>
      </c>
      <c r="L71" s="1177">
        <f t="shared" ref="L71:O71" si="88">L159</f>
        <v>67</v>
      </c>
      <c r="M71" s="1177">
        <f t="shared" si="88"/>
        <v>67</v>
      </c>
      <c r="N71" s="1177">
        <f t="shared" si="88"/>
        <v>67</v>
      </c>
      <c r="O71" s="1648">
        <f t="shared" si="88"/>
        <v>67</v>
      </c>
    </row>
    <row r="72" spans="2:15" ht="13.5" customHeight="1" x14ac:dyDescent="0.3">
      <c r="B72" s="1620" t="s">
        <v>109</v>
      </c>
      <c r="C72" s="1625"/>
      <c r="D72" s="1625" t="e">
        <f>D71/C71-1</f>
        <v>#DIV/0!</v>
      </c>
      <c r="E72" s="1625">
        <f t="shared" ref="E72:G72" si="89">E71/D71-1</f>
        <v>5.0000000000000044E-2</v>
      </c>
      <c r="F72" s="1625">
        <f t="shared" si="89"/>
        <v>-0.11904761904761907</v>
      </c>
      <c r="G72" s="1625">
        <f t="shared" si="89"/>
        <v>0.37837837837837829</v>
      </c>
      <c r="H72" s="1650" t="s">
        <v>92</v>
      </c>
      <c r="I72" s="1650"/>
      <c r="J72" s="1650">
        <f>J71/G71-1</f>
        <v>0.31372549019607843</v>
      </c>
      <c r="K72" s="1650">
        <f t="shared" ref="K72" si="90">K71/J71-1</f>
        <v>0</v>
      </c>
      <c r="L72" s="1650">
        <f t="shared" ref="L72" si="91">L71/K71-1</f>
        <v>0</v>
      </c>
      <c r="M72" s="1650">
        <f t="shared" ref="M72" si="92">M71/L71-1</f>
        <v>0</v>
      </c>
      <c r="N72" s="1650">
        <f t="shared" ref="N72" si="93">N71/M71-1</f>
        <v>0</v>
      </c>
      <c r="O72" s="1651">
        <f t="shared" ref="O72" si="94">O71/N71-1</f>
        <v>0</v>
      </c>
    </row>
    <row r="74" spans="2:15" ht="13.5" customHeight="1" x14ac:dyDescent="0.3">
      <c r="B74" s="834" t="s">
        <v>3807</v>
      </c>
      <c r="C74" s="838"/>
      <c r="D74" s="838"/>
      <c r="E74" s="838"/>
      <c r="F74" s="838"/>
      <c r="G74" s="838"/>
      <c r="H74" s="838"/>
      <c r="I74" s="838"/>
      <c r="J74" s="838"/>
      <c r="K74" s="838"/>
      <c r="L74" s="838"/>
      <c r="M74" s="838"/>
      <c r="N74" s="838"/>
      <c r="O74" s="1617"/>
    </row>
    <row r="75" spans="2:15" ht="13.5" customHeight="1" x14ac:dyDescent="0.3">
      <c r="B75" s="1628" t="str">
        <f>unit</f>
        <v>KRW Millions</v>
      </c>
      <c r="C75" s="1596">
        <f>'Pro forma'!C$5</f>
        <v>2010</v>
      </c>
      <c r="D75" s="1596">
        <f>'Pro forma'!D$5</f>
        <v>2011</v>
      </c>
      <c r="E75" s="1596">
        <f>'Pro forma'!E$5</f>
        <v>2012</v>
      </c>
      <c r="F75" s="1596">
        <f>'Pro forma'!F$5</f>
        <v>2013</v>
      </c>
      <c r="G75" s="1596">
        <f>'Pro forma'!G$5</f>
        <v>2014</v>
      </c>
      <c r="H75" s="1597" t="str">
        <f>'Pro forma'!H$5</f>
        <v>2015/12A</v>
      </c>
      <c r="I75" s="1598" t="str">
        <f>'Pro forma'!I$5</f>
        <v>2015/0E</v>
      </c>
      <c r="J75" s="1596">
        <f>'Pro forma'!J$5</f>
        <v>2015</v>
      </c>
      <c r="K75" s="1599">
        <f>'Pro forma'!K$5</f>
        <v>2016</v>
      </c>
      <c r="L75" s="1599">
        <f>'Pro forma'!L$5</f>
        <v>2017</v>
      </c>
      <c r="M75" s="1599">
        <f>'Pro forma'!M$5</f>
        <v>2018</v>
      </c>
      <c r="N75" s="1599">
        <f>'Pro forma'!N$5</f>
        <v>2019</v>
      </c>
      <c r="O75" s="1618">
        <f>'Pro forma'!O$5</f>
        <v>2020</v>
      </c>
    </row>
    <row r="76" spans="2:15" ht="13.5" customHeight="1" x14ac:dyDescent="0.3">
      <c r="B76" s="1637" t="s">
        <v>3785</v>
      </c>
      <c r="C76" s="1621">
        <f t="shared" ref="C76:O76" si="95">C80+C88+C94+C98+C102+C106</f>
        <v>3953.9628410000005</v>
      </c>
      <c r="D76" s="1621">
        <f t="shared" si="95"/>
        <v>5141.6747479999995</v>
      </c>
      <c r="E76" s="1621">
        <f t="shared" si="95"/>
        <v>9363.1906459999991</v>
      </c>
      <c r="F76" s="1621">
        <f t="shared" si="95"/>
        <v>10962.727053000001</v>
      </c>
      <c r="G76" s="1621">
        <f t="shared" si="95"/>
        <v>10189.763384</v>
      </c>
      <c r="H76" s="1621">
        <f t="shared" si="95"/>
        <v>8332.12608</v>
      </c>
      <c r="I76" s="1621"/>
      <c r="J76" s="1621">
        <f t="shared" si="95"/>
        <v>8332.12608</v>
      </c>
      <c r="K76" s="1621">
        <f t="shared" si="95"/>
        <v>10184.003289986347</v>
      </c>
      <c r="L76" s="1621">
        <f t="shared" si="95"/>
        <v>10611.731428165775</v>
      </c>
      <c r="M76" s="1621">
        <f t="shared" si="95"/>
        <v>11036.200685292406</v>
      </c>
      <c r="N76" s="1621">
        <f t="shared" si="95"/>
        <v>11499.721114074688</v>
      </c>
      <c r="O76" s="1638">
        <f t="shared" si="95"/>
        <v>12005.708843093975</v>
      </c>
    </row>
    <row r="77" spans="2:15" ht="13.5" customHeight="1" x14ac:dyDescent="0.3">
      <c r="B77" s="863" t="s">
        <v>109</v>
      </c>
      <c r="C77" s="260"/>
      <c r="D77" s="260">
        <f>D76/C76-1</f>
        <v>0.30038519701910338</v>
      </c>
      <c r="E77" s="260">
        <f t="shared" ref="E77" si="96">E76/D76-1</f>
        <v>0.82103907868580728</v>
      </c>
      <c r="F77" s="260">
        <f t="shared" ref="F77" si="97">F76/E76-1</f>
        <v>0.17083240825426649</v>
      </c>
      <c r="G77" s="260">
        <f t="shared" ref="G77:H77" si="98">G76/F76-1</f>
        <v>-7.0508338414617011E-2</v>
      </c>
      <c r="H77" s="260">
        <f t="shared" si="98"/>
        <v>-0.18230426301329705</v>
      </c>
      <c r="I77" s="260"/>
      <c r="J77" s="260">
        <f>J76/G76-1</f>
        <v>-0.18230426301329705</v>
      </c>
      <c r="K77" s="260">
        <f t="shared" ref="K77" si="99">K76/J76-1</f>
        <v>0.22225746372603461</v>
      </c>
      <c r="L77" s="260">
        <f t="shared" ref="L77" si="100">L76/K76-1</f>
        <v>4.2000000000000037E-2</v>
      </c>
      <c r="M77" s="260">
        <f t="shared" ref="M77" si="101">M76/L76-1</f>
        <v>4.0000000000000036E-2</v>
      </c>
      <c r="N77" s="260">
        <f t="shared" ref="N77" si="102">N76/M76-1</f>
        <v>4.2000000000000037E-2</v>
      </c>
      <c r="O77" s="783">
        <f t="shared" ref="O77" si="103">O76/N76-1</f>
        <v>4.4000000000000039E-2</v>
      </c>
    </row>
    <row r="78" spans="2:15" ht="13.5" customHeight="1" x14ac:dyDescent="0.3">
      <c r="B78" s="861" t="s">
        <v>149</v>
      </c>
      <c r="C78" s="182">
        <f>C76/C$44</f>
        <v>3.9069687232216696E-2</v>
      </c>
      <c r="D78" s="182">
        <f t="shared" ref="D78:G78" si="104">D76/D$44</f>
        <v>4.2814841180423044E-2</v>
      </c>
      <c r="E78" s="182">
        <f t="shared" si="104"/>
        <v>5.1367282862648314E-2</v>
      </c>
      <c r="F78" s="182">
        <f t="shared" si="104"/>
        <v>5.1788324825228466E-2</v>
      </c>
      <c r="G78" s="182">
        <f t="shared" si="104"/>
        <v>4.0465959068404854E-2</v>
      </c>
      <c r="H78" s="182">
        <f t="shared" ref="H78:O78" si="105">H76/H$44</f>
        <v>3.8774251200085819E-2</v>
      </c>
      <c r="I78" s="182"/>
      <c r="J78" s="182">
        <f t="shared" si="105"/>
        <v>3.8774251200085819E-2</v>
      </c>
      <c r="K78" s="182">
        <f t="shared" si="105"/>
        <v>4.1121294848820357E-2</v>
      </c>
      <c r="L78" s="182">
        <f t="shared" si="105"/>
        <v>4.1416156266623316E-2</v>
      </c>
      <c r="M78" s="182">
        <f t="shared" si="105"/>
        <v>4.1595938347907063E-2</v>
      </c>
      <c r="N78" s="182">
        <f t="shared" si="105"/>
        <v>4.1858157653441093E-2</v>
      </c>
      <c r="O78" s="787">
        <f t="shared" si="105"/>
        <v>4.2174196985049456E-2</v>
      </c>
    </row>
    <row r="79" spans="2:15" ht="13.5" customHeight="1" x14ac:dyDescent="0.3">
      <c r="B79" s="1629"/>
      <c r="C79" s="1133"/>
      <c r="D79" s="1133"/>
      <c r="E79" s="1133"/>
      <c r="F79" s="1133"/>
      <c r="G79" s="1133"/>
      <c r="H79" s="1133"/>
      <c r="I79" s="1631"/>
      <c r="J79" s="1631"/>
      <c r="K79" s="1631"/>
      <c r="L79" s="1631"/>
      <c r="M79" s="1133"/>
      <c r="N79" s="401"/>
      <c r="O79" s="1619"/>
    </row>
    <row r="80" spans="2:15" ht="13.5" customHeight="1" x14ac:dyDescent="0.3">
      <c r="B80" s="1632" t="s">
        <v>1891</v>
      </c>
      <c r="C80" s="1120">
        <f>(원가명세서!K9+원가명세서!K11)/10^6</f>
        <v>3177.394483</v>
      </c>
      <c r="D80" s="1120">
        <f>(원가명세서!L9+원가명세서!L11)/10^6</f>
        <v>2549.6290519999998</v>
      </c>
      <c r="E80" s="1120">
        <f>(원가명세서!M9+원가명세서!M11)/10^6</f>
        <v>4532.2275289999998</v>
      </c>
      <c r="F80" s="1120">
        <f>(원가명세서!N9+원가명세서!N11)/10^6</f>
        <v>5704.7891840000002</v>
      </c>
      <c r="G80" s="1120">
        <f>(원가명세서!O9+원가명세서!O11)/10^6</f>
        <v>5921.9810120000002</v>
      </c>
      <c r="H80" s="1120">
        <f>(원가명세서!P9+원가명세서!P11)/10^6</f>
        <v>6509.7710459999998</v>
      </c>
      <c r="I80" s="1808"/>
      <c r="J80" s="1120">
        <f>H80+I80</f>
        <v>6509.7710459999998</v>
      </c>
      <c r="K80" s="1120">
        <f>K83*K86</f>
        <v>6509.7710459999998</v>
      </c>
      <c r="L80" s="1120">
        <f t="shared" ref="L80:O80" si="106">L83*L86</f>
        <v>6783.1814299320004</v>
      </c>
      <c r="M80" s="1120">
        <f t="shared" si="106"/>
        <v>7054.5086871292806</v>
      </c>
      <c r="N80" s="1120">
        <f t="shared" si="106"/>
        <v>7350.7980519887114</v>
      </c>
      <c r="O80" s="1654">
        <f t="shared" si="106"/>
        <v>7674.2331662762153</v>
      </c>
    </row>
    <row r="81" spans="2:18" ht="13.5" customHeight="1" x14ac:dyDescent="0.3">
      <c r="B81" s="863" t="s">
        <v>109</v>
      </c>
      <c r="C81" s="260"/>
      <c r="D81" s="260">
        <f>D80/C80-1</f>
        <v>-0.19757239283907957</v>
      </c>
      <c r="E81" s="260">
        <f t="shared" ref="E81" si="107">E80/D80-1</f>
        <v>0.7776027165382331</v>
      </c>
      <c r="F81" s="260">
        <f t="shared" ref="F81" si="108">F80/E80-1</f>
        <v>0.25871641427912095</v>
      </c>
      <c r="G81" s="260">
        <f t="shared" ref="G81:H81" si="109">G80/F80-1</f>
        <v>3.8071841218804359E-2</v>
      </c>
      <c r="H81" s="260">
        <f t="shared" si="109"/>
        <v>9.9255643138492333E-2</v>
      </c>
      <c r="I81" s="260"/>
      <c r="J81" s="260">
        <f>J80/G80-1</f>
        <v>9.9255643138492333E-2</v>
      </c>
      <c r="K81" s="260">
        <f t="shared" ref="K81" si="110">K80/J80-1</f>
        <v>0</v>
      </c>
      <c r="L81" s="260">
        <f t="shared" ref="L81" si="111">L80/K80-1</f>
        <v>4.2000000000000037E-2</v>
      </c>
      <c r="M81" s="260">
        <f t="shared" ref="M81" si="112">M80/L80-1</f>
        <v>4.0000000000000036E-2</v>
      </c>
      <c r="N81" s="260">
        <f t="shared" ref="N81" si="113">N80/M80-1</f>
        <v>4.2000000000000259E-2</v>
      </c>
      <c r="O81" s="1139">
        <f t="shared" ref="O81" si="114">O80/N80-1</f>
        <v>4.4000000000000039E-2</v>
      </c>
    </row>
    <row r="82" spans="2:18" ht="13.5" customHeight="1" x14ac:dyDescent="0.3">
      <c r="B82" s="861" t="s">
        <v>149</v>
      </c>
      <c r="C82" s="182">
        <f>C80/C$46</f>
        <v>9.8232563700936887E-2</v>
      </c>
      <c r="D82" s="182">
        <f t="shared" ref="D82:O82" si="115">D80/D$46</f>
        <v>8.0539495209785636E-2</v>
      </c>
      <c r="E82" s="182">
        <f t="shared" si="115"/>
        <v>8.6020649934094709E-2</v>
      </c>
      <c r="F82" s="182">
        <f t="shared" si="115"/>
        <v>9.4692796042004215E-2</v>
      </c>
      <c r="G82" s="182">
        <f t="shared" si="115"/>
        <v>6.509089111710431E-2</v>
      </c>
      <c r="H82" s="182">
        <f t="shared" si="115"/>
        <v>8.5414296619410163E-2</v>
      </c>
      <c r="I82" s="182"/>
      <c r="J82" s="182">
        <f t="shared" si="115"/>
        <v>8.5414296619410163E-2</v>
      </c>
      <c r="K82" s="182">
        <f t="shared" si="115"/>
        <v>6.754817246971774E-2</v>
      </c>
      <c r="L82" s="182">
        <f t="shared" si="115"/>
        <v>6.8677310174228512E-2</v>
      </c>
      <c r="M82" s="182">
        <f t="shared" si="115"/>
        <v>6.9117638173646037E-2</v>
      </c>
      <c r="N82" s="182">
        <f t="shared" si="115"/>
        <v>6.9790405660848154E-2</v>
      </c>
      <c r="O82" s="1249">
        <f t="shared" si="115"/>
        <v>7.0632379390598826E-2</v>
      </c>
    </row>
    <row r="83" spans="2:18" ht="13.5" customHeight="1" x14ac:dyDescent="0.3">
      <c r="B83" s="1634" t="s">
        <v>3781</v>
      </c>
      <c r="C83" s="1125"/>
      <c r="D83" s="1125">
        <f>D$64</f>
        <v>110</v>
      </c>
      <c r="E83" s="1125">
        <f t="shared" ref="E83:J83" si="116">E$64</f>
        <v>137</v>
      </c>
      <c r="F83" s="1125">
        <f t="shared" si="116"/>
        <v>175</v>
      </c>
      <c r="G83" s="1125">
        <f t="shared" si="116"/>
        <v>143</v>
      </c>
      <c r="H83" s="1125">
        <f t="shared" si="116"/>
        <v>100</v>
      </c>
      <c r="I83" s="1125"/>
      <c r="J83" s="1125">
        <f t="shared" si="116"/>
        <v>100</v>
      </c>
      <c r="K83" s="2038">
        <f>J83</f>
        <v>100</v>
      </c>
      <c r="L83" s="2038">
        <f t="shared" ref="L83:O83" si="117">K83</f>
        <v>100</v>
      </c>
      <c r="M83" s="2038">
        <f t="shared" si="117"/>
        <v>100</v>
      </c>
      <c r="N83" s="2038">
        <f t="shared" si="117"/>
        <v>100</v>
      </c>
      <c r="O83" s="2039">
        <f t="shared" si="117"/>
        <v>100</v>
      </c>
      <c r="R83" s="2037" t="s">
        <v>4554</v>
      </c>
    </row>
    <row r="84" spans="2:18" ht="13.5" customHeight="1" x14ac:dyDescent="0.3">
      <c r="B84" s="1634" t="s">
        <v>3786</v>
      </c>
      <c r="C84" s="1633"/>
      <c r="D84" s="1125">
        <f>D$46/D$83</f>
        <v>287.7898088</v>
      </c>
      <c r="E84" s="1125">
        <f t="shared" ref="E84:J84" si="118">E$46/E$83</f>
        <v>384.5815253868613</v>
      </c>
      <c r="F84" s="1125">
        <f t="shared" si="118"/>
        <v>344.25845153714283</v>
      </c>
      <c r="G84" s="1125">
        <f t="shared" si="118"/>
        <v>636.22503730769233</v>
      </c>
      <c r="H84" s="1125">
        <f t="shared" si="118"/>
        <v>762.14068412999984</v>
      </c>
      <c r="I84" s="1125"/>
      <c r="J84" s="1125">
        <f t="shared" si="118"/>
        <v>762.14068412999984</v>
      </c>
      <c r="K84" s="1633">
        <f>J84*(1+K85)</f>
        <v>773.57279439194974</v>
      </c>
      <c r="L84" s="1633">
        <f t="shared" ref="L84:O84" si="119">K84*(1+L85)</f>
        <v>785.17638630782892</v>
      </c>
      <c r="M84" s="1633">
        <f t="shared" si="119"/>
        <v>800.09473764767756</v>
      </c>
      <c r="N84" s="1633">
        <f t="shared" si="119"/>
        <v>815.29653766298338</v>
      </c>
      <c r="O84" s="1653">
        <f t="shared" si="119"/>
        <v>831.60246841624303</v>
      </c>
    </row>
    <row r="85" spans="2:18" ht="13.5" customHeight="1" x14ac:dyDescent="0.3">
      <c r="B85" s="863" t="s">
        <v>109</v>
      </c>
      <c r="C85" s="260"/>
      <c r="D85" s="260"/>
      <c r="E85" s="260">
        <f t="shared" ref="E85" si="120">E84/D84-1</f>
        <v>0.33632781157350444</v>
      </c>
      <c r="F85" s="260">
        <f t="shared" ref="F85" si="121">F84/E84-1</f>
        <v>-0.10484922230509219</v>
      </c>
      <c r="G85" s="260">
        <f t="shared" ref="G85:H85" si="122">G84/F84-1</f>
        <v>0.84810288452438631</v>
      </c>
      <c r="H85" s="260">
        <f t="shared" si="122"/>
        <v>0.19791054963058929</v>
      </c>
      <c r="I85" s="260"/>
      <c r="J85" s="260">
        <f>J84/G84-1</f>
        <v>0.19791054963058929</v>
      </c>
      <c r="K85" s="1812">
        <f>K$39</f>
        <v>1.4999999999999999E-2</v>
      </c>
      <c r="L85" s="1812">
        <f t="shared" ref="L85:O85" si="123">L$39</f>
        <v>1.4999999999999999E-2</v>
      </c>
      <c r="M85" s="1812">
        <f t="shared" si="123"/>
        <v>1.9E-2</v>
      </c>
      <c r="N85" s="1812">
        <f t="shared" si="123"/>
        <v>1.9E-2</v>
      </c>
      <c r="O85" s="1813">
        <f t="shared" si="123"/>
        <v>0.02</v>
      </c>
    </row>
    <row r="86" spans="2:18" ht="13.5" customHeight="1" x14ac:dyDescent="0.3">
      <c r="B86" s="1634" t="s">
        <v>3787</v>
      </c>
      <c r="C86" s="1633"/>
      <c r="D86" s="1125">
        <f>D$80/D83</f>
        <v>23.178445927272726</v>
      </c>
      <c r="E86" s="1125">
        <f t="shared" ref="E86:J86" si="124">E$80/E83</f>
        <v>33.081952766423356</v>
      </c>
      <c r="F86" s="1125">
        <f t="shared" si="124"/>
        <v>32.59879533714286</v>
      </c>
      <c r="G86" s="1125">
        <f t="shared" si="124"/>
        <v>41.412454629370629</v>
      </c>
      <c r="H86" s="1125">
        <f t="shared" si="124"/>
        <v>65.097710460000002</v>
      </c>
      <c r="I86" s="1125"/>
      <c r="J86" s="1125">
        <f t="shared" si="124"/>
        <v>65.097710460000002</v>
      </c>
      <c r="K86" s="1633">
        <f>J86</f>
        <v>65.097710460000002</v>
      </c>
      <c r="L86" s="1633">
        <f>K86*(1+L$38)</f>
        <v>67.831814299320001</v>
      </c>
      <c r="M86" s="1633">
        <f t="shared" ref="M86:O86" si="125">L86*(1+M$38)</f>
        <v>70.54508687129281</v>
      </c>
      <c r="N86" s="1633">
        <f t="shared" si="125"/>
        <v>73.507980519887113</v>
      </c>
      <c r="O86" s="1653">
        <f t="shared" si="125"/>
        <v>76.742331662762155</v>
      </c>
      <c r="R86" s="825" t="s">
        <v>4600</v>
      </c>
    </row>
    <row r="87" spans="2:18" ht="13.5" customHeight="1" x14ac:dyDescent="0.3">
      <c r="B87" s="1629"/>
      <c r="C87" s="1133"/>
      <c r="D87" s="1133"/>
      <c r="E87" s="1133"/>
      <c r="F87" s="1133"/>
      <c r="G87" s="1133"/>
      <c r="H87" s="1133"/>
      <c r="I87" s="1133"/>
      <c r="J87" s="1133"/>
      <c r="K87" s="1133"/>
      <c r="L87" s="1133"/>
      <c r="M87" s="1133"/>
      <c r="N87" s="401"/>
      <c r="O87" s="1652"/>
    </row>
    <row r="88" spans="2:18" ht="13.5" customHeight="1" x14ac:dyDescent="0.3">
      <c r="B88" s="1632" t="s">
        <v>3775</v>
      </c>
      <c r="C88" s="1120">
        <f>원가명세서!K10/10^6</f>
        <v>0</v>
      </c>
      <c r="D88" s="1120">
        <f>원가명세서!L10/10^6</f>
        <v>1641.146442</v>
      </c>
      <c r="E88" s="1120">
        <f>원가명세서!M10/10^6</f>
        <v>3310.1725710000001</v>
      </c>
      <c r="F88" s="1120">
        <f>원가명세서!N10/10^6</f>
        <v>3335.1464839999999</v>
      </c>
      <c r="G88" s="1120">
        <f>원가명세서!O10/10^6</f>
        <v>2399.6122799999998</v>
      </c>
      <c r="H88" s="1120">
        <f>원가명세서!P10/10^6</f>
        <v>81.515873999999997</v>
      </c>
      <c r="I88" s="1808"/>
      <c r="J88" s="1120">
        <f>H88+I88</f>
        <v>81.515873999999997</v>
      </c>
      <c r="K88" s="1120">
        <f>K91*K92</f>
        <v>1678.0505454545453</v>
      </c>
      <c r="L88" s="1120">
        <f>L91*L92</f>
        <v>1748.5286683636359</v>
      </c>
      <c r="M88" s="1120">
        <f>M91*M92</f>
        <v>1818.4698150981817</v>
      </c>
      <c r="N88" s="1120">
        <f>N91*N92</f>
        <v>1894.8455473323054</v>
      </c>
      <c r="O88" s="1654">
        <f>O91*O92</f>
        <v>1978.2187514149271</v>
      </c>
    </row>
    <row r="89" spans="2:18" ht="13.5" customHeight="1" x14ac:dyDescent="0.3">
      <c r="B89" s="863" t="s">
        <v>109</v>
      </c>
      <c r="C89" s="260"/>
      <c r="D89" s="260" t="e">
        <f>D88/C88-1</f>
        <v>#DIV/0!</v>
      </c>
      <c r="E89" s="260">
        <f t="shared" ref="E89" si="126">E88/D88-1</f>
        <v>1.0169879337312668</v>
      </c>
      <c r="F89" s="260">
        <f t="shared" ref="F89" si="127">F88/E88-1</f>
        <v>7.5445954748079025E-3</v>
      </c>
      <c r="G89" s="260">
        <f t="shared" ref="G89:H89" si="128">G88/F88-1</f>
        <v>-0.28050768039368679</v>
      </c>
      <c r="H89" s="260">
        <f t="shared" si="128"/>
        <v>-0.9660295645761573</v>
      </c>
      <c r="I89" s="260"/>
      <c r="J89" s="260">
        <f>J88/G88-1</f>
        <v>-0.9660295645761573</v>
      </c>
      <c r="K89" s="260">
        <f t="shared" ref="K89" si="129">K88/J88-1</f>
        <v>19.585567731930905</v>
      </c>
      <c r="L89" s="260">
        <f t="shared" ref="L89" si="130">L88/K88-1</f>
        <v>4.1999999999999815E-2</v>
      </c>
      <c r="M89" s="260">
        <f t="shared" ref="M89" si="131">M88/L88-1</f>
        <v>4.0000000000000258E-2</v>
      </c>
      <c r="N89" s="260">
        <f t="shared" ref="N89" si="132">N88/M88-1</f>
        <v>4.2000000000000037E-2</v>
      </c>
      <c r="O89" s="1139">
        <f t="shared" ref="O89" si="133">O88/N88-1</f>
        <v>4.4000000000000039E-2</v>
      </c>
    </row>
    <row r="90" spans="2:18" ht="13.5" customHeight="1" x14ac:dyDescent="0.3">
      <c r="B90" s="861" t="s">
        <v>149</v>
      </c>
      <c r="C90" s="182">
        <f>C88/C$46</f>
        <v>0</v>
      </c>
      <c r="D90" s="182">
        <f t="shared" ref="D90:O90" si="134">D88/D$46</f>
        <v>5.1841700619285128E-2</v>
      </c>
      <c r="E90" s="182">
        <f t="shared" si="134"/>
        <v>6.2826324170503337E-2</v>
      </c>
      <c r="F90" s="182">
        <f t="shared" si="134"/>
        <v>5.5359512085980604E-2</v>
      </c>
      <c r="G90" s="182">
        <f t="shared" si="134"/>
        <v>2.6375110174153733E-2</v>
      </c>
      <c r="H90" s="182">
        <f t="shared" si="134"/>
        <v>1.0695646577777453E-3</v>
      </c>
      <c r="I90" s="182"/>
      <c r="J90" s="182">
        <f t="shared" si="134"/>
        <v>1.0695646577777453E-3</v>
      </c>
      <c r="K90" s="182">
        <f t="shared" si="134"/>
        <v>1.7412171158756228E-2</v>
      </c>
      <c r="L90" s="182">
        <f t="shared" si="134"/>
        <v>1.7703233644296608E-2</v>
      </c>
      <c r="M90" s="182">
        <f t="shared" si="134"/>
        <v>1.7816738809744097E-2</v>
      </c>
      <c r="N90" s="182">
        <f t="shared" si="134"/>
        <v>1.7990160861132105E-2</v>
      </c>
      <c r="O90" s="1249">
        <f t="shared" si="134"/>
        <v>1.8207199903900694E-2</v>
      </c>
    </row>
    <row r="91" spans="2:18" ht="13.5" customHeight="1" x14ac:dyDescent="0.3">
      <c r="B91" s="1634" t="s">
        <v>3781</v>
      </c>
      <c r="C91" s="1125"/>
      <c r="D91" s="1125">
        <f>D$64</f>
        <v>110</v>
      </c>
      <c r="E91" s="1125">
        <f t="shared" ref="E91:J91" si="135">E$64</f>
        <v>137</v>
      </c>
      <c r="F91" s="1125">
        <f t="shared" si="135"/>
        <v>175</v>
      </c>
      <c r="G91" s="1125">
        <f t="shared" si="135"/>
        <v>143</v>
      </c>
      <c r="H91" s="1125">
        <f t="shared" si="135"/>
        <v>100</v>
      </c>
      <c r="I91" s="1125"/>
      <c r="J91" s="1125">
        <f t="shared" si="135"/>
        <v>100</v>
      </c>
      <c r="K91" s="2038">
        <f>J91</f>
        <v>100</v>
      </c>
      <c r="L91" s="2038">
        <f t="shared" ref="L91" si="136">K91</f>
        <v>100</v>
      </c>
      <c r="M91" s="2038">
        <f t="shared" ref="M91" si="137">L91</f>
        <v>100</v>
      </c>
      <c r="N91" s="2038">
        <f t="shared" ref="N91" si="138">M91</f>
        <v>100</v>
      </c>
      <c r="O91" s="2039">
        <f t="shared" ref="O91" si="139">N91</f>
        <v>100</v>
      </c>
      <c r="R91" s="2037"/>
    </row>
    <row r="92" spans="2:18" ht="13.5" customHeight="1" x14ac:dyDescent="0.3">
      <c r="B92" s="1634" t="s">
        <v>4601</v>
      </c>
      <c r="C92" s="1633"/>
      <c r="D92" s="1125">
        <f>D88/D91</f>
        <v>14.919513109090909</v>
      </c>
      <c r="E92" s="1125">
        <f>E88/E91</f>
        <v>24.161843583941607</v>
      </c>
      <c r="F92" s="1125">
        <f>F88/F91</f>
        <v>19.057979908571429</v>
      </c>
      <c r="G92" s="1125">
        <f>G88/G91</f>
        <v>16.780505454545452</v>
      </c>
      <c r="H92" s="1125">
        <f>H88/H91</f>
        <v>0.81515873999999999</v>
      </c>
      <c r="I92" s="1125"/>
      <c r="J92" s="1125">
        <f>J88/J91</f>
        <v>0.81515873999999999</v>
      </c>
      <c r="K92" s="1633">
        <f>G92</f>
        <v>16.780505454545452</v>
      </c>
      <c r="L92" s="1633">
        <f>K92*(1+L$38)</f>
        <v>17.48528668363636</v>
      </c>
      <c r="M92" s="1633">
        <f t="shared" ref="M92:O92" si="140">L92*(1+M$38)</f>
        <v>18.184698150981816</v>
      </c>
      <c r="N92" s="1633">
        <f t="shared" si="140"/>
        <v>18.948455473323055</v>
      </c>
      <c r="O92" s="1653">
        <f t="shared" si="140"/>
        <v>19.782187514149271</v>
      </c>
    </row>
    <row r="93" spans="2:18" ht="13.5" customHeight="1" x14ac:dyDescent="0.3">
      <c r="B93" s="1630"/>
      <c r="C93" s="1123"/>
      <c r="D93" s="1123"/>
      <c r="E93" s="1123"/>
      <c r="F93" s="1123"/>
      <c r="G93" s="1123"/>
      <c r="H93" s="1123"/>
      <c r="I93" s="1635"/>
      <c r="J93" s="1635"/>
      <c r="K93" s="1635"/>
      <c r="L93" s="1635"/>
      <c r="M93" s="1635"/>
      <c r="N93" s="401"/>
      <c r="O93" s="1619"/>
    </row>
    <row r="94" spans="2:18" ht="13.5" customHeight="1" x14ac:dyDescent="0.3">
      <c r="B94" s="1629" t="s">
        <v>1787</v>
      </c>
      <c r="C94" s="1120">
        <f>원가명세서!K12/10^6</f>
        <v>285.92705100000001</v>
      </c>
      <c r="D94" s="1120">
        <f>원가명세서!L12/10^6</f>
        <v>369.546266</v>
      </c>
      <c r="E94" s="1120">
        <f>원가명세서!M12/10^6</f>
        <v>571.71004600000003</v>
      </c>
      <c r="F94" s="1120">
        <f>원가명세서!N12/10^6</f>
        <v>705.301559</v>
      </c>
      <c r="G94" s="1120">
        <f>원가명세서!O12/10^6</f>
        <v>730.55919700000004</v>
      </c>
      <c r="H94" s="1120">
        <f>원가명세서!P12/10^6</f>
        <v>652.206773</v>
      </c>
      <c r="I94" s="1808"/>
      <c r="J94" s="1120">
        <f>H94+I94</f>
        <v>652.206773</v>
      </c>
      <c r="K94" s="1120">
        <f t="shared" ref="K94:O94" si="141">K$80*K96</f>
        <v>753.36738869661508</v>
      </c>
      <c r="L94" s="1120">
        <f t="shared" si="141"/>
        <v>785.00881902187302</v>
      </c>
      <c r="M94" s="1120">
        <f t="shared" si="141"/>
        <v>816.40917178274788</v>
      </c>
      <c r="N94" s="1120">
        <f t="shared" si="141"/>
        <v>850.69835699762348</v>
      </c>
      <c r="O94" s="1654">
        <f t="shared" si="141"/>
        <v>888.12908470551895</v>
      </c>
    </row>
    <row r="95" spans="2:18" ht="13.5" customHeight="1" x14ac:dyDescent="0.3">
      <c r="B95" s="863" t="s">
        <v>109</v>
      </c>
      <c r="C95" s="260"/>
      <c r="D95" s="260">
        <f>D94/C94-1</f>
        <v>0.2924494716661139</v>
      </c>
      <c r="E95" s="260">
        <f t="shared" ref="E95" si="142">E94/D94-1</f>
        <v>0.54705945804361078</v>
      </c>
      <c r="F95" s="260">
        <f t="shared" ref="F95" si="143">F94/E94-1</f>
        <v>0.23367004644168876</v>
      </c>
      <c r="G95" s="260">
        <f t="shared" ref="G95:H95" si="144">G94/F94-1</f>
        <v>3.5811118914597539E-2</v>
      </c>
      <c r="H95" s="260">
        <f t="shared" si="144"/>
        <v>-0.10724993172592967</v>
      </c>
      <c r="I95" s="260"/>
      <c r="J95" s="260">
        <f>J94/G94-1</f>
        <v>-0.10724993172592967</v>
      </c>
      <c r="K95" s="260">
        <f t="shared" ref="K95" si="145">K94/J94-1</f>
        <v>0.15510512905485441</v>
      </c>
      <c r="L95" s="260">
        <f t="shared" ref="L95" si="146">L94/K94-1</f>
        <v>4.2000000000000037E-2</v>
      </c>
      <c r="M95" s="260">
        <f t="shared" ref="M95" si="147">M94/L94-1</f>
        <v>3.9999999999999813E-2</v>
      </c>
      <c r="N95" s="260">
        <f t="shared" ref="N95" si="148">N94/M94-1</f>
        <v>4.2000000000000259E-2</v>
      </c>
      <c r="O95" s="783">
        <f t="shared" ref="O95" si="149">O94/N94-1</f>
        <v>4.4000000000000039E-2</v>
      </c>
    </row>
    <row r="96" spans="2:18" ht="13.5" customHeight="1" x14ac:dyDescent="0.3">
      <c r="B96" s="861" t="s">
        <v>3788</v>
      </c>
      <c r="C96" s="182">
        <f>C94/C$80</f>
        <v>8.9987898112681403E-2</v>
      </c>
      <c r="D96" s="182">
        <f t="shared" ref="D96:J96" si="150">D94/D$80</f>
        <v>0.14494118888005206</v>
      </c>
      <c r="E96" s="182">
        <f t="shared" si="150"/>
        <v>0.12614327995270425</v>
      </c>
      <c r="F96" s="182">
        <f t="shared" si="150"/>
        <v>0.12363323801309464</v>
      </c>
      <c r="G96" s="182">
        <f t="shared" si="150"/>
        <v>0.12336398842205541</v>
      </c>
      <c r="H96" s="182">
        <f t="shared" si="150"/>
        <v>0.10018889579853282</v>
      </c>
      <c r="I96" s="182"/>
      <c r="J96" s="182">
        <f t="shared" si="150"/>
        <v>0.10018889579853282</v>
      </c>
      <c r="K96" s="182">
        <f>AVERAGE(F96:H96)</f>
        <v>0.11572870741122761</v>
      </c>
      <c r="L96" s="182">
        <f>K96</f>
        <v>0.11572870741122761</v>
      </c>
      <c r="M96" s="182">
        <f t="shared" ref="M96:O96" si="151">L96</f>
        <v>0.11572870741122761</v>
      </c>
      <c r="N96" s="182">
        <f t="shared" si="151"/>
        <v>0.11572870741122761</v>
      </c>
      <c r="O96" s="787">
        <f t="shared" si="151"/>
        <v>0.11572870741122761</v>
      </c>
    </row>
    <row r="97" spans="2:15" ht="13.5" customHeight="1" x14ac:dyDescent="0.3">
      <c r="B97" s="1630"/>
      <c r="C97" s="1123"/>
      <c r="D97" s="1123"/>
      <c r="E97" s="1123"/>
      <c r="F97" s="1123"/>
      <c r="G97" s="1123"/>
      <c r="H97" s="1123"/>
      <c r="I97" s="1635"/>
      <c r="J97" s="1635"/>
      <c r="K97" s="1635"/>
      <c r="L97" s="1635"/>
      <c r="M97" s="1635"/>
      <c r="N97" s="401"/>
      <c r="O97" s="1619"/>
    </row>
    <row r="98" spans="2:15" ht="13.5" customHeight="1" x14ac:dyDescent="0.3">
      <c r="B98" s="1629" t="s">
        <v>2021</v>
      </c>
      <c r="C98" s="1120">
        <f>원가명세서!K18/10^6</f>
        <v>221.589437</v>
      </c>
      <c r="D98" s="1120">
        <f>원가명세서!L18/10^6</f>
        <v>295.27386899999999</v>
      </c>
      <c r="E98" s="1120">
        <f>원가명세서!M18/10^6</f>
        <v>463.090621</v>
      </c>
      <c r="F98" s="1120">
        <f>원가명세서!N18/10^6</f>
        <v>555.60255900000004</v>
      </c>
      <c r="G98" s="1120">
        <f>원가명세서!O18/10^6</f>
        <v>489.20777199999998</v>
      </c>
      <c r="H98" s="1120">
        <f>원가명세서!P18/10^6</f>
        <v>431.72477700000002</v>
      </c>
      <c r="I98" s="1808"/>
      <c r="J98" s="1120">
        <f>H98+I98</f>
        <v>431.72477700000002</v>
      </c>
      <c r="K98" s="1120">
        <f t="shared" ref="K98:O98" si="152">K$80*K100</f>
        <v>534.49692592260044</v>
      </c>
      <c r="L98" s="1120">
        <f t="shared" si="152"/>
        <v>556.94579681134962</v>
      </c>
      <c r="M98" s="1120">
        <f t="shared" si="152"/>
        <v>579.22362868380367</v>
      </c>
      <c r="N98" s="1120">
        <f t="shared" si="152"/>
        <v>603.5510210885235</v>
      </c>
      <c r="O98" s="1654">
        <f t="shared" si="152"/>
        <v>630.10726601641863</v>
      </c>
    </row>
    <row r="99" spans="2:15" ht="13.5" customHeight="1" x14ac:dyDescent="0.3">
      <c r="B99" s="863" t="s">
        <v>109</v>
      </c>
      <c r="C99" s="260"/>
      <c r="D99" s="260">
        <f>D98/C98-1</f>
        <v>0.33252682527461808</v>
      </c>
      <c r="E99" s="260">
        <f t="shared" ref="E99" si="153">E98/D98-1</f>
        <v>0.56834271372655731</v>
      </c>
      <c r="F99" s="260">
        <f t="shared" ref="F99" si="154">F98/E98-1</f>
        <v>0.19977070103520855</v>
      </c>
      <c r="G99" s="260">
        <f t="shared" ref="G99:H99" si="155">G98/F98-1</f>
        <v>-0.11950050611627949</v>
      </c>
      <c r="H99" s="260">
        <f t="shared" si="155"/>
        <v>-0.11750221130992167</v>
      </c>
      <c r="I99" s="260"/>
      <c r="J99" s="260">
        <f>J98/G98-1</f>
        <v>-0.11750221130992167</v>
      </c>
      <c r="K99" s="260">
        <f t="shared" ref="K99" si="156">K98/J98-1</f>
        <v>0.23805015231405258</v>
      </c>
      <c r="L99" s="260">
        <f t="shared" ref="L99" si="157">L98/K98-1</f>
        <v>4.2000000000000037E-2</v>
      </c>
      <c r="M99" s="260">
        <f t="shared" ref="M99" si="158">M98/L98-1</f>
        <v>4.0000000000000036E-2</v>
      </c>
      <c r="N99" s="260">
        <f t="shared" ref="N99" si="159">N98/M98-1</f>
        <v>4.2000000000000037E-2</v>
      </c>
      <c r="O99" s="783">
        <f t="shared" ref="O99" si="160">O98/N98-1</f>
        <v>4.4000000000000261E-2</v>
      </c>
    </row>
    <row r="100" spans="2:15" ht="13.5" customHeight="1" x14ac:dyDescent="0.3">
      <c r="B100" s="861" t="s">
        <v>3788</v>
      </c>
      <c r="C100" s="182">
        <f>C98/C$80</f>
        <v>6.9739353481466967E-2</v>
      </c>
      <c r="D100" s="182">
        <f t="shared" ref="D100:J100" si="161">D98/D$80</f>
        <v>0.11581052105143647</v>
      </c>
      <c r="E100" s="182">
        <f t="shared" si="161"/>
        <v>0.1021772667053583</v>
      </c>
      <c r="F100" s="182">
        <f t="shared" si="161"/>
        <v>9.7392303392783888E-2</v>
      </c>
      <c r="G100" s="182">
        <f t="shared" si="161"/>
        <v>8.2608804555214604E-2</v>
      </c>
      <c r="H100" s="182">
        <f t="shared" si="161"/>
        <v>6.6319502475479228E-2</v>
      </c>
      <c r="I100" s="182"/>
      <c r="J100" s="182">
        <f t="shared" si="161"/>
        <v>6.6319502475479228E-2</v>
      </c>
      <c r="K100" s="182">
        <f>AVERAGE(F100:H100)</f>
        <v>8.2106870141159249E-2</v>
      </c>
      <c r="L100" s="182">
        <f>K100</f>
        <v>8.2106870141159249E-2</v>
      </c>
      <c r="M100" s="182">
        <f t="shared" ref="M100" si="162">L100</f>
        <v>8.2106870141159249E-2</v>
      </c>
      <c r="N100" s="182">
        <f t="shared" ref="N100" si="163">M100</f>
        <v>8.2106870141159249E-2</v>
      </c>
      <c r="O100" s="787">
        <f t="shared" ref="O100" si="164">N100</f>
        <v>8.2106870141159249E-2</v>
      </c>
    </row>
    <row r="101" spans="2:15" ht="13.5" customHeight="1" x14ac:dyDescent="0.3">
      <c r="B101" s="861"/>
      <c r="C101" s="182"/>
      <c r="D101" s="182"/>
      <c r="E101" s="182"/>
      <c r="F101" s="182"/>
      <c r="G101" s="182"/>
      <c r="H101" s="182"/>
      <c r="I101" s="182"/>
      <c r="J101" s="182"/>
      <c r="K101" s="182"/>
      <c r="L101" s="182"/>
      <c r="M101" s="182"/>
      <c r="N101" s="182"/>
      <c r="O101" s="787"/>
    </row>
    <row r="102" spans="2:15" ht="13.5" customHeight="1" x14ac:dyDescent="0.3">
      <c r="B102" s="1629" t="s">
        <v>3806</v>
      </c>
      <c r="C102" s="1120">
        <f>원가명세서!K27/10^6</f>
        <v>150.06022999999999</v>
      </c>
      <c r="D102" s="1120">
        <f>원가명세서!L27/10^6</f>
        <v>146.41246899999999</v>
      </c>
      <c r="E102" s="1120">
        <f>원가명세서!M27/10^6</f>
        <v>246.5386</v>
      </c>
      <c r="F102" s="1120">
        <f>원가명세서!N27/10^6</f>
        <v>354.568532</v>
      </c>
      <c r="G102" s="1120">
        <f>원가명세서!O27/10^6</f>
        <v>364.42478799999998</v>
      </c>
      <c r="H102" s="1120">
        <f>원가명세서!P27/10^6</f>
        <v>344.00934100000001</v>
      </c>
      <c r="I102" s="1808"/>
      <c r="J102" s="1120">
        <f>H102+I102</f>
        <v>344.00934100000001</v>
      </c>
      <c r="K102" s="1120">
        <f t="shared" ref="K102:O102" si="165">K$80*K104</f>
        <v>383.06858059834622</v>
      </c>
      <c r="L102" s="1120">
        <f t="shared" si="165"/>
        <v>399.15746098347682</v>
      </c>
      <c r="M102" s="1120">
        <f t="shared" si="165"/>
        <v>415.12375942281591</v>
      </c>
      <c r="N102" s="1120">
        <f t="shared" si="165"/>
        <v>432.55895731857424</v>
      </c>
      <c r="O102" s="1654">
        <f t="shared" si="165"/>
        <v>451.59155144059156</v>
      </c>
    </row>
    <row r="103" spans="2:15" ht="13.5" customHeight="1" x14ac:dyDescent="0.3">
      <c r="B103" s="863" t="s">
        <v>109</v>
      </c>
      <c r="C103" s="260"/>
      <c r="D103" s="260">
        <f>D102/C102-1</f>
        <v>-2.4308645935035567E-2</v>
      </c>
      <c r="E103" s="260">
        <f t="shared" ref="E103" si="166">E102/D102-1</f>
        <v>0.68386341466586442</v>
      </c>
      <c r="F103" s="260">
        <f t="shared" ref="F103" si="167">F102/E102-1</f>
        <v>0.43818668557378038</v>
      </c>
      <c r="G103" s="260">
        <f t="shared" ref="G103" si="168">G102/F102-1</f>
        <v>2.7797887038661262E-2</v>
      </c>
      <c r="H103" s="260">
        <f t="shared" ref="H103" si="169">H102/G102-1</f>
        <v>-5.6021016331084361E-2</v>
      </c>
      <c r="I103" s="260"/>
      <c r="J103" s="260">
        <f>J102/G102-1</f>
        <v>-5.6021016331084361E-2</v>
      </c>
      <c r="K103" s="260">
        <f t="shared" ref="K103" si="170">K102/J102-1</f>
        <v>0.11354121805182671</v>
      </c>
      <c r="L103" s="260">
        <f t="shared" ref="L103" si="171">L102/K102-1</f>
        <v>4.2000000000000259E-2</v>
      </c>
      <c r="M103" s="260">
        <f t="shared" ref="M103" si="172">M102/L102-1</f>
        <v>4.0000000000000036E-2</v>
      </c>
      <c r="N103" s="260">
        <f t="shared" ref="N103" si="173">N102/M102-1</f>
        <v>4.2000000000000259E-2</v>
      </c>
      <c r="O103" s="783">
        <f t="shared" ref="O103" si="174">O102/N102-1</f>
        <v>4.4000000000000039E-2</v>
      </c>
    </row>
    <row r="104" spans="2:15" ht="13.5" customHeight="1" x14ac:dyDescent="0.3">
      <c r="B104" s="861" t="s">
        <v>3788</v>
      </c>
      <c r="C104" s="182">
        <f>C102/C$80</f>
        <v>4.7227447143521707E-2</v>
      </c>
      <c r="D104" s="182">
        <f t="shared" ref="D104:J104" si="175">D102/D$80</f>
        <v>5.7425008114474527E-2</v>
      </c>
      <c r="E104" s="182">
        <f t="shared" si="175"/>
        <v>5.4396783573307669E-2</v>
      </c>
      <c r="F104" s="182">
        <f t="shared" si="175"/>
        <v>6.2152784364835872E-2</v>
      </c>
      <c r="G104" s="182">
        <f t="shared" si="175"/>
        <v>6.1537648847834567E-2</v>
      </c>
      <c r="H104" s="182">
        <f t="shared" si="175"/>
        <v>5.2845075282851969E-2</v>
      </c>
      <c r="I104" s="182"/>
      <c r="J104" s="182">
        <f t="shared" si="175"/>
        <v>5.2845075282851969E-2</v>
      </c>
      <c r="K104" s="182">
        <f>AVERAGE(F104:H104)</f>
        <v>5.8845169498507467E-2</v>
      </c>
      <c r="L104" s="182">
        <f>K104</f>
        <v>5.8845169498507467E-2</v>
      </c>
      <c r="M104" s="182">
        <f t="shared" ref="M104" si="176">L104</f>
        <v>5.8845169498507467E-2</v>
      </c>
      <c r="N104" s="182">
        <f t="shared" ref="N104" si="177">M104</f>
        <v>5.8845169498507467E-2</v>
      </c>
      <c r="O104" s="787">
        <f t="shared" ref="O104" si="178">N104</f>
        <v>5.8845169498507467E-2</v>
      </c>
    </row>
    <row r="105" spans="2:15" ht="13.5" customHeight="1" x14ac:dyDescent="0.3">
      <c r="B105" s="861"/>
      <c r="C105" s="182"/>
      <c r="D105" s="182"/>
      <c r="E105" s="182"/>
      <c r="F105" s="182"/>
      <c r="G105" s="182"/>
      <c r="H105" s="182"/>
      <c r="I105" s="182"/>
      <c r="J105" s="182"/>
      <c r="K105" s="182"/>
      <c r="L105" s="182"/>
      <c r="M105" s="182"/>
      <c r="N105" s="182"/>
      <c r="O105" s="787"/>
    </row>
    <row r="106" spans="2:15" ht="13.5" customHeight="1" x14ac:dyDescent="0.3">
      <c r="B106" s="1629" t="s">
        <v>4449</v>
      </c>
      <c r="C106" s="1120">
        <f>원가명세서!K21/1000000</f>
        <v>118.99164</v>
      </c>
      <c r="D106" s="1120">
        <f>원가명세서!L21/1000000</f>
        <v>139.66665</v>
      </c>
      <c r="E106" s="1120">
        <f>원가명세서!M21/1000000</f>
        <v>239.451279</v>
      </c>
      <c r="F106" s="1120">
        <f>원가명세서!N21/1000000</f>
        <v>307.318735</v>
      </c>
      <c r="G106" s="1120">
        <f>원가명세서!O21/1000000</f>
        <v>283.97833500000002</v>
      </c>
      <c r="H106" s="1120">
        <f>원가명세서!P21/1000000</f>
        <v>312.89826900000003</v>
      </c>
      <c r="I106" s="1808"/>
      <c r="J106" s="1120">
        <f>H106+I106</f>
        <v>312.89826900000003</v>
      </c>
      <c r="K106" s="1120">
        <f t="shared" ref="K106:O106" si="179">K$80*K108</f>
        <v>325.24880331423981</v>
      </c>
      <c r="L106" s="1120">
        <f t="shared" si="179"/>
        <v>338.90925305343791</v>
      </c>
      <c r="M106" s="1120">
        <f t="shared" si="179"/>
        <v>352.46562317557544</v>
      </c>
      <c r="N106" s="1120">
        <f t="shared" si="179"/>
        <v>367.26917934894965</v>
      </c>
      <c r="O106" s="1654">
        <f t="shared" si="179"/>
        <v>383.42902324030348</v>
      </c>
    </row>
    <row r="107" spans="2:15" ht="13.5" customHeight="1" x14ac:dyDescent="0.3">
      <c r="B107" s="863" t="s">
        <v>109</v>
      </c>
      <c r="C107" s="260"/>
      <c r="D107" s="260">
        <f>D106/C106-1</f>
        <v>0.17375178625994225</v>
      </c>
      <c r="E107" s="260">
        <f t="shared" ref="E107" si="180">E106/D106-1</f>
        <v>0.7144485029174823</v>
      </c>
      <c r="F107" s="260">
        <f t="shared" ref="F107" si="181">F106/E106-1</f>
        <v>0.2834290812036131</v>
      </c>
      <c r="G107" s="260">
        <f t="shared" ref="G107" si="182">G106/F106-1</f>
        <v>-7.5948509940339304E-2</v>
      </c>
      <c r="H107" s="260">
        <f t="shared" ref="H107" si="183">H106/G106-1</f>
        <v>0.10183852229431523</v>
      </c>
      <c r="I107" s="260"/>
      <c r="J107" s="260">
        <f>J106/G106-1</f>
        <v>0.10183852229431523</v>
      </c>
      <c r="K107" s="260">
        <f t="shared" ref="K107" si="184">K106/J106-1</f>
        <v>3.9471405047113883E-2</v>
      </c>
      <c r="L107" s="260">
        <f t="shared" ref="L107" si="185">L106/K106-1</f>
        <v>4.2000000000000037E-2</v>
      </c>
      <c r="M107" s="260">
        <f t="shared" ref="M107" si="186">M106/L106-1</f>
        <v>4.0000000000000036E-2</v>
      </c>
      <c r="N107" s="260">
        <f t="shared" ref="N107" si="187">N106/M106-1</f>
        <v>4.2000000000000037E-2</v>
      </c>
      <c r="O107" s="783">
        <f t="shared" ref="O107" si="188">O106/N106-1</f>
        <v>4.4000000000000039E-2</v>
      </c>
    </row>
    <row r="108" spans="2:15" ht="13.5" customHeight="1" x14ac:dyDescent="0.3">
      <c r="B108" s="861" t="s">
        <v>3788</v>
      </c>
      <c r="C108" s="182">
        <f>C106/C$80</f>
        <v>3.7449438726176579E-2</v>
      </c>
      <c r="D108" s="182">
        <f t="shared" ref="D108:H108" si="189">D106/D$80</f>
        <v>5.4779204014184575E-2</v>
      </c>
      <c r="E108" s="182">
        <f t="shared" si="189"/>
        <v>5.2833022496739705E-2</v>
      </c>
      <c r="F108" s="182">
        <f t="shared" si="189"/>
        <v>5.3870305297507727E-2</v>
      </c>
      <c r="G108" s="182">
        <f t="shared" si="189"/>
        <v>4.7953266723510392E-2</v>
      </c>
      <c r="H108" s="182">
        <f t="shared" si="189"/>
        <v>4.8065940689613625E-2</v>
      </c>
      <c r="I108" s="182"/>
      <c r="J108" s="182">
        <f t="shared" ref="J108" si="190">J106/J$80</f>
        <v>4.8065940689613625E-2</v>
      </c>
      <c r="K108" s="182">
        <f>AVERAGE(F108:H108)</f>
        <v>4.9963170903543914E-2</v>
      </c>
      <c r="L108" s="182">
        <f>K108</f>
        <v>4.9963170903543914E-2</v>
      </c>
      <c r="M108" s="182">
        <f t="shared" ref="M108" si="191">L108</f>
        <v>4.9963170903543914E-2</v>
      </c>
      <c r="N108" s="182">
        <f t="shared" ref="N108" si="192">M108</f>
        <v>4.9963170903543914E-2</v>
      </c>
      <c r="O108" s="787">
        <f t="shared" ref="O108" si="193">N108</f>
        <v>4.9963170903543914E-2</v>
      </c>
    </row>
    <row r="109" spans="2:15" ht="13.5" customHeight="1" x14ac:dyDescent="0.3">
      <c r="B109" s="1639"/>
      <c r="C109" s="1640"/>
      <c r="D109" s="1640"/>
      <c r="E109" s="1640"/>
      <c r="F109" s="1640"/>
      <c r="G109" s="1640"/>
      <c r="H109" s="1640"/>
      <c r="I109" s="1640"/>
      <c r="J109" s="1640"/>
      <c r="K109" s="1640"/>
      <c r="L109" s="1640"/>
      <c r="M109" s="1640"/>
      <c r="N109" s="1640"/>
      <c r="O109" s="1641"/>
    </row>
    <row r="110" spans="2:15" ht="13.5" customHeight="1" x14ac:dyDescent="0.3">
      <c r="B110" s="1649"/>
      <c r="C110" s="182"/>
      <c r="D110" s="182"/>
      <c r="E110" s="182"/>
      <c r="F110" s="182"/>
      <c r="G110" s="182"/>
      <c r="H110" s="182"/>
      <c r="I110" s="182"/>
      <c r="J110" s="182"/>
      <c r="K110" s="182"/>
      <c r="L110" s="182"/>
      <c r="M110" s="182"/>
      <c r="N110" s="182"/>
      <c r="O110" s="182"/>
    </row>
    <row r="111" spans="2:15" ht="13.5" customHeight="1" x14ac:dyDescent="0.3">
      <c r="B111" s="834" t="s">
        <v>3808</v>
      </c>
      <c r="C111" s="838"/>
      <c r="D111" s="838"/>
      <c r="E111" s="838"/>
      <c r="F111" s="838"/>
      <c r="G111" s="838"/>
      <c r="H111" s="838"/>
      <c r="I111" s="838"/>
      <c r="J111" s="838"/>
      <c r="K111" s="838"/>
      <c r="L111" s="838"/>
      <c r="M111" s="838"/>
      <c r="N111" s="838"/>
      <c r="O111" s="1617"/>
    </row>
    <row r="112" spans="2:15" ht="13.5" customHeight="1" x14ac:dyDescent="0.3">
      <c r="B112" s="1628" t="str">
        <f>unit</f>
        <v>KRW Millions</v>
      </c>
      <c r="C112" s="1596">
        <f>'Pro forma'!C$5</f>
        <v>2010</v>
      </c>
      <c r="D112" s="1596">
        <f>'Pro forma'!D$5</f>
        <v>2011</v>
      </c>
      <c r="E112" s="1596">
        <f>'Pro forma'!E$5</f>
        <v>2012</v>
      </c>
      <c r="F112" s="1596">
        <f>'Pro forma'!F$5</f>
        <v>2013</v>
      </c>
      <c r="G112" s="1596">
        <f>'Pro forma'!G$5</f>
        <v>2014</v>
      </c>
      <c r="H112" s="1597" t="str">
        <f>'Pro forma'!H$5</f>
        <v>2015/12A</v>
      </c>
      <c r="I112" s="1598" t="str">
        <f>'Pro forma'!I$5</f>
        <v>2015/0E</v>
      </c>
      <c r="J112" s="1596">
        <f>'Pro forma'!J$5</f>
        <v>2015</v>
      </c>
      <c r="K112" s="1599">
        <f>'Pro forma'!K$5</f>
        <v>2016</v>
      </c>
      <c r="L112" s="1599">
        <f>'Pro forma'!L$5</f>
        <v>2017</v>
      </c>
      <c r="M112" s="1599">
        <f>'Pro forma'!M$5</f>
        <v>2018</v>
      </c>
      <c r="N112" s="1599">
        <f>'Pro forma'!N$5</f>
        <v>2019</v>
      </c>
      <c r="O112" s="1618">
        <f>'Pro forma'!O$5</f>
        <v>2020</v>
      </c>
    </row>
    <row r="113" spans="2:18" ht="13.5" customHeight="1" x14ac:dyDescent="0.3">
      <c r="B113" s="1637" t="s">
        <v>3785</v>
      </c>
      <c r="C113" s="1621">
        <f t="shared" ref="C113:H113" si="194">C117+C125+C133+C137+C141+C145</f>
        <v>7297.5972509999992</v>
      </c>
      <c r="D113" s="1621">
        <f t="shared" si="194"/>
        <v>10931.831953000001</v>
      </c>
      <c r="E113" s="1621">
        <f t="shared" si="194"/>
        <v>13562.829521000001</v>
      </c>
      <c r="F113" s="1621">
        <f t="shared" si="194"/>
        <v>16090.326376999999</v>
      </c>
      <c r="G113" s="1621">
        <f t="shared" si="194"/>
        <v>18097.410495999997</v>
      </c>
      <c r="H113" s="1621">
        <f t="shared" si="194"/>
        <v>17209.850452999999</v>
      </c>
      <c r="I113" s="1621"/>
      <c r="J113" s="1621">
        <f t="shared" ref="J113:O113" si="195">J117+J125+J133+J137+J141+J145</f>
        <v>17209.850452999999</v>
      </c>
      <c r="K113" s="1621">
        <f t="shared" si="195"/>
        <v>22070.031834287809</v>
      </c>
      <c r="L113" s="1621">
        <f t="shared" si="195"/>
        <v>22996.9731713279</v>
      </c>
      <c r="M113" s="1621">
        <f t="shared" si="195"/>
        <v>23916.852098181022</v>
      </c>
      <c r="N113" s="1621">
        <f t="shared" si="195"/>
        <v>24921.359886304625</v>
      </c>
      <c r="O113" s="1638">
        <f t="shared" si="195"/>
        <v>26017.899721302027</v>
      </c>
    </row>
    <row r="114" spans="2:18" ht="13.5" customHeight="1" x14ac:dyDescent="0.3">
      <c r="B114" s="863" t="s">
        <v>109</v>
      </c>
      <c r="C114" s="260"/>
      <c r="D114" s="260">
        <f>D113/C113-1</f>
        <v>0.49800428510932115</v>
      </c>
      <c r="E114" s="260">
        <f t="shared" ref="E114" si="196">E113/D113-1</f>
        <v>0.24067307101971891</v>
      </c>
      <c r="F114" s="260">
        <f t="shared" ref="F114" si="197">F113/E113-1</f>
        <v>0.18635468742614147</v>
      </c>
      <c r="G114" s="260">
        <f t="shared" ref="G114:H114" si="198">G113/F113-1</f>
        <v>0.12473855855832627</v>
      </c>
      <c r="H114" s="260">
        <f t="shared" si="198"/>
        <v>-4.9043482944489347E-2</v>
      </c>
      <c r="I114" s="260"/>
      <c r="J114" s="260">
        <f>J113/G113-1</f>
        <v>-4.9043482944489347E-2</v>
      </c>
      <c r="K114" s="260">
        <f t="shared" ref="K114" si="199">K113/J113-1</f>
        <v>0.28240695028471841</v>
      </c>
      <c r="L114" s="260">
        <f t="shared" ref="L114" si="200">L113/K113-1</f>
        <v>4.2000000000000037E-2</v>
      </c>
      <c r="M114" s="260">
        <f t="shared" ref="M114" si="201">M113/L113-1</f>
        <v>4.0000000000000258E-2</v>
      </c>
      <c r="N114" s="260">
        <f t="shared" ref="N114" si="202">N113/M113-1</f>
        <v>4.2000000000000037E-2</v>
      </c>
      <c r="O114" s="783">
        <f t="shared" ref="O114" si="203">O113/N113-1</f>
        <v>4.4000000000000039E-2</v>
      </c>
    </row>
    <row r="115" spans="2:18" ht="13.5" customHeight="1" x14ac:dyDescent="0.3">
      <c r="B115" s="861" t="s">
        <v>149</v>
      </c>
      <c r="C115" s="182">
        <f>C113/C$44</f>
        <v>7.2108629647906777E-2</v>
      </c>
      <c r="D115" s="182">
        <f t="shared" ref="D115:O115" si="204">D113/D$44</f>
        <v>9.1029610354258245E-2</v>
      </c>
      <c r="E115" s="182">
        <f t="shared" si="204"/>
        <v>7.4406869064522527E-2</v>
      </c>
      <c r="F115" s="182">
        <f t="shared" si="204"/>
        <v>7.6011292165482081E-2</v>
      </c>
      <c r="G115" s="182">
        <f t="shared" si="204"/>
        <v>7.1869094970856917E-2</v>
      </c>
      <c r="H115" s="182">
        <f t="shared" si="204"/>
        <v>8.0087490056383395E-2</v>
      </c>
      <c r="I115" s="182"/>
      <c r="J115" s="182">
        <f t="shared" si="204"/>
        <v>8.0087490056383395E-2</v>
      </c>
      <c r="K115" s="182">
        <f t="shared" si="204"/>
        <v>8.9115081813943245E-2</v>
      </c>
      <c r="L115" s="182">
        <f t="shared" si="204"/>
        <v>8.9754084050324423E-2</v>
      </c>
      <c r="M115" s="182">
        <f t="shared" si="204"/>
        <v>9.014369471169062E-2</v>
      </c>
      <c r="N115" s="182">
        <f t="shared" si="204"/>
        <v>9.0711957334542598E-2</v>
      </c>
      <c r="O115" s="787">
        <f t="shared" si="204"/>
        <v>9.1396854806673408E-2</v>
      </c>
    </row>
    <row r="116" spans="2:18" ht="13.5" customHeight="1" x14ac:dyDescent="0.3">
      <c r="B116" s="1629"/>
      <c r="C116" s="1133"/>
      <c r="D116" s="1133"/>
      <c r="E116" s="1133"/>
      <c r="F116" s="1133"/>
      <c r="G116" s="1133"/>
      <c r="H116" s="1133"/>
      <c r="I116" s="1631"/>
      <c r="J116" s="1631"/>
      <c r="K116" s="1631"/>
      <c r="L116" s="1631"/>
      <c r="M116" s="1133"/>
      <c r="N116" s="401"/>
      <c r="O116" s="1619"/>
    </row>
    <row r="117" spans="2:18" ht="13.5" customHeight="1" x14ac:dyDescent="0.3">
      <c r="B117" s="1632" t="s">
        <v>1891</v>
      </c>
      <c r="C117" s="1120">
        <f>(원가명세서!C9+원가명세서!C11)/10^6</f>
        <v>6232.3960489999999</v>
      </c>
      <c r="D117" s="1120">
        <f>(원가명세서!D9+원가명세서!D11)/10^6</f>
        <v>5773.903558</v>
      </c>
      <c r="E117" s="1120">
        <f>(원가명세서!E9+원가명세서!E11)/10^6</f>
        <v>6811.4096079999999</v>
      </c>
      <c r="F117" s="1120">
        <f>(원가명세서!F9+원가명세서!F11)/10^6</f>
        <v>8439.7855670000008</v>
      </c>
      <c r="G117" s="1120">
        <f>(원가명세서!G9+원가명세서!G11)/10^6</f>
        <v>10779.540078</v>
      </c>
      <c r="H117" s="1120">
        <f>(원가명세서!H9+원가명세서!H11)/10^6</f>
        <v>13891.937153999999</v>
      </c>
      <c r="I117" s="1808"/>
      <c r="J117" s="1120">
        <f>H117+I117</f>
        <v>13891.937153999999</v>
      </c>
      <c r="K117" s="1120">
        <f>K120*K123</f>
        <v>13891.937153999999</v>
      </c>
      <c r="L117" s="1120">
        <f t="shared" ref="L117:O117" si="205">L120*L123</f>
        <v>14475.398514467999</v>
      </c>
      <c r="M117" s="1120">
        <f t="shared" si="205"/>
        <v>15054.414455046721</v>
      </c>
      <c r="N117" s="1120">
        <f t="shared" si="205"/>
        <v>15686.699862158683</v>
      </c>
      <c r="O117" s="1654">
        <f t="shared" si="205"/>
        <v>16376.914656093664</v>
      </c>
    </row>
    <row r="118" spans="2:18" ht="13.5" customHeight="1" x14ac:dyDescent="0.3">
      <c r="B118" s="863" t="s">
        <v>109</v>
      </c>
      <c r="C118" s="260"/>
      <c r="D118" s="260">
        <f>D117/C117-1</f>
        <v>-7.356600694103288E-2</v>
      </c>
      <c r="E118" s="260">
        <f t="shared" ref="E118" si="206">E117/D117-1</f>
        <v>0.17968884301201893</v>
      </c>
      <c r="F118" s="260">
        <f t="shared" ref="F118" si="207">F117/E117-1</f>
        <v>0.23906592801106452</v>
      </c>
      <c r="G118" s="260">
        <f t="shared" ref="G118:H118" si="208">G117/F117-1</f>
        <v>0.27722914195220327</v>
      </c>
      <c r="H118" s="260">
        <f t="shared" si="208"/>
        <v>0.28873189890096529</v>
      </c>
      <c r="I118" s="260"/>
      <c r="J118" s="260">
        <f>J117/G117-1</f>
        <v>0.28873189890096529</v>
      </c>
      <c r="K118" s="260">
        <f t="shared" ref="K118" si="209">K117/J117-1</f>
        <v>0</v>
      </c>
      <c r="L118" s="260">
        <f t="shared" ref="L118" si="210">L117/K117-1</f>
        <v>4.2000000000000037E-2</v>
      </c>
      <c r="M118" s="260">
        <f t="shared" ref="M118" si="211">M117/L117-1</f>
        <v>4.0000000000000036E-2</v>
      </c>
      <c r="N118" s="260">
        <f t="shared" ref="N118" si="212">N117/M117-1</f>
        <v>4.2000000000000037E-2</v>
      </c>
      <c r="O118" s="783">
        <f t="shared" ref="O118" si="213">O117/N117-1</f>
        <v>4.4000000000000039E-2</v>
      </c>
    </row>
    <row r="119" spans="2:18" ht="13.5" customHeight="1" x14ac:dyDescent="0.3">
      <c r="B119" s="861" t="s">
        <v>149</v>
      </c>
      <c r="C119" s="182">
        <f>C117/C$47</f>
        <v>0.15507550225623765</v>
      </c>
      <c r="D119" s="182">
        <f t="shared" ref="D119:O119" si="214">D117/D$47</f>
        <v>0.10571990013505432</v>
      </c>
      <c r="E119" s="182">
        <f t="shared" si="214"/>
        <v>0.12013994104738022</v>
      </c>
      <c r="F119" s="182">
        <f t="shared" si="214"/>
        <v>0.10594312918223692</v>
      </c>
      <c r="G119" s="182">
        <f t="shared" si="214"/>
        <v>0.11768853667803797</v>
      </c>
      <c r="H119" s="182">
        <f t="shared" si="214"/>
        <v>0.14567572367872256</v>
      </c>
      <c r="I119" s="182"/>
      <c r="J119" s="182">
        <f t="shared" si="214"/>
        <v>0.14567572367872256</v>
      </c>
      <c r="K119" s="182">
        <f t="shared" si="214"/>
        <v>0.13995415093222585</v>
      </c>
      <c r="L119" s="182">
        <f t="shared" si="214"/>
        <v>0.14028014044880027</v>
      </c>
      <c r="M119" s="182">
        <f t="shared" si="214"/>
        <v>0.14059736146322876</v>
      </c>
      <c r="N119" s="182">
        <f t="shared" si="214"/>
        <v>0.14100408297389785</v>
      </c>
      <c r="O119" s="787">
        <f t="shared" si="214"/>
        <v>0.14144364135495652</v>
      </c>
    </row>
    <row r="120" spans="2:18" ht="13.5" customHeight="1" x14ac:dyDescent="0.3">
      <c r="B120" s="1634" t="s">
        <v>3781</v>
      </c>
      <c r="C120" s="1125"/>
      <c r="D120" s="1125">
        <f>D$67</f>
        <v>202</v>
      </c>
      <c r="E120" s="1125">
        <f t="shared" ref="E120:J120" si="215">E$67</f>
        <v>243</v>
      </c>
      <c r="F120" s="1125">
        <f t="shared" si="215"/>
        <v>258</v>
      </c>
      <c r="G120" s="1125">
        <f t="shared" si="215"/>
        <v>289</v>
      </c>
      <c r="H120" s="1125">
        <f t="shared" si="215"/>
        <v>299</v>
      </c>
      <c r="I120" s="1125"/>
      <c r="J120" s="1125">
        <f t="shared" si="215"/>
        <v>299</v>
      </c>
      <c r="K120" s="2038">
        <f>J120</f>
        <v>299</v>
      </c>
      <c r="L120" s="2038">
        <f t="shared" ref="L120:O120" si="216">K120</f>
        <v>299</v>
      </c>
      <c r="M120" s="2038">
        <f t="shared" si="216"/>
        <v>299</v>
      </c>
      <c r="N120" s="2038">
        <f t="shared" si="216"/>
        <v>299</v>
      </c>
      <c r="O120" s="2039">
        <f t="shared" si="216"/>
        <v>299</v>
      </c>
      <c r="R120" s="2037" t="s">
        <v>4555</v>
      </c>
    </row>
    <row r="121" spans="2:18" ht="13.5" customHeight="1" x14ac:dyDescent="0.3">
      <c r="B121" s="1634" t="s">
        <v>3786</v>
      </c>
      <c r="C121" s="1633"/>
      <c r="D121" s="1125">
        <f>D47/D120</f>
        <v>270.37181215346533</v>
      </c>
      <c r="E121" s="1125">
        <f>E47/E120</f>
        <v>233.31534849794238</v>
      </c>
      <c r="F121" s="1125">
        <f>F47/F120</f>
        <v>308.7727105232558</v>
      </c>
      <c r="G121" s="1125">
        <f>G47/G120</f>
        <v>316.93355775778548</v>
      </c>
      <c r="H121" s="1125">
        <f>H47/H120</f>
        <v>318.93665671237466</v>
      </c>
      <c r="I121" s="1125"/>
      <c r="J121" s="1125">
        <f>J47/J120</f>
        <v>318.93665671237466</v>
      </c>
      <c r="K121" s="1633">
        <f>J121*(1+K122)</f>
        <v>323.72070656306022</v>
      </c>
      <c r="L121" s="1633">
        <f t="shared" ref="L121:O121" si="217">K121*(1+L122)</f>
        <v>328.5765171615061</v>
      </c>
      <c r="M121" s="1633">
        <f t="shared" si="217"/>
        <v>334.81947098757468</v>
      </c>
      <c r="N121" s="1633">
        <f t="shared" si="217"/>
        <v>341.18104093633855</v>
      </c>
      <c r="O121" s="1653">
        <f t="shared" si="217"/>
        <v>348.00466175506534</v>
      </c>
    </row>
    <row r="122" spans="2:18" ht="13.5" customHeight="1" x14ac:dyDescent="0.3">
      <c r="B122" s="863" t="s">
        <v>109</v>
      </c>
      <c r="C122" s="260"/>
      <c r="D122" s="260"/>
      <c r="E122" s="260">
        <f t="shared" ref="E122" si="218">E121/D121-1</f>
        <v>-0.13705742237097329</v>
      </c>
      <c r="F122" s="260">
        <f t="shared" ref="F122" si="219">F121/E121-1</f>
        <v>0.32341362242603977</v>
      </c>
      <c r="G122" s="260">
        <f t="shared" ref="G122:H122" si="220">G121/F121-1</f>
        <v>2.6429949786365592E-2</v>
      </c>
      <c r="H122" s="260">
        <f t="shared" si="220"/>
        <v>6.3202488520324174E-3</v>
      </c>
      <c r="I122" s="260"/>
      <c r="J122" s="260">
        <f>J121/G121-1</f>
        <v>6.3202488520324174E-3</v>
      </c>
      <c r="K122" s="1812">
        <f>K$39</f>
        <v>1.4999999999999999E-2</v>
      </c>
      <c r="L122" s="1812">
        <f t="shared" ref="L122:O122" si="221">L$39</f>
        <v>1.4999999999999999E-2</v>
      </c>
      <c r="M122" s="1812">
        <f t="shared" si="221"/>
        <v>1.9E-2</v>
      </c>
      <c r="N122" s="1812">
        <f t="shared" si="221"/>
        <v>1.9E-2</v>
      </c>
      <c r="O122" s="1813">
        <f t="shared" si="221"/>
        <v>0.02</v>
      </c>
    </row>
    <row r="123" spans="2:18" ht="13.5" customHeight="1" x14ac:dyDescent="0.3">
      <c r="B123" s="1634" t="s">
        <v>3787</v>
      </c>
      <c r="C123" s="1633"/>
      <c r="D123" s="1125">
        <f>D117/D120</f>
        <v>28.583680980198018</v>
      </c>
      <c r="E123" s="1125">
        <f t="shared" ref="E123:J123" si="222">E117/E120</f>
        <v>28.030492213991771</v>
      </c>
      <c r="F123" s="1125">
        <f t="shared" si="222"/>
        <v>32.712347158914731</v>
      </c>
      <c r="G123" s="1125">
        <f t="shared" si="222"/>
        <v>37.299446636678198</v>
      </c>
      <c r="H123" s="1125">
        <f t="shared" si="222"/>
        <v>46.461328274247492</v>
      </c>
      <c r="I123" s="1125"/>
      <c r="J123" s="1125">
        <f t="shared" si="222"/>
        <v>46.461328274247492</v>
      </c>
      <c r="K123" s="1633">
        <f>J123</f>
        <v>46.461328274247492</v>
      </c>
      <c r="L123" s="1633">
        <f>K123*(1+L$38)</f>
        <v>48.412704061765886</v>
      </c>
      <c r="M123" s="1633">
        <f t="shared" ref="M123:O123" si="223">L123*(1+M$38)</f>
        <v>50.349212224236524</v>
      </c>
      <c r="N123" s="1633">
        <f t="shared" si="223"/>
        <v>52.463879137654459</v>
      </c>
      <c r="O123" s="1653">
        <f t="shared" si="223"/>
        <v>54.772289819711254</v>
      </c>
      <c r="R123" s="825" t="s">
        <v>4600</v>
      </c>
    </row>
    <row r="124" spans="2:18" ht="13.5" customHeight="1" x14ac:dyDescent="0.3">
      <c r="B124" s="1629"/>
      <c r="C124" s="1133"/>
      <c r="D124" s="1133"/>
      <c r="E124" s="1133"/>
      <c r="F124" s="1133"/>
      <c r="G124" s="1133"/>
      <c r="H124" s="1133"/>
      <c r="I124" s="1133"/>
      <c r="J124" s="1133"/>
      <c r="K124" s="1133"/>
      <c r="L124" s="1133"/>
      <c r="M124" s="1133"/>
      <c r="N124" s="401"/>
      <c r="O124" s="1619"/>
    </row>
    <row r="125" spans="2:18" ht="13.5" customHeight="1" x14ac:dyDescent="0.3">
      <c r="B125" s="1632" t="s">
        <v>3775</v>
      </c>
      <c r="C125" s="1120">
        <f>원가명세서!C10/10^6</f>
        <v>0</v>
      </c>
      <c r="D125" s="1120">
        <f>원가명세서!D10/10^6</f>
        <v>3348.9998540000001</v>
      </c>
      <c r="E125" s="1120">
        <f>원가명세서!E10/10^6</f>
        <v>4825.2008420000002</v>
      </c>
      <c r="F125" s="1120">
        <f>원가명세서!F10/10^6</f>
        <v>5004.6762189999999</v>
      </c>
      <c r="G125" s="1120">
        <f>원가명세서!G10/10^6</f>
        <v>4188.6924410000001</v>
      </c>
      <c r="H125" s="1120">
        <f>원가명세서!H10/10^6</f>
        <v>172.29924800000001</v>
      </c>
      <c r="I125" s="1808"/>
      <c r="J125" s="1120">
        <f>H125+I125</f>
        <v>172.29924800000001</v>
      </c>
      <c r="K125" s="1120">
        <f>K128*K131</f>
        <v>4333.6298957058825</v>
      </c>
      <c r="L125" s="1120">
        <f t="shared" ref="L125:O125" si="224">L128*L131</f>
        <v>4515.6423513255295</v>
      </c>
      <c r="M125" s="1120">
        <f t="shared" si="224"/>
        <v>4696.2680453785515</v>
      </c>
      <c r="N125" s="1120">
        <f t="shared" si="224"/>
        <v>4893.5113032844511</v>
      </c>
      <c r="O125" s="1654">
        <f t="shared" si="224"/>
        <v>5108.825800628967</v>
      </c>
    </row>
    <row r="126" spans="2:18" ht="13.5" customHeight="1" x14ac:dyDescent="0.3">
      <c r="B126" s="863" t="s">
        <v>109</v>
      </c>
      <c r="C126" s="260"/>
      <c r="D126" s="260" t="e">
        <f>D125/C125-1</f>
        <v>#DIV/0!</v>
      </c>
      <c r="E126" s="260">
        <f t="shared" ref="E126" si="225">E125/D125-1</f>
        <v>0.44078860924309859</v>
      </c>
      <c r="F126" s="260">
        <f t="shared" ref="F126" si="226">F125/E125-1</f>
        <v>3.7195421056423594E-2</v>
      </c>
      <c r="G126" s="260">
        <f t="shared" ref="G126:H126" si="227">G125/F125-1</f>
        <v>-0.16304426945786399</v>
      </c>
      <c r="H126" s="260">
        <f t="shared" si="227"/>
        <v>-0.95886562443365608</v>
      </c>
      <c r="I126" s="260"/>
      <c r="J126" s="260">
        <f>J125/G125-1</f>
        <v>-0.95886562443365608</v>
      </c>
      <c r="K126" s="260">
        <f t="shared" ref="K126" si="228">K125/J125-1</f>
        <v>24.151763260776868</v>
      </c>
      <c r="L126" s="260">
        <f t="shared" ref="L126" si="229">L125/K125-1</f>
        <v>4.2000000000000037E-2</v>
      </c>
      <c r="M126" s="260">
        <f t="shared" ref="M126" si="230">M125/L125-1</f>
        <v>4.0000000000000258E-2</v>
      </c>
      <c r="N126" s="260">
        <f t="shared" ref="N126" si="231">N125/M125-1</f>
        <v>4.2000000000000037E-2</v>
      </c>
      <c r="O126" s="783">
        <f t="shared" ref="O126" si="232">O125/N125-1</f>
        <v>4.4000000000000039E-2</v>
      </c>
    </row>
    <row r="127" spans="2:18" ht="13.5" customHeight="1" x14ac:dyDescent="0.3">
      <c r="B127" s="861" t="s">
        <v>149</v>
      </c>
      <c r="C127" s="182">
        <f>C125/C$47</f>
        <v>0</v>
      </c>
      <c r="D127" s="182">
        <f t="shared" ref="D127:O127" si="233">D125/D$47</f>
        <v>6.1320028393378911E-2</v>
      </c>
      <c r="E127" s="182">
        <f t="shared" si="233"/>
        <v>8.5107103824558217E-2</v>
      </c>
      <c r="F127" s="182">
        <f t="shared" si="233"/>
        <v>6.282281166691471E-2</v>
      </c>
      <c r="G127" s="182">
        <f t="shared" si="233"/>
        <v>4.5731179661527011E-2</v>
      </c>
      <c r="H127" s="182">
        <f t="shared" si="233"/>
        <v>1.8067903247368589E-3</v>
      </c>
      <c r="I127" s="182"/>
      <c r="J127" s="182">
        <f t="shared" si="233"/>
        <v>1.8067903247368589E-3</v>
      </c>
      <c r="K127" s="182">
        <f t="shared" si="233"/>
        <v>4.3659101375461584E-2</v>
      </c>
      <c r="L127" s="182">
        <f t="shared" si="233"/>
        <v>4.376079474615948E-2</v>
      </c>
      <c r="M127" s="182">
        <f t="shared" si="233"/>
        <v>4.3859752757301772E-2</v>
      </c>
      <c r="N127" s="182">
        <f t="shared" si="233"/>
        <v>4.3986630706598764E-2</v>
      </c>
      <c r="O127" s="787">
        <f t="shared" si="233"/>
        <v>4.4123752212400821E-2</v>
      </c>
    </row>
    <row r="128" spans="2:18" ht="13.5" customHeight="1" x14ac:dyDescent="0.3">
      <c r="B128" s="1634" t="s">
        <v>3781</v>
      </c>
      <c r="C128" s="1125"/>
      <c r="D128" s="1125">
        <f t="shared" ref="D128:H128" si="234">D$67</f>
        <v>202</v>
      </c>
      <c r="E128" s="1125">
        <f t="shared" si="234"/>
        <v>243</v>
      </c>
      <c r="F128" s="1125">
        <f t="shared" si="234"/>
        <v>258</v>
      </c>
      <c r="G128" s="1125">
        <f t="shared" si="234"/>
        <v>289</v>
      </c>
      <c r="H128" s="1125">
        <f t="shared" si="234"/>
        <v>299</v>
      </c>
      <c r="I128" s="1125"/>
      <c r="J128" s="1125">
        <f>J$67</f>
        <v>299</v>
      </c>
      <c r="K128" s="2038">
        <f>J128</f>
        <v>299</v>
      </c>
      <c r="L128" s="2038">
        <f t="shared" ref="L128:O128" si="235">K128</f>
        <v>299</v>
      </c>
      <c r="M128" s="2038">
        <f t="shared" si="235"/>
        <v>299</v>
      </c>
      <c r="N128" s="2038">
        <f t="shared" si="235"/>
        <v>299</v>
      </c>
      <c r="O128" s="2039">
        <f t="shared" si="235"/>
        <v>299</v>
      </c>
      <c r="R128" s="2037" t="s">
        <v>4555</v>
      </c>
    </row>
    <row r="129" spans="2:15" ht="13.5" customHeight="1" x14ac:dyDescent="0.3">
      <c r="B129" s="1634" t="s">
        <v>3786</v>
      </c>
      <c r="C129" s="1633"/>
      <c r="D129" s="1125">
        <f>D47/D128</f>
        <v>270.37181215346533</v>
      </c>
      <c r="E129" s="1125">
        <f>E47/E128</f>
        <v>233.31534849794238</v>
      </c>
      <c r="F129" s="1125">
        <f>F47/F128</f>
        <v>308.7727105232558</v>
      </c>
      <c r="G129" s="1125">
        <f>G47/G128</f>
        <v>316.93355775778548</v>
      </c>
      <c r="H129" s="1125">
        <f>H47/H128</f>
        <v>318.93665671237466</v>
      </c>
      <c r="I129" s="1125"/>
      <c r="J129" s="1125">
        <f>J47/J128</f>
        <v>318.93665671237466</v>
      </c>
      <c r="K129" s="1633">
        <f>J129*(1+K130)</f>
        <v>323.72070656306022</v>
      </c>
      <c r="L129" s="1633">
        <f t="shared" ref="L129" si="236">K129*(1+L130)</f>
        <v>328.5765171615061</v>
      </c>
      <c r="M129" s="1633">
        <f t="shared" ref="M129" si="237">L129*(1+M130)</f>
        <v>334.81947098757468</v>
      </c>
      <c r="N129" s="1633">
        <f t="shared" ref="N129" si="238">M129*(1+N130)</f>
        <v>341.18104093633855</v>
      </c>
      <c r="O129" s="1653">
        <f t="shared" ref="O129" si="239">N129*(1+O130)</f>
        <v>348.00466175506534</v>
      </c>
    </row>
    <row r="130" spans="2:15" ht="13.5" customHeight="1" x14ac:dyDescent="0.3">
      <c r="B130" s="863" t="s">
        <v>109</v>
      </c>
      <c r="C130" s="260"/>
      <c r="D130" s="260"/>
      <c r="E130" s="260">
        <f t="shared" ref="E130" si="240">E129/D129-1</f>
        <v>-0.13705742237097329</v>
      </c>
      <c r="F130" s="260">
        <f t="shared" ref="F130" si="241">F129/E129-1</f>
        <v>0.32341362242603977</v>
      </c>
      <c r="G130" s="260">
        <f t="shared" ref="G130:H130" si="242">G129/F129-1</f>
        <v>2.6429949786365592E-2</v>
      </c>
      <c r="H130" s="260">
        <f t="shared" si="242"/>
        <v>6.3202488520324174E-3</v>
      </c>
      <c r="I130" s="260"/>
      <c r="J130" s="260">
        <f>J129/G129-1</f>
        <v>6.3202488520324174E-3</v>
      </c>
      <c r="K130" s="1812">
        <f>K$39</f>
        <v>1.4999999999999999E-2</v>
      </c>
      <c r="L130" s="1812">
        <f t="shared" ref="L130:O130" si="243">L$39</f>
        <v>1.4999999999999999E-2</v>
      </c>
      <c r="M130" s="1812">
        <f t="shared" si="243"/>
        <v>1.9E-2</v>
      </c>
      <c r="N130" s="1812">
        <f t="shared" si="243"/>
        <v>1.9E-2</v>
      </c>
      <c r="O130" s="1813">
        <f t="shared" si="243"/>
        <v>0.02</v>
      </c>
    </row>
    <row r="131" spans="2:15" ht="13.5" customHeight="1" x14ac:dyDescent="0.3">
      <c r="B131" s="1634" t="s">
        <v>4601</v>
      </c>
      <c r="C131" s="1633"/>
      <c r="D131" s="1125">
        <f>D125/D128</f>
        <v>16.579207198019802</v>
      </c>
      <c r="E131" s="1125">
        <f t="shared" ref="E131:H131" si="244">E125/E128</f>
        <v>19.856793588477366</v>
      </c>
      <c r="F131" s="1125">
        <f t="shared" si="244"/>
        <v>19.397969841085271</v>
      </c>
      <c r="G131" s="1125">
        <f t="shared" si="244"/>
        <v>14.493745470588236</v>
      </c>
      <c r="H131" s="1125">
        <f t="shared" si="244"/>
        <v>0.57625166555183949</v>
      </c>
      <c r="I131" s="1125"/>
      <c r="J131" s="1125">
        <f t="shared" ref="J131" si="245">J125/J128</f>
        <v>0.57625166555183949</v>
      </c>
      <c r="K131" s="1633">
        <f>G131</f>
        <v>14.493745470588236</v>
      </c>
      <c r="L131" s="1633">
        <f>K131*(1+L$38)</f>
        <v>15.102482780352942</v>
      </c>
      <c r="M131" s="1633">
        <f t="shared" ref="M131:O131" si="246">L131*(1+M$38)</f>
        <v>15.706582091567061</v>
      </c>
      <c r="N131" s="1633">
        <f t="shared" si="246"/>
        <v>16.366258539412879</v>
      </c>
      <c r="O131" s="1653">
        <f t="shared" si="246"/>
        <v>17.086373915147046</v>
      </c>
    </row>
    <row r="132" spans="2:15" ht="13.5" customHeight="1" x14ac:dyDescent="0.3">
      <c r="B132" s="1630"/>
      <c r="C132" s="1123"/>
      <c r="D132" s="1123"/>
      <c r="E132" s="1123"/>
      <c r="F132" s="1123"/>
      <c r="G132" s="1123"/>
      <c r="H132" s="1123"/>
      <c r="I132" s="1635"/>
      <c r="J132" s="1635"/>
      <c r="K132" s="1635"/>
      <c r="L132" s="1635"/>
      <c r="M132" s="1635"/>
      <c r="N132" s="401"/>
      <c r="O132" s="1619"/>
    </row>
    <row r="133" spans="2:15" ht="13.5" customHeight="1" x14ac:dyDescent="0.3">
      <c r="B133" s="1629" t="s">
        <v>1787</v>
      </c>
      <c r="C133" s="1120">
        <f>원가명세서!C12/10^6</f>
        <v>518.13234199999999</v>
      </c>
      <c r="D133" s="1120">
        <f>원가명세서!D12/10^6</f>
        <v>780.47948899999994</v>
      </c>
      <c r="E133" s="1120">
        <f>원가명세서!E12/10^6</f>
        <v>894.65751999999998</v>
      </c>
      <c r="F133" s="1120">
        <f>원가명세서!F12/10^6</f>
        <v>1177.0349980000001</v>
      </c>
      <c r="G133" s="1120">
        <f>원가명세서!G12/10^6</f>
        <v>1478.481458</v>
      </c>
      <c r="H133" s="1120">
        <f>원가명세서!H12/10^6</f>
        <v>1414.52604</v>
      </c>
      <c r="I133" s="1808"/>
      <c r="J133" s="1120">
        <f>H133+I133</f>
        <v>1414.52604</v>
      </c>
      <c r="K133" s="1120">
        <f>K$117*K135</f>
        <v>1752.4329507135167</v>
      </c>
      <c r="L133" s="1120">
        <f>L$117*L135</f>
        <v>1826.0351346434843</v>
      </c>
      <c r="M133" s="1120">
        <f>M$117*M135</f>
        <v>1899.0765400292239</v>
      </c>
      <c r="N133" s="1120">
        <f>N$117*N135</f>
        <v>1978.8377547104512</v>
      </c>
      <c r="O133" s="1654">
        <f>O$117*O135</f>
        <v>2065.906615917711</v>
      </c>
    </row>
    <row r="134" spans="2:15" ht="13.5" customHeight="1" x14ac:dyDescent="0.3">
      <c r="B134" s="863" t="s">
        <v>109</v>
      </c>
      <c r="C134" s="260"/>
      <c r="D134" s="260">
        <f>D133/C133-1</f>
        <v>0.50633231268161216</v>
      </c>
      <c r="E134" s="260">
        <f t="shared" ref="E134" si="247">E133/D133-1</f>
        <v>0.14629216092058006</v>
      </c>
      <c r="F134" s="260">
        <f t="shared" ref="F134" si="248">F133/E133-1</f>
        <v>0.31562633933932638</v>
      </c>
      <c r="G134" s="260">
        <f t="shared" ref="G134:H134" si="249">G133/F133-1</f>
        <v>0.25610662428238173</v>
      </c>
      <c r="H134" s="260">
        <f t="shared" si="249"/>
        <v>-4.3257504281802084E-2</v>
      </c>
      <c r="I134" s="260"/>
      <c r="J134" s="260">
        <f>J133/G133-1</f>
        <v>-4.3257504281802084E-2</v>
      </c>
      <c r="K134" s="260">
        <f t="shared" ref="K134" si="250">K133/J133-1</f>
        <v>0.23888348546310012</v>
      </c>
      <c r="L134" s="260">
        <f t="shared" ref="L134" si="251">L133/K133-1</f>
        <v>4.2000000000000037E-2</v>
      </c>
      <c r="M134" s="260">
        <f t="shared" ref="M134" si="252">M133/L133-1</f>
        <v>4.0000000000000036E-2</v>
      </c>
      <c r="N134" s="260">
        <f t="shared" ref="N134" si="253">N133/M133-1</f>
        <v>4.2000000000000037E-2</v>
      </c>
      <c r="O134" s="783">
        <f t="shared" ref="O134" si="254">O133/N133-1</f>
        <v>4.4000000000000039E-2</v>
      </c>
    </row>
    <row r="135" spans="2:15" ht="13.5" customHeight="1" x14ac:dyDescent="0.3">
      <c r="B135" s="861" t="s">
        <v>3788</v>
      </c>
      <c r="C135" s="182">
        <f t="shared" ref="C135:J135" si="255">C133/C$117</f>
        <v>8.31353363820862E-2</v>
      </c>
      <c r="D135" s="182">
        <f t="shared" si="255"/>
        <v>0.1351736275398315</v>
      </c>
      <c r="E135" s="182">
        <f t="shared" si="255"/>
        <v>0.13134689755689113</v>
      </c>
      <c r="F135" s="182">
        <f t="shared" si="255"/>
        <v>0.1394626662793742</v>
      </c>
      <c r="G135" s="182">
        <f t="shared" si="255"/>
        <v>0.13715626523040977</v>
      </c>
      <c r="H135" s="182">
        <f t="shared" si="255"/>
        <v>0.10182352715241776</v>
      </c>
      <c r="I135" s="182"/>
      <c r="J135" s="182">
        <f t="shared" si="255"/>
        <v>0.10182352715241776</v>
      </c>
      <c r="K135" s="182">
        <f>AVERAGE(F135:H135)</f>
        <v>0.12614748622073393</v>
      </c>
      <c r="L135" s="182">
        <f>K135</f>
        <v>0.12614748622073393</v>
      </c>
      <c r="M135" s="182">
        <f t="shared" ref="M135:O135" si="256">L135</f>
        <v>0.12614748622073393</v>
      </c>
      <c r="N135" s="182">
        <f t="shared" si="256"/>
        <v>0.12614748622073393</v>
      </c>
      <c r="O135" s="787">
        <f t="shared" si="256"/>
        <v>0.12614748622073393</v>
      </c>
    </row>
    <row r="136" spans="2:15" ht="13.5" customHeight="1" x14ac:dyDescent="0.3">
      <c r="B136" s="1630"/>
      <c r="C136" s="1123"/>
      <c r="D136" s="1123"/>
      <c r="E136" s="1123"/>
      <c r="F136" s="1123"/>
      <c r="G136" s="1123"/>
      <c r="H136" s="1123"/>
      <c r="I136" s="1635"/>
      <c r="J136" s="1635"/>
      <c r="K136" s="1635"/>
      <c r="L136" s="1635"/>
      <c r="M136" s="1635"/>
      <c r="N136" s="401"/>
      <c r="O136" s="1619"/>
    </row>
    <row r="137" spans="2:15" ht="13.5" customHeight="1" x14ac:dyDescent="0.3">
      <c r="B137" s="1629" t="s">
        <v>2021</v>
      </c>
      <c r="C137" s="1120">
        <f>원가명세서!C18/10^6</f>
        <v>311.176672</v>
      </c>
      <c r="D137" s="1120">
        <f>원가명세서!D18/10^6</f>
        <v>396.78552400000001</v>
      </c>
      <c r="E137" s="1120">
        <f>원가명세서!E18/10^6</f>
        <v>381.07251200000002</v>
      </c>
      <c r="F137" s="1120">
        <f>원가명세서!F18/10^6</f>
        <v>486.44776400000001</v>
      </c>
      <c r="G137" s="1120">
        <f>원가명세서!G18/10^6</f>
        <v>524.55330200000003</v>
      </c>
      <c r="H137" s="1120">
        <f>원가명세서!H18/10^6</f>
        <v>587.21520899999996</v>
      </c>
      <c r="I137" s="1808"/>
      <c r="J137" s="1120">
        <f>H137+I137</f>
        <v>587.21520899999996</v>
      </c>
      <c r="K137" s="1120">
        <f>K$117*K139</f>
        <v>687.97322991983469</v>
      </c>
      <c r="L137" s="1120">
        <f>L$117*L139</f>
        <v>716.86810557646777</v>
      </c>
      <c r="M137" s="1120">
        <f>M$117*M139</f>
        <v>745.54282979952654</v>
      </c>
      <c r="N137" s="1120">
        <f>N$117*N139</f>
        <v>776.85562865110671</v>
      </c>
      <c r="O137" s="1654">
        <f>O$117*O139</f>
        <v>811.03727631175536</v>
      </c>
    </row>
    <row r="138" spans="2:15" ht="13.5" customHeight="1" x14ac:dyDescent="0.3">
      <c r="B138" s="863" t="s">
        <v>109</v>
      </c>
      <c r="C138" s="260"/>
      <c r="D138" s="260">
        <f>D137/C137-1</f>
        <v>0.27511333497390189</v>
      </c>
      <c r="E138" s="260">
        <f t="shared" ref="E138" si="257">E137/D137-1</f>
        <v>-3.9600769306291528E-2</v>
      </c>
      <c r="F138" s="260">
        <f t="shared" ref="F138" si="258">F137/E137-1</f>
        <v>0.27652283668258915</v>
      </c>
      <c r="G138" s="260">
        <f t="shared" ref="G138:H138" si="259">G137/F137-1</f>
        <v>7.8334285446525431E-2</v>
      </c>
      <c r="H138" s="260">
        <f t="shared" si="259"/>
        <v>0.11945765427666677</v>
      </c>
      <c r="I138" s="260"/>
      <c r="J138" s="260">
        <f>J137/G137-1</f>
        <v>0.11945765427666677</v>
      </c>
      <c r="K138" s="260">
        <f t="shared" ref="K138" si="260">K137/J137-1</f>
        <v>0.17158619084716986</v>
      </c>
      <c r="L138" s="260">
        <f t="shared" ref="L138" si="261">L137/K137-1</f>
        <v>4.2000000000000037E-2</v>
      </c>
      <c r="M138" s="260">
        <f t="shared" ref="M138" si="262">M137/L137-1</f>
        <v>4.0000000000000036E-2</v>
      </c>
      <c r="N138" s="260">
        <f t="shared" ref="N138" si="263">N137/M137-1</f>
        <v>4.2000000000000037E-2</v>
      </c>
      <c r="O138" s="783">
        <f t="shared" ref="O138" si="264">O137/N137-1</f>
        <v>4.4000000000000039E-2</v>
      </c>
    </row>
    <row r="139" spans="2:15" ht="13.5" customHeight="1" x14ac:dyDescent="0.3">
      <c r="B139" s="861" t="s">
        <v>3788</v>
      </c>
      <c r="C139" s="182">
        <f t="shared" ref="C139:J139" si="265">C137/C$117</f>
        <v>4.9928898862248799E-2</v>
      </c>
      <c r="D139" s="182">
        <f t="shared" si="265"/>
        <v>6.872049732286159E-2</v>
      </c>
      <c r="E139" s="182">
        <f t="shared" si="265"/>
        <v>5.5946204079759115E-2</v>
      </c>
      <c r="F139" s="182">
        <f t="shared" si="265"/>
        <v>5.7637455375884904E-2</v>
      </c>
      <c r="G139" s="182">
        <f t="shared" si="265"/>
        <v>4.8661937170265977E-2</v>
      </c>
      <c r="H139" s="182">
        <f t="shared" si="265"/>
        <v>4.2270217788231146E-2</v>
      </c>
      <c r="I139" s="182"/>
      <c r="J139" s="182">
        <f t="shared" si="265"/>
        <v>4.2270217788231146E-2</v>
      </c>
      <c r="K139" s="182">
        <f>AVERAGE(F139:H139)</f>
        <v>4.9523203444794016E-2</v>
      </c>
      <c r="L139" s="182">
        <f>K139</f>
        <v>4.9523203444794016E-2</v>
      </c>
      <c r="M139" s="182">
        <f t="shared" ref="M139" si="266">L139</f>
        <v>4.9523203444794016E-2</v>
      </c>
      <c r="N139" s="182">
        <f t="shared" ref="N139" si="267">M139</f>
        <v>4.9523203444794016E-2</v>
      </c>
      <c r="O139" s="787">
        <f t="shared" ref="O139" si="268">N139</f>
        <v>4.9523203444794016E-2</v>
      </c>
    </row>
    <row r="140" spans="2:15" ht="13.5" customHeight="1" x14ac:dyDescent="0.3">
      <c r="B140" s="861"/>
      <c r="C140" s="182"/>
      <c r="D140" s="182"/>
      <c r="E140" s="182"/>
      <c r="F140" s="182"/>
      <c r="G140" s="182"/>
      <c r="H140" s="182"/>
      <c r="I140" s="182"/>
      <c r="J140" s="182"/>
      <c r="K140" s="182"/>
      <c r="L140" s="182"/>
      <c r="M140" s="182"/>
      <c r="N140" s="182"/>
      <c r="O140" s="787"/>
    </row>
    <row r="141" spans="2:15" ht="13.5" customHeight="1" x14ac:dyDescent="0.3">
      <c r="B141" s="1629" t="s">
        <v>3806</v>
      </c>
      <c r="C141" s="1120">
        <f>원가명세서!C28/10^6</f>
        <v>2.5654379999999999</v>
      </c>
      <c r="D141" s="1120">
        <f>원가명세서!D28/10^6</f>
        <v>307.34198900000001</v>
      </c>
      <c r="E141" s="1120">
        <f>원가명세서!E28/10^6</f>
        <v>317.15883700000001</v>
      </c>
      <c r="F141" s="1120">
        <f>원가명세서!F28/10^6</f>
        <v>500.330533</v>
      </c>
      <c r="G141" s="1120">
        <f>원가명세서!G28/10^6</f>
        <v>579.99551399999996</v>
      </c>
      <c r="H141" s="1120">
        <f>원가명세서!H28/10^6</f>
        <v>574.10141499999997</v>
      </c>
      <c r="I141" s="1808"/>
      <c r="J141" s="1120">
        <f>H141+I141</f>
        <v>574.10141499999997</v>
      </c>
      <c r="K141" s="1120">
        <f>K$117*K143</f>
        <v>715.03572103721262</v>
      </c>
      <c r="L141" s="1120">
        <f>L$117*L143</f>
        <v>745.0672213207755</v>
      </c>
      <c r="M141" s="1120">
        <f>M$117*M143</f>
        <v>774.86991017360663</v>
      </c>
      <c r="N141" s="1120">
        <f>N$117*N143</f>
        <v>807.4144464008981</v>
      </c>
      <c r="O141" s="1654">
        <f>O$117*O143</f>
        <v>842.94068204253756</v>
      </c>
    </row>
    <row r="142" spans="2:15" ht="13.5" customHeight="1" x14ac:dyDescent="0.3">
      <c r="B142" s="863" t="s">
        <v>109</v>
      </c>
      <c r="C142" s="260"/>
      <c r="D142" s="260">
        <f>D141/C141-1</f>
        <v>118.80098096309482</v>
      </c>
      <c r="E142" s="260">
        <f t="shared" ref="E142" si="269">E141/D141-1</f>
        <v>3.1941122109416575E-2</v>
      </c>
      <c r="F142" s="260">
        <f t="shared" ref="F142" si="270">F141/E141-1</f>
        <v>0.5775393103740003</v>
      </c>
      <c r="G142" s="260">
        <f t="shared" ref="G142:H142" si="271">G141/F141-1</f>
        <v>0.15922470396185062</v>
      </c>
      <c r="H142" s="260">
        <f t="shared" si="271"/>
        <v>-1.0162318255447667E-2</v>
      </c>
      <c r="I142" s="260"/>
      <c r="J142" s="260">
        <f>J141/G141-1</f>
        <v>-1.0162318255447667E-2</v>
      </c>
      <c r="K142" s="260">
        <f t="shared" ref="K142" si="272">K141/J141-1</f>
        <v>0.24548677699603405</v>
      </c>
      <c r="L142" s="260">
        <f t="shared" ref="L142" si="273">L141/K141-1</f>
        <v>4.1999999999999815E-2</v>
      </c>
      <c r="M142" s="260">
        <f t="shared" ref="M142" si="274">M141/L141-1</f>
        <v>4.0000000000000036E-2</v>
      </c>
      <c r="N142" s="260">
        <f t="shared" ref="N142" si="275">N141/M141-1</f>
        <v>4.2000000000000037E-2</v>
      </c>
      <c r="O142" s="783">
        <f t="shared" ref="O142" si="276">O141/N141-1</f>
        <v>4.4000000000000039E-2</v>
      </c>
    </row>
    <row r="143" spans="2:15" ht="13.5" customHeight="1" x14ac:dyDescent="0.3">
      <c r="B143" s="861" t="s">
        <v>3788</v>
      </c>
      <c r="C143" s="182">
        <f t="shared" ref="C143:J143" si="277">C141/C$117</f>
        <v>4.1162948885631703E-4</v>
      </c>
      <c r="D143" s="182">
        <f t="shared" si="277"/>
        <v>5.3229498191767338E-2</v>
      </c>
      <c r="E143" s="182">
        <f t="shared" si="277"/>
        <v>4.6562878354503449E-2</v>
      </c>
      <c r="F143" s="182">
        <f t="shared" si="277"/>
        <v>5.9282375011554596E-2</v>
      </c>
      <c r="G143" s="182">
        <f t="shared" si="277"/>
        <v>5.3805218942848475E-2</v>
      </c>
      <c r="H143" s="182">
        <f t="shared" si="277"/>
        <v>4.1326231801638628E-2</v>
      </c>
      <c r="I143" s="182"/>
      <c r="J143" s="182">
        <f t="shared" si="277"/>
        <v>4.1326231801638628E-2</v>
      </c>
      <c r="K143" s="182">
        <f>AVERAGE(F143:H143)</f>
        <v>5.14712752520139E-2</v>
      </c>
      <c r="L143" s="182">
        <f>K143</f>
        <v>5.14712752520139E-2</v>
      </c>
      <c r="M143" s="182">
        <f t="shared" ref="M143" si="278">L143</f>
        <v>5.14712752520139E-2</v>
      </c>
      <c r="N143" s="182">
        <f t="shared" ref="N143" si="279">M143</f>
        <v>5.14712752520139E-2</v>
      </c>
      <c r="O143" s="787">
        <f t="shared" ref="O143" si="280">N143</f>
        <v>5.14712752520139E-2</v>
      </c>
    </row>
    <row r="144" spans="2:15" ht="13.5" customHeight="1" x14ac:dyDescent="0.3">
      <c r="B144" s="861"/>
      <c r="C144" s="182"/>
      <c r="D144" s="182"/>
      <c r="E144" s="182"/>
      <c r="F144" s="182"/>
      <c r="G144" s="182"/>
      <c r="H144" s="182"/>
      <c r="I144" s="182"/>
      <c r="J144" s="182"/>
      <c r="K144" s="182"/>
      <c r="L144" s="182"/>
      <c r="M144" s="182"/>
      <c r="N144" s="182"/>
      <c r="O144" s="787"/>
    </row>
    <row r="145" spans="2:18" ht="13.5" customHeight="1" x14ac:dyDescent="0.3">
      <c r="B145" s="1629" t="s">
        <v>4449</v>
      </c>
      <c r="C145" s="1120">
        <f>원가명세서!C21/10^6</f>
        <v>233.32675</v>
      </c>
      <c r="D145" s="1120">
        <f>원가명세서!D21/10^6</f>
        <v>324.32153899999997</v>
      </c>
      <c r="E145" s="1120">
        <f>원가명세서!E21/10^6</f>
        <v>333.33020199999999</v>
      </c>
      <c r="F145" s="1120">
        <f>원가명세서!F21/10^6</f>
        <v>482.05129599999998</v>
      </c>
      <c r="G145" s="1120">
        <f>원가명세서!G21/10^6</f>
        <v>546.14770299999998</v>
      </c>
      <c r="H145" s="1120">
        <f>원가명세서!H21/10^6</f>
        <v>569.771387</v>
      </c>
      <c r="I145" s="1808"/>
      <c r="J145" s="1120">
        <f>H145+I145</f>
        <v>569.771387</v>
      </c>
      <c r="K145" s="1120">
        <f>K$117*K147</f>
        <v>689.02288291136642</v>
      </c>
      <c r="L145" s="1120">
        <f>L$117*L147</f>
        <v>717.96184399364381</v>
      </c>
      <c r="M145" s="1120">
        <f>M$117*M147</f>
        <v>746.68031775338966</v>
      </c>
      <c r="N145" s="1120">
        <f>N$117*N147</f>
        <v>778.04089109903202</v>
      </c>
      <c r="O145" s="1654">
        <f>O$117*O147</f>
        <v>812.27469030738939</v>
      </c>
    </row>
    <row r="146" spans="2:18" ht="13.5" customHeight="1" x14ac:dyDescent="0.3">
      <c r="B146" s="863" t="s">
        <v>109</v>
      </c>
      <c r="C146" s="260"/>
      <c r="D146" s="260">
        <f>D145/C145-1</f>
        <v>0.38998867039462892</v>
      </c>
      <c r="E146" s="260">
        <f t="shared" ref="E146" si="281">E145/D145-1</f>
        <v>2.7776949467423373E-2</v>
      </c>
      <c r="F146" s="260">
        <f t="shared" ref="F146" si="282">F145/E145-1</f>
        <v>0.44616747329724404</v>
      </c>
      <c r="G146" s="260">
        <f t="shared" ref="G146:H146" si="283">G145/F145-1</f>
        <v>0.13296594684396412</v>
      </c>
      <c r="H146" s="260">
        <f t="shared" si="283"/>
        <v>4.3255119210855675E-2</v>
      </c>
      <c r="I146" s="260"/>
      <c r="J146" s="260">
        <f>J145/G145-1</f>
        <v>4.3255119210855675E-2</v>
      </c>
      <c r="K146" s="260">
        <f t="shared" ref="K146" si="284">K145/J145-1</f>
        <v>0.20929709464572754</v>
      </c>
      <c r="L146" s="260">
        <f t="shared" ref="L146" si="285">L145/K145-1</f>
        <v>4.2000000000000037E-2</v>
      </c>
      <c r="M146" s="260">
        <f t="shared" ref="M146" si="286">M145/L145-1</f>
        <v>4.0000000000000036E-2</v>
      </c>
      <c r="N146" s="260">
        <f t="shared" ref="N146" si="287">N145/M145-1</f>
        <v>4.2000000000000037E-2</v>
      </c>
      <c r="O146" s="783">
        <f t="shared" ref="O146" si="288">O145/N145-1</f>
        <v>4.4000000000000039E-2</v>
      </c>
    </row>
    <row r="147" spans="2:18" ht="13.5" customHeight="1" x14ac:dyDescent="0.3">
      <c r="B147" s="861" t="s">
        <v>3788</v>
      </c>
      <c r="C147" s="182">
        <f t="shared" ref="C147:J147" si="289">C145/C$117</f>
        <v>3.7437728309554032E-2</v>
      </c>
      <c r="D147" s="182">
        <f t="shared" si="289"/>
        <v>5.617023833912814E-2</v>
      </c>
      <c r="E147" s="182">
        <f t="shared" si="289"/>
        <v>4.8937036705075508E-2</v>
      </c>
      <c r="F147" s="182">
        <f t="shared" si="289"/>
        <v>5.711653361014829E-2</v>
      </c>
      <c r="G147" s="182">
        <f t="shared" si="289"/>
        <v>5.0665213826203467E-2</v>
      </c>
      <c r="H147" s="182">
        <f t="shared" si="289"/>
        <v>4.1014538194620462E-2</v>
      </c>
      <c r="I147" s="182"/>
      <c r="J147" s="182">
        <f t="shared" si="289"/>
        <v>4.1014538194620462E-2</v>
      </c>
      <c r="K147" s="182">
        <f>AVERAGE(F147:H147)</f>
        <v>4.9598761876990742E-2</v>
      </c>
      <c r="L147" s="182">
        <f>K147</f>
        <v>4.9598761876990742E-2</v>
      </c>
      <c r="M147" s="182">
        <f t="shared" ref="M147" si="290">L147</f>
        <v>4.9598761876990742E-2</v>
      </c>
      <c r="N147" s="182">
        <f t="shared" ref="N147" si="291">M147</f>
        <v>4.9598761876990742E-2</v>
      </c>
      <c r="O147" s="787">
        <f t="shared" ref="O147" si="292">N147</f>
        <v>4.9598761876990742E-2</v>
      </c>
    </row>
    <row r="148" spans="2:18" ht="13.5" customHeight="1" x14ac:dyDescent="0.3">
      <c r="B148" s="1639"/>
      <c r="C148" s="1640"/>
      <c r="D148" s="1640"/>
      <c r="E148" s="1640"/>
      <c r="F148" s="1640"/>
      <c r="G148" s="1640"/>
      <c r="H148" s="1640"/>
      <c r="I148" s="1640"/>
      <c r="J148" s="1640"/>
      <c r="K148" s="1640"/>
      <c r="L148" s="1640"/>
      <c r="M148" s="1640"/>
      <c r="N148" s="1640"/>
      <c r="O148" s="1641"/>
    </row>
    <row r="149" spans="2:18" ht="13.5" customHeight="1" x14ac:dyDescent="0.3">
      <c r="B149" s="1627"/>
      <c r="C149" s="1627"/>
      <c r="D149" s="1626"/>
      <c r="E149" s="1627"/>
      <c r="F149" s="1627"/>
      <c r="G149" s="1627"/>
      <c r="H149" s="1627"/>
      <c r="I149" s="1636"/>
      <c r="J149" s="1627"/>
      <c r="K149" s="1627"/>
      <c r="L149" s="1627"/>
      <c r="M149" s="1627"/>
      <c r="N149" s="401"/>
    </row>
    <row r="150" spans="2:18" ht="13.5" customHeight="1" x14ac:dyDescent="0.3">
      <c r="B150" s="834" t="s">
        <v>3789</v>
      </c>
      <c r="C150" s="838"/>
      <c r="D150" s="838"/>
      <c r="E150" s="838"/>
      <c r="F150" s="838"/>
      <c r="G150" s="838"/>
      <c r="H150" s="838"/>
      <c r="I150" s="838"/>
      <c r="J150" s="838"/>
      <c r="K150" s="838"/>
      <c r="L150" s="838"/>
      <c r="M150" s="838"/>
      <c r="N150" s="838"/>
      <c r="O150" s="1617"/>
    </row>
    <row r="151" spans="2:18" ht="13.5" customHeight="1" x14ac:dyDescent="0.3">
      <c r="B151" s="1628" t="str">
        <f>unit</f>
        <v>KRW Millions</v>
      </c>
      <c r="C151" s="1596">
        <f>'Pro forma'!C$5</f>
        <v>2010</v>
      </c>
      <c r="D151" s="1596">
        <f>'Pro forma'!D$5</f>
        <v>2011</v>
      </c>
      <c r="E151" s="1596">
        <f>'Pro forma'!E$5</f>
        <v>2012</v>
      </c>
      <c r="F151" s="1596">
        <f>'Pro forma'!F$5</f>
        <v>2013</v>
      </c>
      <c r="G151" s="1596">
        <f>'Pro forma'!G$5</f>
        <v>2014</v>
      </c>
      <c r="H151" s="1597" t="str">
        <f>'Pro forma'!H$5</f>
        <v>2015/12A</v>
      </c>
      <c r="I151" s="1598" t="str">
        <f>'Pro forma'!I$5</f>
        <v>2015/0E</v>
      </c>
      <c r="J151" s="1596">
        <f>'Pro forma'!J$5</f>
        <v>2015</v>
      </c>
      <c r="K151" s="1599">
        <f>'Pro forma'!K$5</f>
        <v>2016</v>
      </c>
      <c r="L151" s="1599">
        <f>'Pro forma'!L$5</f>
        <v>2017</v>
      </c>
      <c r="M151" s="1599">
        <f>'Pro forma'!M$5</f>
        <v>2018</v>
      </c>
      <c r="N151" s="1599">
        <f>'Pro forma'!N$5</f>
        <v>2019</v>
      </c>
      <c r="O151" s="1618">
        <f>'Pro forma'!O$5</f>
        <v>2020</v>
      </c>
    </row>
    <row r="152" spans="2:18" ht="13.5" customHeight="1" x14ac:dyDescent="0.3">
      <c r="B152" s="1632" t="s">
        <v>3785</v>
      </c>
      <c r="C152" s="1621">
        <f t="shared" ref="C152:H152" si="293">C156+C164+C172+C176+C180+C184</f>
        <v>6344.9108610000003</v>
      </c>
      <c r="D152" s="1621">
        <f t="shared" si="293"/>
        <v>4899.5274570000001</v>
      </c>
      <c r="E152" s="1621">
        <f t="shared" si="293"/>
        <v>5478.037311</v>
      </c>
      <c r="F152" s="1621">
        <f t="shared" si="293"/>
        <v>5596.7852309999989</v>
      </c>
      <c r="G152" s="1621">
        <f t="shared" si="293"/>
        <v>5560.1473500000002</v>
      </c>
      <c r="H152" s="1621">
        <f t="shared" si="293"/>
        <v>6451.2331970000005</v>
      </c>
      <c r="I152" s="1621"/>
      <c r="J152" s="1621">
        <f t="shared" ref="J152:O152" si="294">J156+J164+J172+J176+J180+J184</f>
        <v>6451.2331970000005</v>
      </c>
      <c r="K152" s="1621">
        <f t="shared" si="294"/>
        <v>8359.5769639153586</v>
      </c>
      <c r="L152" s="1621">
        <f t="shared" si="294"/>
        <v>8710.6791963998057</v>
      </c>
      <c r="M152" s="1621">
        <f t="shared" si="294"/>
        <v>9059.1063642557965</v>
      </c>
      <c r="N152" s="1621">
        <f t="shared" si="294"/>
        <v>9439.5888315545399</v>
      </c>
      <c r="O152" s="1638">
        <f t="shared" si="294"/>
        <v>9854.9307401429396</v>
      </c>
    </row>
    <row r="153" spans="2:18" ht="13.5" customHeight="1" x14ac:dyDescent="0.3">
      <c r="B153" s="863" t="s">
        <v>109</v>
      </c>
      <c r="C153" s="260"/>
      <c r="D153" s="260">
        <f>D152/C152-1</f>
        <v>-0.22780200315882737</v>
      </c>
      <c r="E153" s="260">
        <f t="shared" ref="E153" si="295">E152/D152-1</f>
        <v>0.11807462231352073</v>
      </c>
      <c r="F153" s="260">
        <f t="shared" ref="F153" si="296">F152/E152-1</f>
        <v>2.1677092224536398E-2</v>
      </c>
      <c r="G153" s="260">
        <f t="shared" ref="G153" si="297">G152/F152-1</f>
        <v>-6.5462367212280048E-3</v>
      </c>
      <c r="H153" s="260">
        <f t="shared" ref="H153" si="298">H152/G152-1</f>
        <v>0.16026299141154965</v>
      </c>
      <c r="I153" s="260"/>
      <c r="J153" s="260">
        <f>J152/G152-1</f>
        <v>0.16026299141154965</v>
      </c>
      <c r="K153" s="260">
        <f t="shared" ref="K153" si="299">K152/J152-1</f>
        <v>0.29581069365199664</v>
      </c>
      <c r="L153" s="260">
        <f t="shared" ref="L153" si="300">L152/K152-1</f>
        <v>4.2000000000000259E-2</v>
      </c>
      <c r="M153" s="260">
        <f t="shared" ref="M153" si="301">M152/L152-1</f>
        <v>3.9999999999999813E-2</v>
      </c>
      <c r="N153" s="260">
        <f t="shared" ref="N153" si="302">N152/M152-1</f>
        <v>4.2000000000000037E-2</v>
      </c>
      <c r="O153" s="783">
        <f t="shared" ref="O153" si="303">O152/N152-1</f>
        <v>4.4000000000000039E-2</v>
      </c>
    </row>
    <row r="154" spans="2:18" ht="13.5" customHeight="1" x14ac:dyDescent="0.3">
      <c r="B154" s="861" t="s">
        <v>149</v>
      </c>
      <c r="C154" s="182">
        <f>C152/C$44</f>
        <v>6.2694995583941732E-2</v>
      </c>
      <c r="D154" s="182">
        <f t="shared" ref="D154:O154" si="304">D152/D$44</f>
        <v>4.0798475246255898E-2</v>
      </c>
      <c r="E154" s="182">
        <f t="shared" si="304"/>
        <v>3.0052991840606211E-2</v>
      </c>
      <c r="F154" s="182">
        <f t="shared" si="304"/>
        <v>2.64394187795409E-2</v>
      </c>
      <c r="G154" s="182">
        <f t="shared" si="304"/>
        <v>2.2080659442268336E-2</v>
      </c>
      <c r="H154" s="182">
        <f t="shared" si="304"/>
        <v>3.0021357589779866E-2</v>
      </c>
      <c r="I154" s="182"/>
      <c r="J154" s="182">
        <f t="shared" si="304"/>
        <v>3.0021357589779866E-2</v>
      </c>
      <c r="K154" s="182">
        <f t="shared" si="304"/>
        <v>3.3754567762421722E-2</v>
      </c>
      <c r="L154" s="182">
        <f t="shared" si="304"/>
        <v>3.399660585349705E-2</v>
      </c>
      <c r="M154" s="182">
        <f t="shared" si="304"/>
        <v>3.4144180643334562E-2</v>
      </c>
      <c r="N154" s="182">
        <f t="shared" si="304"/>
        <v>3.4359424335193102E-2</v>
      </c>
      <c r="O154" s="787">
        <f t="shared" si="304"/>
        <v>3.4618846395553411E-2</v>
      </c>
    </row>
    <row r="155" spans="2:18" ht="13.5" customHeight="1" x14ac:dyDescent="0.3">
      <c r="B155" s="1632"/>
      <c r="C155" s="401"/>
      <c r="D155" s="401"/>
      <c r="E155" s="401"/>
      <c r="F155" s="401"/>
      <c r="G155" s="401"/>
      <c r="H155" s="401"/>
      <c r="I155" s="401"/>
      <c r="J155" s="401"/>
      <c r="K155" s="401"/>
      <c r="L155" s="401"/>
      <c r="M155" s="401"/>
      <c r="N155" s="401"/>
      <c r="O155" s="1619"/>
    </row>
    <row r="156" spans="2:18" ht="13.5" customHeight="1" x14ac:dyDescent="0.3">
      <c r="B156" s="1632" t="s">
        <v>1891</v>
      </c>
      <c r="C156" s="1120">
        <f>IS!J20+IS!J22</f>
        <v>1856.376884</v>
      </c>
      <c r="D156" s="1120">
        <f>IS!K20+IS!K22</f>
        <v>2570.7351819999999</v>
      </c>
      <c r="E156" s="1120">
        <f>IS!L20+IS!L22</f>
        <v>1851.7824409999998</v>
      </c>
      <c r="F156" s="1120">
        <f>IS!M20+IS!M22</f>
        <v>2060.6505949999996</v>
      </c>
      <c r="G156" s="1120">
        <f>IS!N20+IS!N22</f>
        <v>2162.9079979999997</v>
      </c>
      <c r="H156" s="1120">
        <f>IS!O20+IS!O22</f>
        <v>3609.9745710000002</v>
      </c>
      <c r="I156" s="1642"/>
      <c r="J156" s="1120">
        <f>H156+I156</f>
        <v>3609.9745710000002</v>
      </c>
      <c r="K156" s="1120">
        <f>K159*K162</f>
        <v>3609.9745710000002</v>
      </c>
      <c r="L156" s="1120">
        <f t="shared" ref="L156:O156" si="305">L159*L162</f>
        <v>3761.5935029820002</v>
      </c>
      <c r="M156" s="1120">
        <f t="shared" si="305"/>
        <v>3912.0572431012802</v>
      </c>
      <c r="N156" s="1120">
        <f t="shared" si="305"/>
        <v>4076.3636473115344</v>
      </c>
      <c r="O156" s="1654">
        <f t="shared" si="305"/>
        <v>4255.723647793242</v>
      </c>
    </row>
    <row r="157" spans="2:18" ht="13.5" customHeight="1" x14ac:dyDescent="0.3">
      <c r="B157" s="863" t="s">
        <v>109</v>
      </c>
      <c r="C157" s="401"/>
      <c r="D157" s="260">
        <f>D156/C156-1</f>
        <v>0.38481318322642921</v>
      </c>
      <c r="E157" s="260">
        <f t="shared" ref="E157" si="306">E156/D156-1</f>
        <v>-0.27966814553051855</v>
      </c>
      <c r="F157" s="260">
        <f t="shared" ref="F157" si="307">F156/E156-1</f>
        <v>0.11279303085259129</v>
      </c>
      <c r="G157" s="260">
        <f t="shared" ref="G157" si="308">G156/F156-1</f>
        <v>4.9623843677389701E-2</v>
      </c>
      <c r="H157" s="260">
        <f t="shared" ref="H157" si="309">H156/G156-1</f>
        <v>0.66903750614361579</v>
      </c>
      <c r="I157" s="260"/>
      <c r="J157" s="260">
        <f>J156/G156-1</f>
        <v>0.66903750614361579</v>
      </c>
      <c r="K157" s="260">
        <f t="shared" ref="K157" si="310">K156/J156-1</f>
        <v>0</v>
      </c>
      <c r="L157" s="260">
        <f t="shared" ref="L157" si="311">L156/K156-1</f>
        <v>4.2000000000000037E-2</v>
      </c>
      <c r="M157" s="260">
        <f t="shared" ref="M157" si="312">M156/L156-1</f>
        <v>4.0000000000000036E-2</v>
      </c>
      <c r="N157" s="260">
        <f t="shared" ref="N157" si="313">N156/M156-1</f>
        <v>4.2000000000000037E-2</v>
      </c>
      <c r="O157" s="783">
        <f t="shared" ref="O157" si="314">O156/N156-1</f>
        <v>4.4000000000000039E-2</v>
      </c>
    </row>
    <row r="158" spans="2:18" ht="13.5" customHeight="1" x14ac:dyDescent="0.3">
      <c r="B158" s="861" t="s">
        <v>149</v>
      </c>
      <c r="C158" s="182">
        <f>C156/C$44</f>
        <v>1.8343132487470184E-2</v>
      </c>
      <c r="D158" s="182">
        <f t="shared" ref="D158:O158" si="315">D156/D$44</f>
        <v>2.1406569635130861E-2</v>
      </c>
      <c r="E158" s="182">
        <f t="shared" si="315"/>
        <v>1.015904044286106E-2</v>
      </c>
      <c r="F158" s="182">
        <f t="shared" si="315"/>
        <v>9.7345890168775585E-3</v>
      </c>
      <c r="G158" s="182">
        <f t="shared" si="315"/>
        <v>8.5894189312800129E-3</v>
      </c>
      <c r="H158" s="182">
        <f t="shared" si="315"/>
        <v>1.6799321025381803E-2</v>
      </c>
      <c r="I158" s="182"/>
      <c r="J158" s="182">
        <f t="shared" si="315"/>
        <v>1.6799321025381803E-2</v>
      </c>
      <c r="K158" s="182">
        <f t="shared" si="315"/>
        <v>1.4576471010844871E-2</v>
      </c>
      <c r="L158" s="182">
        <f t="shared" si="315"/>
        <v>1.4680992012059031E-2</v>
      </c>
      <c r="M158" s="182">
        <f t="shared" si="315"/>
        <v>1.4744720265406509E-2</v>
      </c>
      <c r="N158" s="182">
        <f t="shared" si="315"/>
        <v>1.4837670453858814E-2</v>
      </c>
      <c r="O158" s="787">
        <f t="shared" si="315"/>
        <v>1.494969849607909E-2</v>
      </c>
    </row>
    <row r="159" spans="2:18" ht="13.5" customHeight="1" x14ac:dyDescent="0.3">
      <c r="B159" s="1634" t="s">
        <v>3781</v>
      </c>
      <c r="C159" s="401"/>
      <c r="D159" s="1125">
        <f>D$71</f>
        <v>40</v>
      </c>
      <c r="E159" s="1125">
        <f t="shared" ref="E159:J159" si="316">E$71</f>
        <v>42</v>
      </c>
      <c r="F159" s="1125">
        <f t="shared" si="316"/>
        <v>37</v>
      </c>
      <c r="G159" s="1125">
        <f t="shared" si="316"/>
        <v>51</v>
      </c>
      <c r="H159" s="1125">
        <f t="shared" si="316"/>
        <v>67</v>
      </c>
      <c r="I159" s="1125"/>
      <c r="J159" s="1125">
        <f t="shared" si="316"/>
        <v>67</v>
      </c>
      <c r="K159" s="2038">
        <f>J159</f>
        <v>67</v>
      </c>
      <c r="L159" s="2038">
        <f t="shared" ref="L159:O159" si="317">K159</f>
        <v>67</v>
      </c>
      <c r="M159" s="2038">
        <f t="shared" si="317"/>
        <v>67</v>
      </c>
      <c r="N159" s="2038">
        <f t="shared" si="317"/>
        <v>67</v>
      </c>
      <c r="O159" s="2039">
        <f t="shared" si="317"/>
        <v>67</v>
      </c>
      <c r="R159" s="2037" t="s">
        <v>4556</v>
      </c>
    </row>
    <row r="160" spans="2:18" ht="13.5" customHeight="1" x14ac:dyDescent="0.3">
      <c r="B160" s="1634" t="s">
        <v>3786</v>
      </c>
      <c r="C160" s="401"/>
      <c r="D160" s="1125">
        <f>D$44/D159</f>
        <v>3002.2736312000002</v>
      </c>
      <c r="E160" s="1125">
        <f t="shared" ref="E160:H160" si="318">E$44/E159</f>
        <v>4339.982537428571</v>
      </c>
      <c r="F160" s="1125">
        <f t="shared" si="318"/>
        <v>5721.1721242432423</v>
      </c>
      <c r="G160" s="1125">
        <f t="shared" si="318"/>
        <v>4937.4656288627448</v>
      </c>
      <c r="H160" s="1125">
        <f t="shared" si="318"/>
        <v>3207.2854251791045</v>
      </c>
      <c r="I160" s="1125"/>
      <c r="J160" s="1125">
        <f>J$44/J159</f>
        <v>3207.2854251791045</v>
      </c>
      <c r="K160" s="1633">
        <f>J160*(1+K161)</f>
        <v>3255.3947065567909</v>
      </c>
      <c r="L160" s="1633">
        <f t="shared" ref="L160" si="319">K160*(1+L161)</f>
        <v>3304.2256271551423</v>
      </c>
      <c r="M160" s="1633">
        <f t="shared" ref="M160" si="320">L160*(1+M161)</f>
        <v>3367.0059140710896</v>
      </c>
      <c r="N160" s="1633">
        <f t="shared" ref="N160" si="321">M160*(1+N161)</f>
        <v>3430.9790264384401</v>
      </c>
      <c r="O160" s="1653">
        <f t="shared" ref="O160" si="322">N160*(1+O161)</f>
        <v>3499.598606967209</v>
      </c>
    </row>
    <row r="161" spans="2:18" ht="13.5" customHeight="1" x14ac:dyDescent="0.3">
      <c r="B161" s="863" t="s">
        <v>109</v>
      </c>
      <c r="C161" s="260"/>
      <c r="D161" s="260"/>
      <c r="E161" s="260">
        <f t="shared" ref="E161" si="323">E160/D160-1</f>
        <v>0.44556528503162873</v>
      </c>
      <c r="F161" s="260">
        <f t="shared" ref="F161" si="324">F160/E160-1</f>
        <v>0.31824772908718257</v>
      </c>
      <c r="G161" s="260">
        <f t="shared" ref="G161" si="325">G160/F160-1</f>
        <v>-0.13698355483128566</v>
      </c>
      <c r="H161" s="260">
        <f t="shared" ref="H161" si="326">H160/G160-1</f>
        <v>-0.35041868313362934</v>
      </c>
      <c r="I161" s="260"/>
      <c r="J161" s="260">
        <f>J160/G160-1</f>
        <v>-0.35041868313362934</v>
      </c>
      <c r="K161" s="1812">
        <f>K$39</f>
        <v>1.4999999999999999E-2</v>
      </c>
      <c r="L161" s="1812">
        <f t="shared" ref="L161:O161" si="327">L$39</f>
        <v>1.4999999999999999E-2</v>
      </c>
      <c r="M161" s="1812">
        <f t="shared" si="327"/>
        <v>1.9E-2</v>
      </c>
      <c r="N161" s="1812">
        <f t="shared" si="327"/>
        <v>1.9E-2</v>
      </c>
      <c r="O161" s="1813">
        <f t="shared" si="327"/>
        <v>0.02</v>
      </c>
    </row>
    <row r="162" spans="2:18" ht="13.5" customHeight="1" x14ac:dyDescent="0.3">
      <c r="B162" s="1634" t="s">
        <v>3787</v>
      </c>
      <c r="C162" s="1120"/>
      <c r="D162" s="1125">
        <f>D156/D159</f>
        <v>64.268379549999992</v>
      </c>
      <c r="E162" s="1125">
        <f t="shared" ref="E162:H162" si="328">E156/E159</f>
        <v>44.090058119047612</v>
      </c>
      <c r="F162" s="1125">
        <f t="shared" si="328"/>
        <v>55.693259324324316</v>
      </c>
      <c r="G162" s="1125">
        <f t="shared" si="328"/>
        <v>42.409960745098033</v>
      </c>
      <c r="H162" s="1125">
        <f t="shared" si="328"/>
        <v>53.880217477611943</v>
      </c>
      <c r="I162" s="1125"/>
      <c r="J162" s="1125">
        <f t="shared" ref="J162" si="329">J156/J159</f>
        <v>53.880217477611943</v>
      </c>
      <c r="K162" s="1633">
        <f>J162</f>
        <v>53.880217477611943</v>
      </c>
      <c r="L162" s="1633">
        <f>K162*(1+L$38)</f>
        <v>56.143186611671645</v>
      </c>
      <c r="M162" s="1633">
        <f t="shared" ref="M162:O162" si="330">L162*(1+M$38)</f>
        <v>58.388914076138512</v>
      </c>
      <c r="N162" s="1633">
        <f t="shared" si="330"/>
        <v>60.841248467336335</v>
      </c>
      <c r="O162" s="1653">
        <f t="shared" si="330"/>
        <v>63.518263399899134</v>
      </c>
      <c r="R162" s="825" t="s">
        <v>4600</v>
      </c>
    </row>
    <row r="163" spans="2:18" ht="13.5" customHeight="1" x14ac:dyDescent="0.3">
      <c r="B163" s="1634"/>
      <c r="C163" s="401"/>
      <c r="D163" s="401"/>
      <c r="E163" s="401"/>
      <c r="F163" s="401"/>
      <c r="G163" s="401"/>
      <c r="H163" s="401"/>
      <c r="I163" s="401"/>
      <c r="J163" s="401"/>
      <c r="K163" s="401"/>
      <c r="L163" s="401"/>
      <c r="M163" s="401"/>
      <c r="N163" s="401"/>
      <c r="O163" s="1619"/>
    </row>
    <row r="164" spans="2:18" ht="13.5" customHeight="1" x14ac:dyDescent="0.3">
      <c r="B164" s="1632" t="s">
        <v>3775</v>
      </c>
      <c r="C164" s="1120">
        <f>IS!J21</f>
        <v>3266.412554</v>
      </c>
      <c r="D164" s="1120">
        <f>IS!K21</f>
        <v>831.54234399999996</v>
      </c>
      <c r="E164" s="1120">
        <f>IS!L21</f>
        <v>1924.623364</v>
      </c>
      <c r="F164" s="1120">
        <f>IS!M21</f>
        <v>1760.158649</v>
      </c>
      <c r="G164" s="1120">
        <f>IS!N21</f>
        <v>1264.999241</v>
      </c>
      <c r="H164" s="1120">
        <f>IS!O21</f>
        <v>248.08947599999999</v>
      </c>
      <c r="I164" s="2043"/>
      <c r="J164" s="1120">
        <f>H164+I164</f>
        <v>248.08947599999999</v>
      </c>
      <c r="K164" s="1120">
        <f>K167*K170</f>
        <v>1661.861747980392</v>
      </c>
      <c r="L164" s="1120">
        <f t="shared" ref="L164:O164" si="331">L167*L170</f>
        <v>1731.6599413955687</v>
      </c>
      <c r="M164" s="1120">
        <f t="shared" si="331"/>
        <v>1800.9263390513913</v>
      </c>
      <c r="N164" s="1120">
        <f t="shared" si="331"/>
        <v>1876.5652452915497</v>
      </c>
      <c r="O164" s="1654">
        <f t="shared" si="331"/>
        <v>1959.1341160843779</v>
      </c>
    </row>
    <row r="165" spans="2:18" ht="13.5" customHeight="1" x14ac:dyDescent="0.3">
      <c r="B165" s="863" t="s">
        <v>109</v>
      </c>
      <c r="C165" s="260"/>
      <c r="D165" s="260">
        <f>D164/C164-1</f>
        <v>-0.74542641804945742</v>
      </c>
      <c r="E165" s="260">
        <f t="shared" ref="E165" si="332">E164/D164-1</f>
        <v>1.3145223786703522</v>
      </c>
      <c r="F165" s="260">
        <f t="shared" ref="F165" si="333">F164/E164-1</f>
        <v>-8.5452934883939236E-2</v>
      </c>
      <c r="G165" s="260">
        <f t="shared" ref="G165" si="334">G164/F164-1</f>
        <v>-0.28131521455825315</v>
      </c>
      <c r="H165" s="260">
        <f t="shared" ref="H165" si="335">H164/G164-1</f>
        <v>-0.80388171948318188</v>
      </c>
      <c r="I165" s="260"/>
      <c r="J165" s="260">
        <f>J164/G164-1</f>
        <v>-0.80388171948318188</v>
      </c>
      <c r="K165" s="260">
        <f t="shared" ref="K165" si="336">K164/J164-1</f>
        <v>5.6986386314121287</v>
      </c>
      <c r="L165" s="260">
        <f t="shared" ref="L165" si="337">L164/K164-1</f>
        <v>4.2000000000000037E-2</v>
      </c>
      <c r="M165" s="260">
        <f t="shared" ref="M165" si="338">M164/L164-1</f>
        <v>4.0000000000000036E-2</v>
      </c>
      <c r="N165" s="260">
        <f t="shared" ref="N165" si="339">N164/M164-1</f>
        <v>4.2000000000000037E-2</v>
      </c>
      <c r="O165" s="783">
        <f t="shared" ref="O165" si="340">O164/N164-1</f>
        <v>4.4000000000000039E-2</v>
      </c>
    </row>
    <row r="166" spans="2:18" ht="13.5" customHeight="1" x14ac:dyDescent="0.3">
      <c r="B166" s="861" t="s">
        <v>149</v>
      </c>
      <c r="C166" s="182">
        <f>C164/C$44</f>
        <v>3.2275901921195144E-2</v>
      </c>
      <c r="D166" s="182">
        <f t="shared" ref="D166:O166" si="341">D164/D$44</f>
        <v>6.9242717865429446E-3</v>
      </c>
      <c r="E166" s="182">
        <f t="shared" si="341"/>
        <v>1.0558652117682168E-2</v>
      </c>
      <c r="F166" s="182">
        <f t="shared" si="341"/>
        <v>8.3150540388034315E-3</v>
      </c>
      <c r="G166" s="182">
        <f t="shared" si="341"/>
        <v>5.0236110083033908E-3</v>
      </c>
      <c r="H166" s="182">
        <f t="shared" si="341"/>
        <v>1.1545052931462197E-3</v>
      </c>
      <c r="I166" s="182"/>
      <c r="J166" s="182">
        <f t="shared" si="341"/>
        <v>1.1545052931462197E-3</v>
      </c>
      <c r="K166" s="182">
        <f t="shared" si="341"/>
        <v>6.7103186233131414E-3</v>
      </c>
      <c r="L166" s="182">
        <f t="shared" si="341"/>
        <v>6.7584351544305093E-3</v>
      </c>
      <c r="M166" s="182">
        <f t="shared" si="341"/>
        <v>6.7877726315846588E-3</v>
      </c>
      <c r="N166" s="182">
        <f t="shared" si="341"/>
        <v>6.8305625071414999E-3</v>
      </c>
      <c r="O166" s="787">
        <f t="shared" si="341"/>
        <v>6.8821349252861071E-3</v>
      </c>
    </row>
    <row r="167" spans="2:18" ht="13.5" customHeight="1" x14ac:dyDescent="0.3">
      <c r="B167" s="1634" t="s">
        <v>3781</v>
      </c>
      <c r="C167" s="401"/>
      <c r="D167" s="1125">
        <f>D$71</f>
        <v>40</v>
      </c>
      <c r="E167" s="1125">
        <f t="shared" ref="E167:J167" si="342">E$71</f>
        <v>42</v>
      </c>
      <c r="F167" s="1125">
        <f t="shared" si="342"/>
        <v>37</v>
      </c>
      <c r="G167" s="1125">
        <f t="shared" si="342"/>
        <v>51</v>
      </c>
      <c r="H167" s="1125">
        <f t="shared" si="342"/>
        <v>67</v>
      </c>
      <c r="I167" s="1125"/>
      <c r="J167" s="1125">
        <f t="shared" si="342"/>
        <v>67</v>
      </c>
      <c r="K167" s="2038">
        <f>J167</f>
        <v>67</v>
      </c>
      <c r="L167" s="2038">
        <f t="shared" ref="L167" si="343">K167</f>
        <v>67</v>
      </c>
      <c r="M167" s="2038">
        <f t="shared" ref="M167" si="344">L167</f>
        <v>67</v>
      </c>
      <c r="N167" s="2038">
        <f t="shared" ref="N167" si="345">M167</f>
        <v>67</v>
      </c>
      <c r="O167" s="2039">
        <f t="shared" ref="O167" si="346">N167</f>
        <v>67</v>
      </c>
      <c r="R167" s="2037"/>
    </row>
    <row r="168" spans="2:18" ht="13.5" customHeight="1" x14ac:dyDescent="0.3">
      <c r="B168" s="1634" t="s">
        <v>3786</v>
      </c>
      <c r="C168" s="401"/>
      <c r="D168" s="1125">
        <f>D$44/D167</f>
        <v>3002.2736312000002</v>
      </c>
      <c r="E168" s="1125">
        <f t="shared" ref="E168" si="347">E$44/E167</f>
        <v>4339.982537428571</v>
      </c>
      <c r="F168" s="1125">
        <f t="shared" ref="F168" si="348">F$44/F167</f>
        <v>5721.1721242432423</v>
      </c>
      <c r="G168" s="1125">
        <f t="shared" ref="G168" si="349">G$44/G167</f>
        <v>4937.4656288627448</v>
      </c>
      <c r="H168" s="1125">
        <f t="shared" ref="H168" si="350">H$44/H167</f>
        <v>3207.2854251791045</v>
      </c>
      <c r="I168" s="1125"/>
      <c r="J168" s="1125">
        <f>J$44/J167</f>
        <v>3207.2854251791045</v>
      </c>
      <c r="K168" s="1633">
        <f>J168*(1+K169)</f>
        <v>3255.3947065567909</v>
      </c>
      <c r="L168" s="1633">
        <f t="shared" ref="L168" si="351">K168*(1+L169)</f>
        <v>3304.2256271551423</v>
      </c>
      <c r="M168" s="1633">
        <f t="shared" ref="M168" si="352">L168*(1+M169)</f>
        <v>3367.0059140710896</v>
      </c>
      <c r="N168" s="1633">
        <f t="shared" ref="N168" si="353">M168*(1+N169)</f>
        <v>3430.9790264384401</v>
      </c>
      <c r="O168" s="1653">
        <f t="shared" ref="O168" si="354">N168*(1+O169)</f>
        <v>3499.598606967209</v>
      </c>
    </row>
    <row r="169" spans="2:18" ht="13.5" customHeight="1" x14ac:dyDescent="0.3">
      <c r="B169" s="863" t="s">
        <v>109</v>
      </c>
      <c r="C169" s="260"/>
      <c r="D169" s="260"/>
      <c r="E169" s="260">
        <f t="shared" ref="E169" si="355">E168/D168-1</f>
        <v>0.44556528503162873</v>
      </c>
      <c r="F169" s="260">
        <f t="shared" ref="F169" si="356">F168/E168-1</f>
        <v>0.31824772908718257</v>
      </c>
      <c r="G169" s="260">
        <f t="shared" ref="G169" si="357">G168/F168-1</f>
        <v>-0.13698355483128566</v>
      </c>
      <c r="H169" s="260" t="s">
        <v>92</v>
      </c>
      <c r="I169" s="260"/>
      <c r="J169" s="260">
        <f>J168/G168-1</f>
        <v>-0.35041868313362934</v>
      </c>
      <c r="K169" s="1812">
        <f>K$39</f>
        <v>1.4999999999999999E-2</v>
      </c>
      <c r="L169" s="1812">
        <f t="shared" ref="L169:O169" si="358">L$39</f>
        <v>1.4999999999999999E-2</v>
      </c>
      <c r="M169" s="1812">
        <f t="shared" si="358"/>
        <v>1.9E-2</v>
      </c>
      <c r="N169" s="1812">
        <f t="shared" si="358"/>
        <v>1.9E-2</v>
      </c>
      <c r="O169" s="1813">
        <f t="shared" si="358"/>
        <v>0.02</v>
      </c>
    </row>
    <row r="170" spans="2:18" ht="13.5" customHeight="1" x14ac:dyDescent="0.3">
      <c r="B170" s="1634" t="s">
        <v>4601</v>
      </c>
      <c r="C170" s="1120"/>
      <c r="D170" s="1125">
        <f>D164/D167</f>
        <v>20.788558599999998</v>
      </c>
      <c r="E170" s="1125">
        <f t="shared" ref="E170:H170" si="359">E164/E167</f>
        <v>45.824365809523812</v>
      </c>
      <c r="F170" s="1125">
        <f t="shared" si="359"/>
        <v>47.57185537837838</v>
      </c>
      <c r="G170" s="1125">
        <f t="shared" si="359"/>
        <v>24.803906686274509</v>
      </c>
      <c r="H170" s="1125">
        <f t="shared" si="359"/>
        <v>3.7028279999999998</v>
      </c>
      <c r="I170" s="1125"/>
      <c r="J170" s="1125">
        <f t="shared" ref="J170" si="360">J164/J167</f>
        <v>3.7028279999999998</v>
      </c>
      <c r="K170" s="1633">
        <f>G170</f>
        <v>24.803906686274509</v>
      </c>
      <c r="L170" s="1633">
        <f>K170*(1+L$38)</f>
        <v>25.845670767098039</v>
      </c>
      <c r="M170" s="1633">
        <f t="shared" ref="M170" si="361">L170*(1+M$38)</f>
        <v>26.87949759778196</v>
      </c>
      <c r="N170" s="1633">
        <f t="shared" ref="N170" si="362">M170*(1+N$38)</f>
        <v>28.008436496888802</v>
      </c>
      <c r="O170" s="1653">
        <f t="shared" ref="O170" si="363">N170*(1+O$38)</f>
        <v>29.240807702751908</v>
      </c>
    </row>
    <row r="171" spans="2:18" ht="13.5" customHeight="1" x14ac:dyDescent="0.3">
      <c r="B171" s="1630"/>
      <c r="C171" s="401"/>
      <c r="D171" s="401"/>
      <c r="E171" s="401"/>
      <c r="F171" s="401"/>
      <c r="G171" s="401"/>
      <c r="H171" s="401"/>
      <c r="I171" s="401"/>
      <c r="J171" s="401"/>
      <c r="K171" s="401"/>
      <c r="L171" s="401"/>
      <c r="M171" s="401"/>
      <c r="N171" s="401"/>
      <c r="O171" s="1619"/>
    </row>
    <row r="172" spans="2:18" ht="13.5" customHeight="1" x14ac:dyDescent="0.3">
      <c r="B172" s="1632" t="s">
        <v>1787</v>
      </c>
      <c r="C172" s="1120">
        <f>IS!J23</f>
        <v>308.38196399999998</v>
      </c>
      <c r="D172" s="1120">
        <f>IS!K23</f>
        <v>325.77004199999999</v>
      </c>
      <c r="E172" s="1120">
        <f>IS!L23</f>
        <v>369.82198799999998</v>
      </c>
      <c r="F172" s="1120">
        <f>IS!M23</f>
        <v>438.70860299999998</v>
      </c>
      <c r="G172" s="1120">
        <f>IS!N23</f>
        <v>402.26271600000001</v>
      </c>
      <c r="H172" s="1120">
        <f>IS!O23</f>
        <v>794.94475199999999</v>
      </c>
      <c r="I172" s="1642"/>
      <c r="J172" s="1120">
        <f>H172+I172</f>
        <v>794.94475199999999</v>
      </c>
      <c r="K172" s="1120">
        <f>K$156*K174</f>
        <v>744.9643503449098</v>
      </c>
      <c r="L172" s="1120">
        <f t="shared" ref="L172:O172" si="364">L$156*L174</f>
        <v>776.2528530593961</v>
      </c>
      <c r="M172" s="1120">
        <f t="shared" si="364"/>
        <v>807.30296718177192</v>
      </c>
      <c r="N172" s="1120">
        <f t="shared" si="364"/>
        <v>841.20969180340637</v>
      </c>
      <c r="O172" s="1654">
        <f t="shared" si="364"/>
        <v>878.22291824275635</v>
      </c>
    </row>
    <row r="173" spans="2:18" ht="13.5" customHeight="1" x14ac:dyDescent="0.3">
      <c r="B173" s="863" t="s">
        <v>109</v>
      </c>
      <c r="C173" s="260"/>
      <c r="D173" s="260">
        <f>D172/C172-1</f>
        <v>5.6384873403296787E-2</v>
      </c>
      <c r="E173" s="260">
        <f t="shared" ref="E173" si="365">E172/D172-1</f>
        <v>0.1352240547643726</v>
      </c>
      <c r="F173" s="260">
        <f t="shared" ref="F173" si="366">F172/E172-1</f>
        <v>0.18626965738986834</v>
      </c>
      <c r="G173" s="260">
        <f t="shared" ref="G173" si="367">G172/F172-1</f>
        <v>-8.3075387058229144E-2</v>
      </c>
      <c r="H173" s="260">
        <f t="shared" ref="H173" si="368">H172/G172-1</f>
        <v>0.97618302761123887</v>
      </c>
      <c r="I173" s="260"/>
      <c r="J173" s="260">
        <f>J172/G172-1</f>
        <v>0.97618302761123887</v>
      </c>
      <c r="K173" s="260">
        <f t="shared" ref="K173" si="369">K172/J172-1</f>
        <v>-6.2872799058481199E-2</v>
      </c>
      <c r="L173" s="260">
        <f t="shared" ref="L173" si="370">L172/K172-1</f>
        <v>4.2000000000000037E-2</v>
      </c>
      <c r="M173" s="260">
        <f t="shared" ref="M173" si="371">M172/L172-1</f>
        <v>4.0000000000000036E-2</v>
      </c>
      <c r="N173" s="260">
        <f t="shared" ref="N173" si="372">N172/M172-1</f>
        <v>4.2000000000000037E-2</v>
      </c>
      <c r="O173" s="783">
        <f t="shared" ref="O173" si="373">O172/N172-1</f>
        <v>4.4000000000000039E-2</v>
      </c>
    </row>
    <row r="174" spans="2:18" ht="13.5" customHeight="1" x14ac:dyDescent="0.3">
      <c r="B174" s="861" t="s">
        <v>3788</v>
      </c>
      <c r="C174" s="182">
        <f t="shared" ref="C174:H174" si="374">C172/C$156</f>
        <v>0.16612034261896141</v>
      </c>
      <c r="D174" s="182">
        <f t="shared" si="374"/>
        <v>0.12672252057738401</v>
      </c>
      <c r="E174" s="182">
        <f t="shared" si="374"/>
        <v>0.1997113590732012</v>
      </c>
      <c r="F174" s="182">
        <f t="shared" si="374"/>
        <v>0.21289810318376662</v>
      </c>
      <c r="G174" s="182">
        <f t="shared" si="374"/>
        <v>0.18598235170981142</v>
      </c>
      <c r="H174" s="182">
        <f t="shared" si="374"/>
        <v>0.22020785364695578</v>
      </c>
      <c r="I174" s="182"/>
      <c r="J174" s="182">
        <f>J172/J$156</f>
        <v>0.22020785364695578</v>
      </c>
      <c r="K174" s="182">
        <f>AVERAGE(F174:H174)</f>
        <v>0.20636276951351129</v>
      </c>
      <c r="L174" s="182">
        <f>K174</f>
        <v>0.20636276951351129</v>
      </c>
      <c r="M174" s="182">
        <f t="shared" ref="M174:O174" si="375">L174</f>
        <v>0.20636276951351129</v>
      </c>
      <c r="N174" s="182">
        <f t="shared" si="375"/>
        <v>0.20636276951351129</v>
      </c>
      <c r="O174" s="787">
        <f t="shared" si="375"/>
        <v>0.20636276951351129</v>
      </c>
    </row>
    <row r="175" spans="2:18" ht="13.5" customHeight="1" x14ac:dyDescent="0.3">
      <c r="B175" s="1630"/>
      <c r="C175" s="401"/>
      <c r="D175" s="401"/>
      <c r="E175" s="401"/>
      <c r="F175" s="401"/>
      <c r="G175" s="401"/>
      <c r="H175" s="401"/>
      <c r="I175" s="401"/>
      <c r="J175" s="401"/>
      <c r="K175" s="401"/>
      <c r="L175" s="401"/>
      <c r="M175" s="401"/>
      <c r="N175" s="401"/>
      <c r="O175" s="1619"/>
    </row>
    <row r="176" spans="2:18" ht="13.5" customHeight="1" x14ac:dyDescent="0.3">
      <c r="B176" s="1632" t="s">
        <v>2021</v>
      </c>
      <c r="C176" s="1120">
        <f>IS!J24</f>
        <v>470.79392200000001</v>
      </c>
      <c r="D176" s="1120">
        <f>IS!K24</f>
        <v>609.26911800000005</v>
      </c>
      <c r="E176" s="1120">
        <f>IS!L24</f>
        <v>612.01453000000004</v>
      </c>
      <c r="F176" s="1120">
        <f>IS!M24</f>
        <v>562.54928800000005</v>
      </c>
      <c r="G176" s="1120">
        <f>IS!N24</f>
        <v>647.93761400000005</v>
      </c>
      <c r="H176" s="1120">
        <f>IS!O24</f>
        <v>624.47689100000002</v>
      </c>
      <c r="I176" s="1642"/>
      <c r="J176" s="1120">
        <f>H176+I176</f>
        <v>624.47689100000002</v>
      </c>
      <c r="K176" s="1120">
        <f>K$156*K178</f>
        <v>897.13918167749989</v>
      </c>
      <c r="L176" s="1120">
        <f t="shared" ref="L176:O176" si="376">L$156*L178</f>
        <v>934.81902730795491</v>
      </c>
      <c r="M176" s="1120">
        <f t="shared" si="376"/>
        <v>972.21178840027312</v>
      </c>
      <c r="N176" s="1120">
        <f t="shared" si="376"/>
        <v>1013.0446835130847</v>
      </c>
      <c r="O176" s="1654">
        <f t="shared" si="376"/>
        <v>1057.6186495876605</v>
      </c>
    </row>
    <row r="177" spans="2:18" ht="13.5" customHeight="1" x14ac:dyDescent="0.3">
      <c r="B177" s="863" t="s">
        <v>109</v>
      </c>
      <c r="C177" s="260"/>
      <c r="D177" s="260">
        <f>D176/C176-1</f>
        <v>0.29413123137133446</v>
      </c>
      <c r="E177" s="260">
        <f t="shared" ref="E177" si="377">E176/D176-1</f>
        <v>4.5060744404905595E-3</v>
      </c>
      <c r="F177" s="260">
        <f t="shared" ref="F177" si="378">F176/E176-1</f>
        <v>-8.0823639922405044E-2</v>
      </c>
      <c r="G177" s="260">
        <f t="shared" ref="G177:H177" si="379">G176/F176-1</f>
        <v>0.15178816829290875</v>
      </c>
      <c r="H177" s="260">
        <f t="shared" si="379"/>
        <v>-3.6208305387870343E-2</v>
      </c>
      <c r="I177" s="260"/>
      <c r="J177" s="260">
        <f>J176/G176-1</f>
        <v>-3.6208305387870343E-2</v>
      </c>
      <c r="K177" s="260">
        <f t="shared" ref="K177" si="380">K176/J176-1</f>
        <v>0.43662510912273267</v>
      </c>
      <c r="L177" s="260">
        <f t="shared" ref="L177" si="381">L176/K176-1</f>
        <v>4.2000000000000037E-2</v>
      </c>
      <c r="M177" s="260">
        <f t="shared" ref="M177" si="382">M176/L176-1</f>
        <v>4.0000000000000036E-2</v>
      </c>
      <c r="N177" s="260">
        <f t="shared" ref="N177" si="383">N176/M176-1</f>
        <v>4.2000000000000037E-2</v>
      </c>
      <c r="O177" s="783">
        <f t="shared" ref="O177" si="384">O176/N176-1</f>
        <v>4.4000000000000039E-2</v>
      </c>
    </row>
    <row r="178" spans="2:18" ht="13.5" customHeight="1" x14ac:dyDescent="0.3">
      <c r="B178" s="861" t="s">
        <v>3788</v>
      </c>
      <c r="C178" s="182">
        <f t="shared" ref="C178:H178" si="385">C176/C$156</f>
        <v>0.25360901983737477</v>
      </c>
      <c r="D178" s="182">
        <f t="shared" si="385"/>
        <v>0.23700189823752918</v>
      </c>
      <c r="E178" s="182">
        <f t="shared" si="385"/>
        <v>0.33050023396349942</v>
      </c>
      <c r="F178" s="182">
        <f t="shared" si="385"/>
        <v>0.27299596028796924</v>
      </c>
      <c r="G178" s="182">
        <f t="shared" si="385"/>
        <v>0.29956781083575251</v>
      </c>
      <c r="H178" s="182">
        <f t="shared" si="385"/>
        <v>0.17298650689027251</v>
      </c>
      <c r="I178" s="182"/>
      <c r="J178" s="182">
        <f>J176/J$156</f>
        <v>0.17298650689027251</v>
      </c>
      <c r="K178" s="182">
        <f>AVERAGE(F178:H178)</f>
        <v>0.24851675933799808</v>
      </c>
      <c r="L178" s="182">
        <f>K178</f>
        <v>0.24851675933799808</v>
      </c>
      <c r="M178" s="182">
        <f t="shared" ref="M178" si="386">L178</f>
        <v>0.24851675933799808</v>
      </c>
      <c r="N178" s="182">
        <f t="shared" ref="N178" si="387">M178</f>
        <v>0.24851675933799808</v>
      </c>
      <c r="O178" s="787">
        <f t="shared" ref="O178" si="388">N178</f>
        <v>0.24851675933799808</v>
      </c>
    </row>
    <row r="179" spans="2:18" ht="13.5" customHeight="1" x14ac:dyDescent="0.3">
      <c r="B179" s="637"/>
      <c r="C179" s="401"/>
      <c r="D179" s="401"/>
      <c r="E179" s="401"/>
      <c r="F179" s="401"/>
      <c r="G179" s="401"/>
      <c r="H179" s="401"/>
      <c r="I179" s="401"/>
      <c r="J179" s="401"/>
      <c r="K179" s="401"/>
      <c r="L179" s="401"/>
      <c r="M179" s="401"/>
      <c r="N179" s="401"/>
      <c r="O179" s="1619"/>
    </row>
    <row r="180" spans="2:18" ht="13.5" customHeight="1" x14ac:dyDescent="0.3">
      <c r="B180" s="1629" t="s">
        <v>3806</v>
      </c>
      <c r="C180" s="1120">
        <f>IS!J35</f>
        <v>262.33400699999999</v>
      </c>
      <c r="D180" s="1120">
        <f>IS!K35</f>
        <v>387.16005999999999</v>
      </c>
      <c r="E180" s="1120">
        <f>IS!L35</f>
        <v>476.74425500000001</v>
      </c>
      <c r="F180" s="1120">
        <f>IS!M35</f>
        <v>572.09436700000003</v>
      </c>
      <c r="G180" s="1120">
        <f>IS!N35</f>
        <v>823.09897100000001</v>
      </c>
      <c r="H180" s="1120">
        <f>IS!O35</f>
        <v>814.18699800000002</v>
      </c>
      <c r="I180" s="1642"/>
      <c r="J180" s="1120">
        <f>H180+I180</f>
        <v>814.18699800000002</v>
      </c>
      <c r="K180" s="1120">
        <f>K$156*K182</f>
        <v>1063.4000611676886</v>
      </c>
      <c r="L180" s="1120">
        <f t="shared" ref="L180:O180" si="389">L$156*L182</f>
        <v>1108.0628637367315</v>
      </c>
      <c r="M180" s="1120">
        <f t="shared" si="389"/>
        <v>1152.3853782862009</v>
      </c>
      <c r="N180" s="1120">
        <f t="shared" si="389"/>
        <v>1200.7855641742215</v>
      </c>
      <c r="O180" s="1654">
        <f t="shared" si="389"/>
        <v>1253.6201289978872</v>
      </c>
      <c r="R180" s="825" t="s">
        <v>3877</v>
      </c>
    </row>
    <row r="181" spans="2:18" ht="13.5" customHeight="1" x14ac:dyDescent="0.3">
      <c r="B181" s="863" t="s">
        <v>109</v>
      </c>
      <c r="C181" s="260"/>
      <c r="D181" s="260">
        <f>D180/C180-1</f>
        <v>0.47582871327848864</v>
      </c>
      <c r="E181" s="260">
        <f t="shared" ref="E181" si="390">E180/D180-1</f>
        <v>0.23138800784357771</v>
      </c>
      <c r="F181" s="260">
        <f t="shared" ref="F181" si="391">F180/E180-1</f>
        <v>0.20000264502400777</v>
      </c>
      <c r="G181" s="260">
        <f t="shared" ref="G181" si="392">G180/F180-1</f>
        <v>0.43874685450276418</v>
      </c>
      <c r="H181" s="260">
        <f t="shared" ref="H181" si="393">H180/G180-1</f>
        <v>-1.0827340713562839E-2</v>
      </c>
      <c r="I181" s="260"/>
      <c r="J181" s="260">
        <f>J180/G180-1</f>
        <v>-1.0827340713562839E-2</v>
      </c>
      <c r="K181" s="260">
        <f t="shared" ref="K181" si="394">K180/J180-1</f>
        <v>0.30608823744405766</v>
      </c>
      <c r="L181" s="260">
        <f t="shared" ref="L181" si="395">L180/K180-1</f>
        <v>4.2000000000000037E-2</v>
      </c>
      <c r="M181" s="260">
        <f t="shared" ref="M181" si="396">M180/L180-1</f>
        <v>4.0000000000000036E-2</v>
      </c>
      <c r="N181" s="260">
        <f t="shared" ref="N181" si="397">N180/M180-1</f>
        <v>4.2000000000000037E-2</v>
      </c>
      <c r="O181" s="783">
        <f t="shared" ref="O181" si="398">O180/N180-1</f>
        <v>4.4000000000000039E-2</v>
      </c>
    </row>
    <row r="182" spans="2:18" ht="13.5" customHeight="1" x14ac:dyDescent="0.3">
      <c r="B182" s="861" t="s">
        <v>3788</v>
      </c>
      <c r="C182" s="182">
        <f>C180/C$156</f>
        <v>0.14131505798259011</v>
      </c>
      <c r="D182" s="182">
        <f t="shared" ref="D182:H182" si="399">D180/D$156</f>
        <v>0.15060285583316843</v>
      </c>
      <c r="E182" s="182">
        <f t="shared" si="399"/>
        <v>0.25745154746285881</v>
      </c>
      <c r="F182" s="182">
        <f t="shared" si="399"/>
        <v>0.27762803086954202</v>
      </c>
      <c r="G182" s="182">
        <f t="shared" si="399"/>
        <v>0.38055200302606684</v>
      </c>
      <c r="H182" s="182">
        <f t="shared" si="399"/>
        <v>0.22553815324368387</v>
      </c>
      <c r="I182" s="182"/>
      <c r="J182" s="182">
        <f>J180/J$156</f>
        <v>0.22553815324368387</v>
      </c>
      <c r="K182" s="182">
        <f>AVERAGE(F182:H182)</f>
        <v>0.29457272904643089</v>
      </c>
      <c r="L182" s="182">
        <f>K182</f>
        <v>0.29457272904643089</v>
      </c>
      <c r="M182" s="182">
        <f t="shared" ref="M182" si="400">L182</f>
        <v>0.29457272904643089</v>
      </c>
      <c r="N182" s="182">
        <f t="shared" ref="N182" si="401">M182</f>
        <v>0.29457272904643089</v>
      </c>
      <c r="O182" s="787">
        <f t="shared" ref="O182" si="402">N182</f>
        <v>0.29457272904643089</v>
      </c>
    </row>
    <row r="183" spans="2:18" ht="13.5" customHeight="1" x14ac:dyDescent="0.3">
      <c r="B183" s="637"/>
      <c r="C183" s="401"/>
      <c r="D183" s="401"/>
      <c r="E183" s="401"/>
      <c r="F183" s="401"/>
      <c r="G183" s="401"/>
      <c r="H183" s="401"/>
      <c r="I183" s="401"/>
      <c r="J183" s="401"/>
      <c r="K183" s="401"/>
      <c r="L183" s="401"/>
      <c r="M183" s="401"/>
      <c r="N183" s="401"/>
      <c r="O183" s="1619"/>
    </row>
    <row r="184" spans="2:18" ht="13.5" customHeight="1" x14ac:dyDescent="0.3">
      <c r="B184" s="1629" t="s">
        <v>4449</v>
      </c>
      <c r="C184" s="1120">
        <f>IS!J28</f>
        <v>180.61152999999999</v>
      </c>
      <c r="D184" s="1120">
        <f>IS!K28</f>
        <v>175.05071100000001</v>
      </c>
      <c r="E184" s="1120">
        <f>IS!L28</f>
        <v>243.05073300000001</v>
      </c>
      <c r="F184" s="1120">
        <f>IS!M28</f>
        <v>202.623729</v>
      </c>
      <c r="G184" s="1120">
        <f>IS!N28</f>
        <v>258.94081</v>
      </c>
      <c r="H184" s="1120">
        <f>IS!O28</f>
        <v>359.56050900000002</v>
      </c>
      <c r="I184" s="1642"/>
      <c r="J184" s="1120">
        <f>H184+I184</f>
        <v>359.56050900000002</v>
      </c>
      <c r="K184" s="1120">
        <f>K$156*K186</f>
        <v>382.23705174486832</v>
      </c>
      <c r="L184" s="1120">
        <f t="shared" ref="L184:O184" si="403">L$156*L186</f>
        <v>398.29100791815279</v>
      </c>
      <c r="M184" s="1120">
        <f t="shared" si="403"/>
        <v>414.22264823487887</v>
      </c>
      <c r="N184" s="1120">
        <f t="shared" si="403"/>
        <v>431.61999946074383</v>
      </c>
      <c r="O184" s="1654">
        <f t="shared" si="403"/>
        <v>450.61127943701661</v>
      </c>
    </row>
    <row r="185" spans="2:18" ht="13.5" customHeight="1" x14ac:dyDescent="0.3">
      <c r="B185" s="863" t="s">
        <v>109</v>
      </c>
      <c r="C185" s="260"/>
      <c r="D185" s="260">
        <f>D184/C184-1</f>
        <v>-3.078883723536352E-2</v>
      </c>
      <c r="E185" s="260">
        <f t="shared" ref="E185" si="404">E184/D184-1</f>
        <v>0.38845898775012677</v>
      </c>
      <c r="F185" s="260">
        <f t="shared" ref="F185" si="405">F184/E184-1</f>
        <v>-0.16633154527454153</v>
      </c>
      <c r="G185" s="260">
        <f t="shared" ref="G185" si="406">G184/F184-1</f>
        <v>0.27793921905365782</v>
      </c>
      <c r="H185" s="260">
        <f t="shared" ref="H185" si="407">H184/G184-1</f>
        <v>0.38858185003746626</v>
      </c>
      <c r="I185" s="260"/>
      <c r="J185" s="260">
        <f>J184/G184-1</f>
        <v>0.38858185003746626</v>
      </c>
      <c r="K185" s="260">
        <f t="shared" ref="K185" si="408">K184/J184-1</f>
        <v>6.3067389708440613E-2</v>
      </c>
      <c r="L185" s="260">
        <f t="shared" ref="L185" si="409">L184/K184-1</f>
        <v>4.2000000000000037E-2</v>
      </c>
      <c r="M185" s="260">
        <f t="shared" ref="M185" si="410">M184/L184-1</f>
        <v>4.0000000000000036E-2</v>
      </c>
      <c r="N185" s="260">
        <f t="shared" ref="N185" si="411">N184/M184-1</f>
        <v>4.2000000000000037E-2</v>
      </c>
      <c r="O185" s="783">
        <f t="shared" ref="O185" si="412">O184/N184-1</f>
        <v>4.4000000000000039E-2</v>
      </c>
    </row>
    <row r="186" spans="2:18" ht="13.5" customHeight="1" x14ac:dyDescent="0.3">
      <c r="B186" s="861" t="s">
        <v>3788</v>
      </c>
      <c r="C186" s="182">
        <f>C184/C$156</f>
        <v>9.7292490310927612E-2</v>
      </c>
      <c r="D186" s="182">
        <f t="shared" ref="D186:H186" si="413">D184/D$156</f>
        <v>6.8093638047857091E-2</v>
      </c>
      <c r="E186" s="182">
        <f t="shared" si="413"/>
        <v>0.13125231540091054</v>
      </c>
      <c r="F186" s="182">
        <f t="shared" si="413"/>
        <v>9.8329978644438765E-2</v>
      </c>
      <c r="G186" s="182">
        <f t="shared" si="413"/>
        <v>0.11971882772611581</v>
      </c>
      <c r="H186" s="182">
        <f t="shared" si="413"/>
        <v>9.9601950631025657E-2</v>
      </c>
      <c r="I186" s="182"/>
      <c r="J186" s="182">
        <f>J184/J$156</f>
        <v>9.9601950631025657E-2</v>
      </c>
      <c r="K186" s="182">
        <f>AVERAGE(F186:H186)</f>
        <v>0.10588358566719341</v>
      </c>
      <c r="L186" s="182">
        <f>K186</f>
        <v>0.10588358566719341</v>
      </c>
      <c r="M186" s="182">
        <f t="shared" ref="M186" si="414">L186</f>
        <v>0.10588358566719341</v>
      </c>
      <c r="N186" s="182">
        <f t="shared" ref="N186" si="415">M186</f>
        <v>0.10588358566719341</v>
      </c>
      <c r="O186" s="787">
        <f t="shared" ref="O186" si="416">N186</f>
        <v>0.10588358566719341</v>
      </c>
    </row>
    <row r="187" spans="2:18" ht="13.5" customHeight="1" x14ac:dyDescent="0.3">
      <c r="B187" s="1639"/>
      <c r="C187" s="1640"/>
      <c r="D187" s="1640"/>
      <c r="E187" s="1640"/>
      <c r="F187" s="1640"/>
      <c r="G187" s="1640"/>
      <c r="H187" s="1640"/>
      <c r="I187" s="1640"/>
      <c r="J187" s="1640"/>
      <c r="K187" s="1640"/>
      <c r="L187" s="1640"/>
      <c r="M187" s="1640"/>
      <c r="N187" s="1640"/>
      <c r="O187" s="1641"/>
    </row>
  </sheetData>
  <phoneticPr fontId="1" type="noConversion"/>
  <pageMargins left="0.70866141732283472" right="0.70866141732283472" top="0.74803149606299213" bottom="0.74803149606299213" header="0.31496062992125984" footer="0.31496062992125984"/>
  <pageSetup paperSize="9" scale="71" fitToHeight="10" orientation="landscape" r:id="rId1"/>
  <ignoredErrors>
    <ignoredError sqref="D62 D58 D65 D68 D72" evalError="1"/>
  </ignoredError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theme="8" tint="-0.499984740745262"/>
    <pageSetUpPr fitToPage="1"/>
  </sheetPr>
  <dimension ref="B1:U284"/>
  <sheetViews>
    <sheetView showGridLines="0" topLeftCell="A42" zoomScale="85" zoomScaleNormal="85" workbookViewId="0">
      <selection activeCell="J59" sqref="J59"/>
    </sheetView>
  </sheetViews>
  <sheetFormatPr defaultColWidth="8.75" defaultRowHeight="13.5" customHeight="1" outlineLevelRow="1" outlineLevelCol="1" x14ac:dyDescent="0.3"/>
  <cols>
    <col min="1" max="1" width="1.625" style="403" customWidth="1"/>
    <col min="2" max="2" width="13.625" style="403" customWidth="1"/>
    <col min="3" max="4" width="9" style="403" customWidth="1" outlineLevel="1"/>
    <col min="5" max="13" width="8.625" style="403" customWidth="1"/>
    <col min="14" max="15" width="8.625" style="401" customWidth="1"/>
    <col min="16" max="16" width="1.625" style="403" customWidth="1"/>
    <col min="17" max="17" width="1.625" style="1256" customWidth="1"/>
    <col min="18" max="20" width="15.625" style="691" customWidth="1" outlineLevel="1"/>
    <col min="21" max="21" width="8.75" style="1024"/>
    <col min="22" max="16384" width="8.75" style="403"/>
  </cols>
  <sheetData>
    <row r="1" spans="2:21" customFormat="1" ht="30" customHeight="1" x14ac:dyDescent="0.3">
      <c r="B1" s="58" t="str">
        <f>"Project"&amp;" "&amp;Title!L6</f>
        <v>Project IT</v>
      </c>
      <c r="C1" s="59"/>
      <c r="D1" s="59"/>
      <c r="E1" s="59"/>
      <c r="F1" s="59"/>
      <c r="G1" s="59"/>
      <c r="H1" s="59"/>
      <c r="I1" s="59"/>
      <c r="J1" s="59"/>
      <c r="K1" s="59"/>
      <c r="L1" s="59"/>
      <c r="M1" s="59"/>
      <c r="N1" s="20"/>
      <c r="O1" s="20" t="str">
        <f>Des!C12</f>
        <v>DRAFT - For Discussion Purposes Only</v>
      </c>
      <c r="Q1" s="1256"/>
      <c r="R1" s="1257"/>
      <c r="S1" s="1257"/>
      <c r="T1" s="1257"/>
      <c r="U1" s="1024"/>
    </row>
    <row r="2" spans="2:21" customFormat="1" ht="20.100000000000001" customHeight="1" x14ac:dyDescent="0.3">
      <c r="B2" s="51" t="s">
        <v>73</v>
      </c>
      <c r="C2" s="51"/>
      <c r="D2" s="51"/>
      <c r="E2" s="51"/>
      <c r="F2" s="51"/>
      <c r="G2" s="51"/>
      <c r="H2" s="60"/>
      <c r="I2" s="60"/>
      <c r="J2" s="60"/>
      <c r="K2" s="60"/>
      <c r="L2" s="60"/>
      <c r="M2" s="60"/>
      <c r="N2" s="19"/>
      <c r="O2" s="19"/>
      <c r="Q2" s="1256"/>
      <c r="R2" s="1257"/>
      <c r="S2" s="1257"/>
      <c r="T2" s="1257"/>
      <c r="U2" s="1024"/>
    </row>
    <row r="3" spans="2:21" customFormat="1" ht="14.1" customHeight="1" x14ac:dyDescent="0.3">
      <c r="C3" s="142"/>
      <c r="D3" s="142"/>
      <c r="K3" s="142"/>
      <c r="L3" s="142"/>
      <c r="N3" s="126"/>
      <c r="O3" s="126"/>
      <c r="Q3" s="1256"/>
      <c r="R3" s="1257"/>
      <c r="S3" s="1257"/>
      <c r="T3" s="1257"/>
      <c r="U3" s="1024"/>
    </row>
    <row r="4" spans="2:21" ht="13.5" customHeight="1" x14ac:dyDescent="0.3">
      <c r="B4" s="834" t="s">
        <v>1165</v>
      </c>
      <c r="C4" s="835"/>
      <c r="D4" s="835"/>
      <c r="E4" s="835"/>
      <c r="F4" s="835"/>
      <c r="G4" s="835"/>
      <c r="H4" s="835"/>
      <c r="I4" s="835"/>
      <c r="J4" s="836"/>
      <c r="K4" s="835"/>
      <c r="L4" s="835"/>
      <c r="M4" s="835"/>
      <c r="N4" s="835"/>
      <c r="O4" s="837"/>
      <c r="Q4" s="1258"/>
      <c r="R4" s="1257"/>
      <c r="S4" s="1257"/>
      <c r="T4" s="1257"/>
      <c r="U4" s="1259"/>
    </row>
    <row r="5" spans="2:21" ht="13.5" customHeight="1" x14ac:dyDescent="0.3">
      <c r="B5" s="773" t="str">
        <f>unit</f>
        <v>KRW Millions</v>
      </c>
      <c r="C5" s="774">
        <f>'SG&amp;A'!C5</f>
        <v>2010</v>
      </c>
      <c r="D5" s="774">
        <f>'SG&amp;A'!D5</f>
        <v>2011</v>
      </c>
      <c r="E5" s="774">
        <f>'SG&amp;A'!E5</f>
        <v>2012</v>
      </c>
      <c r="F5" s="774">
        <f>'SG&amp;A'!F5</f>
        <v>2013</v>
      </c>
      <c r="G5" s="774">
        <f>'SG&amp;A'!G5</f>
        <v>2014</v>
      </c>
      <c r="H5" s="774" t="str">
        <f>'SG&amp;A'!H5</f>
        <v>2015/12A</v>
      </c>
      <c r="I5" s="774" t="str">
        <f>'SG&amp;A'!I5</f>
        <v>2015/0E</v>
      </c>
      <c r="J5" s="774">
        <f>'SG&amp;A'!J5</f>
        <v>2015</v>
      </c>
      <c r="K5" s="776">
        <f>'SG&amp;A'!K5</f>
        <v>2016</v>
      </c>
      <c r="L5" s="776">
        <f>'SG&amp;A'!L5</f>
        <v>2017</v>
      </c>
      <c r="M5" s="776">
        <f>'SG&amp;A'!M5</f>
        <v>2018</v>
      </c>
      <c r="N5" s="776">
        <f>'SG&amp;A'!N5</f>
        <v>2019</v>
      </c>
      <c r="O5" s="777">
        <f>'SG&amp;A'!O5</f>
        <v>2020</v>
      </c>
      <c r="Q5" s="1258"/>
      <c r="R5" s="1259"/>
      <c r="S5" s="1259"/>
      <c r="T5" s="1259"/>
      <c r="U5" s="1259"/>
    </row>
    <row r="6" spans="2:21" s="294" customFormat="1" ht="13.5" customHeight="1" x14ac:dyDescent="0.3">
      <c r="B6" s="856" t="s">
        <v>117</v>
      </c>
      <c r="C6" s="1276">
        <f>C19</f>
        <v>740.09</v>
      </c>
      <c r="D6" s="1276">
        <f t="shared" ref="D6:N6" si="0">D19</f>
        <v>1200.4360000000001</v>
      </c>
      <c r="E6" s="1276">
        <f t="shared" si="0"/>
        <v>598.16699999999992</v>
      </c>
      <c r="F6" s="1276">
        <f t="shared" si="0"/>
        <v>7756.6710000000012</v>
      </c>
      <c r="G6" s="1276">
        <f t="shared" si="0"/>
        <v>1132.6100000000001</v>
      </c>
      <c r="H6" s="1276">
        <f t="shared" si="0"/>
        <v>762.43818199999998</v>
      </c>
      <c r="I6" s="1277">
        <f t="shared" si="0"/>
        <v>0</v>
      </c>
      <c r="J6" s="1277">
        <f t="shared" si="0"/>
        <v>762.43818199999998</v>
      </c>
      <c r="K6" s="1277">
        <f t="shared" si="0"/>
        <v>1048.6801140523455</v>
      </c>
      <c r="L6" s="1277">
        <f t="shared" si="0"/>
        <v>1084.9450494148984</v>
      </c>
      <c r="M6" s="1277">
        <f t="shared" si="0"/>
        <v>1123.4660332625674</v>
      </c>
      <c r="N6" s="1277">
        <f t="shared" si="0"/>
        <v>1163.3180910791421</v>
      </c>
      <c r="O6" s="1278">
        <f t="shared" ref="O6" si="1">O19</f>
        <v>1205.4029995174992</v>
      </c>
      <c r="Q6" s="1258"/>
      <c r="R6" s="1259"/>
      <c r="S6" s="1259"/>
      <c r="T6" s="1259"/>
      <c r="U6" s="1259"/>
    </row>
    <row r="7" spans="2:21" s="294" customFormat="1" ht="13.5" customHeight="1" x14ac:dyDescent="0.3">
      <c r="B7" s="857" t="s">
        <v>1002</v>
      </c>
      <c r="C7" s="1279">
        <f>C51</f>
        <v>677.54200000000003</v>
      </c>
      <c r="D7" s="1279">
        <f t="shared" ref="D7:N7" si="2">D51</f>
        <v>599.58300000000008</v>
      </c>
      <c r="E7" s="1279">
        <f t="shared" si="2"/>
        <v>554.96400000000006</v>
      </c>
      <c r="F7" s="1279">
        <f t="shared" si="2"/>
        <v>711.79200000000014</v>
      </c>
      <c r="G7" s="1279">
        <f t="shared" si="2"/>
        <v>741.12100000000009</v>
      </c>
      <c r="H7" s="1279">
        <f t="shared" si="2"/>
        <v>712.84854395000002</v>
      </c>
      <c r="I7" s="1280">
        <f t="shared" ca="1" si="2"/>
        <v>64.479144862499993</v>
      </c>
      <c r="J7" s="1280">
        <f t="shared" ca="1" si="2"/>
        <v>775.38113881250001</v>
      </c>
      <c r="K7" s="1280">
        <f t="shared" ca="1" si="2"/>
        <v>945.31831839551023</v>
      </c>
      <c r="L7" s="1280">
        <f t="shared" ca="1" si="2"/>
        <v>1265.9716052721842</v>
      </c>
      <c r="M7" s="1280">
        <f t="shared" ca="1" si="2"/>
        <v>1562.79735897463</v>
      </c>
      <c r="N7" s="1280">
        <f t="shared" ca="1" si="2"/>
        <v>1823.8785111966024</v>
      </c>
      <c r="O7" s="1281">
        <f t="shared" ref="O7" ca="1" si="3">O51</f>
        <v>2179.7867802560522</v>
      </c>
      <c r="Q7" s="1258"/>
      <c r="R7" s="1259"/>
      <c r="S7" s="1259"/>
      <c r="T7" s="1259"/>
      <c r="U7" s="1259"/>
    </row>
    <row r="8" spans="2:21" ht="13.5" customHeight="1" thickBot="1" x14ac:dyDescent="0.35">
      <c r="B8" s="881" t="s">
        <v>74</v>
      </c>
      <c r="C8" s="1282">
        <f>C6-C7</f>
        <v>62.548000000000002</v>
      </c>
      <c r="D8" s="1282">
        <f t="shared" ref="D8:N8" si="4">D6-D7</f>
        <v>600.85300000000007</v>
      </c>
      <c r="E8" s="1282">
        <f t="shared" si="4"/>
        <v>43.202999999999861</v>
      </c>
      <c r="F8" s="1282">
        <f t="shared" si="4"/>
        <v>7044.8790000000008</v>
      </c>
      <c r="G8" s="1282">
        <f t="shared" si="4"/>
        <v>391.48900000000003</v>
      </c>
      <c r="H8" s="1282">
        <f t="shared" si="4"/>
        <v>49.589638049999962</v>
      </c>
      <c r="I8" s="1282">
        <f t="shared" ca="1" si="4"/>
        <v>-64.479144862499993</v>
      </c>
      <c r="J8" s="1282">
        <f t="shared" ca="1" si="4"/>
        <v>-12.942956812500029</v>
      </c>
      <c r="K8" s="1282">
        <f t="shared" ca="1" si="4"/>
        <v>103.36179565683528</v>
      </c>
      <c r="L8" s="1282">
        <f t="shared" ca="1" si="4"/>
        <v>-181.02655585728576</v>
      </c>
      <c r="M8" s="1282">
        <f t="shared" ca="1" si="4"/>
        <v>-439.33132571206261</v>
      </c>
      <c r="N8" s="1282">
        <f t="shared" ca="1" si="4"/>
        <v>-660.56042011746035</v>
      </c>
      <c r="O8" s="1283">
        <f t="shared" ref="O8" ca="1" si="5">O6-O7</f>
        <v>-974.38378073855301</v>
      </c>
      <c r="Q8" s="1258"/>
      <c r="R8" s="1259"/>
      <c r="S8" s="1259"/>
      <c r="T8" s="1259"/>
      <c r="U8" s="1259"/>
    </row>
    <row r="9" spans="2:21" ht="13.5" customHeight="1" x14ac:dyDescent="0.3">
      <c r="Q9" s="1258"/>
      <c r="R9" s="1259"/>
      <c r="S9" s="1259"/>
      <c r="T9" s="1259"/>
      <c r="U9" s="1259"/>
    </row>
    <row r="10" spans="2:21" s="294" customFormat="1" ht="13.5" customHeight="1" x14ac:dyDescent="0.3">
      <c r="B10" s="262" t="str">
        <f>unit</f>
        <v>KRW Millions</v>
      </c>
      <c r="C10" s="263">
        <f>C$5</f>
        <v>2010</v>
      </c>
      <c r="D10" s="263">
        <f t="shared" ref="D10:O10" si="6">D$5</f>
        <v>2011</v>
      </c>
      <c r="E10" s="263">
        <f t="shared" si="6"/>
        <v>2012</v>
      </c>
      <c r="F10" s="263">
        <f t="shared" si="6"/>
        <v>2013</v>
      </c>
      <c r="G10" s="263">
        <f t="shared" si="6"/>
        <v>2014</v>
      </c>
      <c r="H10" s="264" t="str">
        <f t="shared" si="6"/>
        <v>2015/12A</v>
      </c>
      <c r="I10" s="264" t="str">
        <f t="shared" si="6"/>
        <v>2015/0E</v>
      </c>
      <c r="J10" s="264">
        <f t="shared" si="6"/>
        <v>2015</v>
      </c>
      <c r="K10" s="266">
        <f t="shared" si="6"/>
        <v>2016</v>
      </c>
      <c r="L10" s="266">
        <f t="shared" si="6"/>
        <v>2017</v>
      </c>
      <c r="M10" s="266">
        <f t="shared" si="6"/>
        <v>2018</v>
      </c>
      <c r="N10" s="266">
        <f t="shared" si="6"/>
        <v>2019</v>
      </c>
      <c r="O10" s="267">
        <f t="shared" si="6"/>
        <v>2020</v>
      </c>
      <c r="P10" s="273"/>
      <c r="Q10" s="1258"/>
      <c r="R10" s="1259"/>
      <c r="S10" s="1259"/>
      <c r="T10" s="1259"/>
      <c r="U10" s="1259"/>
    </row>
    <row r="11" spans="2:21" s="825" customFormat="1" ht="13.5" customHeight="1" x14ac:dyDescent="0.3">
      <c r="B11" s="349"/>
      <c r="C11" s="318"/>
      <c r="D11" s="318"/>
      <c r="E11" s="318"/>
      <c r="F11" s="318"/>
      <c r="G11" s="318"/>
      <c r="H11" s="319"/>
      <c r="I11" s="319"/>
      <c r="J11" s="318"/>
      <c r="K11" s="318"/>
      <c r="L11" s="318"/>
      <c r="M11" s="318"/>
      <c r="N11" s="318"/>
      <c r="O11" s="320"/>
      <c r="Q11" s="1258"/>
      <c r="R11" s="1259"/>
      <c r="S11" s="1259"/>
      <c r="T11" s="1259"/>
      <c r="U11" s="1259"/>
    </row>
    <row r="12" spans="2:21" s="825" customFormat="1" ht="13.5" customHeight="1" x14ac:dyDescent="0.3">
      <c r="B12" s="310"/>
      <c r="C12" s="318"/>
      <c r="D12" s="318"/>
      <c r="E12" s="318"/>
      <c r="F12" s="318"/>
      <c r="G12" s="318"/>
      <c r="H12" s="319"/>
      <c r="I12" s="319"/>
      <c r="J12" s="318"/>
      <c r="K12" s="318"/>
      <c r="L12" s="318"/>
      <c r="M12" s="318"/>
      <c r="N12" s="318"/>
      <c r="O12" s="320"/>
      <c r="Q12" s="1258"/>
      <c r="R12" s="1259"/>
      <c r="S12" s="1259"/>
      <c r="T12" s="1259"/>
      <c r="U12" s="1259"/>
    </row>
    <row r="13" spans="2:21" s="825" customFormat="1" ht="13.5" customHeight="1" x14ac:dyDescent="0.3">
      <c r="B13" s="310"/>
      <c r="C13" s="318"/>
      <c r="D13" s="318"/>
      <c r="E13" s="318"/>
      <c r="F13" s="318"/>
      <c r="G13" s="318"/>
      <c r="H13" s="319"/>
      <c r="I13" s="319"/>
      <c r="J13" s="318"/>
      <c r="K13" s="318"/>
      <c r="L13" s="318"/>
      <c r="M13" s="318"/>
      <c r="N13" s="318"/>
      <c r="O13" s="320"/>
      <c r="Q13" s="1258"/>
    </row>
    <row r="14" spans="2:21" s="825" customFormat="1" ht="13.5" customHeight="1" x14ac:dyDescent="0.3">
      <c r="B14" s="341"/>
      <c r="C14" s="342"/>
      <c r="D14" s="342"/>
      <c r="E14" s="342"/>
      <c r="F14" s="342"/>
      <c r="G14" s="342"/>
      <c r="H14" s="343"/>
      <c r="I14" s="343"/>
      <c r="J14" s="342"/>
      <c r="K14" s="342"/>
      <c r="L14" s="342"/>
      <c r="M14" s="342"/>
      <c r="N14" s="342"/>
      <c r="O14" s="344"/>
      <c r="Q14" s="1258"/>
    </row>
    <row r="15" spans="2:21" ht="13.5" customHeight="1" x14ac:dyDescent="0.3">
      <c r="B15" s="312" t="s">
        <v>148</v>
      </c>
      <c r="C15" s="313">
        <f>매출액!C6</f>
        <v>101202.82810300001</v>
      </c>
      <c r="D15" s="313">
        <f>매출액!D6</f>
        <v>120090.945248</v>
      </c>
      <c r="E15" s="313">
        <f>매출액!E6</f>
        <v>182279.26657199999</v>
      </c>
      <c r="F15" s="313">
        <f>매출액!F6</f>
        <v>211683.36859699996</v>
      </c>
      <c r="G15" s="313">
        <f>매출액!G6</f>
        <v>251810.747072</v>
      </c>
      <c r="H15" s="313">
        <f>매출액!H6</f>
        <v>214888.123487</v>
      </c>
      <c r="I15" s="313">
        <f>매출액!I6</f>
        <v>0</v>
      </c>
      <c r="J15" s="313">
        <f>매출액!J6</f>
        <v>214888.123487</v>
      </c>
      <c r="K15" s="313">
        <f>매출액!K6</f>
        <v>247657.65104010326</v>
      </c>
      <c r="L15" s="313">
        <f>매출액!L6</f>
        <v>256222.02504382611</v>
      </c>
      <c r="M15" s="313">
        <f>매출액!M6</f>
        <v>265319.19037349237</v>
      </c>
      <c r="N15" s="313">
        <f>매출액!N6</f>
        <v>274730.70385192439</v>
      </c>
      <c r="O15" s="316">
        <f>매출액!O6</f>
        <v>284669.53021891415</v>
      </c>
      <c r="P15" s="315"/>
      <c r="Q15" s="1258"/>
    </row>
    <row r="16" spans="2:21" s="339" customFormat="1" ht="13.5" customHeight="1" x14ac:dyDescent="0.3">
      <c r="D16" s="495"/>
      <c r="E16" s="889"/>
      <c r="F16" s="885"/>
      <c r="G16" s="885"/>
      <c r="H16" s="885"/>
      <c r="Q16" s="1258"/>
    </row>
    <row r="17" spans="2:21" ht="13.5" customHeight="1" x14ac:dyDescent="0.3">
      <c r="B17" s="834" t="s">
        <v>1167</v>
      </c>
      <c r="C17" s="835"/>
      <c r="D17" s="835"/>
      <c r="E17" s="835"/>
      <c r="F17" s="835"/>
      <c r="G17" s="835"/>
      <c r="H17" s="835"/>
      <c r="I17" s="835"/>
      <c r="J17" s="836"/>
      <c r="K17" s="835"/>
      <c r="L17" s="835"/>
      <c r="M17" s="835"/>
      <c r="N17" s="835"/>
      <c r="O17" s="837"/>
      <c r="Q17" s="1258"/>
      <c r="R17" s="2137" t="s">
        <v>2159</v>
      </c>
      <c r="S17" s="2138"/>
      <c r="T17" s="1262" t="s">
        <v>2160</v>
      </c>
      <c r="U17" s="1263" t="s">
        <v>2161</v>
      </c>
    </row>
    <row r="18" spans="2:21" ht="13.5" customHeight="1" x14ac:dyDescent="0.3">
      <c r="B18" s="773" t="str">
        <f>unit</f>
        <v>KRW Millions</v>
      </c>
      <c r="C18" s="774">
        <f>C$5</f>
        <v>2010</v>
      </c>
      <c r="D18" s="774">
        <f t="shared" ref="D18:O18" si="7">D$5</f>
        <v>2011</v>
      </c>
      <c r="E18" s="774">
        <f t="shared" si="7"/>
        <v>2012</v>
      </c>
      <c r="F18" s="774">
        <f t="shared" si="7"/>
        <v>2013</v>
      </c>
      <c r="G18" s="774">
        <f t="shared" si="7"/>
        <v>2014</v>
      </c>
      <c r="H18" s="774" t="str">
        <f t="shared" si="7"/>
        <v>2015/12A</v>
      </c>
      <c r="I18" s="774" t="str">
        <f>I$5</f>
        <v>2015/0E</v>
      </c>
      <c r="J18" s="774">
        <f t="shared" si="7"/>
        <v>2015</v>
      </c>
      <c r="K18" s="776">
        <f t="shared" si="7"/>
        <v>2016</v>
      </c>
      <c r="L18" s="776">
        <f t="shared" si="7"/>
        <v>2017</v>
      </c>
      <c r="M18" s="776">
        <f t="shared" si="7"/>
        <v>2018</v>
      </c>
      <c r="N18" s="776">
        <f t="shared" si="7"/>
        <v>2019</v>
      </c>
      <c r="O18" s="777">
        <f t="shared" si="7"/>
        <v>2020</v>
      </c>
      <c r="Q18" s="1258"/>
      <c r="R18" s="1262" t="s">
        <v>2162</v>
      </c>
      <c r="S18" s="1262" t="s">
        <v>2163</v>
      </c>
      <c r="T18" s="1262" t="s">
        <v>2164</v>
      </c>
      <c r="U18" s="1262"/>
    </row>
    <row r="19" spans="2:21" s="294" customFormat="1" ht="13.5" customHeight="1" x14ac:dyDescent="0.3">
      <c r="B19" s="858" t="s">
        <v>1004</v>
      </c>
      <c r="C19" s="849">
        <f>C21+C39</f>
        <v>740.09</v>
      </c>
      <c r="D19" s="849">
        <f t="shared" ref="D19:N19" si="8">D21+D39</f>
        <v>1200.4360000000001</v>
      </c>
      <c r="E19" s="849">
        <f t="shared" si="8"/>
        <v>598.16699999999992</v>
      </c>
      <c r="F19" s="849">
        <f t="shared" si="8"/>
        <v>7756.6710000000012</v>
      </c>
      <c r="G19" s="849">
        <f t="shared" si="8"/>
        <v>1132.6100000000001</v>
      </c>
      <c r="H19" s="849">
        <f t="shared" si="8"/>
        <v>762.43818199999998</v>
      </c>
      <c r="I19" s="859">
        <f t="shared" si="8"/>
        <v>0</v>
      </c>
      <c r="J19" s="859">
        <f t="shared" si="8"/>
        <v>762.43818199999998</v>
      </c>
      <c r="K19" s="859">
        <f t="shared" si="8"/>
        <v>1048.6801140523455</v>
      </c>
      <c r="L19" s="859">
        <f t="shared" si="8"/>
        <v>1084.9450494148984</v>
      </c>
      <c r="M19" s="859">
        <f t="shared" si="8"/>
        <v>1123.4660332625674</v>
      </c>
      <c r="N19" s="859">
        <f t="shared" si="8"/>
        <v>1163.3180910791421</v>
      </c>
      <c r="O19" s="860">
        <f t="shared" ref="O19" si="9">O21+O39</f>
        <v>1205.4029995174992</v>
      </c>
      <c r="Q19" s="1258"/>
      <c r="R19" s="1264"/>
      <c r="S19" s="1264"/>
      <c r="T19" s="1265"/>
      <c r="U19" s="1265"/>
    </row>
    <row r="20" spans="2:21" ht="13.5" customHeight="1" x14ac:dyDescent="0.3">
      <c r="B20" s="861" t="s">
        <v>149</v>
      </c>
      <c r="C20" s="1244">
        <f>C19/C$15</f>
        <v>7.3129379274536419E-3</v>
      </c>
      <c r="D20" s="1244">
        <f t="shared" ref="D20" si="10">D19/D$15</f>
        <v>9.9960575505586863E-3</v>
      </c>
      <c r="E20" s="1244">
        <f t="shared" ref="E20" si="11">E19/E$15</f>
        <v>3.2815964824157605E-3</v>
      </c>
      <c r="F20" s="1244">
        <f t="shared" ref="F20" si="12">F19/F$15</f>
        <v>3.6642798399372838E-2</v>
      </c>
      <c r="G20" s="1244">
        <f t="shared" ref="G20" si="13">G19/G$15</f>
        <v>4.4978620379381743E-3</v>
      </c>
      <c r="H20" s="182"/>
      <c r="I20" s="209"/>
      <c r="J20" s="182"/>
      <c r="K20" s="182"/>
      <c r="L20" s="182"/>
      <c r="M20" s="182"/>
      <c r="N20" s="182"/>
      <c r="O20" s="1249"/>
      <c r="Q20" s="1258"/>
      <c r="R20" s="1264"/>
      <c r="S20" s="1264"/>
      <c r="T20" s="1265"/>
      <c r="U20" s="1265"/>
    </row>
    <row r="21" spans="2:21" s="825" customFormat="1" ht="13.5" customHeight="1" x14ac:dyDescent="0.3">
      <c r="B21" s="1268" t="s">
        <v>2141</v>
      </c>
      <c r="C21" s="1250">
        <f>C23+C25+C27+C29+C31+C33+C35+C37</f>
        <v>722.68600000000004</v>
      </c>
      <c r="D21" s="1250">
        <f t="shared" ref="D21:N21" si="14">D23+D25+D27+D29+D31+D33+D35+D37</f>
        <v>1166.0360000000001</v>
      </c>
      <c r="E21" s="1250">
        <f t="shared" si="14"/>
        <v>450.25699999999995</v>
      </c>
      <c r="F21" s="1250">
        <f t="shared" si="14"/>
        <v>7719.2810000000009</v>
      </c>
      <c r="G21" s="1250">
        <f t="shared" si="14"/>
        <v>1125.2240000000002</v>
      </c>
      <c r="H21" s="1250">
        <f t="shared" si="14"/>
        <v>730.25418200000001</v>
      </c>
      <c r="I21" s="1250">
        <f t="shared" si="14"/>
        <v>0</v>
      </c>
      <c r="J21" s="1250">
        <f t="shared" si="14"/>
        <v>730.25418200000001</v>
      </c>
      <c r="K21" s="1250">
        <f t="shared" si="14"/>
        <v>976.67954568485709</v>
      </c>
      <c r="L21" s="1250">
        <f t="shared" si="14"/>
        <v>1010.454593117883</v>
      </c>
      <c r="M21" s="1250">
        <f t="shared" si="14"/>
        <v>1046.3307926371933</v>
      </c>
      <c r="N21" s="1250">
        <f t="shared" si="14"/>
        <v>1083.4466768819059</v>
      </c>
      <c r="O21" s="1251">
        <f t="shared" ref="O21" si="15">O23+O25+O27+O29+O31+O33+O35+O37</f>
        <v>1122.6421080748651</v>
      </c>
      <c r="Q21" s="1258"/>
      <c r="R21" s="1264"/>
      <c r="S21" s="1264"/>
      <c r="T21" s="1265"/>
      <c r="U21" s="1265"/>
    </row>
    <row r="22" spans="2:21" s="825" customFormat="1" ht="13.5" customHeight="1" x14ac:dyDescent="0.3">
      <c r="B22" s="1269" t="s">
        <v>149</v>
      </c>
      <c r="C22" s="1244">
        <f>C21/C$15</f>
        <v>7.1409664487288877E-3</v>
      </c>
      <c r="D22" s="1244">
        <f t="shared" ref="D22" si="16">D21/D$15</f>
        <v>9.7096079774542307E-3</v>
      </c>
      <c r="E22" s="1244">
        <f t="shared" ref="E22" si="17">E21/E$15</f>
        <v>2.4701492850375782E-3</v>
      </c>
      <c r="F22" s="1244">
        <f t="shared" ref="F22" si="18">F21/F$15</f>
        <v>3.6466166667518729E-2</v>
      </c>
      <c r="G22" s="1244">
        <f t="shared" ref="G22:H22" si="19">G21/G$15</f>
        <v>4.4685304860251499E-3</v>
      </c>
      <c r="H22" s="1244">
        <f t="shared" si="19"/>
        <v>3.3982994041277387E-3</v>
      </c>
      <c r="I22" s="1244"/>
      <c r="J22" s="1244"/>
      <c r="K22" s="1244"/>
      <c r="L22" s="1244"/>
      <c r="M22" s="182"/>
      <c r="N22" s="182"/>
      <c r="O22" s="1249"/>
      <c r="Q22" s="1258"/>
      <c r="R22" s="1264"/>
      <c r="S22" s="1264"/>
      <c r="T22" s="1265"/>
      <c r="U22" s="1265"/>
    </row>
    <row r="23" spans="2:21" s="825" customFormat="1" ht="13.5" customHeight="1" x14ac:dyDescent="0.3">
      <c r="B23" s="1270" t="s">
        <v>2142</v>
      </c>
      <c r="C23" s="1252">
        <f>CAPEX_주석사항!AL23/1000</f>
        <v>0</v>
      </c>
      <c r="D23" s="1253">
        <f>CAPEX_주석사항!AD23/1000</f>
        <v>0</v>
      </c>
      <c r="E23" s="1252">
        <f>CAPEX_주석사항!V23/1000</f>
        <v>0</v>
      </c>
      <c r="F23" s="1252">
        <f>CAPEX_주석사항!N23/1000</f>
        <v>6695.6469999999999</v>
      </c>
      <c r="G23" s="1252">
        <f>CAPEX_주석사항!E23/1000</f>
        <v>310.93900000000002</v>
      </c>
      <c r="H23" s="1252">
        <v>0</v>
      </c>
      <c r="I23" s="1252">
        <v>0</v>
      </c>
      <c r="J23" s="1252">
        <f>H23+I23</f>
        <v>0</v>
      </c>
      <c r="K23" s="1252">
        <v>0</v>
      </c>
      <c r="L23" s="1250">
        <v>0</v>
      </c>
      <c r="M23" s="1254">
        <v>0</v>
      </c>
      <c r="N23" s="1254">
        <v>0</v>
      </c>
      <c r="O23" s="1255">
        <v>0</v>
      </c>
      <c r="Q23" s="1258"/>
      <c r="R23" s="1264" t="s">
        <v>2149</v>
      </c>
      <c r="S23" s="1266"/>
      <c r="T23" s="1266"/>
      <c r="U23" s="1265"/>
    </row>
    <row r="24" spans="2:21" s="825" customFormat="1" ht="13.5" customHeight="1" x14ac:dyDescent="0.3">
      <c r="B24" s="1271" t="s">
        <v>149</v>
      </c>
      <c r="C24" s="1244">
        <f>C23/C$15</f>
        <v>0</v>
      </c>
      <c r="D24" s="1244">
        <f t="shared" ref="D24:J38" si="20">D23/D$15</f>
        <v>0</v>
      </c>
      <c r="E24" s="1244">
        <f t="shared" si="20"/>
        <v>0</v>
      </c>
      <c r="F24" s="1244">
        <f t="shared" si="20"/>
        <v>3.1630482093976335E-2</v>
      </c>
      <c r="G24" s="1244">
        <f t="shared" si="20"/>
        <v>1.2348122691963324E-3</v>
      </c>
      <c r="H24" s="1244">
        <f t="shared" si="20"/>
        <v>0</v>
      </c>
      <c r="I24" s="1244" t="e">
        <f t="shared" si="20"/>
        <v>#DIV/0!</v>
      </c>
      <c r="J24" s="1244">
        <f t="shared" si="20"/>
        <v>0</v>
      </c>
      <c r="K24" s="1247"/>
      <c r="L24" s="1247"/>
      <c r="M24" s="182"/>
      <c r="N24" s="182"/>
      <c r="O24" s="1249"/>
      <c r="Q24" s="1258"/>
      <c r="R24" s="1264"/>
      <c r="S24" s="1266"/>
      <c r="T24" s="1266"/>
      <c r="U24" s="1265"/>
    </row>
    <row r="25" spans="2:21" s="825" customFormat="1" ht="13.5" customHeight="1" x14ac:dyDescent="0.3">
      <c r="B25" s="1270" t="s">
        <v>2146</v>
      </c>
      <c r="C25" s="1252">
        <f>CAPEX_주석사항!AL24/1000</f>
        <v>49.67</v>
      </c>
      <c r="D25" s="1253">
        <f>CAPEX_주석사항!AD24/1000</f>
        <v>556.22</v>
      </c>
      <c r="E25" s="1252">
        <f>CAPEX_주석사항!V24/1000</f>
        <v>123</v>
      </c>
      <c r="F25" s="1252">
        <f>CAPEX_주석사항!N24/1000</f>
        <v>19.7</v>
      </c>
      <c r="G25" s="1252">
        <f>CAPEX_주석사항!E24/1000</f>
        <v>34.057000000000002</v>
      </c>
      <c r="H25" s="1252">
        <f>SUM('기존(정액)'!J77:J81)/1000000</f>
        <v>25.14</v>
      </c>
      <c r="I25" s="1252">
        <v>0</v>
      </c>
      <c r="J25" s="1818">
        <f>H25+I25</f>
        <v>25.14</v>
      </c>
      <c r="K25" s="1818">
        <f>K$15*K26</f>
        <v>279.9397381246132</v>
      </c>
      <c r="L25" s="1818">
        <f t="shared" ref="L25:O25" si="21">L$15*L26</f>
        <v>289.62047524593555</v>
      </c>
      <c r="M25" s="1137">
        <f t="shared" si="21"/>
        <v>299.90345285380562</v>
      </c>
      <c r="N25" s="1137">
        <f t="shared" si="21"/>
        <v>310.54175378028054</v>
      </c>
      <c r="O25" s="1819">
        <f t="shared" si="21"/>
        <v>321.7761026435449</v>
      </c>
      <c r="Q25" s="1258"/>
      <c r="R25" s="1264" t="s">
        <v>2150</v>
      </c>
      <c r="S25" s="1266"/>
      <c r="T25" s="1266"/>
      <c r="U25" s="1265"/>
    </row>
    <row r="26" spans="2:21" s="825" customFormat="1" ht="13.5" customHeight="1" x14ac:dyDescent="0.3">
      <c r="B26" s="1271" t="s">
        <v>149</v>
      </c>
      <c r="C26" s="1244">
        <f>C25/C$15</f>
        <v>4.9079656103530973E-4</v>
      </c>
      <c r="D26" s="1244">
        <f t="shared" ref="D26" si="22">D25/D$15</f>
        <v>4.6316564404697558E-3</v>
      </c>
      <c r="E26" s="1244">
        <f t="shared" ref="E26" si="23">E25/E$15</f>
        <v>6.7478875855260924E-4</v>
      </c>
      <c r="F26" s="1244">
        <f t="shared" ref="F26" si="24">F25/F$15</f>
        <v>9.3063522800908386E-5</v>
      </c>
      <c r="G26" s="1244">
        <f t="shared" ref="G26:I26" si="25">G25/G$15</f>
        <v>1.3524839744136145E-4</v>
      </c>
      <c r="H26" s="1244">
        <f t="shared" si="25"/>
        <v>1.1699110956925865E-4</v>
      </c>
      <c r="I26" s="1244" t="e">
        <f t="shared" si="25"/>
        <v>#DIV/0!</v>
      </c>
      <c r="J26" s="1244">
        <f t="shared" si="20"/>
        <v>1.1699110956925865E-4</v>
      </c>
      <c r="K26" s="1594">
        <f>AVERAGE(D26:H26)</f>
        <v>1.1303496457667787E-3</v>
      </c>
      <c r="L26" s="1594">
        <f>K26</f>
        <v>1.1303496457667787E-3</v>
      </c>
      <c r="M26" s="182">
        <f t="shared" ref="M26:O26" si="26">L26</f>
        <v>1.1303496457667787E-3</v>
      </c>
      <c r="N26" s="182">
        <f t="shared" si="26"/>
        <v>1.1303496457667787E-3</v>
      </c>
      <c r="O26" s="787">
        <f t="shared" si="26"/>
        <v>1.1303496457667787E-3</v>
      </c>
      <c r="Q26" s="1258"/>
      <c r="R26" s="1264"/>
      <c r="S26" s="1266"/>
      <c r="T26" s="1267"/>
      <c r="U26" s="1265"/>
    </row>
    <row r="27" spans="2:21" s="825" customFormat="1" ht="13.5" customHeight="1" x14ac:dyDescent="0.3">
      <c r="B27" s="1270" t="s">
        <v>2143</v>
      </c>
      <c r="C27" s="1252">
        <f>CAPEX_주석사항!AL25/1000</f>
        <v>184.29300000000001</v>
      </c>
      <c r="D27" s="1253">
        <f>CAPEX_주석사항!AD25/1000</f>
        <v>0</v>
      </c>
      <c r="E27" s="1252">
        <f>CAPEX_주석사항!V25/1000</f>
        <v>0</v>
      </c>
      <c r="F27" s="1252">
        <f>CAPEX_주석사항!N25/1000</f>
        <v>231.11799999999999</v>
      </c>
      <c r="G27" s="1252">
        <f>CAPEX_주석사항!E25/1000</f>
        <v>70.14</v>
      </c>
      <c r="H27" s="1252">
        <f>'기존(정액)'!N89/1000000</f>
        <v>75.690033</v>
      </c>
      <c r="I27" s="1252">
        <v>0</v>
      </c>
      <c r="J27" s="1818">
        <f>H27+I27</f>
        <v>75.690033</v>
      </c>
      <c r="K27" s="1818">
        <f>K$15*K28</f>
        <v>85.32214127218262</v>
      </c>
      <c r="L27" s="1818">
        <f t="shared" ref="L27" si="27">L$15*L28</f>
        <v>88.272709225906453</v>
      </c>
      <c r="M27" s="1137">
        <f t="shared" ref="M27" si="28">M$15*M28</f>
        <v>91.406832569862814</v>
      </c>
      <c r="N27" s="1137">
        <f t="shared" ref="N27" si="29">N$15*N28</f>
        <v>94.649254030372418</v>
      </c>
      <c r="O27" s="1819">
        <f t="shared" ref="O27" si="30">O$15*O28</f>
        <v>98.073343469170638</v>
      </c>
      <c r="Q27" s="1258"/>
      <c r="R27" s="1264" t="s">
        <v>2150</v>
      </c>
      <c r="S27" s="1266"/>
      <c r="T27" s="1267"/>
      <c r="U27" s="1265"/>
    </row>
    <row r="28" spans="2:21" s="825" customFormat="1" ht="13.5" customHeight="1" x14ac:dyDescent="0.3">
      <c r="B28" s="1271" t="s">
        <v>149</v>
      </c>
      <c r="C28" s="1244">
        <f>C27/C$15</f>
        <v>1.8210261852804578E-3</v>
      </c>
      <c r="D28" s="1244">
        <f t="shared" ref="D28" si="31">D27/D$15</f>
        <v>0</v>
      </c>
      <c r="E28" s="1244">
        <f t="shared" ref="E28" si="32">E27/E$15</f>
        <v>0</v>
      </c>
      <c r="F28" s="1244">
        <f t="shared" ref="F28" si="33">F27/F$15</f>
        <v>1.0918099118122002E-3</v>
      </c>
      <c r="G28" s="1244">
        <f t="shared" ref="G28:I38" si="34">G27/G$15</f>
        <v>2.7854251979144058E-4</v>
      </c>
      <c r="H28" s="1244">
        <f t="shared" si="34"/>
        <v>3.5222995003992853E-4</v>
      </c>
      <c r="I28" s="1244" t="e">
        <f t="shared" si="34"/>
        <v>#DIV/0!</v>
      </c>
      <c r="J28" s="1244">
        <f t="shared" si="20"/>
        <v>3.5222995003992853E-4</v>
      </c>
      <c r="K28" s="1594">
        <f>AVERAGE(D28:H28)</f>
        <v>3.4451647632871389E-4</v>
      </c>
      <c r="L28" s="1248">
        <f>K28</f>
        <v>3.4451647632871389E-4</v>
      </c>
      <c r="M28" s="182">
        <f t="shared" ref="M28:O34" si="35">L28</f>
        <v>3.4451647632871389E-4</v>
      </c>
      <c r="N28" s="182">
        <f t="shared" si="35"/>
        <v>3.4451647632871389E-4</v>
      </c>
      <c r="O28" s="787">
        <f t="shared" si="35"/>
        <v>3.4451647632871389E-4</v>
      </c>
      <c r="Q28" s="1258"/>
      <c r="R28" s="1264"/>
      <c r="S28" s="1266"/>
      <c r="T28" s="1267"/>
      <c r="U28" s="1265"/>
    </row>
    <row r="29" spans="2:21" s="825" customFormat="1" ht="13.5" customHeight="1" x14ac:dyDescent="0.3">
      <c r="B29" s="1270" t="s">
        <v>2068</v>
      </c>
      <c r="C29" s="1252">
        <f>CAPEX_주석사항!AL26/1000</f>
        <v>118.482</v>
      </c>
      <c r="D29" s="1253">
        <f>CAPEX_주석사항!AD26/1000</f>
        <v>366.84199999999998</v>
      </c>
      <c r="E29" s="1252">
        <f>CAPEX_주석사항!V26/1000</f>
        <v>173.267</v>
      </c>
      <c r="F29" s="1252">
        <f>CAPEX_주석사항!N26/1000</f>
        <v>211.33199999999999</v>
      </c>
      <c r="G29" s="1252">
        <f>CAPEX_주석사항!E26/1000</f>
        <v>142.773</v>
      </c>
      <c r="H29" s="1252">
        <f>SUM('기존(정액)'!J369:J417)/1000000</f>
        <v>243.92214899999999</v>
      </c>
      <c r="I29" s="1252">
        <v>0</v>
      </c>
      <c r="J29" s="1818">
        <f>H29+I29</f>
        <v>243.92214899999999</v>
      </c>
      <c r="K29" s="1818">
        <f>K$15*K30</f>
        <v>332.14344516303515</v>
      </c>
      <c r="L29" s="1818">
        <f t="shared" ref="L29" si="36">L$15*L30</f>
        <v>343.62946497835117</v>
      </c>
      <c r="M29" s="1137">
        <f t="shared" ref="M29" si="37">M$15*M30</f>
        <v>355.83003225791316</v>
      </c>
      <c r="N29" s="1137">
        <f t="shared" ref="N29" si="38">N$15*N30</f>
        <v>368.45218423987865</v>
      </c>
      <c r="O29" s="1819">
        <f t="shared" ref="O29" si="39">O$15*O30</f>
        <v>381.78153633760422</v>
      </c>
      <c r="Q29" s="1258"/>
      <c r="R29" s="1264" t="s">
        <v>2150</v>
      </c>
      <c r="S29" s="1266"/>
      <c r="T29" s="1267"/>
      <c r="U29" s="1265"/>
    </row>
    <row r="30" spans="2:21" s="825" customFormat="1" ht="13.5" customHeight="1" x14ac:dyDescent="0.3">
      <c r="B30" s="1271" t="s">
        <v>149</v>
      </c>
      <c r="C30" s="1244">
        <f>C29/C$15</f>
        <v>1.1707380339155539E-3</v>
      </c>
      <c r="D30" s="1244">
        <f t="shared" ref="D30" si="40">D29/D$15</f>
        <v>3.0547015783948905E-3</v>
      </c>
      <c r="E30" s="1244">
        <f t="shared" ref="E30" si="41">E29/E$15</f>
        <v>9.5055791730191009E-4</v>
      </c>
      <c r="F30" s="1244">
        <f t="shared" ref="F30" si="42">F29/F$15</f>
        <v>9.9834012185591719E-4</v>
      </c>
      <c r="G30" s="1244">
        <f t="shared" ref="G30:H30" si="43">G29/G$15</f>
        <v>5.6698533188171297E-4</v>
      </c>
      <c r="H30" s="1244">
        <f t="shared" si="43"/>
        <v>1.1351122856017514E-3</v>
      </c>
      <c r="I30" s="1244" t="e">
        <f t="shared" si="34"/>
        <v>#DIV/0!</v>
      </c>
      <c r="J30" s="1244">
        <f t="shared" si="20"/>
        <v>1.1351122856017514E-3</v>
      </c>
      <c r="K30" s="1594">
        <f>AVERAGE(D30:H30)</f>
        <v>1.3411394470072362E-3</v>
      </c>
      <c r="L30" s="1248">
        <f>K30</f>
        <v>1.3411394470072362E-3</v>
      </c>
      <c r="M30" s="182">
        <f t="shared" si="35"/>
        <v>1.3411394470072362E-3</v>
      </c>
      <c r="N30" s="182">
        <f t="shared" si="35"/>
        <v>1.3411394470072362E-3</v>
      </c>
      <c r="O30" s="787">
        <f t="shared" si="35"/>
        <v>1.3411394470072362E-3</v>
      </c>
      <c r="Q30" s="1258"/>
      <c r="R30" s="1264"/>
      <c r="S30" s="1266"/>
      <c r="T30" s="1267"/>
      <c r="U30" s="1265"/>
    </row>
    <row r="31" spans="2:21" s="825" customFormat="1" ht="13.5" customHeight="1" x14ac:dyDescent="0.3">
      <c r="B31" s="1270" t="s">
        <v>2144</v>
      </c>
      <c r="C31" s="1252">
        <f>CAPEX_주석사항!AL27/1000</f>
        <v>1.5</v>
      </c>
      <c r="D31" s="1253">
        <f>CAPEX_주석사항!AD27/1000</f>
        <v>24.212</v>
      </c>
      <c r="E31" s="1252">
        <f>CAPEX_주석사항!V27/1000</f>
        <v>24.893000000000001</v>
      </c>
      <c r="F31" s="1252">
        <f>CAPEX_주석사항!N27/1000</f>
        <v>418.80099999999999</v>
      </c>
      <c r="G31" s="1252">
        <f>CAPEX_주석사항!E27/1000</f>
        <v>23.873999999999999</v>
      </c>
      <c r="H31" s="1252">
        <f>SUM('기존(정액)'!J447:J458)/1000000</f>
        <v>373.53199999999998</v>
      </c>
      <c r="I31" s="1252">
        <v>0</v>
      </c>
      <c r="J31" s="1818">
        <f>H31+I31</f>
        <v>373.53199999999998</v>
      </c>
      <c r="K31" s="1818">
        <f>K$15*K32</f>
        <v>205.54011348007228</v>
      </c>
      <c r="L31" s="1818">
        <f t="shared" ref="L31" si="44">L$15*L32</f>
        <v>212.64799969807541</v>
      </c>
      <c r="M31" s="1137">
        <f t="shared" ref="M31" si="45">M$15*M32</f>
        <v>220.19806886151022</v>
      </c>
      <c r="N31" s="1137">
        <f t="shared" ref="N31" si="46">N$15*N32</f>
        <v>228.00902701383035</v>
      </c>
      <c r="O31" s="1819">
        <f t="shared" ref="O31" si="47">O$15*O32</f>
        <v>236.25762135666781</v>
      </c>
      <c r="Q31" s="1258"/>
      <c r="R31" s="1264" t="s">
        <v>2150</v>
      </c>
      <c r="S31" s="1266" t="s">
        <v>3769</v>
      </c>
      <c r="T31" s="1267" t="s">
        <v>3770</v>
      </c>
      <c r="U31" s="1265"/>
    </row>
    <row r="32" spans="2:21" s="825" customFormat="1" ht="13.5" customHeight="1" x14ac:dyDescent="0.3">
      <c r="B32" s="1271" t="s">
        <v>149</v>
      </c>
      <c r="C32" s="1244">
        <f>C31/C$15</f>
        <v>1.482172018427551E-5</v>
      </c>
      <c r="D32" s="1244">
        <f t="shared" ref="D32" si="48">D31/D$15</f>
        <v>2.0161386813968163E-4</v>
      </c>
      <c r="E32" s="1244">
        <f t="shared" ref="E32" si="49">E31/E$15</f>
        <v>1.3656517533861871E-4</v>
      </c>
      <c r="F32" s="1244">
        <f t="shared" ref="F32" si="50">F31/F$15</f>
        <v>1.9784312899768139E-3</v>
      </c>
      <c r="G32" s="1244">
        <f t="shared" ref="G32:H32" si="51">G31/G$15</f>
        <v>9.4809297369558766E-5</v>
      </c>
      <c r="H32" s="1244">
        <f t="shared" si="51"/>
        <v>1.7382626547185489E-3</v>
      </c>
      <c r="I32" s="1244" t="e">
        <f t="shared" si="34"/>
        <v>#DIV/0!</v>
      </c>
      <c r="J32" s="1244">
        <f t="shared" si="20"/>
        <v>1.7382626547185489E-3</v>
      </c>
      <c r="K32" s="1594">
        <f>AVERAGE(D32:H32)</f>
        <v>8.2993645710864442E-4</v>
      </c>
      <c r="L32" s="1248">
        <f>K32</f>
        <v>8.2993645710864442E-4</v>
      </c>
      <c r="M32" s="182">
        <f t="shared" si="35"/>
        <v>8.2993645710864442E-4</v>
      </c>
      <c r="N32" s="182">
        <f t="shared" si="35"/>
        <v>8.2993645710864442E-4</v>
      </c>
      <c r="O32" s="787">
        <f t="shared" si="35"/>
        <v>8.2993645710864442E-4</v>
      </c>
      <c r="Q32" s="1258"/>
      <c r="R32" s="1264"/>
      <c r="S32" s="1266"/>
      <c r="T32" s="1267"/>
      <c r="U32" s="1265"/>
    </row>
    <row r="33" spans="2:21" s="825" customFormat="1" ht="13.5" customHeight="1" x14ac:dyDescent="0.3">
      <c r="B33" s="1270" t="s">
        <v>2128</v>
      </c>
      <c r="C33" s="1252">
        <f>CAPEX_주석사항!AL28/1000</f>
        <v>0</v>
      </c>
      <c r="D33" s="1253">
        <f>CAPEX_주석사항!AD28/1000</f>
        <v>0</v>
      </c>
      <c r="E33" s="1252">
        <f>CAPEX_주석사항!V28/1000</f>
        <v>129.09700000000001</v>
      </c>
      <c r="F33" s="1252">
        <f>CAPEX_주석사항!N28/1000</f>
        <v>142.68299999999999</v>
      </c>
      <c r="G33" s="1252">
        <f>CAPEX_주석사항!E28/1000</f>
        <v>12.754</v>
      </c>
      <c r="H33" s="1252">
        <f>SUM('기존(정액)'!O525)/1000000</f>
        <v>11.97</v>
      </c>
      <c r="I33" s="1252">
        <v>0</v>
      </c>
      <c r="J33" s="1818">
        <f>H33+I33</f>
        <v>11.97</v>
      </c>
      <c r="K33" s="1818">
        <f>K$15*K34</f>
        <v>73.734107644953866</v>
      </c>
      <c r="L33" s="1818">
        <f t="shared" ref="L33" si="52">L$15*L34</f>
        <v>76.283943969614356</v>
      </c>
      <c r="M33" s="1137">
        <f t="shared" ref="M33" si="53">M$15*M34</f>
        <v>78.992406094101426</v>
      </c>
      <c r="N33" s="1137">
        <f t="shared" ref="N33" si="54">N$15*N34</f>
        <v>81.794457817543915</v>
      </c>
      <c r="O33" s="1819">
        <f t="shared" ref="O33" si="55">O$15*O34</f>
        <v>84.753504267877332</v>
      </c>
      <c r="Q33" s="1258"/>
      <c r="R33" s="1264"/>
      <c r="S33" s="1266"/>
      <c r="T33" s="1267"/>
      <c r="U33" s="1267"/>
    </row>
    <row r="34" spans="2:21" s="825" customFormat="1" ht="13.5" customHeight="1" x14ac:dyDescent="0.3">
      <c r="B34" s="1271" t="s">
        <v>149</v>
      </c>
      <c r="C34" s="1244">
        <f>C33/C$15</f>
        <v>0</v>
      </c>
      <c r="D34" s="1244">
        <f t="shared" ref="D34" si="56">D33/D$15</f>
        <v>0</v>
      </c>
      <c r="E34" s="1244">
        <f t="shared" ref="E34" si="57">E33/E$15</f>
        <v>7.0823743384444064E-4</v>
      </c>
      <c r="F34" s="1244">
        <f t="shared" ref="F34" si="58">F33/F$15</f>
        <v>6.7403972709654874E-4</v>
      </c>
      <c r="G34" s="1244">
        <f t="shared" ref="G34:H34" si="59">G33/G$15</f>
        <v>5.0649148808383709E-5</v>
      </c>
      <c r="H34" s="1244">
        <f t="shared" si="59"/>
        <v>5.5703404198250836E-5</v>
      </c>
      <c r="I34" s="1244" t="e">
        <f t="shared" si="34"/>
        <v>#DIV/0!</v>
      </c>
      <c r="J34" s="1244">
        <f t="shared" si="20"/>
        <v>5.5703404198250836E-5</v>
      </c>
      <c r="K34" s="1594">
        <f>AVERAGE(D34:H34)</f>
        <v>2.9772594278952477E-4</v>
      </c>
      <c r="L34" s="1594">
        <f>K34</f>
        <v>2.9772594278952477E-4</v>
      </c>
      <c r="M34" s="182">
        <f t="shared" si="35"/>
        <v>2.9772594278952477E-4</v>
      </c>
      <c r="N34" s="182">
        <f t="shared" si="35"/>
        <v>2.9772594278952477E-4</v>
      </c>
      <c r="O34" s="787">
        <f t="shared" si="35"/>
        <v>2.9772594278952477E-4</v>
      </c>
      <c r="Q34" s="1258"/>
      <c r="R34" s="1264"/>
      <c r="S34" s="1266"/>
      <c r="T34" s="1267"/>
      <c r="U34" s="1265"/>
    </row>
    <row r="35" spans="2:21" s="825" customFormat="1" ht="13.5" customHeight="1" x14ac:dyDescent="0.3">
      <c r="B35" s="1270" t="s">
        <v>2148</v>
      </c>
      <c r="C35" s="1252">
        <f>CAPEX_주석사항!AL29/1000</f>
        <v>0</v>
      </c>
      <c r="D35" s="1253">
        <f>CAPEX_주석사항!AD29/1000</f>
        <v>0</v>
      </c>
      <c r="E35" s="1252">
        <f>CAPEX_주석사항!V29/1000</f>
        <v>0</v>
      </c>
      <c r="F35" s="1252">
        <f>CAPEX_주석사항!N29/1000</f>
        <v>0</v>
      </c>
      <c r="G35" s="1252">
        <f>CAPEX_주석사항!E29/1000</f>
        <v>0</v>
      </c>
      <c r="H35" s="1252">
        <v>0</v>
      </c>
      <c r="I35" s="1252">
        <v>0</v>
      </c>
      <c r="J35" s="1818">
        <f>H35+I35</f>
        <v>0</v>
      </c>
      <c r="K35" s="1818"/>
      <c r="L35" s="1818"/>
      <c r="M35" s="1137"/>
      <c r="N35" s="1137"/>
      <c r="O35" s="1819"/>
      <c r="Q35" s="1258"/>
      <c r="R35" s="1264"/>
      <c r="S35" s="1266"/>
      <c r="T35" s="1267"/>
      <c r="U35" s="1265"/>
    </row>
    <row r="36" spans="2:21" s="825" customFormat="1" ht="13.5" customHeight="1" x14ac:dyDescent="0.3">
      <c r="B36" s="1271" t="s">
        <v>149</v>
      </c>
      <c r="C36" s="1244">
        <f>C35/C$15</f>
        <v>0</v>
      </c>
      <c r="D36" s="1244">
        <f t="shared" ref="D36" si="60">D35/D$15</f>
        <v>0</v>
      </c>
      <c r="E36" s="1244">
        <f t="shared" ref="E36" si="61">E35/E$15</f>
        <v>0</v>
      </c>
      <c r="F36" s="1244">
        <f t="shared" ref="F36" si="62">F35/F$15</f>
        <v>0</v>
      </c>
      <c r="G36" s="1244">
        <f t="shared" ref="G36:H36" si="63">G35/G$15</f>
        <v>0</v>
      </c>
      <c r="H36" s="1244">
        <f t="shared" si="63"/>
        <v>0</v>
      </c>
      <c r="I36" s="1244" t="e">
        <f t="shared" si="34"/>
        <v>#DIV/0!</v>
      </c>
      <c r="J36" s="1244">
        <f t="shared" si="20"/>
        <v>0</v>
      </c>
      <c r="K36" s="1247"/>
      <c r="L36" s="1247"/>
      <c r="M36" s="182"/>
      <c r="N36" s="182"/>
      <c r="O36" s="787"/>
      <c r="Q36" s="1258"/>
      <c r="R36" s="1264"/>
      <c r="S36" s="1266"/>
      <c r="T36" s="1267"/>
      <c r="U36" s="1265"/>
    </row>
    <row r="37" spans="2:21" s="825" customFormat="1" ht="13.5" customHeight="1" x14ac:dyDescent="0.3">
      <c r="B37" s="1270" t="s">
        <v>2116</v>
      </c>
      <c r="C37" s="1252">
        <f>CAPEX_주석사항!AL30/1000</f>
        <v>368.74099999999999</v>
      </c>
      <c r="D37" s="1253">
        <f>CAPEX_주석사항!AD30/1000</f>
        <v>218.762</v>
      </c>
      <c r="E37" s="1252">
        <f>CAPEX_주석사항!V30/1000</f>
        <v>0</v>
      </c>
      <c r="F37" s="1252">
        <f>CAPEX_주석사항!N30/1000</f>
        <v>0</v>
      </c>
      <c r="G37" s="1252">
        <f>CAPEX_주석사항!E30/1000</f>
        <v>530.68700000000001</v>
      </c>
      <c r="H37" s="1252">
        <v>0</v>
      </c>
      <c r="I37" s="1252">
        <v>0</v>
      </c>
      <c r="J37" s="1818">
        <f>H37+I37</f>
        <v>0</v>
      </c>
      <c r="K37" s="1818"/>
      <c r="L37" s="1818"/>
      <c r="M37" s="1137"/>
      <c r="N37" s="1137"/>
      <c r="O37" s="1819"/>
      <c r="Q37" s="1258"/>
      <c r="R37" s="1264"/>
      <c r="S37" s="1266"/>
      <c r="T37" s="1266"/>
      <c r="U37" s="1265"/>
    </row>
    <row r="38" spans="2:21" s="825" customFormat="1" ht="13.5" customHeight="1" x14ac:dyDescent="0.3">
      <c r="B38" s="1271" t="s">
        <v>149</v>
      </c>
      <c r="C38" s="1244">
        <f>C37/C$15</f>
        <v>3.6435839483132905E-3</v>
      </c>
      <c r="D38" s="1244">
        <f t="shared" ref="D38" si="64">D37/D$15</f>
        <v>1.8216360904499023E-3</v>
      </c>
      <c r="E38" s="1244">
        <f t="shared" ref="E38" si="65">E37/E$15</f>
        <v>0</v>
      </c>
      <c r="F38" s="1244">
        <f t="shared" ref="F38" si="66">F37/F$15</f>
        <v>0</v>
      </c>
      <c r="G38" s="1244">
        <f t="shared" ref="G38:H38" si="67">G37/G$15</f>
        <v>2.1074835215363591E-3</v>
      </c>
      <c r="H38" s="1244">
        <f t="shared" si="67"/>
        <v>0</v>
      </c>
      <c r="I38" s="1244" t="e">
        <f t="shared" si="34"/>
        <v>#DIV/0!</v>
      </c>
      <c r="J38" s="1244">
        <f t="shared" si="20"/>
        <v>0</v>
      </c>
      <c r="K38" s="1247"/>
      <c r="L38" s="1247"/>
      <c r="M38" s="182"/>
      <c r="N38" s="182"/>
      <c r="O38" s="1249"/>
      <c r="Q38" s="1258"/>
      <c r="R38" s="1264"/>
      <c r="S38" s="1266"/>
      <c r="T38" s="1267"/>
      <c r="U38" s="1265"/>
    </row>
    <row r="39" spans="2:21" s="825" customFormat="1" ht="13.5" customHeight="1" x14ac:dyDescent="0.3">
      <c r="B39" s="1268" t="s">
        <v>1939</v>
      </c>
      <c r="C39" s="1243">
        <f>C41+C43+C45</f>
        <v>17.404</v>
      </c>
      <c r="D39" s="1243">
        <f t="shared" ref="D39:O39" si="68">D41+D43+D45</f>
        <v>34.4</v>
      </c>
      <c r="E39" s="1243">
        <f t="shared" si="68"/>
        <v>147.91</v>
      </c>
      <c r="F39" s="1243">
        <f t="shared" si="68"/>
        <v>37.39</v>
      </c>
      <c r="G39" s="1243">
        <f t="shared" si="68"/>
        <v>7.3860000000000001</v>
      </c>
      <c r="H39" s="1243">
        <f t="shared" si="68"/>
        <v>32.183999999999997</v>
      </c>
      <c r="I39" s="1243">
        <f t="shared" si="68"/>
        <v>0</v>
      </c>
      <c r="J39" s="1243">
        <f t="shared" si="68"/>
        <v>32.183999999999997</v>
      </c>
      <c r="K39" s="1250">
        <f t="shared" si="68"/>
        <v>72.000568367488384</v>
      </c>
      <c r="L39" s="1250">
        <f t="shared" si="68"/>
        <v>74.490456297015484</v>
      </c>
      <c r="M39" s="1250">
        <f t="shared" si="68"/>
        <v>77.135240625374138</v>
      </c>
      <c r="N39" s="1250">
        <f t="shared" si="68"/>
        <v>79.871414197236263</v>
      </c>
      <c r="O39" s="1251">
        <f t="shared" si="68"/>
        <v>82.760891442634048</v>
      </c>
      <c r="Q39" s="1258"/>
      <c r="R39" s="1264"/>
      <c r="S39" s="1266"/>
      <c r="T39" s="1267"/>
      <c r="U39" s="1265"/>
    </row>
    <row r="40" spans="2:21" s="825" customFormat="1" ht="13.5" customHeight="1" x14ac:dyDescent="0.3">
      <c r="B40" s="1269" t="s">
        <v>149</v>
      </c>
      <c r="C40" s="1244">
        <f>C39/C$15</f>
        <v>1.7197147872475397E-4</v>
      </c>
      <c r="D40" s="1244">
        <f t="shared" ref="D40" si="69">D39/D$15</f>
        <v>2.8644957310445434E-4</v>
      </c>
      <c r="E40" s="1244">
        <f t="shared" ref="E40" si="70">E39/E$15</f>
        <v>8.1144719737818235E-4</v>
      </c>
      <c r="F40" s="1244">
        <f t="shared" ref="F40" si="71">F39/F$15</f>
        <v>1.7663173185410988E-4</v>
      </c>
      <c r="G40" s="1244">
        <f t="shared" ref="G40" si="72">G39/G$15</f>
        <v>2.9331551913025096E-5</v>
      </c>
      <c r="H40" s="1244"/>
      <c r="I40" s="1244"/>
      <c r="J40" s="1244"/>
      <c r="K40" s="1244"/>
      <c r="L40" s="1244"/>
      <c r="M40" s="182"/>
      <c r="N40" s="182"/>
      <c r="O40" s="1249"/>
      <c r="Q40" s="1258"/>
      <c r="R40" s="1264"/>
      <c r="S40" s="1266"/>
      <c r="T40" s="1267"/>
      <c r="U40" s="1265"/>
    </row>
    <row r="41" spans="2:21" s="825" customFormat="1" ht="13.5" customHeight="1" x14ac:dyDescent="0.3">
      <c r="B41" s="1270" t="s">
        <v>2102</v>
      </c>
      <c r="C41" s="1245">
        <f>CAPEX_주석사항!AL36/1000</f>
        <v>0</v>
      </c>
      <c r="D41" s="1246">
        <f>CAPEX_주석사항!AD36/1000</f>
        <v>0</v>
      </c>
      <c r="E41" s="1245">
        <v>0</v>
      </c>
      <c r="F41" s="1245">
        <v>0</v>
      </c>
      <c r="G41" s="1245">
        <v>0</v>
      </c>
      <c r="H41" s="1245">
        <v>0</v>
      </c>
      <c r="I41" s="1245">
        <v>0</v>
      </c>
      <c r="J41" s="1818">
        <v>0</v>
      </c>
      <c r="K41" s="1818">
        <v>0</v>
      </c>
      <c r="L41" s="1818">
        <v>0</v>
      </c>
      <c r="M41" s="1137">
        <v>0</v>
      </c>
      <c r="N41" s="1137">
        <v>0</v>
      </c>
      <c r="O41" s="1819">
        <v>0</v>
      </c>
      <c r="Q41" s="1258"/>
      <c r="R41" s="1264" t="s">
        <v>2149</v>
      </c>
      <c r="S41" s="1266"/>
      <c r="T41" s="1266"/>
      <c r="U41" s="1264"/>
    </row>
    <row r="42" spans="2:21" s="825" customFormat="1" ht="13.5" customHeight="1" x14ac:dyDescent="0.3">
      <c r="B42" s="1271" t="s">
        <v>149</v>
      </c>
      <c r="C42" s="1244">
        <f>C41/C$15</f>
        <v>0</v>
      </c>
      <c r="D42" s="1244">
        <f t="shared" ref="D42" si="73">D41/D$15</f>
        <v>0</v>
      </c>
      <c r="E42" s="1244">
        <f t="shared" ref="E42" si="74">E41/E$15</f>
        <v>0</v>
      </c>
      <c r="F42" s="1244">
        <f t="shared" ref="F42" si="75">F41/F$15</f>
        <v>0</v>
      </c>
      <c r="G42" s="1244">
        <f t="shared" ref="G42" si="76">G41/G$15</f>
        <v>0</v>
      </c>
      <c r="H42" s="1244"/>
      <c r="I42" s="1244"/>
      <c r="J42" s="1244"/>
      <c r="K42" s="1244"/>
      <c r="L42" s="1244"/>
      <c r="M42" s="182"/>
      <c r="N42" s="182"/>
      <c r="O42" s="1249"/>
      <c r="Q42" s="1258"/>
      <c r="R42" s="1264"/>
      <c r="S42" s="1266"/>
      <c r="T42" s="1267"/>
      <c r="U42" s="1265"/>
    </row>
    <row r="43" spans="2:21" s="825" customFormat="1" ht="13.5" customHeight="1" x14ac:dyDescent="0.3">
      <c r="B43" s="1270" t="s">
        <v>2069</v>
      </c>
      <c r="C43" s="1245">
        <f>CAPEX_주석사항!AL37/1000</f>
        <v>0</v>
      </c>
      <c r="D43" s="1246">
        <f>CAPEX_주석사항!AD37/1000</f>
        <v>0</v>
      </c>
      <c r="E43" s="1245">
        <f>CAPEX_주석사항!V36/1000</f>
        <v>0</v>
      </c>
      <c r="F43" s="1245">
        <f>CAPEX_주석사항!N36/1000</f>
        <v>0</v>
      </c>
      <c r="G43" s="1245">
        <f>CAPEX_주석사항!E36/1000</f>
        <v>0</v>
      </c>
      <c r="H43" s="1245">
        <v>0</v>
      </c>
      <c r="I43" s="1245"/>
      <c r="J43" s="1818"/>
      <c r="K43" s="1818"/>
      <c r="L43" s="1818"/>
      <c r="M43" s="1137"/>
      <c r="N43" s="1137"/>
      <c r="O43" s="1819"/>
      <c r="Q43" s="1258"/>
      <c r="R43" s="1264" t="s">
        <v>2149</v>
      </c>
      <c r="S43" s="1266"/>
      <c r="T43" s="1266"/>
      <c r="U43" s="1265"/>
    </row>
    <row r="44" spans="2:21" s="825" customFormat="1" ht="13.5" customHeight="1" x14ac:dyDescent="0.3">
      <c r="B44" s="1271" t="s">
        <v>149</v>
      </c>
      <c r="C44" s="1244">
        <f>C43/C$15</f>
        <v>0</v>
      </c>
      <c r="D44" s="1244">
        <f t="shared" ref="D44" si="77">D43/D$15</f>
        <v>0</v>
      </c>
      <c r="E44" s="1244">
        <f t="shared" ref="E44" si="78">E43/E$15</f>
        <v>0</v>
      </c>
      <c r="F44" s="1244">
        <f t="shared" ref="F44" si="79">F43/F$15</f>
        <v>0</v>
      </c>
      <c r="G44" s="1244">
        <f t="shared" ref="G44" si="80">G43/G$15</f>
        <v>0</v>
      </c>
      <c r="H44" s="1247"/>
      <c r="I44" s="1247"/>
      <c r="J44" s="1247"/>
      <c r="K44" s="1247"/>
      <c r="L44" s="1247"/>
      <c r="M44" s="182"/>
      <c r="N44" s="182"/>
      <c r="O44" s="787"/>
      <c r="Q44" s="1258"/>
      <c r="R44" s="1264"/>
      <c r="S44" s="1266"/>
      <c r="T44" s="1267"/>
      <c r="U44" s="1265"/>
    </row>
    <row r="45" spans="2:21" s="825" customFormat="1" ht="13.5" customHeight="1" x14ac:dyDescent="0.3">
      <c r="B45" s="1270" t="s">
        <v>2145</v>
      </c>
      <c r="C45" s="1245">
        <f>CAPEX_주석사항!AL38/1000</f>
        <v>17.404</v>
      </c>
      <c r="D45" s="1246">
        <f>CAPEX_주석사항!AD38/1000</f>
        <v>34.4</v>
      </c>
      <c r="E45" s="1245">
        <f>CAPEX_주석사항!V37/1000</f>
        <v>147.91</v>
      </c>
      <c r="F45" s="1245">
        <f>CAPEX_주석사항!N37/1000</f>
        <v>37.39</v>
      </c>
      <c r="G45" s="1245">
        <f>CAPEX_주석사항!E37/1000</f>
        <v>7.3860000000000001</v>
      </c>
      <c r="H45" s="1245">
        <f>SUM('기존(정액)'!J516:J519)/1000000</f>
        <v>32.183999999999997</v>
      </c>
      <c r="I45" s="1252">
        <v>0</v>
      </c>
      <c r="J45" s="1818">
        <f>H45+I45</f>
        <v>32.183999999999997</v>
      </c>
      <c r="K45" s="1818">
        <f>K$15*K46</f>
        <v>72.000568367488384</v>
      </c>
      <c r="L45" s="1818">
        <f t="shared" ref="L45:O45" si="81">L$15*L46</f>
        <v>74.490456297015484</v>
      </c>
      <c r="M45" s="1137">
        <f t="shared" si="81"/>
        <v>77.135240625374138</v>
      </c>
      <c r="N45" s="1137">
        <f t="shared" si="81"/>
        <v>79.871414197236263</v>
      </c>
      <c r="O45" s="1819">
        <f t="shared" si="81"/>
        <v>82.760891442634048</v>
      </c>
      <c r="Q45" s="1258"/>
      <c r="R45" s="1264" t="s">
        <v>2150</v>
      </c>
      <c r="S45" s="1266"/>
      <c r="T45" s="1267"/>
      <c r="U45" s="1265"/>
    </row>
    <row r="46" spans="2:21" s="825" customFormat="1" ht="13.5" customHeight="1" x14ac:dyDescent="0.3">
      <c r="B46" s="1271" t="s">
        <v>149</v>
      </c>
      <c r="C46" s="1244">
        <f>C45/C$15</f>
        <v>1.7197147872475397E-4</v>
      </c>
      <c r="D46" s="1244">
        <f t="shared" ref="D46" si="82">D45/D$15</f>
        <v>2.8644957310445434E-4</v>
      </c>
      <c r="E46" s="1244">
        <f t="shared" ref="E46" si="83">E45/E$15</f>
        <v>8.1144719737818235E-4</v>
      </c>
      <c r="F46" s="1244">
        <f t="shared" ref="F46" si="84">F45/F$15</f>
        <v>1.7663173185410988E-4</v>
      </c>
      <c r="G46" s="1244">
        <f t="shared" ref="G46:H46" si="85">G45/G$15</f>
        <v>2.9331551913025096E-5</v>
      </c>
      <c r="H46" s="1244">
        <f t="shared" si="85"/>
        <v>1.4977095745334208E-4</v>
      </c>
      <c r="I46" s="1244"/>
      <c r="J46" s="1244">
        <f t="shared" ref="J46" si="86">J45/J$15</f>
        <v>1.4977095745334208E-4</v>
      </c>
      <c r="K46" s="1594">
        <f>AVERAGE(D46:H46)</f>
        <v>2.9072620234062271E-4</v>
      </c>
      <c r="L46" s="1594">
        <f>K46</f>
        <v>2.9072620234062271E-4</v>
      </c>
      <c r="M46" s="182">
        <f t="shared" ref="M46" si="87">L46</f>
        <v>2.9072620234062271E-4</v>
      </c>
      <c r="N46" s="182">
        <f t="shared" ref="N46" si="88">M46</f>
        <v>2.9072620234062271E-4</v>
      </c>
      <c r="O46" s="787">
        <f t="shared" ref="O46" si="89">N46</f>
        <v>2.9072620234062271E-4</v>
      </c>
      <c r="Q46" s="1258"/>
      <c r="R46" s="1264"/>
      <c r="S46" s="1266"/>
      <c r="T46" s="1267"/>
      <c r="U46" s="1265"/>
    </row>
    <row r="47" spans="2:21" ht="13.5" customHeight="1" thickBot="1" x14ac:dyDescent="0.35">
      <c r="B47" s="877"/>
      <c r="C47" s="878"/>
      <c r="D47" s="878"/>
      <c r="E47" s="878"/>
      <c r="F47" s="878"/>
      <c r="G47" s="878"/>
      <c r="H47" s="878"/>
      <c r="I47" s="880"/>
      <c r="J47" s="878"/>
      <c r="K47" s="878"/>
      <c r="L47" s="878"/>
      <c r="M47" s="878"/>
      <c r="N47" s="878"/>
      <c r="O47" s="879"/>
      <c r="Q47" s="1258"/>
      <c r="R47" s="1264"/>
      <c r="S47" s="1266"/>
      <c r="T47" s="1267"/>
      <c r="U47" s="1265"/>
    </row>
    <row r="48" spans="2:21" ht="13.5" customHeight="1" x14ac:dyDescent="0.3">
      <c r="C48" s="476"/>
      <c r="D48" s="476"/>
      <c r="E48" s="888"/>
      <c r="F48" s="888"/>
      <c r="G48" s="888"/>
      <c r="H48" s="888"/>
      <c r="I48" s="407"/>
      <c r="J48" s="407"/>
      <c r="K48" s="407"/>
      <c r="L48" s="407"/>
      <c r="M48" s="407"/>
      <c r="N48" s="402"/>
      <c r="O48" s="402"/>
      <c r="Q48" s="1260"/>
      <c r="U48" s="1261"/>
    </row>
    <row r="49" spans="2:21" ht="13.5" customHeight="1" x14ac:dyDescent="0.3">
      <c r="B49" s="834" t="s">
        <v>1005</v>
      </c>
      <c r="C49" s="835"/>
      <c r="D49" s="835"/>
      <c r="E49" s="835"/>
      <c r="F49" s="835"/>
      <c r="G49" s="835"/>
      <c r="H49" s="835"/>
      <c r="I49" s="835"/>
      <c r="J49" s="836"/>
      <c r="K49" s="835"/>
      <c r="L49" s="835"/>
      <c r="M49" s="835"/>
      <c r="N49" s="837"/>
      <c r="O49" s="837"/>
      <c r="Q49" s="1260"/>
      <c r="U49" s="1261"/>
    </row>
    <row r="50" spans="2:21" ht="13.5" customHeight="1" x14ac:dyDescent="0.3">
      <c r="B50" s="773" t="str">
        <f>unit</f>
        <v>KRW Millions</v>
      </c>
      <c r="C50" s="774">
        <f>C$5</f>
        <v>2010</v>
      </c>
      <c r="D50" s="774">
        <f t="shared" ref="D50:O50" si="90">D$5</f>
        <v>2011</v>
      </c>
      <c r="E50" s="774">
        <f t="shared" si="90"/>
        <v>2012</v>
      </c>
      <c r="F50" s="774">
        <f t="shared" si="90"/>
        <v>2013</v>
      </c>
      <c r="G50" s="774">
        <f t="shared" si="90"/>
        <v>2014</v>
      </c>
      <c r="H50" s="774" t="str">
        <f t="shared" si="90"/>
        <v>2015/12A</v>
      </c>
      <c r="I50" s="774" t="str">
        <f t="shared" si="90"/>
        <v>2015/0E</v>
      </c>
      <c r="J50" s="774">
        <f t="shared" si="90"/>
        <v>2015</v>
      </c>
      <c r="K50" s="776">
        <f t="shared" si="90"/>
        <v>2016</v>
      </c>
      <c r="L50" s="776">
        <f t="shared" si="90"/>
        <v>2017</v>
      </c>
      <c r="M50" s="776">
        <f t="shared" si="90"/>
        <v>2018</v>
      </c>
      <c r="N50" s="776">
        <f t="shared" si="90"/>
        <v>2019</v>
      </c>
      <c r="O50" s="777">
        <f t="shared" si="90"/>
        <v>2020</v>
      </c>
      <c r="Q50" s="1260"/>
      <c r="U50" s="1261"/>
    </row>
    <row r="51" spans="2:21" s="294" customFormat="1" ht="13.5" customHeight="1" x14ac:dyDescent="0.3">
      <c r="B51" s="858" t="s">
        <v>1121</v>
      </c>
      <c r="C51" s="849">
        <f t="shared" ref="C51:O51" si="91">C53+C62+C99+C104</f>
        <v>677.54200000000003</v>
      </c>
      <c r="D51" s="849">
        <f t="shared" si="91"/>
        <v>599.58300000000008</v>
      </c>
      <c r="E51" s="849">
        <f t="shared" si="91"/>
        <v>554.96400000000006</v>
      </c>
      <c r="F51" s="849">
        <f t="shared" si="91"/>
        <v>711.79200000000014</v>
      </c>
      <c r="G51" s="849">
        <f t="shared" si="91"/>
        <v>741.12100000000009</v>
      </c>
      <c r="H51" s="849">
        <f t="shared" si="91"/>
        <v>712.84854395000002</v>
      </c>
      <c r="I51" s="859">
        <f t="shared" ca="1" si="91"/>
        <v>64.479144862499993</v>
      </c>
      <c r="J51" s="859">
        <f t="shared" ca="1" si="91"/>
        <v>775.38113881250001</v>
      </c>
      <c r="K51" s="859">
        <f t="shared" ca="1" si="91"/>
        <v>945.31831839551023</v>
      </c>
      <c r="L51" s="859">
        <f t="shared" ca="1" si="91"/>
        <v>1265.9716052721842</v>
      </c>
      <c r="M51" s="859">
        <f t="shared" ca="1" si="91"/>
        <v>1562.79735897463</v>
      </c>
      <c r="N51" s="859">
        <f t="shared" ca="1" si="91"/>
        <v>1823.8785111966024</v>
      </c>
      <c r="O51" s="860">
        <f t="shared" ca="1" si="91"/>
        <v>2179.7867802560522</v>
      </c>
      <c r="Q51" s="1260"/>
      <c r="R51" s="691"/>
      <c r="S51" s="691"/>
      <c r="T51" s="691"/>
      <c r="U51" s="1261"/>
    </row>
    <row r="52" spans="2:21" ht="13.5" customHeight="1" x14ac:dyDescent="0.3">
      <c r="B52" s="861" t="s">
        <v>149</v>
      </c>
      <c r="C52" s="1244">
        <f>C51/C$15</f>
        <v>6.6948919580629316E-3</v>
      </c>
      <c r="D52" s="1244">
        <f t="shared" ref="D52" si="92">D51/D$15</f>
        <v>4.9927411160083741E-3</v>
      </c>
      <c r="E52" s="1244">
        <f t="shared" ref="E52" si="93">E51/E$15</f>
        <v>3.0445810455397584E-3</v>
      </c>
      <c r="F52" s="1244">
        <f t="shared" ref="F52" si="94">F51/F$15</f>
        <v>3.362531523934223E-3</v>
      </c>
      <c r="G52" s="1244">
        <f t="shared" ref="G52:O52" si="95">G51/G$15</f>
        <v>2.943166678220021E-3</v>
      </c>
      <c r="H52" s="182">
        <f t="shared" si="95"/>
        <v>3.3173007999817397E-3</v>
      </c>
      <c r="I52" s="182" t="e">
        <f t="shared" ca="1" si="95"/>
        <v>#DIV/0!</v>
      </c>
      <c r="J52" s="182">
        <f t="shared" ca="1" si="95"/>
        <v>3.6083015023369029E-3</v>
      </c>
      <c r="K52" s="182">
        <f t="shared" ca="1" si="95"/>
        <v>3.81703660042562E-3</v>
      </c>
      <c r="L52" s="182">
        <f t="shared" ca="1" si="95"/>
        <v>4.9409163987976564E-3</v>
      </c>
      <c r="M52" s="182">
        <f t="shared" ca="1" si="95"/>
        <v>5.8902537610440661E-3</v>
      </c>
      <c r="N52" s="182">
        <f t="shared" ca="1" si="95"/>
        <v>6.6387865849156956E-3</v>
      </c>
      <c r="O52" s="787">
        <f t="shared" ca="1" si="95"/>
        <v>7.6572535830574176E-3</v>
      </c>
      <c r="Q52" s="1260"/>
      <c r="U52" s="1261"/>
    </row>
    <row r="53" spans="2:21" s="825" customFormat="1" ht="13.5" customHeight="1" x14ac:dyDescent="0.3">
      <c r="B53" s="1272" t="s">
        <v>2151</v>
      </c>
      <c r="C53" s="1252">
        <f>C54+C62</f>
        <v>230.15700000000004</v>
      </c>
      <c r="D53" s="1137">
        <f t="shared" ref="D53:N53" si="96">D54+D62</f>
        <v>321.59399999999999</v>
      </c>
      <c r="E53" s="1137">
        <f t="shared" si="96"/>
        <v>455.79</v>
      </c>
      <c r="F53" s="1137">
        <f t="shared" si="96"/>
        <v>612.66000000000008</v>
      </c>
      <c r="G53" s="1137">
        <f t="shared" si="96"/>
        <v>645.8850000000001</v>
      </c>
      <c r="H53" s="1137">
        <f t="shared" si="96"/>
        <v>650.35450594999998</v>
      </c>
      <c r="I53" s="1137">
        <f t="shared" ca="1" si="96"/>
        <v>59.795354133333326</v>
      </c>
      <c r="J53" s="1137">
        <f t="shared" ca="1" si="96"/>
        <v>710.14986008333335</v>
      </c>
      <c r="K53" s="1137">
        <f t="shared" ca="1" si="96"/>
        <v>807.81781465181916</v>
      </c>
      <c r="L53" s="1137">
        <f t="shared" ca="1" si="96"/>
        <v>904.21134814875973</v>
      </c>
      <c r="M53" s="1137">
        <f t="shared" ca="1" si="96"/>
        <v>959.18647935760077</v>
      </c>
      <c r="N53" s="1137">
        <f t="shared" ca="1" si="96"/>
        <v>976.14953735951042</v>
      </c>
      <c r="O53" s="1138">
        <f t="shared" ref="O53" ca="1" si="97">O54+O62</f>
        <v>1089.7033272718543</v>
      </c>
      <c r="Q53" s="1260"/>
      <c r="R53" s="691"/>
      <c r="S53" s="691"/>
      <c r="T53" s="691"/>
      <c r="U53" s="1261"/>
    </row>
    <row r="54" spans="2:21" s="825" customFormat="1" ht="13.5" customHeight="1" x14ac:dyDescent="0.3">
      <c r="B54" s="1273" t="s">
        <v>2152</v>
      </c>
      <c r="C54" s="1252">
        <f>SUM(C55:C61)</f>
        <v>230.15700000000004</v>
      </c>
      <c r="D54" s="1137">
        <f t="shared" ref="D54:N54" si="98">SUM(D55:D61)</f>
        <v>321.59399999999999</v>
      </c>
      <c r="E54" s="1137">
        <f t="shared" si="98"/>
        <v>455.79</v>
      </c>
      <c r="F54" s="1137">
        <f t="shared" si="98"/>
        <v>612.66000000000008</v>
      </c>
      <c r="G54" s="1137">
        <f t="shared" si="98"/>
        <v>645.8850000000001</v>
      </c>
      <c r="H54" s="1137">
        <f t="shared" si="98"/>
        <v>650.35450594999998</v>
      </c>
      <c r="I54" s="1137">
        <f t="shared" ca="1" si="98"/>
        <v>59.795354133333326</v>
      </c>
      <c r="J54" s="1137">
        <f t="shared" ca="1" si="98"/>
        <v>710.14986008333335</v>
      </c>
      <c r="K54" s="1137">
        <f t="shared" ca="1" si="98"/>
        <v>710.14986008333346</v>
      </c>
      <c r="L54" s="1137">
        <f t="shared" ca="1" si="98"/>
        <v>607.82997969999997</v>
      </c>
      <c r="M54" s="1137">
        <f t="shared" ca="1" si="98"/>
        <v>457.1265723333334</v>
      </c>
      <c r="N54" s="1137">
        <f t="shared" ca="1" si="98"/>
        <v>261.11188338333318</v>
      </c>
      <c r="O54" s="1138">
        <f t="shared" ref="O54" ca="1" si="99">SUM(O55:O61)</f>
        <v>154.05679479999998</v>
      </c>
      <c r="Q54" s="1260"/>
      <c r="R54" s="691"/>
      <c r="S54" s="691"/>
      <c r="T54" s="691"/>
      <c r="U54" s="1261"/>
    </row>
    <row r="55" spans="2:21" s="825" customFormat="1" ht="13.5" customHeight="1" x14ac:dyDescent="0.3">
      <c r="B55" s="1274" t="s">
        <v>2127</v>
      </c>
      <c r="C55" s="1252">
        <f>-CAPEX_주석사항!AN24/1000</f>
        <v>91.106999999999999</v>
      </c>
      <c r="D55" s="1137">
        <f>-CAPEX_주석사항!AF24/1000</f>
        <v>161.96600000000001</v>
      </c>
      <c r="E55" s="1137">
        <f>-CAPEX_주석사항!X24/1000</f>
        <v>215.66399999999999</v>
      </c>
      <c r="F55" s="1137">
        <f>-CAPEX_주석사항!P24/1000</f>
        <v>230.53200000000001</v>
      </c>
      <c r="G55" s="1137">
        <f>-CAPEX_주석사항!G24/1000</f>
        <v>225.12899999999999</v>
      </c>
      <c r="H55" s="1137">
        <f>'기존(정액)'!Q2/1000000</f>
        <v>177.75297533333335</v>
      </c>
      <c r="I55" s="1137">
        <f ca="1">'기존(정액)'!U2/1000000</f>
        <v>14.242933333333333</v>
      </c>
      <c r="J55" s="1137">
        <f ca="1">H55+I55</f>
        <v>191.99590866666668</v>
      </c>
      <c r="K55" s="1137">
        <f ca="1">'기존(정액)'!V2/1000000</f>
        <v>191.99590866666671</v>
      </c>
      <c r="L55" s="1137">
        <f ca="1">'기존(정액)'!W2/1000000</f>
        <v>97.329535000000007</v>
      </c>
      <c r="M55" s="1137">
        <f ca="1">'기존(정액)'!X2/1000000</f>
        <v>33.827199999999998</v>
      </c>
      <c r="N55" s="1137">
        <f ca="1">'기존(정액)'!Y2/1000000</f>
        <v>13.177866333333334</v>
      </c>
      <c r="O55" s="1138">
        <f ca="1">'기존(정액)'!Z2/1000000</f>
        <v>9.5619333333333323</v>
      </c>
      <c r="Q55" s="1260"/>
      <c r="R55" s="691"/>
      <c r="S55" s="691"/>
      <c r="T55" s="691"/>
      <c r="U55" s="1261"/>
    </row>
    <row r="56" spans="2:21" s="825" customFormat="1" ht="13.5" customHeight="1" x14ac:dyDescent="0.3">
      <c r="B56" s="1274" t="s">
        <v>2067</v>
      </c>
      <c r="C56" s="1252">
        <f>-CAPEX_주석사항!AN25/1000</f>
        <v>38.313000000000002</v>
      </c>
      <c r="D56" s="1137">
        <f>-CAPEX_주석사항!AF25/1000</f>
        <v>36.859000000000002</v>
      </c>
      <c r="E56" s="1137">
        <f>-CAPEX_주석사항!X25/1000</f>
        <v>36.859000000000002</v>
      </c>
      <c r="F56" s="1137">
        <f>-CAPEX_주석사항!P25/1000</f>
        <v>61.231000000000002</v>
      </c>
      <c r="G56" s="1137">
        <f>-CAPEX_주석사항!G25/1000</f>
        <v>62.618000000000002</v>
      </c>
      <c r="H56" s="1137">
        <f>'기존(정액)'!Q3/1000000</f>
        <v>71.250349999999997</v>
      </c>
      <c r="I56" s="1137">
        <f ca="1">'기존(정액)'!U3/1000000</f>
        <v>6.4773044999999998</v>
      </c>
      <c r="J56" s="1137">
        <f t="shared" ref="J56:J61" ca="1" si="100">H56+I56</f>
        <v>77.7276545</v>
      </c>
      <c r="K56" s="1137">
        <f ca="1">'기존(정액)'!V3/1000000</f>
        <v>77.7276545</v>
      </c>
      <c r="L56" s="1137">
        <f ca="1">'기존(정액)'!W3/1000000</f>
        <v>77.727654000000001</v>
      </c>
      <c r="M56" s="1137">
        <f ca="1">'기존(정액)'!X3/1000000</f>
        <v>77.725654000000006</v>
      </c>
      <c r="N56" s="1137">
        <f ca="1">'기존(정액)'!Y3/1000000</f>
        <v>53.352255500000005</v>
      </c>
      <c r="O56" s="1138">
        <f ca="1">'기존(정액)'!Z3/1000000</f>
        <v>8.122026</v>
      </c>
      <c r="Q56" s="1260"/>
      <c r="R56" s="691"/>
      <c r="S56" s="691"/>
      <c r="T56" s="691"/>
      <c r="U56" s="1261"/>
    </row>
    <row r="57" spans="2:21" s="825" customFormat="1" ht="13.5" customHeight="1" x14ac:dyDescent="0.3">
      <c r="B57" s="1274" t="s">
        <v>2068</v>
      </c>
      <c r="C57" s="1252">
        <f>-CAPEX_주석사항!AN26/1000</f>
        <v>76.597999999999999</v>
      </c>
      <c r="D57" s="1137">
        <f>-CAPEX_주석사항!AF26/1000</f>
        <v>103.117</v>
      </c>
      <c r="E57" s="1137">
        <f>-CAPEX_주석사항!X26/1000</f>
        <v>160.06899999999999</v>
      </c>
      <c r="F57" s="1137">
        <f>-CAPEX_주석사항!P26/1000</f>
        <v>182.274</v>
      </c>
      <c r="G57" s="1137">
        <f>-CAPEX_주석사항!G26/1000</f>
        <v>198.285</v>
      </c>
      <c r="H57" s="1137">
        <f>'기존(정액)'!Q4/1000000</f>
        <v>206.34111961666667</v>
      </c>
      <c r="I57" s="1137">
        <f ca="1">'기존(정액)'!U4/1000000</f>
        <v>19.283280949999991</v>
      </c>
      <c r="J57" s="1137">
        <f t="shared" ca="1" si="100"/>
        <v>225.62440056666668</v>
      </c>
      <c r="K57" s="1137">
        <f ca="1">'기존(정액)'!V4/1000000</f>
        <v>225.62440056666676</v>
      </c>
      <c r="L57" s="1137">
        <f ca="1">'기존(정액)'!W4/1000000</f>
        <v>204.08097800000002</v>
      </c>
      <c r="M57" s="1137">
        <f ca="1">'기존(정액)'!X4/1000000</f>
        <v>133.13819346666668</v>
      </c>
      <c r="N57" s="1137">
        <f ca="1">'기존(정액)'!Y4/1000000</f>
        <v>87.451349133333323</v>
      </c>
      <c r="O57" s="1138">
        <f ca="1">'기존(정액)'!Z4/1000000</f>
        <v>60.241360466666663</v>
      </c>
      <c r="Q57" s="1260"/>
      <c r="R57" s="691"/>
      <c r="S57" s="691"/>
      <c r="T57" s="691"/>
      <c r="U57" s="1261"/>
    </row>
    <row r="58" spans="2:21" s="825" customFormat="1" ht="13.5" customHeight="1" x14ac:dyDescent="0.3">
      <c r="B58" s="1274" t="s">
        <v>2114</v>
      </c>
      <c r="C58" s="1252">
        <f>-CAPEX_주석사항!AN27/1000</f>
        <v>24.138999999999999</v>
      </c>
      <c r="D58" s="1137">
        <f>-CAPEX_주석사항!AF27/1000</f>
        <v>19.652000000000001</v>
      </c>
      <c r="E58" s="1137">
        <f>-CAPEX_주석사항!X27/1000</f>
        <v>31.92</v>
      </c>
      <c r="F58" s="1137">
        <f>-CAPEX_주석사항!P27/1000</f>
        <v>93.814999999999998</v>
      </c>
      <c r="G58" s="1137">
        <f>-CAPEX_주석사항!G27/1000</f>
        <v>114.77800000000001</v>
      </c>
      <c r="H58" s="1137">
        <f>'기존(정액)'!Q5/1000000</f>
        <v>152.39294799999999</v>
      </c>
      <c r="I58" s="1137">
        <f ca="1">'기존(정액)'!U5/1000000</f>
        <v>15.812602016666665</v>
      </c>
      <c r="J58" s="1137">
        <f t="shared" ca="1" si="100"/>
        <v>168.20555001666665</v>
      </c>
      <c r="K58" s="1137">
        <f ca="1">'기존(정액)'!V5/1000000</f>
        <v>168.20555001666668</v>
      </c>
      <c r="L58" s="1137">
        <f ca="1">'기존(정액)'!W5/1000000</f>
        <v>180.94101269999999</v>
      </c>
      <c r="M58" s="1137">
        <f ca="1">'기존(정액)'!X5/1000000</f>
        <v>164.68472486666667</v>
      </c>
      <c r="N58" s="1137">
        <f ca="1">'기존(정액)'!Y5/1000000</f>
        <v>97.386794750000007</v>
      </c>
      <c r="O58" s="1138">
        <f ca="1">'기존(정액)'!Z5/1000000</f>
        <v>76.131474999999995</v>
      </c>
      <c r="Q58" s="1260"/>
      <c r="R58" s="691"/>
      <c r="S58" s="691"/>
      <c r="T58" s="691"/>
      <c r="U58" s="1261"/>
    </row>
    <row r="59" spans="2:21" s="825" customFormat="1" ht="13.5" customHeight="1" x14ac:dyDescent="0.3">
      <c r="B59" s="1274" t="s">
        <v>2128</v>
      </c>
      <c r="C59" s="1252">
        <f>-CAPEX_주석사항!AN28/1000</f>
        <v>0</v>
      </c>
      <c r="D59" s="1137">
        <f>-CAPEX_주석사항!AF28/1000</f>
        <v>0</v>
      </c>
      <c r="E59" s="1137">
        <f>-CAPEX_주석사항!X28/1000</f>
        <v>11.278</v>
      </c>
      <c r="F59" s="1137">
        <f>-CAPEX_주석사항!P28/1000</f>
        <v>44.808</v>
      </c>
      <c r="G59" s="1137">
        <f>-CAPEX_주석사항!G28/1000</f>
        <v>45.075000000000003</v>
      </c>
      <c r="H59" s="1137">
        <f>'기존(정액)'!Q8/1000000</f>
        <v>42.617113000000003</v>
      </c>
      <c r="I59" s="1137">
        <f ca="1">'기존(정액)'!U8/1000000</f>
        <v>3.9792333333333385</v>
      </c>
      <c r="J59" s="1137">
        <f t="shared" ca="1" si="100"/>
        <v>46.596346333333344</v>
      </c>
      <c r="K59" s="1137">
        <f ca="1">'기존(정액)'!V8/1000000</f>
        <v>46.596346333333337</v>
      </c>
      <c r="L59" s="1137">
        <f ca="1">'기존(정액)'!W8/1000000</f>
        <v>47.750800000000069</v>
      </c>
      <c r="M59" s="1137">
        <f ca="1">'기존(정액)'!X8/1000000</f>
        <v>47.750800000000069</v>
      </c>
      <c r="N59" s="1137">
        <f ca="1">'기존(정액)'!Y8/1000000</f>
        <v>9.7436176666665233</v>
      </c>
      <c r="O59" s="1138">
        <f ca="1">'기존(정액)'!Z8/1000000</f>
        <v>0</v>
      </c>
      <c r="Q59" s="1260"/>
      <c r="R59" s="691"/>
      <c r="S59" s="691"/>
      <c r="T59" s="691"/>
      <c r="U59" s="1261"/>
    </row>
    <row r="60" spans="2:21" s="825" customFormat="1" ht="13.5" customHeight="1" x14ac:dyDescent="0.3">
      <c r="B60" s="1274" t="s">
        <v>2147</v>
      </c>
      <c r="C60" s="1252">
        <f>-CAPEX_주석사항!AN29/1000</f>
        <v>0</v>
      </c>
      <c r="D60" s="1137">
        <f>-CAPEX_주석사항!AF29/1000</f>
        <v>0</v>
      </c>
      <c r="E60" s="1137">
        <f>-CAPEX_주석사항!X29/1000</f>
        <v>0</v>
      </c>
      <c r="F60" s="1137">
        <f>-CAPEX_주석사항!P29/1000</f>
        <v>0</v>
      </c>
      <c r="G60" s="1137">
        <f>-CAPEX_주석사항!G29/1000</f>
        <v>0</v>
      </c>
      <c r="H60" s="1137">
        <v>0</v>
      </c>
      <c r="I60" s="1137">
        <v>0</v>
      </c>
      <c r="J60" s="1137">
        <f t="shared" si="100"/>
        <v>0</v>
      </c>
      <c r="K60" s="1137">
        <v>0</v>
      </c>
      <c r="L60" s="1137">
        <v>0</v>
      </c>
      <c r="M60" s="1137">
        <v>0</v>
      </c>
      <c r="N60" s="1137">
        <v>0</v>
      </c>
      <c r="O60" s="1138">
        <v>0</v>
      </c>
      <c r="Q60" s="1260"/>
      <c r="R60" s="691"/>
      <c r="S60" s="691"/>
      <c r="T60" s="691"/>
      <c r="U60" s="1261"/>
    </row>
    <row r="61" spans="2:21" s="825" customFormat="1" ht="13.5" customHeight="1" x14ac:dyDescent="0.3">
      <c r="B61" s="1274" t="s">
        <v>2116</v>
      </c>
      <c r="C61" s="1252">
        <f>-CAPEX_주석사항!AN30/1000</f>
        <v>0</v>
      </c>
      <c r="D61" s="1137">
        <f>-CAPEX_주석사항!AF30/1000</f>
        <v>0</v>
      </c>
      <c r="E61" s="1137">
        <f>-CAPEX_주석사항!X30/1000</f>
        <v>0</v>
      </c>
      <c r="F61" s="1137">
        <f>-CAPEX_주석사항!P30/1000</f>
        <v>0</v>
      </c>
      <c r="G61" s="1137">
        <f>-CAPEX_주석사항!G30/1000</f>
        <v>0</v>
      </c>
      <c r="H61" s="1137">
        <v>0</v>
      </c>
      <c r="I61" s="1137">
        <v>0</v>
      </c>
      <c r="J61" s="1137">
        <f t="shared" si="100"/>
        <v>0</v>
      </c>
      <c r="K61" s="1137">
        <v>0</v>
      </c>
      <c r="L61" s="1137">
        <v>0</v>
      </c>
      <c r="M61" s="1137">
        <v>0</v>
      </c>
      <c r="N61" s="1137">
        <v>0</v>
      </c>
      <c r="O61" s="1138">
        <v>0</v>
      </c>
      <c r="Q61" s="1260"/>
      <c r="R61" s="691"/>
      <c r="S61" s="691"/>
      <c r="T61" s="691"/>
      <c r="U61" s="1261"/>
    </row>
    <row r="62" spans="2:21" s="825" customFormat="1" ht="13.5" customHeight="1" x14ac:dyDescent="0.3">
      <c r="B62" s="1273" t="s">
        <v>2153</v>
      </c>
      <c r="C62" s="1252">
        <f>SUM(C63,C69,C75,C81,C87,C93)</f>
        <v>0</v>
      </c>
      <c r="D62" s="1252">
        <f t="shared" ref="D62:O62" si="101">SUM(D63,D69,D75,D81,D87,D93)</f>
        <v>0</v>
      </c>
      <c r="E62" s="1252">
        <f t="shared" si="101"/>
        <v>0</v>
      </c>
      <c r="F62" s="1252">
        <f t="shared" si="101"/>
        <v>0</v>
      </c>
      <c r="G62" s="1252">
        <f t="shared" si="101"/>
        <v>0</v>
      </c>
      <c r="H62" s="1137">
        <f t="shared" si="101"/>
        <v>0</v>
      </c>
      <c r="I62" s="1137">
        <f t="shared" si="101"/>
        <v>0</v>
      </c>
      <c r="J62" s="1137">
        <f t="shared" si="101"/>
        <v>0</v>
      </c>
      <c r="K62" s="1137">
        <f t="shared" si="101"/>
        <v>97.667954568485726</v>
      </c>
      <c r="L62" s="1137">
        <f t="shared" si="101"/>
        <v>296.3813684487597</v>
      </c>
      <c r="M62" s="1137">
        <f t="shared" si="101"/>
        <v>502.05990702426732</v>
      </c>
      <c r="N62" s="1137">
        <f t="shared" si="101"/>
        <v>715.03765397617724</v>
      </c>
      <c r="O62" s="1138">
        <f t="shared" si="101"/>
        <v>935.64653247185424</v>
      </c>
      <c r="Q62" s="1260"/>
      <c r="R62" s="691"/>
      <c r="S62" s="691"/>
      <c r="T62" s="691"/>
      <c r="U62" s="1261"/>
    </row>
    <row r="63" spans="2:21" s="825" customFormat="1" ht="13.5" customHeight="1" x14ac:dyDescent="0.3">
      <c r="B63" s="1274" t="s">
        <v>2127</v>
      </c>
      <c r="C63" s="1252"/>
      <c r="D63" s="1137"/>
      <c r="E63" s="1137"/>
      <c r="F63" s="1137"/>
      <c r="G63" s="1137"/>
      <c r="H63" s="1137"/>
      <c r="I63" s="1137"/>
      <c r="J63" s="1137"/>
      <c r="K63" s="1137">
        <f>SUM(K64:K68)</f>
        <v>27.99397381246132</v>
      </c>
      <c r="L63" s="1137">
        <f t="shared" ref="L63:O63" si="102">SUM(L64:L68)</f>
        <v>84.949995149516198</v>
      </c>
      <c r="M63" s="1137">
        <f t="shared" si="102"/>
        <v>143.90238795949031</v>
      </c>
      <c r="N63" s="1137">
        <f t="shared" si="102"/>
        <v>204.94690862289895</v>
      </c>
      <c r="O63" s="1138">
        <f t="shared" si="102"/>
        <v>268.17869426528148</v>
      </c>
      <c r="Q63" s="1260"/>
      <c r="R63" s="691"/>
      <c r="S63" s="691"/>
      <c r="T63" s="691"/>
      <c r="U63" s="1261"/>
    </row>
    <row r="64" spans="2:21" s="825" customFormat="1" ht="13.5" hidden="1" customHeight="1" outlineLevel="1" x14ac:dyDescent="0.3">
      <c r="B64" s="1274" t="s">
        <v>3872</v>
      </c>
      <c r="C64" s="1252"/>
      <c r="D64" s="1137"/>
      <c r="E64" s="1137"/>
      <c r="F64" s="1137"/>
      <c r="G64" s="1137"/>
      <c r="H64" s="1137"/>
      <c r="I64" s="1137"/>
      <c r="J64" s="1137"/>
      <c r="K64" s="1137">
        <f>$K$25/5/2</f>
        <v>27.99397381246132</v>
      </c>
      <c r="L64" s="1137">
        <f>$K$25/5</f>
        <v>55.98794762492264</v>
      </c>
      <c r="M64" s="1137">
        <f t="shared" ref="M64:O64" si="103">$K$25/5</f>
        <v>55.98794762492264</v>
      </c>
      <c r="N64" s="1137">
        <f t="shared" si="103"/>
        <v>55.98794762492264</v>
      </c>
      <c r="O64" s="1138">
        <f t="shared" si="103"/>
        <v>55.98794762492264</v>
      </c>
      <c r="Q64" s="1260"/>
      <c r="R64" s="691"/>
      <c r="S64" s="691"/>
      <c r="T64" s="691"/>
      <c r="U64" s="1261"/>
    </row>
    <row r="65" spans="2:21" s="825" customFormat="1" ht="13.5" hidden="1" customHeight="1" outlineLevel="1" x14ac:dyDescent="0.3">
      <c r="B65" s="1274" t="s">
        <v>3873</v>
      </c>
      <c r="C65" s="1252"/>
      <c r="D65" s="1137"/>
      <c r="E65" s="1137"/>
      <c r="F65" s="1137"/>
      <c r="G65" s="1137"/>
      <c r="H65" s="1137"/>
      <c r="I65" s="1137"/>
      <c r="J65" s="1137"/>
      <c r="K65" s="1137"/>
      <c r="L65" s="1137">
        <f>$L$25/5/2</f>
        <v>28.962047524593554</v>
      </c>
      <c r="M65" s="1137">
        <f t="shared" ref="M65:O65" si="104">$L$25/5</f>
        <v>57.924095049187109</v>
      </c>
      <c r="N65" s="1137">
        <f t="shared" si="104"/>
        <v>57.924095049187109</v>
      </c>
      <c r="O65" s="1138">
        <f t="shared" si="104"/>
        <v>57.924095049187109</v>
      </c>
      <c r="Q65" s="1260"/>
      <c r="R65" s="691"/>
      <c r="S65" s="691"/>
      <c r="T65" s="691"/>
      <c r="U65" s="1261"/>
    </row>
    <row r="66" spans="2:21" s="825" customFormat="1" ht="13.5" hidden="1" customHeight="1" outlineLevel="1" x14ac:dyDescent="0.3">
      <c r="B66" s="1274" t="s">
        <v>3874</v>
      </c>
      <c r="C66" s="1252"/>
      <c r="D66" s="1137"/>
      <c r="E66" s="1137"/>
      <c r="F66" s="1137"/>
      <c r="G66" s="1137"/>
      <c r="H66" s="1137"/>
      <c r="I66" s="1137"/>
      <c r="J66" s="1137"/>
      <c r="K66" s="1137"/>
      <c r="L66" s="1137"/>
      <c r="M66" s="1137">
        <f>$M$25/5/2</f>
        <v>29.990345285380563</v>
      </c>
      <c r="N66" s="1137">
        <f t="shared" ref="N66:O66" si="105">$M$25/5</f>
        <v>59.980690570761126</v>
      </c>
      <c r="O66" s="1138">
        <f t="shared" si="105"/>
        <v>59.980690570761126</v>
      </c>
      <c r="Q66" s="1260"/>
      <c r="R66" s="691"/>
      <c r="S66" s="691"/>
      <c r="T66" s="691"/>
      <c r="U66" s="1261"/>
    </row>
    <row r="67" spans="2:21" s="825" customFormat="1" ht="13.5" hidden="1" customHeight="1" outlineLevel="1" x14ac:dyDescent="0.3">
      <c r="B67" s="1274" t="s">
        <v>3875</v>
      </c>
      <c r="C67" s="1252"/>
      <c r="D67" s="1137"/>
      <c r="E67" s="1137"/>
      <c r="F67" s="1137"/>
      <c r="G67" s="1137"/>
      <c r="H67" s="1137"/>
      <c r="I67" s="1137"/>
      <c r="J67" s="1137"/>
      <c r="K67" s="1137"/>
      <c r="L67" s="1137"/>
      <c r="M67" s="1137"/>
      <c r="N67" s="1137">
        <f>$N$25/5/2</f>
        <v>31.054175378028056</v>
      </c>
      <c r="O67" s="1138">
        <f t="shared" ref="O67" si="106">$N$25/5</f>
        <v>62.108350756056112</v>
      </c>
      <c r="Q67" s="1260"/>
      <c r="R67" s="691"/>
      <c r="S67" s="691"/>
      <c r="T67" s="691"/>
      <c r="U67" s="1261"/>
    </row>
    <row r="68" spans="2:21" s="825" customFormat="1" ht="13.5" hidden="1" customHeight="1" outlineLevel="1" x14ac:dyDescent="0.3">
      <c r="B68" s="1274" t="s">
        <v>3876</v>
      </c>
      <c r="C68" s="1252"/>
      <c r="D68" s="1137"/>
      <c r="E68" s="1137"/>
      <c r="F68" s="1137"/>
      <c r="G68" s="1137"/>
      <c r="H68" s="1137"/>
      <c r="I68" s="1137"/>
      <c r="J68" s="1137"/>
      <c r="K68" s="1137"/>
      <c r="L68" s="1137"/>
      <c r="M68" s="1137"/>
      <c r="N68" s="1137"/>
      <c r="O68" s="1138">
        <f>$O$25/5/2</f>
        <v>32.177610264354492</v>
      </c>
      <c r="Q68" s="1260"/>
      <c r="R68" s="691"/>
      <c r="S68" s="691"/>
      <c r="T68" s="691"/>
      <c r="U68" s="1261"/>
    </row>
    <row r="69" spans="2:21" s="825" customFormat="1" ht="13.5" customHeight="1" collapsed="1" x14ac:dyDescent="0.3">
      <c r="B69" s="1274" t="str">
        <f>B56</f>
        <v>차량운반구</v>
      </c>
      <c r="C69" s="1252"/>
      <c r="D69" s="1137"/>
      <c r="E69" s="1137"/>
      <c r="F69" s="1137"/>
      <c r="G69" s="1137"/>
      <c r="H69" s="1137"/>
      <c r="I69" s="1137"/>
      <c r="J69" s="1137"/>
      <c r="K69" s="1137">
        <f>SUM(K70:K74)</f>
        <v>8.5322141272182623</v>
      </c>
      <c r="L69" s="1137">
        <f t="shared" ref="L69" si="107">SUM(L70:L74)</f>
        <v>25.891699177027171</v>
      </c>
      <c r="M69" s="1137">
        <f t="shared" ref="M69" si="108">SUM(M70:M74)</f>
        <v>43.859653356604099</v>
      </c>
      <c r="N69" s="1137">
        <f t="shared" ref="N69" si="109">SUM(N70:N74)</f>
        <v>62.465262016627626</v>
      </c>
      <c r="O69" s="1138">
        <f t="shared" ref="O69" si="110">SUM(O70:O74)</f>
        <v>81.737521766581921</v>
      </c>
      <c r="Q69" s="1260"/>
      <c r="R69" s="691"/>
      <c r="S69" s="691"/>
      <c r="T69" s="691"/>
      <c r="U69" s="1261"/>
    </row>
    <row r="70" spans="2:21" s="825" customFormat="1" ht="13.5" hidden="1" customHeight="1" outlineLevel="1" x14ac:dyDescent="0.3">
      <c r="B70" s="1274" t="s">
        <v>3872</v>
      </c>
      <c r="C70" s="1252"/>
      <c r="D70" s="1137"/>
      <c r="E70" s="1137"/>
      <c r="F70" s="1137"/>
      <c r="G70" s="1137"/>
      <c r="H70" s="1137"/>
      <c r="I70" s="1137"/>
      <c r="J70" s="1137"/>
      <c r="K70" s="1137">
        <f>$K$27/5/2</f>
        <v>8.5322141272182623</v>
      </c>
      <c r="L70" s="1137">
        <f>$K$27/5</f>
        <v>17.064428254436525</v>
      </c>
      <c r="M70" s="1137">
        <f t="shared" ref="M70:O70" si="111">$K$27/5</f>
        <v>17.064428254436525</v>
      </c>
      <c r="N70" s="1137">
        <f t="shared" si="111"/>
        <v>17.064428254436525</v>
      </c>
      <c r="O70" s="1138">
        <f t="shared" si="111"/>
        <v>17.064428254436525</v>
      </c>
      <c r="Q70" s="1260"/>
      <c r="R70" s="691"/>
      <c r="S70" s="691"/>
      <c r="T70" s="691"/>
      <c r="U70" s="1261"/>
    </row>
    <row r="71" spans="2:21" s="825" customFormat="1" ht="13.5" hidden="1" customHeight="1" outlineLevel="1" x14ac:dyDescent="0.3">
      <c r="B71" s="1274" t="s">
        <v>3873</v>
      </c>
      <c r="C71" s="1252"/>
      <c r="D71" s="1137"/>
      <c r="E71" s="1137"/>
      <c r="F71" s="1137"/>
      <c r="G71" s="1137"/>
      <c r="H71" s="1137"/>
      <c r="I71" s="1137"/>
      <c r="J71" s="1137"/>
      <c r="K71" s="1137"/>
      <c r="L71" s="1137">
        <f>$L$27/5/2</f>
        <v>8.8272709225906461</v>
      </c>
      <c r="M71" s="1137">
        <f>$L$27/5</f>
        <v>17.654541845181292</v>
      </c>
      <c r="N71" s="1137">
        <f t="shared" ref="N71:O71" si="112">$L$27/5</f>
        <v>17.654541845181292</v>
      </c>
      <c r="O71" s="1138">
        <f t="shared" si="112"/>
        <v>17.654541845181292</v>
      </c>
      <c r="Q71" s="1260"/>
      <c r="R71" s="691"/>
      <c r="S71" s="691"/>
      <c r="T71" s="691"/>
      <c r="U71" s="1261"/>
    </row>
    <row r="72" spans="2:21" s="825" customFormat="1" ht="13.5" hidden="1" customHeight="1" outlineLevel="1" x14ac:dyDescent="0.3">
      <c r="B72" s="1274" t="s">
        <v>3874</v>
      </c>
      <c r="C72" s="1252"/>
      <c r="D72" s="1137"/>
      <c r="E72" s="1137"/>
      <c r="F72" s="1137"/>
      <c r="G72" s="1137"/>
      <c r="H72" s="1137"/>
      <c r="I72" s="1137"/>
      <c r="J72" s="1137"/>
      <c r="K72" s="1137"/>
      <c r="L72" s="1137"/>
      <c r="M72" s="1137">
        <f>$M$27/5/2</f>
        <v>9.1406832569862821</v>
      </c>
      <c r="N72" s="1137">
        <f>$M$27/5</f>
        <v>18.281366513972564</v>
      </c>
      <c r="O72" s="1138">
        <f>$M$27/5</f>
        <v>18.281366513972564</v>
      </c>
      <c r="Q72" s="1260"/>
      <c r="R72" s="691"/>
      <c r="S72" s="691"/>
      <c r="T72" s="691"/>
      <c r="U72" s="1261"/>
    </row>
    <row r="73" spans="2:21" s="825" customFormat="1" ht="13.5" hidden="1" customHeight="1" outlineLevel="1" x14ac:dyDescent="0.3">
      <c r="B73" s="1274" t="s">
        <v>3875</v>
      </c>
      <c r="C73" s="1252"/>
      <c r="D73" s="1137"/>
      <c r="E73" s="1137"/>
      <c r="F73" s="1137"/>
      <c r="G73" s="1137"/>
      <c r="H73" s="1137"/>
      <c r="I73" s="1137"/>
      <c r="J73" s="1137"/>
      <c r="K73" s="1137"/>
      <c r="L73" s="1137"/>
      <c r="M73" s="1137"/>
      <c r="N73" s="1137">
        <f>$N$27/5/2</f>
        <v>9.4649254030372418</v>
      </c>
      <c r="O73" s="1138">
        <f>$N$27/5</f>
        <v>18.929850806074484</v>
      </c>
      <c r="Q73" s="1260"/>
      <c r="R73" s="691"/>
      <c r="S73" s="691"/>
      <c r="T73" s="691"/>
      <c r="U73" s="1261"/>
    </row>
    <row r="74" spans="2:21" s="825" customFormat="1" ht="13.5" hidden="1" customHeight="1" outlineLevel="1" x14ac:dyDescent="0.3">
      <c r="B74" s="1274" t="s">
        <v>3876</v>
      </c>
      <c r="C74" s="1252"/>
      <c r="D74" s="1137"/>
      <c r="E74" s="1137"/>
      <c r="F74" s="1137"/>
      <c r="G74" s="1137"/>
      <c r="H74" s="1137"/>
      <c r="I74" s="1137"/>
      <c r="J74" s="1137"/>
      <c r="K74" s="1137"/>
      <c r="L74" s="1137"/>
      <c r="M74" s="1137"/>
      <c r="N74" s="1137"/>
      <c r="O74" s="1138">
        <f>$O$27/5/2</f>
        <v>9.8073343469170631</v>
      </c>
      <c r="Q74" s="1260"/>
      <c r="R74" s="691"/>
      <c r="S74" s="691"/>
      <c r="T74" s="691"/>
      <c r="U74" s="1261"/>
    </row>
    <row r="75" spans="2:21" s="825" customFormat="1" ht="13.5" customHeight="1" collapsed="1" x14ac:dyDescent="0.3">
      <c r="B75" s="1274" t="str">
        <f>B57</f>
        <v>집기비품</v>
      </c>
      <c r="C75" s="1252"/>
      <c r="D75" s="1137"/>
      <c r="E75" s="1137"/>
      <c r="F75" s="1137"/>
      <c r="G75" s="1137"/>
      <c r="H75" s="1137"/>
      <c r="I75" s="1137"/>
      <c r="J75" s="1137"/>
      <c r="K75" s="1137">
        <f>SUM(K76:K80)</f>
        <v>33.214344516303512</v>
      </c>
      <c r="L75" s="1137">
        <f t="shared" ref="L75" si="113">SUM(L76:L80)</f>
        <v>100.79163553044214</v>
      </c>
      <c r="M75" s="1137">
        <f t="shared" ref="M75" si="114">SUM(M76:M80)</f>
        <v>170.73758525406859</v>
      </c>
      <c r="N75" s="1137">
        <f t="shared" ref="N75" si="115">SUM(N76:N80)</f>
        <v>243.16580690384777</v>
      </c>
      <c r="O75" s="1138">
        <f t="shared" ref="O75" si="116">SUM(O76:O80)</f>
        <v>318.18917896159604</v>
      </c>
      <c r="Q75" s="1260"/>
      <c r="R75" s="691"/>
      <c r="S75" s="691"/>
      <c r="T75" s="691"/>
      <c r="U75" s="1261"/>
    </row>
    <row r="76" spans="2:21" s="825" customFormat="1" ht="13.5" hidden="1" customHeight="1" outlineLevel="1" x14ac:dyDescent="0.3">
      <c r="B76" s="1274" t="s">
        <v>3872</v>
      </c>
      <c r="C76" s="1252"/>
      <c r="D76" s="1137"/>
      <c r="E76" s="1137"/>
      <c r="F76" s="1137"/>
      <c r="G76" s="1137"/>
      <c r="H76" s="1137"/>
      <c r="I76" s="1137"/>
      <c r="J76" s="1137"/>
      <c r="K76" s="1137">
        <f>$K$29/5/2</f>
        <v>33.214344516303512</v>
      </c>
      <c r="L76" s="1137">
        <f>$K$29/5</f>
        <v>66.428689032607025</v>
      </c>
      <c r="M76" s="1137">
        <f>$K$29/5</f>
        <v>66.428689032607025</v>
      </c>
      <c r="N76" s="1137">
        <f>$K$29/5</f>
        <v>66.428689032607025</v>
      </c>
      <c r="O76" s="1138">
        <f>$K$29/5</f>
        <v>66.428689032607025</v>
      </c>
      <c r="Q76" s="1260"/>
      <c r="R76" s="691"/>
      <c r="S76" s="691"/>
      <c r="T76" s="691"/>
      <c r="U76" s="1261"/>
    </row>
    <row r="77" spans="2:21" s="825" customFormat="1" ht="13.5" hidden="1" customHeight="1" outlineLevel="1" x14ac:dyDescent="0.3">
      <c r="B77" s="1274" t="s">
        <v>3873</v>
      </c>
      <c r="C77" s="1252"/>
      <c r="D77" s="1137"/>
      <c r="E77" s="1137"/>
      <c r="F77" s="1137"/>
      <c r="G77" s="1137"/>
      <c r="H77" s="1137"/>
      <c r="I77" s="1137"/>
      <c r="J77" s="1137"/>
      <c r="K77" s="1137"/>
      <c r="L77" s="1137">
        <f>$L$29/5/2</f>
        <v>34.362946497835118</v>
      </c>
      <c r="M77" s="1137">
        <f>$L$29/5</f>
        <v>68.725892995670236</v>
      </c>
      <c r="N77" s="1137">
        <f>$L$29/5</f>
        <v>68.725892995670236</v>
      </c>
      <c r="O77" s="1138">
        <f>$L$29/5</f>
        <v>68.725892995670236</v>
      </c>
      <c r="Q77" s="1260"/>
      <c r="R77" s="691"/>
      <c r="S77" s="691"/>
      <c r="T77" s="691"/>
      <c r="U77" s="1261"/>
    </row>
    <row r="78" spans="2:21" s="825" customFormat="1" ht="13.5" hidden="1" customHeight="1" outlineLevel="1" x14ac:dyDescent="0.3">
      <c r="B78" s="1274" t="s">
        <v>3874</v>
      </c>
      <c r="C78" s="1252"/>
      <c r="D78" s="1137"/>
      <c r="E78" s="1137"/>
      <c r="F78" s="1137"/>
      <c r="G78" s="1137"/>
      <c r="H78" s="1137"/>
      <c r="I78" s="1137"/>
      <c r="J78" s="1137"/>
      <c r="K78" s="1137"/>
      <c r="L78" s="1137"/>
      <c r="M78" s="1137">
        <f>$M$29/5/2</f>
        <v>35.583003225791316</v>
      </c>
      <c r="N78" s="1137">
        <f>$M$29/5</f>
        <v>71.166006451582632</v>
      </c>
      <c r="O78" s="1138">
        <f>$M$29/5</f>
        <v>71.166006451582632</v>
      </c>
      <c r="Q78" s="1260"/>
      <c r="R78" s="691"/>
      <c r="S78" s="691"/>
      <c r="T78" s="691"/>
      <c r="U78" s="1261"/>
    </row>
    <row r="79" spans="2:21" s="825" customFormat="1" ht="13.5" hidden="1" customHeight="1" outlineLevel="1" x14ac:dyDescent="0.3">
      <c r="B79" s="1274" t="s">
        <v>3875</v>
      </c>
      <c r="C79" s="1252"/>
      <c r="D79" s="1137"/>
      <c r="E79" s="1137"/>
      <c r="F79" s="1137"/>
      <c r="G79" s="1137"/>
      <c r="H79" s="1137"/>
      <c r="I79" s="1137"/>
      <c r="J79" s="1137"/>
      <c r="K79" s="1137"/>
      <c r="L79" s="1137"/>
      <c r="M79" s="1137"/>
      <c r="N79" s="1137">
        <f>$N$29/5/2</f>
        <v>36.845218423987866</v>
      </c>
      <c r="O79" s="1138">
        <f>$N$29/5</f>
        <v>73.690436847975732</v>
      </c>
      <c r="Q79" s="1260"/>
      <c r="R79" s="691"/>
      <c r="S79" s="691"/>
      <c r="T79" s="691"/>
      <c r="U79" s="1261"/>
    </row>
    <row r="80" spans="2:21" s="825" customFormat="1" ht="13.5" hidden="1" customHeight="1" outlineLevel="1" x14ac:dyDescent="0.3">
      <c r="B80" s="1274" t="s">
        <v>3876</v>
      </c>
      <c r="C80" s="1252"/>
      <c r="D80" s="1137"/>
      <c r="E80" s="1137"/>
      <c r="F80" s="1137"/>
      <c r="G80" s="1137"/>
      <c r="H80" s="1137"/>
      <c r="I80" s="1137"/>
      <c r="J80" s="1137"/>
      <c r="K80" s="1137"/>
      <c r="L80" s="1137"/>
      <c r="M80" s="1137"/>
      <c r="N80" s="1137"/>
      <c r="O80" s="1138">
        <f>$O$29/5/2</f>
        <v>38.178153633760424</v>
      </c>
      <c r="Q80" s="1260"/>
      <c r="R80" s="691"/>
      <c r="S80" s="691"/>
      <c r="T80" s="691"/>
      <c r="U80" s="1261"/>
    </row>
    <row r="81" spans="2:21" s="825" customFormat="1" ht="13.5" customHeight="1" collapsed="1" x14ac:dyDescent="0.3">
      <c r="B81" s="1274" t="str">
        <f>B58</f>
        <v>시설장치</v>
      </c>
      <c r="C81" s="1252"/>
      <c r="D81" s="1137"/>
      <c r="E81" s="1137"/>
      <c r="F81" s="1137"/>
      <c r="G81" s="1137"/>
      <c r="H81" s="1137"/>
      <c r="I81" s="1137"/>
      <c r="J81" s="1137"/>
      <c r="K81" s="1137">
        <f>SUM(K82:K86)</f>
        <v>20.554011348007229</v>
      </c>
      <c r="L81" s="1137">
        <f t="shared" ref="L81" si="117">SUM(L82:L86)</f>
        <v>62.372822665822</v>
      </c>
      <c r="M81" s="1137">
        <f t="shared" ref="M81" si="118">SUM(M82:M86)</f>
        <v>105.65742952178056</v>
      </c>
      <c r="N81" s="1137">
        <f t="shared" ref="N81" si="119">SUM(N82:N86)</f>
        <v>150.47813910931461</v>
      </c>
      <c r="O81" s="1138">
        <f t="shared" ref="O81" si="120">SUM(O82:O86)</f>
        <v>196.90480394636444</v>
      </c>
      <c r="Q81" s="1260"/>
      <c r="R81" s="691"/>
      <c r="S81" s="691"/>
      <c r="T81" s="691"/>
      <c r="U81" s="1261"/>
    </row>
    <row r="82" spans="2:21" s="825" customFormat="1" ht="13.5" hidden="1" customHeight="1" outlineLevel="1" x14ac:dyDescent="0.3">
      <c r="B82" s="1274" t="s">
        <v>3872</v>
      </c>
      <c r="C82" s="1252"/>
      <c r="D82" s="1137"/>
      <c r="E82" s="1137"/>
      <c r="F82" s="1137"/>
      <c r="G82" s="1137"/>
      <c r="H82" s="1137"/>
      <c r="I82" s="1137"/>
      <c r="J82" s="1137"/>
      <c r="K82" s="1137">
        <f>$K$31/5/2</f>
        <v>20.554011348007229</v>
      </c>
      <c r="L82" s="1137">
        <f>$K$31/5</f>
        <v>41.108022696014459</v>
      </c>
      <c r="M82" s="1137">
        <f>$K$31/5</f>
        <v>41.108022696014459</v>
      </c>
      <c r="N82" s="1137">
        <f>$K$31/5</f>
        <v>41.108022696014459</v>
      </c>
      <c r="O82" s="1138">
        <f>$K$31/5</f>
        <v>41.108022696014459</v>
      </c>
      <c r="Q82" s="1260"/>
      <c r="R82" s="691"/>
      <c r="S82" s="691"/>
      <c r="T82" s="691"/>
      <c r="U82" s="1261"/>
    </row>
    <row r="83" spans="2:21" s="825" customFormat="1" ht="13.5" hidden="1" customHeight="1" outlineLevel="1" x14ac:dyDescent="0.3">
      <c r="B83" s="1274" t="s">
        <v>3873</v>
      </c>
      <c r="C83" s="1252"/>
      <c r="D83" s="1137"/>
      <c r="E83" s="1137"/>
      <c r="F83" s="1137"/>
      <c r="G83" s="1137"/>
      <c r="H83" s="1137"/>
      <c r="I83" s="1137"/>
      <c r="J83" s="1137"/>
      <c r="K83" s="1137"/>
      <c r="L83" s="1137">
        <f>$L$31/5/2</f>
        <v>21.264799969807541</v>
      </c>
      <c r="M83" s="1137">
        <f>$L$31/5</f>
        <v>42.529599939615082</v>
      </c>
      <c r="N83" s="1137">
        <f>$L$31/5</f>
        <v>42.529599939615082</v>
      </c>
      <c r="O83" s="1138">
        <f>$L$31/5</f>
        <v>42.529599939615082</v>
      </c>
      <c r="Q83" s="1260"/>
      <c r="R83" s="691"/>
      <c r="S83" s="691"/>
      <c r="T83" s="691"/>
      <c r="U83" s="1261"/>
    </row>
    <row r="84" spans="2:21" s="825" customFormat="1" ht="13.5" hidden="1" customHeight="1" outlineLevel="1" x14ac:dyDescent="0.3">
      <c r="B84" s="1274" t="s">
        <v>3874</v>
      </c>
      <c r="C84" s="1252"/>
      <c r="D84" s="1137"/>
      <c r="E84" s="1137"/>
      <c r="F84" s="1137"/>
      <c r="G84" s="1137"/>
      <c r="H84" s="1137"/>
      <c r="I84" s="1137"/>
      <c r="J84" s="1137"/>
      <c r="K84" s="1137"/>
      <c r="L84" s="1137"/>
      <c r="M84" s="1137">
        <f>$M$31/5/2</f>
        <v>22.019806886151024</v>
      </c>
      <c r="N84" s="1137">
        <f>$M$31/5</f>
        <v>44.039613772302047</v>
      </c>
      <c r="O84" s="1138">
        <f>$M$31/5</f>
        <v>44.039613772302047</v>
      </c>
      <c r="Q84" s="1260"/>
      <c r="R84" s="691"/>
      <c r="S84" s="691"/>
      <c r="T84" s="691"/>
      <c r="U84" s="1261"/>
    </row>
    <row r="85" spans="2:21" s="825" customFormat="1" ht="13.5" hidden="1" customHeight="1" outlineLevel="1" x14ac:dyDescent="0.3">
      <c r="B85" s="1274" t="s">
        <v>3875</v>
      </c>
      <c r="C85" s="1252"/>
      <c r="D85" s="1137"/>
      <c r="E85" s="1137"/>
      <c r="F85" s="1137"/>
      <c r="G85" s="1137"/>
      <c r="H85" s="1137"/>
      <c r="I85" s="1137"/>
      <c r="J85" s="1137"/>
      <c r="K85" s="1137"/>
      <c r="L85" s="1137"/>
      <c r="M85" s="1137"/>
      <c r="N85" s="1137">
        <f>$N$31/5/2</f>
        <v>22.800902701383034</v>
      </c>
      <c r="O85" s="1138">
        <f>$N$31/5</f>
        <v>45.601805402766068</v>
      </c>
      <c r="Q85" s="1260"/>
      <c r="R85" s="691"/>
      <c r="S85" s="691"/>
      <c r="T85" s="691"/>
      <c r="U85" s="1261"/>
    </row>
    <row r="86" spans="2:21" s="825" customFormat="1" ht="13.5" hidden="1" customHeight="1" outlineLevel="1" x14ac:dyDescent="0.3">
      <c r="B86" s="1274" t="s">
        <v>3876</v>
      </c>
      <c r="C86" s="1252"/>
      <c r="D86" s="1137"/>
      <c r="E86" s="1137"/>
      <c r="F86" s="1137"/>
      <c r="G86" s="1137"/>
      <c r="H86" s="1137"/>
      <c r="I86" s="1137"/>
      <c r="J86" s="1137"/>
      <c r="K86" s="1137"/>
      <c r="L86" s="1137"/>
      <c r="M86" s="1137"/>
      <c r="N86" s="1137"/>
      <c r="O86" s="1138">
        <f>$O$31/5/2</f>
        <v>23.625762135666783</v>
      </c>
      <c r="Q86" s="1260"/>
      <c r="R86" s="691"/>
      <c r="S86" s="691"/>
      <c r="T86" s="691"/>
      <c r="U86" s="1261"/>
    </row>
    <row r="87" spans="2:21" s="825" customFormat="1" ht="13.5" customHeight="1" collapsed="1" x14ac:dyDescent="0.3">
      <c r="B87" s="1274" t="str">
        <f>B59</f>
        <v>운용리스자산</v>
      </c>
      <c r="C87" s="1252"/>
      <c r="D87" s="1137"/>
      <c r="E87" s="1137"/>
      <c r="F87" s="1137"/>
      <c r="G87" s="1137"/>
      <c r="H87" s="1137"/>
      <c r="I87" s="1137"/>
      <c r="J87" s="1137"/>
      <c r="K87" s="1137">
        <f>SUM(K88:K92)</f>
        <v>7.3734107644953868</v>
      </c>
      <c r="L87" s="1137">
        <f t="shared" ref="L87" si="121">SUM(L88:L92)</f>
        <v>22.375215925952208</v>
      </c>
      <c r="M87" s="1137">
        <f t="shared" ref="M87" si="122">SUM(M88:M92)</f>
        <v>37.902850932323787</v>
      </c>
      <c r="N87" s="1137">
        <f t="shared" ref="N87" si="123">SUM(N88:N92)</f>
        <v>53.981537323488325</v>
      </c>
      <c r="O87" s="1138">
        <f t="shared" ref="O87" si="124">SUM(O88:O92)</f>
        <v>70.636333532030449</v>
      </c>
      <c r="Q87" s="1260"/>
      <c r="R87" s="691"/>
      <c r="S87" s="691"/>
      <c r="T87" s="691"/>
      <c r="U87" s="1261"/>
    </row>
    <row r="88" spans="2:21" s="825" customFormat="1" ht="13.5" hidden="1" customHeight="1" outlineLevel="1" x14ac:dyDescent="0.3">
      <c r="B88" s="1274" t="s">
        <v>3872</v>
      </c>
      <c r="C88" s="1252"/>
      <c r="D88" s="1137"/>
      <c r="E88" s="1137"/>
      <c r="F88" s="1137"/>
      <c r="G88" s="1137"/>
      <c r="H88" s="1137"/>
      <c r="I88" s="1137"/>
      <c r="J88" s="1137"/>
      <c r="K88" s="1137">
        <f>$K$33/5/2</f>
        <v>7.3734107644953868</v>
      </c>
      <c r="L88" s="1137">
        <f>$K$33/5</f>
        <v>14.746821528990774</v>
      </c>
      <c r="M88" s="1137">
        <f>$K$33/5</f>
        <v>14.746821528990774</v>
      </c>
      <c r="N88" s="1137">
        <f>$K$33/5</f>
        <v>14.746821528990774</v>
      </c>
      <c r="O88" s="1138">
        <f>$K$33/5</f>
        <v>14.746821528990774</v>
      </c>
      <c r="Q88" s="1260"/>
      <c r="R88" s="691"/>
      <c r="S88" s="691"/>
      <c r="T88" s="691"/>
      <c r="U88" s="1261"/>
    </row>
    <row r="89" spans="2:21" s="825" customFormat="1" ht="13.5" hidden="1" customHeight="1" outlineLevel="1" x14ac:dyDescent="0.3">
      <c r="B89" s="1274" t="s">
        <v>3873</v>
      </c>
      <c r="C89" s="1252"/>
      <c r="D89" s="1137"/>
      <c r="E89" s="1137"/>
      <c r="F89" s="1137"/>
      <c r="G89" s="1137"/>
      <c r="H89" s="1137"/>
      <c r="I89" s="1137"/>
      <c r="J89" s="1137"/>
      <c r="K89" s="1137"/>
      <c r="L89" s="1137">
        <f>$L$33/5/2</f>
        <v>7.6283943969614354</v>
      </c>
      <c r="M89" s="1137">
        <f>$L$33/5</f>
        <v>15.256788793922871</v>
      </c>
      <c r="N89" s="1137">
        <f>$L$33/5</f>
        <v>15.256788793922871</v>
      </c>
      <c r="O89" s="1138">
        <f>$L$33/5</f>
        <v>15.256788793922871</v>
      </c>
      <c r="Q89" s="1260"/>
      <c r="R89" s="691"/>
      <c r="S89" s="691"/>
      <c r="T89" s="691"/>
      <c r="U89" s="1261"/>
    </row>
    <row r="90" spans="2:21" s="825" customFormat="1" ht="13.5" hidden="1" customHeight="1" outlineLevel="1" x14ac:dyDescent="0.3">
      <c r="B90" s="1274" t="s">
        <v>3874</v>
      </c>
      <c r="C90" s="1252"/>
      <c r="D90" s="1137"/>
      <c r="E90" s="1137"/>
      <c r="F90" s="1137"/>
      <c r="G90" s="1137"/>
      <c r="H90" s="1137"/>
      <c r="I90" s="1137"/>
      <c r="J90" s="1137"/>
      <c r="K90" s="1137"/>
      <c r="L90" s="1137"/>
      <c r="M90" s="1137">
        <f>$M$33/5/2</f>
        <v>7.8992406094101426</v>
      </c>
      <c r="N90" s="1137">
        <f>$M$33/5</f>
        <v>15.798481218820285</v>
      </c>
      <c r="O90" s="1138">
        <f>$M$33/5</f>
        <v>15.798481218820285</v>
      </c>
      <c r="Q90" s="1260"/>
      <c r="R90" s="691"/>
      <c r="S90" s="691"/>
      <c r="T90" s="691"/>
      <c r="U90" s="1261"/>
    </row>
    <row r="91" spans="2:21" s="825" customFormat="1" ht="13.5" hidden="1" customHeight="1" outlineLevel="1" x14ac:dyDescent="0.3">
      <c r="B91" s="1274" t="s">
        <v>3875</v>
      </c>
      <c r="C91" s="1252"/>
      <c r="D91" s="1137"/>
      <c r="E91" s="1137"/>
      <c r="F91" s="1137"/>
      <c r="G91" s="1137"/>
      <c r="H91" s="1137"/>
      <c r="I91" s="1137"/>
      <c r="J91" s="1137"/>
      <c r="K91" s="1137"/>
      <c r="L91" s="1137"/>
      <c r="M91" s="1137"/>
      <c r="N91" s="1137">
        <f>$N$33/5/2</f>
        <v>8.1794457817543922</v>
      </c>
      <c r="O91" s="1138">
        <f>$N$33/5</f>
        <v>16.358891563508784</v>
      </c>
      <c r="Q91" s="1260"/>
      <c r="R91" s="691"/>
      <c r="S91" s="691"/>
      <c r="T91" s="691"/>
      <c r="U91" s="1261"/>
    </row>
    <row r="92" spans="2:21" s="825" customFormat="1" ht="13.5" hidden="1" customHeight="1" outlineLevel="1" x14ac:dyDescent="0.3">
      <c r="B92" s="1274" t="s">
        <v>3876</v>
      </c>
      <c r="C92" s="1252"/>
      <c r="D92" s="1137"/>
      <c r="E92" s="1137"/>
      <c r="F92" s="1137"/>
      <c r="G92" s="1137"/>
      <c r="H92" s="1137"/>
      <c r="I92" s="1137"/>
      <c r="J92" s="1137"/>
      <c r="K92" s="1137"/>
      <c r="L92" s="1137"/>
      <c r="M92" s="1137"/>
      <c r="N92" s="1137"/>
      <c r="O92" s="1138">
        <f>$O$33/5/2</f>
        <v>8.4753504267877329</v>
      </c>
      <c r="Q92" s="1260"/>
      <c r="R92" s="691"/>
      <c r="S92" s="691"/>
      <c r="T92" s="691"/>
      <c r="U92" s="1261"/>
    </row>
    <row r="93" spans="2:21" s="825" customFormat="1" ht="13.5" customHeight="1" collapsed="1" x14ac:dyDescent="0.3">
      <c r="B93" s="1274" t="str">
        <f>B60</f>
        <v>조형물</v>
      </c>
      <c r="C93" s="1252"/>
      <c r="D93" s="1137"/>
      <c r="E93" s="1137"/>
      <c r="F93" s="1137"/>
      <c r="G93" s="1137"/>
      <c r="H93" s="1137"/>
      <c r="I93" s="1137"/>
      <c r="J93" s="1137"/>
      <c r="K93" s="1137">
        <f>SUM(K94:K98)</f>
        <v>0</v>
      </c>
      <c r="L93" s="1137">
        <f t="shared" ref="L93" si="125">SUM(L94:L98)</f>
        <v>0</v>
      </c>
      <c r="M93" s="1137">
        <f t="shared" ref="M93" si="126">SUM(M94:M98)</f>
        <v>0</v>
      </c>
      <c r="N93" s="1137">
        <f t="shared" ref="N93" si="127">SUM(N94:N98)</f>
        <v>0</v>
      </c>
      <c r="O93" s="1138">
        <f t="shared" ref="O93" si="128">SUM(O94:O98)</f>
        <v>0</v>
      </c>
      <c r="Q93" s="1260"/>
      <c r="R93" s="691"/>
      <c r="S93" s="691"/>
      <c r="T93" s="691"/>
      <c r="U93" s="1261"/>
    </row>
    <row r="94" spans="2:21" s="825" customFormat="1" ht="13.5" hidden="1" customHeight="1" outlineLevel="1" x14ac:dyDescent="0.3">
      <c r="B94" s="1274" t="s">
        <v>3872</v>
      </c>
      <c r="C94" s="1252"/>
      <c r="D94" s="1137"/>
      <c r="E94" s="1137"/>
      <c r="F94" s="1137"/>
      <c r="G94" s="1137"/>
      <c r="H94" s="1137"/>
      <c r="I94" s="1137"/>
      <c r="J94" s="1137"/>
      <c r="K94" s="1137">
        <f>$K$35/5/2</f>
        <v>0</v>
      </c>
      <c r="L94" s="1137">
        <f>$K$35/5</f>
        <v>0</v>
      </c>
      <c r="M94" s="1137">
        <f>$K$35/5</f>
        <v>0</v>
      </c>
      <c r="N94" s="1137">
        <f>$K$35/5</f>
        <v>0</v>
      </c>
      <c r="O94" s="1138">
        <f>$K$35/5</f>
        <v>0</v>
      </c>
      <c r="Q94" s="1260"/>
      <c r="R94" s="691"/>
      <c r="S94" s="691"/>
      <c r="T94" s="691"/>
      <c r="U94" s="1261"/>
    </row>
    <row r="95" spans="2:21" s="825" customFormat="1" ht="13.5" hidden="1" customHeight="1" outlineLevel="1" x14ac:dyDescent="0.3">
      <c r="B95" s="1274" t="s">
        <v>3873</v>
      </c>
      <c r="C95" s="1252"/>
      <c r="D95" s="1137"/>
      <c r="E95" s="1137"/>
      <c r="F95" s="1137"/>
      <c r="G95" s="1137"/>
      <c r="H95" s="1137"/>
      <c r="I95" s="1137"/>
      <c r="J95" s="1137"/>
      <c r="K95" s="1137"/>
      <c r="L95" s="1137">
        <f>$L$35/5/2</f>
        <v>0</v>
      </c>
      <c r="M95" s="1137">
        <f>$L$35/5</f>
        <v>0</v>
      </c>
      <c r="N95" s="1137">
        <f>$L$35/5</f>
        <v>0</v>
      </c>
      <c r="O95" s="1138">
        <f>$L$35/5</f>
        <v>0</v>
      </c>
      <c r="Q95" s="1260"/>
      <c r="R95" s="691"/>
      <c r="S95" s="691"/>
      <c r="T95" s="691"/>
      <c r="U95" s="1261"/>
    </row>
    <row r="96" spans="2:21" s="825" customFormat="1" ht="13.5" hidden="1" customHeight="1" outlineLevel="1" x14ac:dyDescent="0.3">
      <c r="B96" s="1274" t="s">
        <v>3874</v>
      </c>
      <c r="C96" s="1252"/>
      <c r="D96" s="1137"/>
      <c r="E96" s="1137"/>
      <c r="F96" s="1137"/>
      <c r="G96" s="1137"/>
      <c r="H96" s="1137"/>
      <c r="I96" s="1137"/>
      <c r="J96" s="1137"/>
      <c r="K96" s="1137"/>
      <c r="L96" s="1137"/>
      <c r="M96" s="1137">
        <f>$M$35/5/2</f>
        <v>0</v>
      </c>
      <c r="N96" s="1137">
        <f>$M$35/5</f>
        <v>0</v>
      </c>
      <c r="O96" s="1138">
        <f>$M$35/5</f>
        <v>0</v>
      </c>
      <c r="Q96" s="1260"/>
      <c r="R96" s="691"/>
      <c r="S96" s="691"/>
      <c r="T96" s="691"/>
      <c r="U96" s="1261"/>
    </row>
    <row r="97" spans="2:21" s="825" customFormat="1" ht="13.5" hidden="1" customHeight="1" outlineLevel="1" x14ac:dyDescent="0.3">
      <c r="B97" s="1274" t="s">
        <v>3875</v>
      </c>
      <c r="C97" s="1252"/>
      <c r="D97" s="1137"/>
      <c r="E97" s="1137"/>
      <c r="F97" s="1137"/>
      <c r="G97" s="1137"/>
      <c r="H97" s="1137"/>
      <c r="I97" s="1137"/>
      <c r="J97" s="1137"/>
      <c r="K97" s="1137"/>
      <c r="L97" s="1137"/>
      <c r="M97" s="1137"/>
      <c r="N97" s="1137">
        <f>$N$35/5/2</f>
        <v>0</v>
      </c>
      <c r="O97" s="1138">
        <f>$N$35/5</f>
        <v>0</v>
      </c>
      <c r="Q97" s="1260"/>
      <c r="R97" s="691"/>
      <c r="S97" s="691"/>
      <c r="T97" s="691"/>
      <c r="U97" s="1261"/>
    </row>
    <row r="98" spans="2:21" s="825" customFormat="1" ht="13.5" hidden="1" customHeight="1" outlineLevel="1" x14ac:dyDescent="0.3">
      <c r="B98" s="1274" t="s">
        <v>3876</v>
      </c>
      <c r="C98" s="1252"/>
      <c r="D98" s="1137"/>
      <c r="E98" s="1137"/>
      <c r="F98" s="1137"/>
      <c r="G98" s="1137"/>
      <c r="H98" s="1137"/>
      <c r="I98" s="1137"/>
      <c r="J98" s="1137"/>
      <c r="K98" s="1137"/>
      <c r="L98" s="1137"/>
      <c r="M98" s="1137"/>
      <c r="N98" s="1137"/>
      <c r="O98" s="1138">
        <f>$O$35/5/2</f>
        <v>0</v>
      </c>
      <c r="Q98" s="1260"/>
      <c r="R98" s="691"/>
      <c r="S98" s="691"/>
      <c r="T98" s="691"/>
      <c r="U98" s="1261"/>
    </row>
    <row r="99" spans="2:21" s="825" customFormat="1" ht="13.5" customHeight="1" collapsed="1" x14ac:dyDescent="0.3">
      <c r="B99" s="1272" t="s">
        <v>2154</v>
      </c>
      <c r="C99" s="1252">
        <f>C100+C104</f>
        <v>447.38499999999999</v>
      </c>
      <c r="D99" s="1137">
        <f t="shared" ref="D99:N99" si="129">D100+D104</f>
        <v>277.98900000000003</v>
      </c>
      <c r="E99" s="1137">
        <f t="shared" si="129"/>
        <v>99.174000000000007</v>
      </c>
      <c r="F99" s="1137">
        <f t="shared" si="129"/>
        <v>99.132000000000005</v>
      </c>
      <c r="G99" s="1137">
        <f t="shared" si="129"/>
        <v>95.23599999999999</v>
      </c>
      <c r="H99" s="1137">
        <f t="shared" si="129"/>
        <v>62.494038000000003</v>
      </c>
      <c r="I99" s="1137">
        <f t="shared" ca="1" si="129"/>
        <v>4.6837907291666667</v>
      </c>
      <c r="J99" s="1137">
        <f t="shared" ca="1" si="129"/>
        <v>65.231278729166661</v>
      </c>
      <c r="K99" s="1137">
        <f t="shared" ca="1" si="129"/>
        <v>30.832478129269383</v>
      </c>
      <c r="L99" s="1137">
        <f t="shared" ca="1" si="129"/>
        <v>38.0674395456657</v>
      </c>
      <c r="M99" s="1137">
        <f t="shared" ca="1" si="129"/>
        <v>55.286311348464402</v>
      </c>
      <c r="N99" s="1137">
        <f t="shared" ca="1" si="129"/>
        <v>66.80082676379071</v>
      </c>
      <c r="O99" s="1138">
        <f t="shared" ref="O99" ca="1" si="130">O100+O104</f>
        <v>77.218460256171781</v>
      </c>
      <c r="Q99" s="1260"/>
      <c r="R99" s="691"/>
      <c r="S99" s="691"/>
      <c r="T99" s="691"/>
      <c r="U99" s="1261"/>
    </row>
    <row r="100" spans="2:21" s="825" customFormat="1" ht="13.5" customHeight="1" x14ac:dyDescent="0.3">
      <c r="B100" s="1275" t="s">
        <v>2155</v>
      </c>
      <c r="C100" s="1252">
        <f>SUM(C101:C103)</f>
        <v>447.38499999999999</v>
      </c>
      <c r="D100" s="1137">
        <f t="shared" ref="D100:N100" si="131">SUM(D101:D103)</f>
        <v>277.98900000000003</v>
      </c>
      <c r="E100" s="1137">
        <f t="shared" si="131"/>
        <v>99.174000000000007</v>
      </c>
      <c r="F100" s="1137">
        <f t="shared" si="131"/>
        <v>99.132000000000005</v>
      </c>
      <c r="G100" s="1137">
        <f t="shared" si="131"/>
        <v>95.23599999999999</v>
      </c>
      <c r="H100" s="1137">
        <f t="shared" si="131"/>
        <v>62.494038000000003</v>
      </c>
      <c r="I100" s="1137">
        <f t="shared" ca="1" si="131"/>
        <v>4.6837907291666667</v>
      </c>
      <c r="J100" s="1137">
        <f t="shared" ca="1" si="131"/>
        <v>65.231278729166661</v>
      </c>
      <c r="K100" s="1137">
        <f t="shared" ca="1" si="131"/>
        <v>21.832407083333337</v>
      </c>
      <c r="L100" s="1137">
        <f t="shared" ca="1" si="131"/>
        <v>10.755990416666668</v>
      </c>
      <c r="M100" s="1137">
        <f t="shared" ca="1" si="131"/>
        <v>9.0216501041666657</v>
      </c>
      <c r="N100" s="1137">
        <f t="shared" ca="1" si="131"/>
        <v>0.91033366666666649</v>
      </c>
      <c r="O100" s="1138">
        <f t="shared" ref="O100" ca="1" si="132">SUM(O101:O103)</f>
        <v>0</v>
      </c>
      <c r="Q100" s="1260"/>
      <c r="R100" s="691"/>
      <c r="S100" s="691"/>
      <c r="T100" s="691"/>
      <c r="U100" s="1261"/>
    </row>
    <row r="101" spans="2:21" s="825" customFormat="1" ht="13.5" customHeight="1" x14ac:dyDescent="0.3">
      <c r="B101" s="1274" t="s">
        <v>2157</v>
      </c>
      <c r="C101" s="1252">
        <f>-CAPEX_주석사항!AM36/1000</f>
        <v>402.30399999999997</v>
      </c>
      <c r="D101" s="1137">
        <f>-CAPEX_주석사항!AE36/1000</f>
        <v>201.15299999999999</v>
      </c>
      <c r="E101" s="1137"/>
      <c r="F101" s="1137"/>
      <c r="G101" s="1137"/>
      <c r="H101" s="1137"/>
      <c r="I101" s="1137"/>
      <c r="J101" s="1137"/>
      <c r="K101" s="1137"/>
      <c r="L101" s="1137"/>
      <c r="M101" s="1137"/>
      <c r="N101" s="1137"/>
      <c r="O101" s="1138"/>
      <c r="Q101" s="1260"/>
      <c r="R101" s="691"/>
      <c r="S101" s="691"/>
      <c r="T101" s="691"/>
      <c r="U101" s="1261"/>
    </row>
    <row r="102" spans="2:21" s="825" customFormat="1" ht="13.5" customHeight="1" x14ac:dyDescent="0.3">
      <c r="B102" s="1274" t="s">
        <v>2069</v>
      </c>
      <c r="C102" s="1252">
        <f>-CAPEX_주석사항!AM37/1000</f>
        <v>0.16600000000000001</v>
      </c>
      <c r="D102" s="1137">
        <f>-CAPEX_주석사항!AE37/1000</f>
        <v>0.50800000000000001</v>
      </c>
      <c r="E102" s="1137">
        <f>-CAPEX_주석사항!W36/1000</f>
        <v>0.50700000000000001</v>
      </c>
      <c r="F102" s="1137">
        <f>-CAPEX_주석사항!O36/1000</f>
        <v>0.40899999999999997</v>
      </c>
      <c r="G102" s="1137">
        <f>-CAPEX_주석사항!F36/1000</f>
        <v>0.41</v>
      </c>
      <c r="H102" s="1137">
        <f>'기존(정액)'!Q6/1000000</f>
        <v>1.94655</v>
      </c>
      <c r="I102" s="1137"/>
      <c r="J102" s="1137"/>
      <c r="K102" s="1137"/>
      <c r="L102" s="1137"/>
      <c r="M102" s="1137"/>
      <c r="N102" s="1137"/>
      <c r="O102" s="1138"/>
      <c r="Q102" s="1260"/>
      <c r="R102" s="691"/>
      <c r="S102" s="691"/>
      <c r="T102" s="691"/>
      <c r="U102" s="1261"/>
    </row>
    <row r="103" spans="2:21" s="825" customFormat="1" ht="13.5" customHeight="1" x14ac:dyDescent="0.3">
      <c r="B103" s="1274" t="s">
        <v>2105</v>
      </c>
      <c r="C103" s="1252">
        <f>-CAPEX_주석사항!AM38/1000</f>
        <v>44.914999999999999</v>
      </c>
      <c r="D103" s="1137">
        <f>-CAPEX_주석사항!AE38/1000</f>
        <v>76.328000000000003</v>
      </c>
      <c r="E103" s="1137">
        <f>-CAPEX_주석사항!W37/1000</f>
        <v>98.667000000000002</v>
      </c>
      <c r="F103" s="1137">
        <f>-CAPEX_주석사항!O37/1000</f>
        <v>98.722999999999999</v>
      </c>
      <c r="G103" s="1137">
        <f>-CAPEX_주석사항!F37/1000</f>
        <v>94.825999999999993</v>
      </c>
      <c r="H103" s="1137">
        <f>'기존(정액)'!Q7/1000000</f>
        <v>60.547488000000001</v>
      </c>
      <c r="I103" s="1137">
        <f ca="1">'기존(정액)'!U7/10^6</f>
        <v>4.6837907291666667</v>
      </c>
      <c r="J103" s="1137">
        <f t="shared" ref="J103" ca="1" si="133">H103+I103</f>
        <v>65.231278729166661</v>
      </c>
      <c r="K103" s="1137">
        <f ca="1">'기존(정액)'!W7/10^6</f>
        <v>21.832407083333337</v>
      </c>
      <c r="L103" s="1137">
        <f ca="1">'기존(정액)'!X7/10^6</f>
        <v>10.755990416666668</v>
      </c>
      <c r="M103" s="1137">
        <f ca="1">'기존(정액)'!Y7/10^6</f>
        <v>9.0216501041666657</v>
      </c>
      <c r="N103" s="1137">
        <f ca="1">'기존(정액)'!Z7/10^6</f>
        <v>0.91033366666666649</v>
      </c>
      <c r="O103" s="1138">
        <f ca="1">'기존(정액)'!AA7/10^6</f>
        <v>0</v>
      </c>
      <c r="Q103" s="1260"/>
      <c r="R103" s="691"/>
      <c r="S103" s="691"/>
      <c r="T103" s="691"/>
      <c r="U103" s="1261"/>
    </row>
    <row r="104" spans="2:21" s="825" customFormat="1" ht="13.5" customHeight="1" x14ac:dyDescent="0.3">
      <c r="B104" s="1275" t="s">
        <v>2156</v>
      </c>
      <c r="C104" s="1252">
        <f>SUM(C105,C111,C117)</f>
        <v>0</v>
      </c>
      <c r="D104" s="1137">
        <f t="shared" ref="D104:O104" si="134">SUM(D105,D111,D117)</f>
        <v>0</v>
      </c>
      <c r="E104" s="1137">
        <f t="shared" si="134"/>
        <v>0</v>
      </c>
      <c r="F104" s="1137">
        <f t="shared" si="134"/>
        <v>0</v>
      </c>
      <c r="G104" s="1137">
        <f t="shared" si="134"/>
        <v>0</v>
      </c>
      <c r="H104" s="1137">
        <f t="shared" si="134"/>
        <v>0</v>
      </c>
      <c r="I104" s="1137">
        <f t="shared" si="134"/>
        <v>0</v>
      </c>
      <c r="J104" s="1137">
        <f t="shared" si="134"/>
        <v>0</v>
      </c>
      <c r="K104" s="1137">
        <f t="shared" si="134"/>
        <v>9.000071045936048</v>
      </c>
      <c r="L104" s="1137">
        <f t="shared" si="134"/>
        <v>27.31144912899903</v>
      </c>
      <c r="M104" s="1137">
        <f t="shared" si="134"/>
        <v>46.264661244297734</v>
      </c>
      <c r="N104" s="1137">
        <f t="shared" si="134"/>
        <v>65.890493097124036</v>
      </c>
      <c r="O104" s="1138">
        <f t="shared" si="134"/>
        <v>77.218460256171781</v>
      </c>
      <c r="Q104" s="1260"/>
      <c r="R104" s="691"/>
      <c r="S104" s="691"/>
      <c r="T104" s="691"/>
      <c r="U104" s="1261"/>
    </row>
    <row r="105" spans="2:21" s="825" customFormat="1" ht="13.5" customHeight="1" x14ac:dyDescent="0.3">
      <c r="B105" s="1274" t="str">
        <f>B101</f>
        <v>영업권</v>
      </c>
      <c r="C105" s="1252"/>
      <c r="D105" s="1137"/>
      <c r="E105" s="1137"/>
      <c r="F105" s="1137"/>
      <c r="G105" s="1137"/>
      <c r="H105" s="1137"/>
      <c r="I105" s="1137"/>
      <c r="J105" s="1137"/>
      <c r="K105" s="1137">
        <f>SUM(K106:K110)</f>
        <v>0</v>
      </c>
      <c r="L105" s="1137">
        <f t="shared" ref="L105" si="135">SUM(L106:L110)</f>
        <v>0</v>
      </c>
      <c r="M105" s="1137">
        <f t="shared" ref="M105" si="136">SUM(M106:M110)</f>
        <v>0</v>
      </c>
      <c r="N105" s="1137">
        <f t="shared" ref="N105" si="137">SUM(N106:N110)</f>
        <v>0</v>
      </c>
      <c r="O105" s="1138">
        <f t="shared" ref="O105" si="138">SUM(O106:O110)</f>
        <v>0</v>
      </c>
      <c r="Q105" s="1260"/>
      <c r="R105" s="691"/>
      <c r="S105" s="691"/>
      <c r="T105" s="691"/>
      <c r="U105" s="1261"/>
    </row>
    <row r="106" spans="2:21" s="825" customFormat="1" ht="13.5" hidden="1" customHeight="1" outlineLevel="1" x14ac:dyDescent="0.3">
      <c r="B106" s="1274" t="s">
        <v>3872</v>
      </c>
      <c r="C106" s="1252"/>
      <c r="D106" s="1137"/>
      <c r="E106" s="1137"/>
      <c r="F106" s="1137"/>
      <c r="G106" s="1137"/>
      <c r="H106" s="1137"/>
      <c r="I106" s="1137"/>
      <c r="J106" s="1137"/>
      <c r="K106" s="1137">
        <f>$K$41/5/2</f>
        <v>0</v>
      </c>
      <c r="L106" s="1137">
        <f>$K$41/5</f>
        <v>0</v>
      </c>
      <c r="M106" s="1137">
        <f>$K$41/5</f>
        <v>0</v>
      </c>
      <c r="N106" s="1137">
        <f>$K$41/5</f>
        <v>0</v>
      </c>
      <c r="O106" s="1138">
        <f>$K$41/5</f>
        <v>0</v>
      </c>
      <c r="Q106" s="1260"/>
      <c r="R106" s="691"/>
      <c r="S106" s="691"/>
      <c r="T106" s="691"/>
      <c r="U106" s="1261"/>
    </row>
    <row r="107" spans="2:21" s="825" customFormat="1" ht="13.5" hidden="1" customHeight="1" outlineLevel="1" x14ac:dyDescent="0.3">
      <c r="B107" s="1274" t="s">
        <v>3873</v>
      </c>
      <c r="C107" s="1252"/>
      <c r="D107" s="1137"/>
      <c r="E107" s="1137"/>
      <c r="F107" s="1137"/>
      <c r="G107" s="1137"/>
      <c r="H107" s="1137"/>
      <c r="I107" s="1137"/>
      <c r="J107" s="1137"/>
      <c r="K107" s="1137"/>
      <c r="L107" s="1137">
        <f>$L$41/5/2</f>
        <v>0</v>
      </c>
      <c r="M107" s="1137">
        <f>$L$41/5</f>
        <v>0</v>
      </c>
      <c r="N107" s="1137">
        <f>$L$41/5</f>
        <v>0</v>
      </c>
      <c r="O107" s="1138">
        <f>$L$41/5</f>
        <v>0</v>
      </c>
      <c r="Q107" s="1260"/>
      <c r="R107" s="691"/>
      <c r="S107" s="691"/>
      <c r="T107" s="691"/>
      <c r="U107" s="1261"/>
    </row>
    <row r="108" spans="2:21" s="825" customFormat="1" ht="13.5" hidden="1" customHeight="1" outlineLevel="1" x14ac:dyDescent="0.3">
      <c r="B108" s="1274" t="s">
        <v>3874</v>
      </c>
      <c r="C108" s="1252"/>
      <c r="D108" s="1137"/>
      <c r="E108" s="1137"/>
      <c r="F108" s="1137"/>
      <c r="G108" s="1137"/>
      <c r="H108" s="1137"/>
      <c r="I108" s="1137"/>
      <c r="J108" s="1137"/>
      <c r="K108" s="1137"/>
      <c r="L108" s="1137"/>
      <c r="M108" s="1137">
        <f>$M$41/5/2</f>
        <v>0</v>
      </c>
      <c r="N108" s="1137">
        <f>$M$41/5</f>
        <v>0</v>
      </c>
      <c r="O108" s="1138">
        <f>$M$41/5</f>
        <v>0</v>
      </c>
      <c r="Q108" s="1260"/>
      <c r="R108" s="691"/>
      <c r="S108" s="691"/>
      <c r="T108" s="691"/>
      <c r="U108" s="1261"/>
    </row>
    <row r="109" spans="2:21" s="825" customFormat="1" ht="13.5" hidden="1" customHeight="1" outlineLevel="1" x14ac:dyDescent="0.3">
      <c r="B109" s="1274" t="s">
        <v>3875</v>
      </c>
      <c r="C109" s="1252"/>
      <c r="D109" s="1137"/>
      <c r="E109" s="1137"/>
      <c r="F109" s="1137"/>
      <c r="G109" s="1137"/>
      <c r="H109" s="1137"/>
      <c r="I109" s="1137"/>
      <c r="J109" s="1137"/>
      <c r="K109" s="1137"/>
      <c r="L109" s="1137"/>
      <c r="M109" s="1137"/>
      <c r="N109" s="1137">
        <f>$N$41/5/2</f>
        <v>0</v>
      </c>
      <c r="O109" s="1138">
        <f>$N$41/5</f>
        <v>0</v>
      </c>
      <c r="Q109" s="1260"/>
      <c r="R109" s="691"/>
      <c r="S109" s="691"/>
      <c r="T109" s="691"/>
      <c r="U109" s="1261"/>
    </row>
    <row r="110" spans="2:21" s="825" customFormat="1" ht="13.5" hidden="1" customHeight="1" outlineLevel="1" x14ac:dyDescent="0.3">
      <c r="B110" s="1274" t="s">
        <v>3876</v>
      </c>
      <c r="C110" s="1252"/>
      <c r="D110" s="1137"/>
      <c r="E110" s="1137"/>
      <c r="F110" s="1137"/>
      <c r="G110" s="1137"/>
      <c r="H110" s="1137"/>
      <c r="I110" s="1137"/>
      <c r="J110" s="1137"/>
      <c r="K110" s="1137"/>
      <c r="L110" s="1137"/>
      <c r="M110" s="1137"/>
      <c r="N110" s="1137"/>
      <c r="O110" s="1138">
        <f>$O$41/5/2</f>
        <v>0</v>
      </c>
      <c r="Q110" s="1260"/>
      <c r="R110" s="691"/>
      <c r="S110" s="691"/>
      <c r="T110" s="691"/>
      <c r="U110" s="1261"/>
    </row>
    <row r="111" spans="2:21" s="825" customFormat="1" ht="13.5" customHeight="1" collapsed="1" x14ac:dyDescent="0.3">
      <c r="B111" s="1274" t="str">
        <f>B102</f>
        <v>산업재산권</v>
      </c>
      <c r="C111" s="1252"/>
      <c r="D111" s="1137"/>
      <c r="E111" s="1137"/>
      <c r="F111" s="1137"/>
      <c r="G111" s="1137"/>
      <c r="H111" s="1137"/>
      <c r="I111" s="1137"/>
      <c r="J111" s="1137"/>
      <c r="K111" s="1137">
        <f>SUM(K112:K116)</f>
        <v>0</v>
      </c>
      <c r="L111" s="1137">
        <f t="shared" ref="L111" si="139">SUM(L112:L116)</f>
        <v>0</v>
      </c>
      <c r="M111" s="1137">
        <f t="shared" ref="M111" si="140">SUM(M112:M116)</f>
        <v>0</v>
      </c>
      <c r="N111" s="1137">
        <f t="shared" ref="N111" si="141">SUM(N112:N116)</f>
        <v>0</v>
      </c>
      <c r="O111" s="1138">
        <f t="shared" ref="O111" si="142">SUM(O112:O116)</f>
        <v>0</v>
      </c>
      <c r="Q111" s="1260"/>
      <c r="R111" s="691"/>
      <c r="S111" s="691"/>
      <c r="T111" s="691"/>
      <c r="U111" s="1261"/>
    </row>
    <row r="112" spans="2:21" s="825" customFormat="1" ht="13.5" hidden="1" customHeight="1" outlineLevel="1" x14ac:dyDescent="0.3">
      <c r="B112" s="1274" t="s">
        <v>3872</v>
      </c>
      <c r="C112" s="1252"/>
      <c r="D112" s="1137"/>
      <c r="E112" s="1137"/>
      <c r="F112" s="1137"/>
      <c r="G112" s="1137"/>
      <c r="H112" s="1137"/>
      <c r="I112" s="1137"/>
      <c r="J112" s="1137"/>
      <c r="K112" s="1137">
        <f>$K$43/5/2</f>
        <v>0</v>
      </c>
      <c r="L112" s="1137">
        <f>$K$43/5</f>
        <v>0</v>
      </c>
      <c r="M112" s="1137">
        <f>$K$43/5</f>
        <v>0</v>
      </c>
      <c r="N112" s="1137">
        <f>$K$43/5</f>
        <v>0</v>
      </c>
      <c r="O112" s="1138">
        <f>$K$43/5</f>
        <v>0</v>
      </c>
      <c r="Q112" s="1260"/>
      <c r="R112" s="691"/>
      <c r="S112" s="691"/>
      <c r="T112" s="691"/>
      <c r="U112" s="1261"/>
    </row>
    <row r="113" spans="2:21" s="825" customFormat="1" ht="13.5" hidden="1" customHeight="1" outlineLevel="1" x14ac:dyDescent="0.3">
      <c r="B113" s="1274" t="s">
        <v>3873</v>
      </c>
      <c r="C113" s="1252"/>
      <c r="D113" s="1137"/>
      <c r="E113" s="1137"/>
      <c r="F113" s="1137"/>
      <c r="G113" s="1137"/>
      <c r="H113" s="1137"/>
      <c r="I113" s="1137"/>
      <c r="J113" s="1137"/>
      <c r="K113" s="1137"/>
      <c r="L113" s="1137">
        <f>$L$43/5/2</f>
        <v>0</v>
      </c>
      <c r="M113" s="1137">
        <f>$L$43/5</f>
        <v>0</v>
      </c>
      <c r="N113" s="1137">
        <f>$L$43/5</f>
        <v>0</v>
      </c>
      <c r="O113" s="1138">
        <f>$L$43/5</f>
        <v>0</v>
      </c>
      <c r="Q113" s="1260"/>
      <c r="R113" s="691"/>
      <c r="S113" s="691"/>
      <c r="T113" s="691"/>
      <c r="U113" s="1261"/>
    </row>
    <row r="114" spans="2:21" s="825" customFormat="1" ht="13.5" hidden="1" customHeight="1" outlineLevel="1" x14ac:dyDescent="0.3">
      <c r="B114" s="1274" t="s">
        <v>3874</v>
      </c>
      <c r="C114" s="1252"/>
      <c r="D114" s="1137"/>
      <c r="E114" s="1137"/>
      <c r="F114" s="1137"/>
      <c r="G114" s="1137"/>
      <c r="H114" s="1137"/>
      <c r="I114" s="1137"/>
      <c r="J114" s="1137"/>
      <c r="K114" s="1137"/>
      <c r="L114" s="1137"/>
      <c r="M114" s="1137">
        <f>$M$43/5/2</f>
        <v>0</v>
      </c>
      <c r="N114" s="1137">
        <f>$M$43/5</f>
        <v>0</v>
      </c>
      <c r="O114" s="1138">
        <f>$M$43/5</f>
        <v>0</v>
      </c>
      <c r="Q114" s="1260"/>
      <c r="R114" s="691"/>
      <c r="S114" s="691"/>
      <c r="T114" s="691"/>
      <c r="U114" s="1261"/>
    </row>
    <row r="115" spans="2:21" s="825" customFormat="1" ht="13.5" hidden="1" customHeight="1" outlineLevel="1" x14ac:dyDescent="0.3">
      <c r="B115" s="1274" t="s">
        <v>3875</v>
      </c>
      <c r="C115" s="1252"/>
      <c r="D115" s="1137"/>
      <c r="E115" s="1137"/>
      <c r="F115" s="1137"/>
      <c r="G115" s="1137"/>
      <c r="H115" s="1137"/>
      <c r="I115" s="1137"/>
      <c r="J115" s="1137"/>
      <c r="K115" s="1137"/>
      <c r="L115" s="1137"/>
      <c r="M115" s="1137"/>
      <c r="N115" s="1137">
        <f>$N$43/5/2</f>
        <v>0</v>
      </c>
      <c r="O115" s="1138">
        <f>$N$43/5</f>
        <v>0</v>
      </c>
      <c r="Q115" s="1260"/>
      <c r="R115" s="691"/>
      <c r="S115" s="691"/>
      <c r="T115" s="691"/>
      <c r="U115" s="1261"/>
    </row>
    <row r="116" spans="2:21" s="825" customFormat="1" ht="13.5" hidden="1" customHeight="1" outlineLevel="1" x14ac:dyDescent="0.3">
      <c r="B116" s="1274" t="s">
        <v>3876</v>
      </c>
      <c r="C116" s="1252"/>
      <c r="D116" s="1137"/>
      <c r="E116" s="1137"/>
      <c r="F116" s="1137"/>
      <c r="G116" s="1137"/>
      <c r="H116" s="1137"/>
      <c r="I116" s="1137"/>
      <c r="J116" s="1137"/>
      <c r="K116" s="1137"/>
      <c r="L116" s="1137"/>
      <c r="M116" s="1137"/>
      <c r="N116" s="1137"/>
      <c r="O116" s="1138">
        <f>$O$43/5/2</f>
        <v>0</v>
      </c>
      <c r="Q116" s="1260"/>
      <c r="R116" s="691"/>
      <c r="S116" s="691"/>
      <c r="T116" s="691"/>
      <c r="U116" s="1261"/>
    </row>
    <row r="117" spans="2:21" s="825" customFormat="1" ht="13.5" customHeight="1" collapsed="1" x14ac:dyDescent="0.3">
      <c r="B117" s="1274" t="str">
        <f>B103</f>
        <v>소프트웨어</v>
      </c>
      <c r="C117" s="1252"/>
      <c r="D117" s="1137"/>
      <c r="E117" s="1137"/>
      <c r="F117" s="1137"/>
      <c r="G117" s="1137"/>
      <c r="H117" s="1137"/>
      <c r="I117" s="1137"/>
      <c r="J117" s="1137"/>
      <c r="K117" s="1137">
        <f>SUM(K118:K122)</f>
        <v>9.000071045936048</v>
      </c>
      <c r="L117" s="1137">
        <f t="shared" ref="L117" si="143">SUM(L118:L122)</f>
        <v>27.31144912899903</v>
      </c>
      <c r="M117" s="1137">
        <f t="shared" ref="M117" si="144">SUM(M118:M122)</f>
        <v>46.264661244297734</v>
      </c>
      <c r="N117" s="1137">
        <f t="shared" ref="N117" si="145">SUM(N118:N122)</f>
        <v>65.890493097124036</v>
      </c>
      <c r="O117" s="1138">
        <f t="shared" ref="O117" si="146">SUM(O118:O122)</f>
        <v>77.218460256171781</v>
      </c>
      <c r="Q117" s="1260"/>
      <c r="R117" s="691"/>
      <c r="S117" s="691"/>
      <c r="T117" s="691"/>
      <c r="U117" s="1261"/>
    </row>
    <row r="118" spans="2:21" s="825" customFormat="1" ht="13.5" hidden="1" customHeight="1" outlineLevel="1" x14ac:dyDescent="0.3">
      <c r="B118" s="1274" t="s">
        <v>3872</v>
      </c>
      <c r="C118" s="1252"/>
      <c r="D118" s="1137"/>
      <c r="E118" s="1137"/>
      <c r="F118" s="1137"/>
      <c r="G118" s="1137"/>
      <c r="H118" s="1137"/>
      <c r="I118" s="1137"/>
      <c r="J118" s="1137"/>
      <c r="K118" s="1137">
        <f>$K$45/4/2</f>
        <v>9.000071045936048</v>
      </c>
      <c r="L118" s="1137">
        <f>$K$45/4</f>
        <v>18.000142091872096</v>
      </c>
      <c r="M118" s="1137">
        <f t="shared" ref="M118:N118" si="147">$K$45/4</f>
        <v>18.000142091872096</v>
      </c>
      <c r="N118" s="1137">
        <f t="shared" si="147"/>
        <v>18.000142091872096</v>
      </c>
      <c r="O118" s="1138">
        <f>K45-SUM(K118:N118)-0.001</f>
        <v>8.9990710459360539</v>
      </c>
      <c r="Q118" s="1260"/>
      <c r="R118" s="691"/>
      <c r="S118" s="691"/>
      <c r="T118" s="691"/>
      <c r="U118" s="1261"/>
    </row>
    <row r="119" spans="2:21" s="825" customFormat="1" ht="13.5" hidden="1" customHeight="1" outlineLevel="1" x14ac:dyDescent="0.3">
      <c r="B119" s="1274" t="s">
        <v>3873</v>
      </c>
      <c r="C119" s="1252"/>
      <c r="D119" s="1137"/>
      <c r="E119" s="1137"/>
      <c r="F119" s="1137"/>
      <c r="G119" s="1137"/>
      <c r="H119" s="1137"/>
      <c r="I119" s="1137"/>
      <c r="J119" s="1137"/>
      <c r="K119" s="1137"/>
      <c r="L119" s="1137">
        <f>$L$45/4/2</f>
        <v>9.3113070371269355</v>
      </c>
      <c r="M119" s="1137">
        <f>$L$45/4</f>
        <v>18.622614074253871</v>
      </c>
      <c r="N119" s="1137">
        <f t="shared" ref="N119:O119" si="148">$L$45/4</f>
        <v>18.622614074253871</v>
      </c>
      <c r="O119" s="1138">
        <f t="shared" si="148"/>
        <v>18.622614074253871</v>
      </c>
      <c r="Q119" s="1260"/>
      <c r="R119" s="691"/>
      <c r="S119" s="691"/>
      <c r="T119" s="691"/>
      <c r="U119" s="1261"/>
    </row>
    <row r="120" spans="2:21" s="825" customFormat="1" ht="13.5" hidden="1" customHeight="1" outlineLevel="1" x14ac:dyDescent="0.3">
      <c r="B120" s="1274" t="s">
        <v>3874</v>
      </c>
      <c r="C120" s="1252"/>
      <c r="D120" s="1137"/>
      <c r="E120" s="1137"/>
      <c r="F120" s="1137"/>
      <c r="G120" s="1137"/>
      <c r="H120" s="1137"/>
      <c r="I120" s="1137"/>
      <c r="J120" s="1137"/>
      <c r="K120" s="1137"/>
      <c r="L120" s="1137"/>
      <c r="M120" s="1137">
        <f>$M$45/4/2</f>
        <v>9.6419050781717672</v>
      </c>
      <c r="N120" s="1137">
        <f>$M$45/4</f>
        <v>19.283810156343534</v>
      </c>
      <c r="O120" s="1138">
        <f>$M$45/4</f>
        <v>19.283810156343534</v>
      </c>
      <c r="Q120" s="1260"/>
      <c r="R120" s="691"/>
      <c r="S120" s="691"/>
      <c r="T120" s="691"/>
      <c r="U120" s="1261"/>
    </row>
    <row r="121" spans="2:21" s="825" customFormat="1" ht="13.5" hidden="1" customHeight="1" outlineLevel="1" x14ac:dyDescent="0.3">
      <c r="B121" s="1274" t="s">
        <v>3875</v>
      </c>
      <c r="C121" s="1252"/>
      <c r="D121" s="1137"/>
      <c r="E121" s="1137"/>
      <c r="F121" s="1137"/>
      <c r="G121" s="1137"/>
      <c r="H121" s="1137"/>
      <c r="I121" s="1137"/>
      <c r="J121" s="1137"/>
      <c r="K121" s="1137"/>
      <c r="L121" s="1137"/>
      <c r="M121" s="1137"/>
      <c r="N121" s="1137">
        <f>$N$45/4/2</f>
        <v>9.9839267746545328</v>
      </c>
      <c r="O121" s="1138">
        <f>$N$45/4</f>
        <v>19.967853549309066</v>
      </c>
      <c r="Q121" s="1260"/>
      <c r="R121" s="691"/>
      <c r="S121" s="691"/>
      <c r="T121" s="691"/>
      <c r="U121" s="1261"/>
    </row>
    <row r="122" spans="2:21" s="825" customFormat="1" ht="13.5" hidden="1" customHeight="1" outlineLevel="1" x14ac:dyDescent="0.3">
      <c r="B122" s="1274" t="s">
        <v>3876</v>
      </c>
      <c r="C122" s="1252"/>
      <c r="D122" s="1137"/>
      <c r="E122" s="1137"/>
      <c r="F122" s="1137"/>
      <c r="G122" s="1137"/>
      <c r="H122" s="1137"/>
      <c r="I122" s="1137"/>
      <c r="J122" s="1137"/>
      <c r="K122" s="1137"/>
      <c r="L122" s="1137"/>
      <c r="M122" s="1137"/>
      <c r="N122" s="1137"/>
      <c r="O122" s="1138">
        <f>$O$45/4/2</f>
        <v>10.345111430329256</v>
      </c>
      <c r="Q122" s="1260"/>
      <c r="R122" s="691"/>
      <c r="S122" s="691"/>
      <c r="T122" s="691"/>
      <c r="U122" s="1261"/>
    </row>
    <row r="123" spans="2:21" s="825" customFormat="1" ht="13.5" customHeight="1" collapsed="1" x14ac:dyDescent="0.3">
      <c r="B123" s="1274"/>
      <c r="C123" s="1252"/>
      <c r="D123" s="1137"/>
      <c r="E123" s="1137"/>
      <c r="F123" s="1137"/>
      <c r="G123" s="1137"/>
      <c r="H123" s="1137"/>
      <c r="I123" s="1137"/>
      <c r="J123" s="1137"/>
      <c r="K123" s="1137"/>
      <c r="L123" s="1137"/>
      <c r="M123" s="1137"/>
      <c r="N123" s="1137"/>
      <c r="O123" s="1138"/>
      <c r="Q123" s="1260"/>
      <c r="R123" s="691"/>
      <c r="S123" s="691"/>
      <c r="T123" s="691"/>
      <c r="U123" s="1261"/>
    </row>
    <row r="124" spans="2:21" s="825" customFormat="1" ht="13.5" customHeight="1" x14ac:dyDescent="0.3">
      <c r="B124" s="1285" t="s">
        <v>2165</v>
      </c>
      <c r="C124" s="1284" t="b">
        <f>C21=CAPEX_주석사항!AL31/1000</f>
        <v>1</v>
      </c>
      <c r="D124" s="1284" t="b">
        <f>D21=CAPEX_주석사항!AD31/1000</f>
        <v>1</v>
      </c>
      <c r="E124" s="1284" t="b">
        <f>E21=CAPEX_주석사항!V31/1000</f>
        <v>1</v>
      </c>
      <c r="F124" s="1284" t="b">
        <f>F21=CAPEX_주석사항!N31/1000</f>
        <v>1</v>
      </c>
      <c r="G124" s="1284" t="b">
        <f>G21=CAPEX_주석사항!E31/1000</f>
        <v>1</v>
      </c>
      <c r="H124" s="1284"/>
      <c r="I124" s="1284"/>
      <c r="J124" s="1284"/>
      <c r="K124" s="1284"/>
      <c r="L124" s="1284"/>
      <c r="M124" s="1284"/>
      <c r="N124" s="1284"/>
      <c r="O124" s="1286"/>
      <c r="Q124" s="1260"/>
      <c r="R124" s="691"/>
      <c r="S124" s="691"/>
      <c r="T124" s="691"/>
      <c r="U124" s="1261"/>
    </row>
    <row r="125" spans="2:21" s="825" customFormat="1" ht="13.5" customHeight="1" x14ac:dyDescent="0.3">
      <c r="B125" s="861" t="s">
        <v>2166</v>
      </c>
      <c r="C125" s="1252" t="b">
        <f>C54=-CAPEX_주석사항!AN31/1000</f>
        <v>1</v>
      </c>
      <c r="D125" s="1252" t="b">
        <f>D54=-CAPEX_주석사항!AF31/1000</f>
        <v>1</v>
      </c>
      <c r="E125" s="1252" t="b">
        <f>E54=-CAPEX_주석사항!X31/1000</f>
        <v>1</v>
      </c>
      <c r="F125" s="1252" t="b">
        <f>F54=-CAPEX_주석사항!P31/1000</f>
        <v>1</v>
      </c>
      <c r="G125" s="1252" t="b">
        <f>G54=-CAPEX_주석사항!G31/1000</f>
        <v>1</v>
      </c>
      <c r="H125" s="1252"/>
      <c r="I125" s="1252"/>
      <c r="J125" s="1252"/>
      <c r="K125" s="1252"/>
      <c r="L125" s="1252"/>
      <c r="M125" s="1252"/>
      <c r="N125" s="1252"/>
      <c r="O125" s="1287"/>
      <c r="Q125" s="1260"/>
      <c r="R125" s="691"/>
      <c r="S125" s="691"/>
      <c r="T125" s="691"/>
      <c r="U125" s="1261"/>
    </row>
    <row r="126" spans="2:21" s="825" customFormat="1" ht="13.5" customHeight="1" x14ac:dyDescent="0.3">
      <c r="B126" s="861" t="s">
        <v>2167</v>
      </c>
      <c r="C126" s="1252" t="b">
        <f>C39=CAPEX_주석사항!AL39/1000</f>
        <v>1</v>
      </c>
      <c r="D126" s="1252" t="b">
        <f>D39=CAPEX_주석사항!AD39/1000</f>
        <v>1</v>
      </c>
      <c r="E126" s="1252" t="b">
        <f>E39=CAPEX_주석사항!V38/1000</f>
        <v>1</v>
      </c>
      <c r="F126" s="1252" t="b">
        <f>F39=CAPEX_주석사항!N38/1000</f>
        <v>1</v>
      </c>
      <c r="G126" s="1252" t="b">
        <f>G39=CAPEX_주석사항!E38/1000</f>
        <v>1</v>
      </c>
      <c r="H126" s="1252"/>
      <c r="I126" s="1252"/>
      <c r="J126" s="1252"/>
      <c r="K126" s="1252"/>
      <c r="L126" s="1252"/>
      <c r="M126" s="1252"/>
      <c r="N126" s="1252"/>
      <c r="O126" s="1287"/>
      <c r="Q126" s="1260"/>
      <c r="R126" s="691"/>
      <c r="S126" s="691"/>
      <c r="T126" s="691"/>
      <c r="U126" s="1261"/>
    </row>
    <row r="127" spans="2:21" ht="13.5" customHeight="1" thickBot="1" x14ac:dyDescent="0.35">
      <c r="B127" s="875" t="s">
        <v>2168</v>
      </c>
      <c r="C127" s="878" t="b">
        <f>C99=-CAPEX_주석사항!AM39/1000</f>
        <v>1</v>
      </c>
      <c r="D127" s="878" t="b">
        <f>D99=-CAPEX_주석사항!AE39/1000</f>
        <v>1</v>
      </c>
      <c r="E127" s="878" t="b">
        <f>E99=-CAPEX_주석사항!W38/1000</f>
        <v>1</v>
      </c>
      <c r="F127" s="878" t="b">
        <f>F99=-CAPEX_주석사항!O38/1000</f>
        <v>1</v>
      </c>
      <c r="G127" s="878" t="b">
        <f>G99=-CAPEX_주석사항!F38/1000</f>
        <v>1</v>
      </c>
      <c r="H127" s="878"/>
      <c r="I127" s="878"/>
      <c r="J127" s="878"/>
      <c r="K127" s="878"/>
      <c r="L127" s="878"/>
      <c r="M127" s="878"/>
      <c r="N127" s="878"/>
      <c r="O127" s="879"/>
      <c r="Q127" s="1260"/>
      <c r="U127" s="1261"/>
    </row>
    <row r="128" spans="2:21" ht="13.5" customHeight="1" x14ac:dyDescent="0.3">
      <c r="C128" s="407"/>
      <c r="D128" s="407"/>
      <c r="E128" s="407"/>
      <c r="F128" s="407"/>
      <c r="G128" s="407"/>
      <c r="H128" s="407"/>
      <c r="I128" s="407"/>
      <c r="J128" s="407"/>
      <c r="K128" s="407"/>
      <c r="L128" s="407"/>
      <c r="M128" s="407"/>
      <c r="N128" s="402"/>
      <c r="O128" s="402"/>
      <c r="Q128" s="1258"/>
      <c r="U128" s="1259"/>
    </row>
    <row r="129" spans="2:21" ht="13.5" customHeight="1" x14ac:dyDescent="0.3">
      <c r="C129" s="407"/>
      <c r="D129" s="407"/>
      <c r="E129" s="407"/>
      <c r="F129" s="407"/>
      <c r="G129" s="407"/>
      <c r="H129" s="407"/>
      <c r="I129" s="407"/>
      <c r="J129" s="407"/>
      <c r="K129" s="407"/>
      <c r="L129" s="407"/>
      <c r="M129" s="407"/>
      <c r="N129" s="402"/>
      <c r="O129" s="402"/>
      <c r="Q129" s="1260"/>
      <c r="U129" s="1261"/>
    </row>
    <row r="130" spans="2:21" ht="13.5" customHeight="1" x14ac:dyDescent="0.3">
      <c r="B130" s="834" t="s">
        <v>3887</v>
      </c>
      <c r="C130" s="835"/>
      <c r="D130" s="835"/>
      <c r="E130" s="835"/>
      <c r="F130" s="835"/>
      <c r="G130" s="835"/>
      <c r="H130" s="835"/>
      <c r="I130" s="835"/>
      <c r="J130" s="836"/>
      <c r="K130" s="835"/>
      <c r="L130" s="835"/>
      <c r="M130" s="835"/>
      <c r="N130" s="837"/>
      <c r="O130" s="837"/>
      <c r="Q130" s="1260"/>
      <c r="U130" s="1261"/>
    </row>
    <row r="131" spans="2:21" ht="13.5" customHeight="1" x14ac:dyDescent="0.3">
      <c r="B131" s="773" t="str">
        <f>unit</f>
        <v>KRW Millions</v>
      </c>
      <c r="C131" s="774">
        <f>C$5</f>
        <v>2010</v>
      </c>
      <c r="D131" s="774">
        <f t="shared" ref="D131:O131" si="149">D$5</f>
        <v>2011</v>
      </c>
      <c r="E131" s="774">
        <f t="shared" si="149"/>
        <v>2012</v>
      </c>
      <c r="F131" s="774">
        <f t="shared" si="149"/>
        <v>2013</v>
      </c>
      <c r="G131" s="774">
        <f t="shared" si="149"/>
        <v>2014</v>
      </c>
      <c r="H131" s="774" t="str">
        <f t="shared" si="149"/>
        <v>2015/12A</v>
      </c>
      <c r="I131" s="774" t="str">
        <f t="shared" si="149"/>
        <v>2015/0E</v>
      </c>
      <c r="J131" s="774">
        <f t="shared" si="149"/>
        <v>2015</v>
      </c>
      <c r="K131" s="776">
        <f t="shared" si="149"/>
        <v>2016</v>
      </c>
      <c r="L131" s="776">
        <f t="shared" si="149"/>
        <v>2017</v>
      </c>
      <c r="M131" s="776">
        <f t="shared" si="149"/>
        <v>2018</v>
      </c>
      <c r="N131" s="776">
        <f t="shared" si="149"/>
        <v>2019</v>
      </c>
      <c r="O131" s="777">
        <f t="shared" si="149"/>
        <v>2020</v>
      </c>
      <c r="Q131" s="1260"/>
      <c r="U131" s="1261"/>
    </row>
    <row r="132" spans="2:21" ht="13.5" customHeight="1" x14ac:dyDescent="0.3">
      <c r="B132" s="858" t="s">
        <v>3803</v>
      </c>
      <c r="C132" s="849">
        <f>C135+C143</f>
        <v>0</v>
      </c>
      <c r="D132" s="849">
        <f t="shared" ref="D132:G132" si="150">D135+D143</f>
        <v>57.036222000000002</v>
      </c>
      <c r="E132" s="849">
        <f t="shared" si="150"/>
        <v>199.13919099999998</v>
      </c>
      <c r="F132" s="849">
        <f t="shared" si="150"/>
        <v>229.15172899999999</v>
      </c>
      <c r="G132" s="849">
        <f t="shared" si="150"/>
        <v>254.66975500000001</v>
      </c>
      <c r="H132" s="849">
        <f t="shared" ref="H132:O132" si="151">H134+H143</f>
        <v>229.195322</v>
      </c>
      <c r="I132" s="859">
        <f t="shared" ca="1" si="151"/>
        <v>19.86483333333334</v>
      </c>
      <c r="J132" s="859">
        <f t="shared" ca="1" si="151"/>
        <v>249.06015533333334</v>
      </c>
      <c r="K132" s="859">
        <f t="shared" ca="1" si="151"/>
        <v>192.77695676688353</v>
      </c>
      <c r="L132" s="859">
        <f t="shared" ca="1" si="151"/>
        <v>171.70322830918684</v>
      </c>
      <c r="M132" s="859">
        <f t="shared" ca="1" si="151"/>
        <v>170.00589139598853</v>
      </c>
      <c r="N132" s="859">
        <f t="shared" ca="1" si="151"/>
        <v>208.49328012087918</v>
      </c>
      <c r="O132" s="860">
        <f t="shared" ca="1" si="151"/>
        <v>259.67530603395329</v>
      </c>
      <c r="Q132" s="1260"/>
      <c r="U132" s="1261"/>
    </row>
    <row r="133" spans="2:21" ht="13.5" customHeight="1" x14ac:dyDescent="0.3">
      <c r="B133" s="861" t="s">
        <v>149</v>
      </c>
      <c r="C133" s="1244"/>
      <c r="D133" s="1244"/>
      <c r="E133" s="1244"/>
      <c r="F133" s="1244"/>
      <c r="G133" s="1244"/>
      <c r="H133" s="182">
        <f t="shared" ref="H133:O133" si="152">H132/H$15</f>
        <v>1.0665797545291772E-3</v>
      </c>
      <c r="I133" s="182" t="e">
        <f t="shared" ca="1" si="152"/>
        <v>#DIV/0!</v>
      </c>
      <c r="J133" s="182">
        <f t="shared" ca="1" si="152"/>
        <v>1.1590224312624732E-3</v>
      </c>
      <c r="K133" s="182">
        <f t="shared" ca="1" si="152"/>
        <v>7.7840097391405493E-4</v>
      </c>
      <c r="L133" s="182">
        <f t="shared" ca="1" si="152"/>
        <v>6.7013453773077253E-4</v>
      </c>
      <c r="M133" s="182">
        <f t="shared" ca="1" si="152"/>
        <v>6.4075987551699372E-4</v>
      </c>
      <c r="N133" s="182">
        <f t="shared" ca="1" si="152"/>
        <v>7.5890054223154402E-4</v>
      </c>
      <c r="O133" s="787">
        <f t="shared" ca="1" si="152"/>
        <v>9.1219915891335463E-4</v>
      </c>
      <c r="Q133" s="1260"/>
      <c r="U133" s="1261"/>
    </row>
    <row r="134" spans="2:21" ht="13.5" customHeight="1" x14ac:dyDescent="0.3">
      <c r="B134" s="1272" t="s">
        <v>2151</v>
      </c>
      <c r="C134" s="1252"/>
      <c r="D134" s="1137"/>
      <c r="E134" s="1137"/>
      <c r="F134" s="1137"/>
      <c r="G134" s="1137"/>
      <c r="H134" s="1137">
        <f>H135+H139</f>
        <v>222.73315600000001</v>
      </c>
      <c r="I134" s="1137">
        <f t="shared" ref="I134:O134" ca="1" si="153">I135+I139</f>
        <v>19.19433333333334</v>
      </c>
      <c r="J134" s="1137">
        <f t="shared" ca="1" si="153"/>
        <v>241.92748933333334</v>
      </c>
      <c r="K134" s="1137">
        <f t="shared" ca="1" si="153"/>
        <v>183.33594921778632</v>
      </c>
      <c r="L134" s="1137">
        <f t="shared" ca="1" si="153"/>
        <v>159.42396420301714</v>
      </c>
      <c r="M134" s="1137">
        <f t="shared" ca="1" si="153"/>
        <v>154.78988637137959</v>
      </c>
      <c r="N134" s="1137">
        <f t="shared" ca="1" si="153"/>
        <v>197.36994537732306</v>
      </c>
      <c r="O134" s="1138">
        <f t="shared" ca="1" si="153"/>
        <v>247.70647440615582</v>
      </c>
      <c r="Q134" s="1260"/>
      <c r="U134" s="1261"/>
    </row>
    <row r="135" spans="2:21" ht="13.5" customHeight="1" x14ac:dyDescent="0.3">
      <c r="B135" s="1273" t="s">
        <v>2152</v>
      </c>
      <c r="C135" s="1252">
        <f>원가명세서!C37/1000000</f>
        <v>0</v>
      </c>
      <c r="D135" s="1137">
        <f>원가명세서!D37/1000000</f>
        <v>49.775855</v>
      </c>
      <c r="E135" s="1821">
        <f>원가명세서!E37/1000000+E59</f>
        <v>193.88090599999998</v>
      </c>
      <c r="F135" s="1821">
        <f>원가명세서!F37/1000000+F59</f>
        <v>227.84973199999999</v>
      </c>
      <c r="G135" s="1821">
        <f>원가명세서!G37/1000000+G59</f>
        <v>254.66975500000001</v>
      </c>
      <c r="H135" s="1137">
        <f>SUM(H136:H138)</f>
        <v>222.73315600000001</v>
      </c>
      <c r="I135" s="1137">
        <f t="shared" ref="I135:O135" ca="1" si="154">SUM(I136:I138)</f>
        <v>19.19433333333334</v>
      </c>
      <c r="J135" s="1137">
        <f t="shared" ca="1" si="154"/>
        <v>241.92748933333334</v>
      </c>
      <c r="K135" s="1137">
        <f t="shared" ca="1" si="154"/>
        <v>157.68300033333341</v>
      </c>
      <c r="L135" s="1137">
        <f t="shared" ca="1" si="154"/>
        <v>81.57800000000006</v>
      </c>
      <c r="M135" s="1137">
        <f t="shared" ca="1" si="154"/>
        <v>22.921483999999857</v>
      </c>
      <c r="N135" s="1137">
        <f t="shared" ca="1" si="154"/>
        <v>9.5619333333333323</v>
      </c>
      <c r="O135" s="1138">
        <f t="shared" ca="1" si="154"/>
        <v>1.9545000000000001</v>
      </c>
      <c r="Q135" s="1258"/>
      <c r="U135" s="1259"/>
    </row>
    <row r="136" spans="2:21" ht="13.5" customHeight="1" x14ac:dyDescent="0.3">
      <c r="B136" s="1274" t="s">
        <v>2127</v>
      </c>
      <c r="C136" s="1252"/>
      <c r="D136" s="1137"/>
      <c r="E136" s="1137"/>
      <c r="F136" s="1137"/>
      <c r="G136" s="1137"/>
      <c r="H136" s="1137">
        <f>'기존(정액)'!P2/1000000</f>
        <v>164.140376</v>
      </c>
      <c r="I136" s="1137">
        <f>'기존(정액)'!U11/1000000</f>
        <v>13.762766666666668</v>
      </c>
      <c r="J136" s="1137">
        <f>H136+I136</f>
        <v>177.90314266666667</v>
      </c>
      <c r="K136" s="1137">
        <f>'기존(정액)'!W11/1000000</f>
        <v>95.409867666666671</v>
      </c>
      <c r="L136" s="1137">
        <f>'기존(정액)'!X11/1000000</f>
        <v>33.827199999999998</v>
      </c>
      <c r="M136" s="1137">
        <f>'기존(정액)'!Y11/1000000</f>
        <v>13.177866333333334</v>
      </c>
      <c r="N136" s="1137">
        <f>'기존(정액)'!Z11/1000000</f>
        <v>9.5619333333333323</v>
      </c>
      <c r="O136" s="1138">
        <f>'기존(정액)'!AA11/1000000</f>
        <v>1.9545000000000001</v>
      </c>
      <c r="Q136" s="1258"/>
      <c r="U136" s="1259"/>
    </row>
    <row r="137" spans="2:21" ht="13.5" customHeight="1" x14ac:dyDescent="0.3">
      <c r="B137" s="1274" t="s">
        <v>2068</v>
      </c>
      <c r="C137" s="1252"/>
      <c r="D137" s="1137"/>
      <c r="E137" s="1137"/>
      <c r="F137" s="1137"/>
      <c r="G137" s="1137"/>
      <c r="H137" s="1137">
        <f>'기존(정액)'!P4/1000000</f>
        <v>15.975667</v>
      </c>
      <c r="I137" s="1137">
        <f>'기존(정액)'!U12/1000000</f>
        <v>1.4523333333333333</v>
      </c>
      <c r="J137" s="1137">
        <f t="shared" ref="J137:J138" si="155">H137+I137</f>
        <v>17.428000333333333</v>
      </c>
      <c r="K137" s="1137">
        <f>'기존(정액)'!W12/1000000</f>
        <v>14.522332666666665</v>
      </c>
      <c r="L137" s="1137">
        <f>'기존(정액)'!X12/1000000</f>
        <v>0</v>
      </c>
      <c r="M137" s="1137">
        <f>'기존(정액)'!Y12/1000000</f>
        <v>0</v>
      </c>
      <c r="N137" s="1137">
        <f>'기존(정액)'!Z12/1000000</f>
        <v>0</v>
      </c>
      <c r="O137" s="1138">
        <f>'기존(정액)'!AA12/1000000</f>
        <v>0</v>
      </c>
      <c r="Q137" s="1258"/>
      <c r="U137" s="1259"/>
    </row>
    <row r="138" spans="2:21" s="825" customFormat="1" ht="13.5" customHeight="1" x14ac:dyDescent="0.3">
      <c r="B138" s="1274" t="s">
        <v>2128</v>
      </c>
      <c r="C138" s="1252"/>
      <c r="D138" s="1137"/>
      <c r="E138" s="1137"/>
      <c r="F138" s="1137"/>
      <c r="G138" s="1137"/>
      <c r="H138" s="1137">
        <f>'기존(정액)'!Q526/10^6</f>
        <v>42.617113000000003</v>
      </c>
      <c r="I138" s="1137">
        <f ca="1">'기존(정액)'!U8/10^6</f>
        <v>3.9792333333333385</v>
      </c>
      <c r="J138" s="1137">
        <f t="shared" ca="1" si="155"/>
        <v>46.596346333333344</v>
      </c>
      <c r="K138" s="1137">
        <f ca="1">'기존(정액)'!W8/10^6</f>
        <v>47.750800000000069</v>
      </c>
      <c r="L138" s="1137">
        <f ca="1">'기존(정액)'!X8/10^6</f>
        <v>47.750800000000069</v>
      </c>
      <c r="M138" s="1137">
        <f ca="1">'기존(정액)'!Y8/10^6</f>
        <v>9.7436176666665233</v>
      </c>
      <c r="N138" s="1137">
        <f ca="1">'기존(정액)'!Z8/10^6</f>
        <v>0</v>
      </c>
      <c r="O138" s="1138">
        <f ca="1">'기존(정액)'!AA8/10^6</f>
        <v>0</v>
      </c>
      <c r="Q138" s="1258"/>
      <c r="R138" s="691"/>
      <c r="S138" s="691"/>
      <c r="T138" s="691"/>
      <c r="U138" s="1259"/>
    </row>
    <row r="139" spans="2:21" s="825" customFormat="1" ht="13.5" customHeight="1" x14ac:dyDescent="0.3">
      <c r="B139" s="1273" t="s">
        <v>3884</v>
      </c>
      <c r="C139" s="1252">
        <f>원가명세서!C43/1000000</f>
        <v>0</v>
      </c>
      <c r="D139" s="1137">
        <f>원가명세서!D43/1000000</f>
        <v>0</v>
      </c>
      <c r="E139" s="1137">
        <f>원가명세서!E43/1000000</f>
        <v>0</v>
      </c>
      <c r="F139" s="1137">
        <f>원가명세서!F43/1000000</f>
        <v>0</v>
      </c>
      <c r="G139" s="1137">
        <f>원가명세서!G43/1000000</f>
        <v>0</v>
      </c>
      <c r="H139" s="1137">
        <f t="shared" ref="H139:O139" si="156">SUM(H140:H141)</f>
        <v>0</v>
      </c>
      <c r="I139" s="1137">
        <f t="shared" si="156"/>
        <v>0</v>
      </c>
      <c r="J139" s="1137">
        <f t="shared" si="156"/>
        <v>0</v>
      </c>
      <c r="K139" s="1137">
        <f t="shared" si="156"/>
        <v>25.652948884452908</v>
      </c>
      <c r="L139" s="1137">
        <f t="shared" si="156"/>
        <v>77.84596420301709</v>
      </c>
      <c r="M139" s="1137">
        <f t="shared" si="156"/>
        <v>131.86840237137974</v>
      </c>
      <c r="N139" s="1137">
        <f t="shared" si="156"/>
        <v>187.80801204398972</v>
      </c>
      <c r="O139" s="1138">
        <f t="shared" si="156"/>
        <v>245.75197440615582</v>
      </c>
      <c r="Q139" s="1258"/>
      <c r="R139" s="691"/>
      <c r="S139" s="691"/>
      <c r="T139" s="691"/>
      <c r="U139" s="1259"/>
    </row>
    <row r="140" spans="2:21" s="825" customFormat="1" ht="13.5" customHeight="1" x14ac:dyDescent="0.3">
      <c r="B140" s="1274" t="s">
        <v>2127</v>
      </c>
      <c r="C140" s="1252"/>
      <c r="D140" s="1137"/>
      <c r="E140" s="1137"/>
      <c r="F140" s="1137"/>
      <c r="G140" s="1137"/>
      <c r="H140" s="1137"/>
      <c r="I140" s="1137"/>
      <c r="J140" s="1137"/>
      <c r="K140" s="1137">
        <f>K63*'기존(정액)'!$L$16</f>
        <v>23.452011097423163</v>
      </c>
      <c r="L140" s="1137">
        <f>L63*'기존(정액)'!$L$16</f>
        <v>71.16703910345386</v>
      </c>
      <c r="M140" s="1137">
        <f>M63*'기존(정액)'!$L$16</f>
        <v>120.55453155669495</v>
      </c>
      <c r="N140" s="1137">
        <f>N63*'기존(정액)'!$L$16</f>
        <v>171.69470856857254</v>
      </c>
      <c r="O140" s="1138">
        <f>O63*'기존(정액)'!$L$16</f>
        <v>224.66727146833955</v>
      </c>
      <c r="Q140" s="1258"/>
      <c r="R140" s="691"/>
      <c r="S140" s="691"/>
      <c r="T140" s="691"/>
      <c r="U140" s="1259"/>
    </row>
    <row r="141" spans="2:21" s="825" customFormat="1" ht="13.5" customHeight="1" x14ac:dyDescent="0.3">
      <c r="B141" s="1274" t="s">
        <v>2068</v>
      </c>
      <c r="C141" s="1252"/>
      <c r="D141" s="1137"/>
      <c r="E141" s="1137"/>
      <c r="F141" s="1137"/>
      <c r="G141" s="1137"/>
      <c r="H141" s="1137"/>
      <c r="I141" s="1137"/>
      <c r="J141" s="1137"/>
      <c r="K141" s="1137">
        <f>K75*'기존(정액)'!$L$17</f>
        <v>2.2009377870297442</v>
      </c>
      <c r="L141" s="1137">
        <f>L75*'기존(정액)'!$L$17</f>
        <v>6.6789250995632292</v>
      </c>
      <c r="M141" s="1137">
        <f>M75*'기존(정액)'!$L$17</f>
        <v>11.313870814684787</v>
      </c>
      <c r="N141" s="1137">
        <f>N75*'기존(정액)'!$L$17</f>
        <v>16.113303475417176</v>
      </c>
      <c r="O141" s="1138">
        <f>O75*'기존(정액)'!$L$17</f>
        <v>21.084702937816271</v>
      </c>
      <c r="Q141" s="1258"/>
      <c r="R141" s="691"/>
      <c r="S141" s="691"/>
      <c r="T141" s="691"/>
      <c r="U141" s="1259"/>
    </row>
    <row r="142" spans="2:21" s="825" customFormat="1" ht="13.5" customHeight="1" x14ac:dyDescent="0.3">
      <c r="B142" s="1274" t="s">
        <v>2128</v>
      </c>
      <c r="C142" s="1252"/>
      <c r="D142" s="1137"/>
      <c r="E142" s="1137"/>
      <c r="F142" s="1137"/>
      <c r="G142" s="1137"/>
      <c r="H142" s="1137"/>
      <c r="I142" s="1137"/>
      <c r="J142" s="1137"/>
      <c r="K142" s="1137"/>
      <c r="L142" s="1137"/>
      <c r="M142" s="1137"/>
      <c r="N142" s="1137"/>
      <c r="O142" s="1138"/>
      <c r="Q142" s="1258"/>
      <c r="R142" s="691"/>
      <c r="S142" s="691"/>
      <c r="T142" s="691"/>
      <c r="U142" s="1259"/>
    </row>
    <row r="143" spans="2:21" ht="13.5" customHeight="1" x14ac:dyDescent="0.3">
      <c r="B143" s="1272" t="s">
        <v>2154</v>
      </c>
      <c r="C143" s="1252">
        <f>원가명세서!C38/1000000</f>
        <v>0</v>
      </c>
      <c r="D143" s="1137">
        <f>원가명세서!D38/1000000</f>
        <v>7.2603669999999996</v>
      </c>
      <c r="E143" s="1137">
        <f>원가명세서!E38/1000000</f>
        <v>5.2582849999999999</v>
      </c>
      <c r="F143" s="1137">
        <f>원가명세서!F38/1000000</f>
        <v>1.3019970000000001</v>
      </c>
      <c r="G143" s="1137">
        <f>원가명세서!G38/1000000</f>
        <v>0</v>
      </c>
      <c r="H143" s="1137">
        <f>H144+H146</f>
        <v>6.4621659999999999</v>
      </c>
      <c r="I143" s="1137">
        <f t="shared" ref="I143:O143" si="157">I144+I146</f>
        <v>0.67049999999999998</v>
      </c>
      <c r="J143" s="1137">
        <f t="shared" si="157"/>
        <v>7.1326659999999995</v>
      </c>
      <c r="K143" s="1137">
        <f t="shared" si="157"/>
        <v>9.4410075490972218</v>
      </c>
      <c r="L143" s="1137">
        <f t="shared" si="157"/>
        <v>12.279264106169718</v>
      </c>
      <c r="M143" s="1137">
        <f t="shared" si="157"/>
        <v>15.216005024608929</v>
      </c>
      <c r="N143" s="1137">
        <f t="shared" si="157"/>
        <v>11.123334743556127</v>
      </c>
      <c r="O143" s="1138">
        <f t="shared" si="157"/>
        <v>11.96883162779746</v>
      </c>
      <c r="Q143" s="1258"/>
      <c r="U143" s="1259"/>
    </row>
    <row r="144" spans="2:21" ht="13.5" customHeight="1" x14ac:dyDescent="0.3">
      <c r="B144" s="1275" t="s">
        <v>2155</v>
      </c>
      <c r="C144" s="1252"/>
      <c r="D144" s="1137"/>
      <c r="E144" s="1137"/>
      <c r="F144" s="1137"/>
      <c r="G144" s="1137"/>
      <c r="H144" s="1137">
        <f>H145</f>
        <v>6.4621659999999999</v>
      </c>
      <c r="I144" s="1137">
        <f t="shared" ref="I144:O144" si="158">I145</f>
        <v>0.67049999999999998</v>
      </c>
      <c r="J144" s="1137">
        <f t="shared" si="158"/>
        <v>7.1326659999999995</v>
      </c>
      <c r="K144" s="1137">
        <f t="shared" si="158"/>
        <v>8.0459999999999994</v>
      </c>
      <c r="L144" s="1137">
        <f t="shared" si="158"/>
        <v>8.0459999999999994</v>
      </c>
      <c r="M144" s="1137">
        <f t="shared" si="158"/>
        <v>8.0450003333333324</v>
      </c>
      <c r="N144" s="1137">
        <f t="shared" si="158"/>
        <v>0.91033366666666649</v>
      </c>
      <c r="O144" s="1138">
        <f t="shared" si="158"/>
        <v>0</v>
      </c>
      <c r="Q144" s="1258"/>
      <c r="U144" s="1259"/>
    </row>
    <row r="145" spans="2:21" ht="13.5" customHeight="1" x14ac:dyDescent="0.3">
      <c r="B145" s="1274" t="s">
        <v>2105</v>
      </c>
      <c r="C145" s="1252"/>
      <c r="D145" s="1137"/>
      <c r="E145" s="1137"/>
      <c r="F145" s="1137"/>
      <c r="G145" s="1137"/>
      <c r="H145" s="1137">
        <f>'기존(정액)'!P7/1000000</f>
        <v>6.4621659999999999</v>
      </c>
      <c r="I145" s="1137">
        <f>'기존(정액)'!U13/10^6</f>
        <v>0.67049999999999998</v>
      </c>
      <c r="J145" s="1137">
        <f t="shared" ref="J145" si="159">H145+I145</f>
        <v>7.1326659999999995</v>
      </c>
      <c r="K145" s="1137">
        <f>'기존(정액)'!W13/10^6</f>
        <v>8.0459999999999994</v>
      </c>
      <c r="L145" s="1137">
        <f>'기존(정액)'!X13/10^6</f>
        <v>8.0459999999999994</v>
      </c>
      <c r="M145" s="1137">
        <f>'기존(정액)'!Y13/10^6</f>
        <v>8.0450003333333324</v>
      </c>
      <c r="N145" s="1137">
        <f>'기존(정액)'!Z13/10^6</f>
        <v>0.91033366666666649</v>
      </c>
      <c r="O145" s="1138">
        <f>'기존(정액)'!AA13/10^6</f>
        <v>0</v>
      </c>
      <c r="Q145" s="1258"/>
      <c r="U145" s="1259"/>
    </row>
    <row r="146" spans="2:21" s="825" customFormat="1" ht="13.5" customHeight="1" x14ac:dyDescent="0.3">
      <c r="B146" s="1275" t="s">
        <v>3885</v>
      </c>
      <c r="C146" s="1252"/>
      <c r="D146" s="1137"/>
      <c r="E146" s="1137"/>
      <c r="F146" s="1137"/>
      <c r="G146" s="1137"/>
      <c r="H146" s="1137"/>
      <c r="I146" s="1137"/>
      <c r="J146" s="1137"/>
      <c r="K146" s="1137">
        <f t="shared" ref="K146:O146" si="160">K147</f>
        <v>1.3950075490972231</v>
      </c>
      <c r="L146" s="1137">
        <f t="shared" si="160"/>
        <v>4.2332641061697185</v>
      </c>
      <c r="M146" s="1137">
        <f t="shared" si="160"/>
        <v>7.1710046912755976</v>
      </c>
      <c r="N146" s="1137">
        <f t="shared" si="160"/>
        <v>10.21300107688946</v>
      </c>
      <c r="O146" s="1138">
        <f t="shared" si="160"/>
        <v>11.96883162779746</v>
      </c>
      <c r="Q146" s="1258"/>
      <c r="R146" s="691"/>
      <c r="S146" s="691"/>
      <c r="T146" s="691"/>
      <c r="U146" s="1259"/>
    </row>
    <row r="147" spans="2:21" s="825" customFormat="1" ht="13.5" customHeight="1" x14ac:dyDescent="0.3">
      <c r="B147" s="1274" t="s">
        <v>2105</v>
      </c>
      <c r="C147" s="1252"/>
      <c r="D147" s="1137"/>
      <c r="E147" s="1137"/>
      <c r="F147" s="1137"/>
      <c r="G147" s="1137"/>
      <c r="H147" s="1137"/>
      <c r="I147" s="1137"/>
      <c r="J147" s="1137"/>
      <c r="K147" s="1137">
        <f>K117*'기존(정액)'!$L$18</f>
        <v>1.3950075490972231</v>
      </c>
      <c r="L147" s="1137">
        <f>L117*'기존(정액)'!$L$18</f>
        <v>4.2332641061697185</v>
      </c>
      <c r="M147" s="1137">
        <f>M117*'기존(정액)'!$L$18</f>
        <v>7.1710046912755976</v>
      </c>
      <c r="N147" s="1137">
        <f>N117*'기존(정액)'!$L$18</f>
        <v>10.21300107688946</v>
      </c>
      <c r="O147" s="1138">
        <f>O117*'기존(정액)'!$L$18</f>
        <v>11.96883162779746</v>
      </c>
      <c r="Q147" s="1258"/>
      <c r="R147" s="691"/>
      <c r="S147" s="691"/>
      <c r="T147" s="691"/>
      <c r="U147" s="1259"/>
    </row>
    <row r="148" spans="2:21" s="825" customFormat="1" ht="13.5" customHeight="1" x14ac:dyDescent="0.3">
      <c r="B148" s="1646"/>
      <c r="C148" s="1647"/>
      <c r="D148" s="1280"/>
      <c r="E148" s="1280"/>
      <c r="F148" s="1280"/>
      <c r="G148" s="1280"/>
      <c r="H148" s="1280"/>
      <c r="I148" s="1280"/>
      <c r="J148" s="1280"/>
      <c r="K148" s="1280"/>
      <c r="L148" s="1280"/>
      <c r="M148" s="1280"/>
      <c r="N148" s="1280"/>
      <c r="O148" s="1281"/>
      <c r="Q148" s="1258"/>
      <c r="R148" s="691"/>
      <c r="S148" s="691"/>
      <c r="T148" s="691"/>
      <c r="U148" s="1259"/>
    </row>
    <row r="149" spans="2:21" s="825" customFormat="1" ht="13.5" customHeight="1" x14ac:dyDescent="0.3">
      <c r="B149" s="1727"/>
      <c r="C149" s="1252"/>
      <c r="D149" s="1137"/>
      <c r="E149" s="1137"/>
      <c r="F149" s="1137"/>
      <c r="G149" s="1137"/>
      <c r="H149" s="1137"/>
      <c r="I149" s="1137"/>
      <c r="J149" s="1137"/>
      <c r="K149" s="1137"/>
      <c r="L149" s="1137"/>
      <c r="M149" s="1137"/>
      <c r="N149" s="1137"/>
      <c r="O149" s="1137"/>
      <c r="Q149" s="1258"/>
      <c r="R149" s="691"/>
      <c r="S149" s="691"/>
      <c r="T149" s="691"/>
      <c r="U149" s="1259"/>
    </row>
    <row r="150" spans="2:21" s="825" customFormat="1" ht="13.5" customHeight="1" x14ac:dyDescent="0.3">
      <c r="B150" s="834" t="s">
        <v>3886</v>
      </c>
      <c r="C150" s="835"/>
      <c r="D150" s="835"/>
      <c r="E150" s="835"/>
      <c r="F150" s="835"/>
      <c r="G150" s="835"/>
      <c r="H150" s="835"/>
      <c r="I150" s="835"/>
      <c r="J150" s="836"/>
      <c r="K150" s="835"/>
      <c r="L150" s="835"/>
      <c r="M150" s="835"/>
      <c r="N150" s="837"/>
      <c r="O150" s="837"/>
      <c r="Q150" s="1260"/>
      <c r="R150" s="691"/>
      <c r="S150" s="691"/>
      <c r="T150" s="691"/>
      <c r="U150" s="1261"/>
    </row>
    <row r="151" spans="2:21" s="825" customFormat="1" ht="13.5" customHeight="1" x14ac:dyDescent="0.3">
      <c r="B151" s="773" t="str">
        <f>unit</f>
        <v>KRW Millions</v>
      </c>
      <c r="C151" s="774">
        <f>C$5</f>
        <v>2010</v>
      </c>
      <c r="D151" s="774">
        <f t="shared" ref="D151:O151" si="161">D$5</f>
        <v>2011</v>
      </c>
      <c r="E151" s="774">
        <f t="shared" si="161"/>
        <v>2012</v>
      </c>
      <c r="F151" s="774">
        <f t="shared" si="161"/>
        <v>2013</v>
      </c>
      <c r="G151" s="774">
        <f t="shared" si="161"/>
        <v>2014</v>
      </c>
      <c r="H151" s="774" t="str">
        <f t="shared" si="161"/>
        <v>2015/12A</v>
      </c>
      <c r="I151" s="774" t="str">
        <f t="shared" si="161"/>
        <v>2015/0E</v>
      </c>
      <c r="J151" s="774">
        <f t="shared" si="161"/>
        <v>2015</v>
      </c>
      <c r="K151" s="776">
        <f t="shared" si="161"/>
        <v>2016</v>
      </c>
      <c r="L151" s="776">
        <f t="shared" si="161"/>
        <v>2017</v>
      </c>
      <c r="M151" s="776">
        <f t="shared" si="161"/>
        <v>2018</v>
      </c>
      <c r="N151" s="776">
        <f t="shared" si="161"/>
        <v>2019</v>
      </c>
      <c r="O151" s="777">
        <f t="shared" si="161"/>
        <v>2020</v>
      </c>
      <c r="Q151" s="1260"/>
      <c r="R151" s="691"/>
      <c r="S151" s="691"/>
      <c r="T151" s="691"/>
      <c r="U151" s="1261"/>
    </row>
    <row r="152" spans="2:21" s="825" customFormat="1" ht="13.5" customHeight="1" x14ac:dyDescent="0.3">
      <c r="B152" s="858" t="s">
        <v>3803</v>
      </c>
      <c r="C152" s="849">
        <f>C154+C155</f>
        <v>610.68905100000006</v>
      </c>
      <c r="D152" s="849">
        <f t="shared" ref="D152:H152" si="162">D154+D155</f>
        <v>542.54573800000003</v>
      </c>
      <c r="E152" s="849">
        <f t="shared" si="162"/>
        <v>356.01930700000003</v>
      </c>
      <c r="F152" s="849">
        <f t="shared" si="162"/>
        <v>482.641344</v>
      </c>
      <c r="G152" s="849">
        <f t="shared" si="162"/>
        <v>486.45183199999997</v>
      </c>
      <c r="H152" s="849">
        <f t="shared" si="162"/>
        <v>515.61839199999997</v>
      </c>
      <c r="I152" s="859">
        <f t="shared" ref="I152:O152" ca="1" si="163">I154+I155</f>
        <v>44.614311529166656</v>
      </c>
      <c r="J152" s="859">
        <f t="shared" ca="1" si="163"/>
        <v>526.32098347916667</v>
      </c>
      <c r="K152" s="859">
        <f t="shared" ca="1" si="163"/>
        <v>645.87333601420505</v>
      </c>
      <c r="L152" s="859">
        <f t="shared" ca="1" si="163"/>
        <v>770.57555938523853</v>
      </c>
      <c r="M152" s="859">
        <f t="shared" ca="1" si="163"/>
        <v>844.46689931007666</v>
      </c>
      <c r="N152" s="859">
        <f t="shared" ca="1" si="163"/>
        <v>834.45708400242199</v>
      </c>
      <c r="O152" s="860">
        <f t="shared" ca="1" si="163"/>
        <v>907.24648149407278</v>
      </c>
      <c r="Q152" s="1260"/>
      <c r="R152" s="691"/>
      <c r="S152" s="691"/>
      <c r="T152" s="691"/>
      <c r="U152" s="1261"/>
    </row>
    <row r="153" spans="2:21" s="825" customFormat="1" ht="13.5" customHeight="1" x14ac:dyDescent="0.3">
      <c r="B153" s="861" t="s">
        <v>149</v>
      </c>
      <c r="C153" s="1244"/>
      <c r="D153" s="1244"/>
      <c r="E153" s="1244"/>
      <c r="F153" s="1244"/>
      <c r="G153" s="1244"/>
      <c r="H153" s="182">
        <f t="shared" ref="H153:O153" si="164">H152/H$15</f>
        <v>2.3994736592838884E-3</v>
      </c>
      <c r="I153" s="182" t="e">
        <f t="shared" ca="1" si="164"/>
        <v>#DIV/0!</v>
      </c>
      <c r="J153" s="182">
        <f t="shared" ca="1" si="164"/>
        <v>2.4492790710744297E-3</v>
      </c>
      <c r="K153" s="182">
        <f t="shared" ca="1" si="164"/>
        <v>2.6079280543188977E-3</v>
      </c>
      <c r="L153" s="182">
        <f t="shared" ca="1" si="164"/>
        <v>3.0074524594575097E-3</v>
      </c>
      <c r="M153" s="182">
        <f t="shared" ca="1" si="164"/>
        <v>3.1828338467387619E-3</v>
      </c>
      <c r="N153" s="182">
        <f t="shared" ca="1" si="164"/>
        <v>3.0373637613223658E-3</v>
      </c>
      <c r="O153" s="787">
        <f t="shared" ca="1" si="164"/>
        <v>3.1870164706296095E-3</v>
      </c>
      <c r="Q153" s="1260"/>
      <c r="R153" s="691"/>
      <c r="S153" s="691"/>
      <c r="T153" s="691"/>
      <c r="U153" s="1261"/>
    </row>
    <row r="154" spans="2:21" s="825" customFormat="1" ht="13.5" customHeight="1" x14ac:dyDescent="0.3">
      <c r="B154" s="1272" t="s">
        <v>136</v>
      </c>
      <c r="C154" s="1252">
        <f>IS!J27</f>
        <v>174.63043300000001</v>
      </c>
      <c r="D154" s="1137">
        <f>IS!K27</f>
        <v>271.81789700000002</v>
      </c>
      <c r="E154" s="1137">
        <f>IS!L27</f>
        <v>262.10296</v>
      </c>
      <c r="F154" s="1137">
        <f>IS!M27</f>
        <v>384.81116900000001</v>
      </c>
      <c r="G154" s="1137">
        <f>IS!N27</f>
        <v>391.21589999999998</v>
      </c>
      <c r="H154" s="1137">
        <f>IS!O27</f>
        <v>456.47530899999998</v>
      </c>
      <c r="I154" s="1137">
        <f ca="1">I53-I134</f>
        <v>40.601020799999986</v>
      </c>
      <c r="J154" s="1137">
        <f ca="1">J53-J134</f>
        <v>468.22237074999998</v>
      </c>
      <c r="K154" s="1137">
        <f ca="1">K53-K134</f>
        <v>624.4818654340329</v>
      </c>
      <c r="L154" s="1137">
        <f t="shared" ref="L154:O154" ca="1" si="165">L53-L134</f>
        <v>744.78738394574259</v>
      </c>
      <c r="M154" s="1137">
        <f t="shared" ca="1" si="165"/>
        <v>804.39659298622121</v>
      </c>
      <c r="N154" s="1137">
        <f t="shared" ca="1" si="165"/>
        <v>778.77959198218741</v>
      </c>
      <c r="O154" s="1138">
        <f t="shared" ca="1" si="165"/>
        <v>841.99685286569843</v>
      </c>
      <c r="Q154" s="1260"/>
      <c r="R154" s="691"/>
      <c r="S154" s="691"/>
      <c r="T154" s="691"/>
      <c r="U154" s="1261"/>
    </row>
    <row r="155" spans="2:21" s="825" customFormat="1" ht="13.5" customHeight="1" x14ac:dyDescent="0.3">
      <c r="B155" s="1272" t="s">
        <v>1914</v>
      </c>
      <c r="C155" s="1252">
        <f>IS!J39</f>
        <v>436.05861800000002</v>
      </c>
      <c r="D155" s="1137">
        <f>IS!K39</f>
        <v>270.72784100000001</v>
      </c>
      <c r="E155" s="1137">
        <f>IS!L39</f>
        <v>93.916347000000002</v>
      </c>
      <c r="F155" s="1137">
        <f>IS!M39</f>
        <v>97.830174999999997</v>
      </c>
      <c r="G155" s="1137">
        <f>IS!N39</f>
        <v>95.235932000000005</v>
      </c>
      <c r="H155" s="1137">
        <f>IS!O39</f>
        <v>59.143082999999997</v>
      </c>
      <c r="I155" s="1137">
        <f t="shared" ref="I155:J155" ca="1" si="166">I99-I143</f>
        <v>4.0132907291666671</v>
      </c>
      <c r="J155" s="1137">
        <f t="shared" ca="1" si="166"/>
        <v>58.098612729166661</v>
      </c>
      <c r="K155" s="1137">
        <f ca="1">K99-K143</f>
        <v>21.391470580172161</v>
      </c>
      <c r="L155" s="1137">
        <f t="shared" ref="L155:O155" ca="1" si="167">L99-L143</f>
        <v>25.78817543949598</v>
      </c>
      <c r="M155" s="1137">
        <f t="shared" ca="1" si="167"/>
        <v>40.070306323855476</v>
      </c>
      <c r="N155" s="1137">
        <f t="shared" ca="1" si="167"/>
        <v>55.677492020234581</v>
      </c>
      <c r="O155" s="1138">
        <f t="shared" ca="1" si="167"/>
        <v>65.249628628374325</v>
      </c>
      <c r="Q155" s="1258"/>
      <c r="R155" s="691"/>
      <c r="S155" s="691"/>
      <c r="T155" s="691"/>
      <c r="U155" s="1259"/>
    </row>
    <row r="156" spans="2:21" s="825" customFormat="1" ht="13.5" customHeight="1" x14ac:dyDescent="0.3">
      <c r="B156" s="1646"/>
      <c r="C156" s="1647"/>
      <c r="D156" s="1280"/>
      <c r="E156" s="1280"/>
      <c r="F156" s="1280"/>
      <c r="G156" s="1280"/>
      <c r="H156" s="1280"/>
      <c r="I156" s="1280"/>
      <c r="J156" s="1280"/>
      <c r="K156" s="1280"/>
      <c r="L156" s="1280"/>
      <c r="M156" s="1280"/>
      <c r="N156" s="1280"/>
      <c r="O156" s="1281"/>
      <c r="Q156" s="1258"/>
      <c r="R156" s="691"/>
      <c r="S156" s="691"/>
      <c r="T156" s="691"/>
      <c r="U156" s="1259"/>
    </row>
    <row r="157" spans="2:21" s="825" customFormat="1" ht="13.5" customHeight="1" x14ac:dyDescent="0.3">
      <c r="B157" s="1727"/>
      <c r="C157" s="1252"/>
      <c r="D157" s="1820">
        <f>D152+D132-D7</f>
        <v>-1.0400000001027365E-3</v>
      </c>
      <c r="E157" s="1137">
        <f t="shared" ref="E157:G157" si="168">E152+E132-E7</f>
        <v>0.19449799999995321</v>
      </c>
      <c r="F157" s="1137">
        <f t="shared" si="168"/>
        <v>1.0729999999057327E-3</v>
      </c>
      <c r="G157" s="1137">
        <f t="shared" si="168"/>
        <v>5.8699999988220952E-4</v>
      </c>
      <c r="H157" s="1137"/>
      <c r="I157" s="1137"/>
      <c r="J157" s="1137"/>
      <c r="K157" s="1137"/>
      <c r="L157" s="1137"/>
      <c r="M157" s="1137"/>
      <c r="N157" s="1137"/>
      <c r="O157" s="1137"/>
      <c r="Q157" s="1258"/>
      <c r="R157" s="691"/>
      <c r="S157" s="691"/>
      <c r="T157" s="691"/>
      <c r="U157" s="1259"/>
    </row>
    <row r="158" spans="2:21" s="825" customFormat="1" ht="13.5" customHeight="1" x14ac:dyDescent="0.3">
      <c r="B158" s="1727"/>
      <c r="C158" s="1252"/>
      <c r="D158" s="1137"/>
      <c r="E158" s="1137"/>
      <c r="F158" s="1137"/>
      <c r="G158" s="1137"/>
      <c r="H158" s="1137"/>
      <c r="I158" s="1137"/>
      <c r="J158" s="1137"/>
      <c r="K158" s="1137"/>
      <c r="L158" s="1137"/>
      <c r="M158" s="1137"/>
      <c r="N158" s="1137"/>
      <c r="O158" s="1137"/>
      <c r="Q158" s="1258"/>
      <c r="R158" s="691"/>
      <c r="S158" s="691"/>
      <c r="T158" s="691"/>
      <c r="U158" s="1259"/>
    </row>
    <row r="159" spans="2:21" s="825" customFormat="1" ht="13.5" customHeight="1" x14ac:dyDescent="0.3">
      <c r="B159" s="1729" t="s">
        <v>3888</v>
      </c>
      <c r="C159" s="1252"/>
      <c r="D159" s="1137"/>
      <c r="E159" s="1137"/>
      <c r="F159" s="1137"/>
      <c r="G159" s="1137"/>
      <c r="H159" s="1137"/>
      <c r="I159" s="1137"/>
      <c r="J159" s="1137"/>
      <c r="K159" s="1137"/>
      <c r="L159" s="1137"/>
      <c r="M159" s="1137"/>
      <c r="N159" s="1137"/>
      <c r="O159" s="1137"/>
      <c r="Q159" s="1258"/>
      <c r="R159" s="691"/>
      <c r="S159" s="691"/>
      <c r="T159" s="691"/>
      <c r="U159" s="1259"/>
    </row>
    <row r="160" spans="2:21" s="825" customFormat="1" ht="13.5" customHeight="1" x14ac:dyDescent="0.3">
      <c r="B160" s="1727"/>
      <c r="C160" s="1252"/>
      <c r="D160" s="1137"/>
      <c r="E160" s="1137"/>
      <c r="F160" s="1137"/>
      <c r="G160" s="1137"/>
      <c r="H160" s="1137"/>
      <c r="I160" s="1137"/>
      <c r="J160" s="1137"/>
      <c r="K160" s="1137"/>
      <c r="L160" s="1137"/>
      <c r="M160" s="1137"/>
      <c r="N160" s="1137"/>
      <c r="O160" s="1137"/>
      <c r="Q160" s="1258"/>
      <c r="R160" s="691"/>
      <c r="S160" s="691"/>
      <c r="T160" s="691"/>
      <c r="U160" s="1259"/>
    </row>
    <row r="161" spans="2:21" s="825" customFormat="1" ht="13.5" customHeight="1" x14ac:dyDescent="0.3">
      <c r="B161" s="1727"/>
      <c r="C161" s="1252"/>
      <c r="D161" s="1137"/>
      <c r="E161" s="1137"/>
      <c r="F161" s="1137"/>
      <c r="G161" s="1137"/>
      <c r="H161" s="1137"/>
      <c r="I161" s="1137"/>
      <c r="J161" s="1137"/>
      <c r="K161" s="1137"/>
      <c r="L161" s="1137"/>
      <c r="M161" s="1137"/>
      <c r="N161" s="1137"/>
      <c r="O161" s="1137"/>
      <c r="Q161" s="1258"/>
      <c r="R161" s="691"/>
      <c r="S161" s="691"/>
      <c r="T161" s="691"/>
      <c r="U161" s="1259"/>
    </row>
    <row r="162" spans="2:21" ht="13.5" customHeight="1" x14ac:dyDescent="0.3">
      <c r="C162" s="407"/>
      <c r="D162" s="407"/>
      <c r="E162" s="407"/>
      <c r="F162" s="407"/>
      <c r="G162" s="407"/>
      <c r="H162" s="407"/>
      <c r="I162" s="407"/>
      <c r="J162" s="407"/>
      <c r="K162" s="407"/>
      <c r="L162" s="407"/>
      <c r="M162" s="407"/>
      <c r="N162" s="402"/>
      <c r="O162" s="402"/>
      <c r="Q162" s="1258"/>
      <c r="U162" s="1259"/>
    </row>
    <row r="163" spans="2:21" ht="13.5" customHeight="1" x14ac:dyDescent="0.3">
      <c r="C163" s="407"/>
      <c r="D163" s="407"/>
      <c r="E163" s="407"/>
      <c r="F163" s="407"/>
      <c r="G163" s="407"/>
      <c r="H163" s="407"/>
      <c r="I163" s="407"/>
      <c r="J163" s="407"/>
      <c r="K163" s="407"/>
      <c r="L163" s="407"/>
      <c r="M163" s="407"/>
      <c r="N163" s="402"/>
      <c r="O163" s="402"/>
      <c r="Q163" s="1258"/>
      <c r="U163" s="1259"/>
    </row>
    <row r="164" spans="2:21" ht="13.5" customHeight="1" x14ac:dyDescent="0.3">
      <c r="C164" s="407"/>
      <c r="D164" s="407"/>
      <c r="E164" s="407"/>
      <c r="F164" s="407"/>
      <c r="G164" s="407"/>
      <c r="H164" s="407"/>
      <c r="I164" s="407"/>
      <c r="J164" s="407"/>
      <c r="K164" s="407"/>
      <c r="L164" s="407"/>
      <c r="M164" s="407"/>
      <c r="N164" s="402"/>
      <c r="O164" s="402"/>
      <c r="Q164" s="1258"/>
      <c r="U164" s="1259"/>
    </row>
    <row r="165" spans="2:21" ht="13.5" customHeight="1" x14ac:dyDescent="0.3">
      <c r="C165" s="407"/>
      <c r="D165" s="407"/>
      <c r="E165" s="407"/>
      <c r="F165" s="407"/>
      <c r="G165" s="407"/>
      <c r="H165" s="407"/>
      <c r="I165" s="407"/>
      <c r="J165" s="407"/>
      <c r="K165" s="407"/>
      <c r="L165" s="407"/>
      <c r="M165" s="407"/>
      <c r="N165" s="402"/>
      <c r="O165" s="402"/>
      <c r="Q165" s="1258"/>
      <c r="U165" s="1259"/>
    </row>
    <row r="166" spans="2:21" ht="13.5" customHeight="1" x14ac:dyDescent="0.3">
      <c r="C166" s="407"/>
      <c r="D166" s="407"/>
      <c r="E166" s="407"/>
      <c r="F166" s="407"/>
      <c r="G166" s="407"/>
      <c r="H166" s="407"/>
      <c r="I166" s="407"/>
      <c r="J166" s="407"/>
      <c r="K166" s="407"/>
      <c r="L166" s="407"/>
      <c r="M166" s="407"/>
      <c r="N166" s="402"/>
      <c r="O166" s="402"/>
      <c r="Q166" s="1258"/>
      <c r="U166" s="1259"/>
    </row>
    <row r="167" spans="2:21" ht="13.5" customHeight="1" x14ac:dyDescent="0.3">
      <c r="C167" s="407"/>
      <c r="D167" s="407"/>
      <c r="E167" s="407"/>
      <c r="F167" s="407"/>
      <c r="G167" s="407"/>
      <c r="H167" s="407"/>
      <c r="I167" s="407"/>
      <c r="J167" s="407"/>
      <c r="K167" s="407"/>
      <c r="L167" s="407"/>
      <c r="M167" s="407"/>
      <c r="N167" s="402"/>
      <c r="O167" s="402"/>
      <c r="Q167" s="1258"/>
      <c r="U167" s="1259"/>
    </row>
    <row r="168" spans="2:21" ht="13.5" customHeight="1" x14ac:dyDescent="0.3">
      <c r="C168" s="407"/>
      <c r="D168" s="407"/>
      <c r="E168" s="407"/>
      <c r="F168" s="407"/>
      <c r="G168" s="407"/>
      <c r="H168" s="407"/>
      <c r="I168" s="407"/>
      <c r="J168" s="407"/>
      <c r="K168" s="407"/>
      <c r="L168" s="407"/>
      <c r="M168" s="407"/>
      <c r="N168" s="402"/>
      <c r="O168" s="402"/>
      <c r="Q168" s="1258"/>
      <c r="U168" s="1259"/>
    </row>
    <row r="169" spans="2:21" ht="13.5" customHeight="1" x14ac:dyDescent="0.3">
      <c r="C169" s="407"/>
      <c r="D169" s="407"/>
      <c r="E169" s="407"/>
      <c r="F169" s="407"/>
      <c r="G169" s="407"/>
      <c r="H169" s="407"/>
      <c r="I169" s="407"/>
      <c r="J169" s="407"/>
      <c r="K169" s="407"/>
      <c r="L169" s="407"/>
      <c r="M169" s="407"/>
      <c r="N169" s="402"/>
      <c r="O169" s="402"/>
      <c r="Q169" s="1258"/>
      <c r="U169" s="1259"/>
    </row>
    <row r="170" spans="2:21" ht="13.5" customHeight="1" x14ac:dyDescent="0.3">
      <c r="C170" s="407"/>
      <c r="D170" s="407"/>
      <c r="E170" s="407"/>
      <c r="F170" s="407"/>
      <c r="G170" s="407"/>
      <c r="H170" s="407"/>
      <c r="I170" s="407"/>
      <c r="J170" s="407"/>
      <c r="K170" s="407"/>
      <c r="L170" s="407"/>
      <c r="M170" s="407"/>
      <c r="N170" s="402"/>
      <c r="O170" s="402"/>
      <c r="Q170" s="1258"/>
      <c r="U170" s="1259"/>
    </row>
    <row r="171" spans="2:21" ht="13.5" customHeight="1" x14ac:dyDescent="0.3">
      <c r="C171" s="407"/>
      <c r="D171" s="407"/>
      <c r="E171" s="407"/>
      <c r="F171" s="407"/>
      <c r="G171" s="407"/>
      <c r="H171" s="407"/>
      <c r="I171" s="407"/>
      <c r="J171" s="407"/>
      <c r="K171" s="407"/>
      <c r="L171" s="407"/>
      <c r="M171" s="407"/>
      <c r="N171" s="402"/>
      <c r="O171" s="402"/>
      <c r="Q171" s="1258"/>
      <c r="U171" s="1259"/>
    </row>
    <row r="172" spans="2:21" ht="13.5" customHeight="1" x14ac:dyDescent="0.3">
      <c r="C172" s="407"/>
      <c r="D172" s="407"/>
      <c r="E172" s="407"/>
      <c r="F172" s="407"/>
      <c r="G172" s="407"/>
      <c r="H172" s="407"/>
      <c r="I172" s="407"/>
      <c r="J172" s="407"/>
      <c r="K172" s="407"/>
      <c r="L172" s="407"/>
      <c r="M172" s="407"/>
      <c r="N172" s="402"/>
      <c r="O172" s="402"/>
      <c r="Q172" s="1258"/>
      <c r="U172" s="1259"/>
    </row>
    <row r="173" spans="2:21" ht="13.5" customHeight="1" x14ac:dyDescent="0.3">
      <c r="C173" s="407"/>
      <c r="D173" s="407"/>
      <c r="E173" s="407"/>
      <c r="F173" s="407"/>
      <c r="G173" s="407"/>
      <c r="H173" s="407"/>
      <c r="I173" s="407"/>
      <c r="J173" s="407"/>
      <c r="K173" s="407"/>
      <c r="L173" s="407"/>
      <c r="M173" s="407"/>
      <c r="N173" s="402"/>
      <c r="O173" s="402"/>
      <c r="Q173" s="1258"/>
      <c r="U173" s="1259"/>
    </row>
    <row r="174" spans="2:21" ht="13.5" customHeight="1" x14ac:dyDescent="0.3">
      <c r="C174" s="407"/>
      <c r="D174" s="407"/>
      <c r="E174" s="407"/>
      <c r="F174" s="407"/>
      <c r="G174" s="407"/>
      <c r="H174" s="407"/>
      <c r="I174" s="407"/>
      <c r="J174" s="407"/>
      <c r="K174" s="407"/>
      <c r="L174" s="407"/>
      <c r="M174" s="407"/>
      <c r="N174" s="402"/>
      <c r="O174" s="402"/>
      <c r="Q174" s="1258"/>
      <c r="U174" s="1259"/>
    </row>
    <row r="175" spans="2:21" ht="13.5" customHeight="1" x14ac:dyDescent="0.3">
      <c r="C175" s="407"/>
      <c r="D175" s="407"/>
      <c r="E175" s="407"/>
      <c r="F175" s="407"/>
      <c r="G175" s="407"/>
      <c r="H175" s="407"/>
      <c r="I175" s="407"/>
      <c r="J175" s="407"/>
      <c r="K175" s="407"/>
      <c r="L175" s="407"/>
      <c r="M175" s="407"/>
      <c r="N175" s="402"/>
      <c r="O175" s="402"/>
      <c r="Q175" s="1258"/>
      <c r="U175" s="1259"/>
    </row>
    <row r="176" spans="2:21" ht="13.5" customHeight="1" x14ac:dyDescent="0.3">
      <c r="C176" s="407"/>
      <c r="D176" s="407"/>
      <c r="E176" s="407"/>
      <c r="F176" s="407"/>
      <c r="G176" s="407"/>
      <c r="H176" s="407"/>
      <c r="I176" s="407"/>
      <c r="J176" s="407"/>
      <c r="K176" s="407"/>
      <c r="L176" s="407"/>
      <c r="M176" s="407"/>
      <c r="N176" s="402"/>
      <c r="O176" s="402"/>
      <c r="Q176" s="1258"/>
      <c r="U176" s="1259"/>
    </row>
    <row r="177" spans="3:21" ht="13.5" customHeight="1" x14ac:dyDescent="0.3">
      <c r="C177" s="407"/>
      <c r="D177" s="407"/>
      <c r="E177" s="407"/>
      <c r="F177" s="407"/>
      <c r="G177" s="407"/>
      <c r="H177" s="407"/>
      <c r="I177" s="407"/>
      <c r="J177" s="407"/>
      <c r="K177" s="407"/>
      <c r="L177" s="407"/>
      <c r="M177" s="407"/>
      <c r="N177" s="402"/>
      <c r="O177" s="402"/>
      <c r="Q177" s="1258"/>
      <c r="U177" s="1259"/>
    </row>
    <row r="178" spans="3:21" ht="13.5" customHeight="1" x14ac:dyDescent="0.3">
      <c r="C178" s="407"/>
      <c r="D178" s="407"/>
      <c r="E178" s="407"/>
      <c r="F178" s="407"/>
      <c r="G178" s="407"/>
      <c r="H178" s="407"/>
      <c r="I178" s="407"/>
      <c r="J178" s="407"/>
      <c r="K178" s="407"/>
      <c r="L178" s="407"/>
      <c r="M178" s="407"/>
      <c r="N178" s="402"/>
      <c r="O178" s="402"/>
      <c r="Q178" s="1258"/>
      <c r="U178" s="1259"/>
    </row>
    <row r="179" spans="3:21" ht="13.5" customHeight="1" x14ac:dyDescent="0.3">
      <c r="C179" s="407"/>
      <c r="D179" s="407"/>
      <c r="E179" s="407"/>
      <c r="F179" s="407"/>
      <c r="G179" s="407"/>
      <c r="H179" s="407"/>
      <c r="I179" s="407"/>
      <c r="J179" s="407"/>
      <c r="K179" s="407"/>
      <c r="L179" s="407"/>
      <c r="M179" s="407"/>
      <c r="N179" s="402"/>
      <c r="O179" s="402"/>
      <c r="Q179" s="1258"/>
      <c r="U179" s="1259"/>
    </row>
    <row r="180" spans="3:21" ht="13.5" customHeight="1" x14ac:dyDescent="0.3">
      <c r="C180" s="407"/>
      <c r="D180" s="407"/>
      <c r="E180" s="407"/>
      <c r="F180" s="407"/>
      <c r="G180" s="407"/>
      <c r="H180" s="407"/>
      <c r="I180" s="407"/>
      <c r="J180" s="407"/>
      <c r="K180" s="407"/>
      <c r="L180" s="407"/>
      <c r="M180" s="407"/>
      <c r="N180" s="402"/>
      <c r="O180" s="402"/>
      <c r="Q180" s="1258"/>
      <c r="U180" s="1259"/>
    </row>
    <row r="181" spans="3:21" ht="13.5" customHeight="1" x14ac:dyDescent="0.3">
      <c r="C181" s="407"/>
      <c r="D181" s="407"/>
      <c r="E181" s="407"/>
      <c r="F181" s="407"/>
      <c r="G181" s="407"/>
      <c r="H181" s="407"/>
      <c r="I181" s="407"/>
      <c r="J181" s="407"/>
      <c r="K181" s="407"/>
      <c r="L181" s="407"/>
      <c r="M181" s="407"/>
      <c r="N181" s="402"/>
      <c r="O181" s="402"/>
      <c r="Q181" s="1258"/>
      <c r="U181" s="1259"/>
    </row>
    <row r="182" spans="3:21" ht="13.5" customHeight="1" x14ac:dyDescent="0.3">
      <c r="C182" s="407"/>
      <c r="D182" s="407"/>
      <c r="E182" s="407"/>
      <c r="F182" s="407"/>
      <c r="G182" s="407"/>
      <c r="H182" s="407"/>
      <c r="I182" s="407"/>
      <c r="J182" s="407"/>
      <c r="K182" s="407"/>
      <c r="L182" s="407"/>
      <c r="M182" s="407"/>
      <c r="N182" s="402"/>
      <c r="O182" s="402"/>
      <c r="Q182" s="1258"/>
      <c r="U182" s="1259"/>
    </row>
    <row r="183" spans="3:21" ht="13.5" customHeight="1" x14ac:dyDescent="0.3">
      <c r="C183" s="407"/>
      <c r="D183" s="407"/>
      <c r="E183" s="407"/>
      <c r="F183" s="407"/>
      <c r="G183" s="407"/>
      <c r="H183" s="407"/>
      <c r="I183" s="407"/>
      <c r="J183" s="407"/>
      <c r="K183" s="407"/>
      <c r="L183" s="407"/>
      <c r="M183" s="407"/>
      <c r="N183" s="402"/>
      <c r="O183" s="402"/>
      <c r="Q183" s="1258"/>
      <c r="U183" s="1259"/>
    </row>
    <row r="184" spans="3:21" ht="13.5" customHeight="1" x14ac:dyDescent="0.3">
      <c r="C184" s="407"/>
      <c r="D184" s="407"/>
      <c r="E184" s="407"/>
      <c r="F184" s="407"/>
      <c r="G184" s="407"/>
      <c r="H184" s="407"/>
      <c r="I184" s="407"/>
      <c r="J184" s="407"/>
      <c r="K184" s="407"/>
      <c r="L184" s="407"/>
      <c r="M184" s="407"/>
      <c r="N184" s="402"/>
      <c r="O184" s="402"/>
      <c r="Q184" s="1258"/>
      <c r="U184" s="1259"/>
    </row>
    <row r="185" spans="3:21" ht="13.5" customHeight="1" x14ac:dyDescent="0.3">
      <c r="C185" s="407"/>
      <c r="D185" s="407"/>
      <c r="E185" s="407"/>
      <c r="F185" s="407"/>
      <c r="G185" s="407"/>
      <c r="H185" s="407"/>
      <c r="I185" s="407"/>
      <c r="J185" s="407"/>
      <c r="K185" s="407"/>
      <c r="L185" s="407"/>
      <c r="M185" s="407"/>
      <c r="N185" s="402"/>
      <c r="O185" s="402"/>
    </row>
    <row r="186" spans="3:21" ht="13.5" customHeight="1" x14ac:dyDescent="0.3">
      <c r="C186" s="407"/>
      <c r="D186" s="407"/>
      <c r="E186" s="407"/>
      <c r="F186" s="407"/>
      <c r="G186" s="407"/>
      <c r="H186" s="407"/>
      <c r="I186" s="407"/>
      <c r="J186" s="407"/>
      <c r="K186" s="407"/>
      <c r="L186" s="407"/>
      <c r="M186" s="407"/>
      <c r="N186" s="402"/>
      <c r="O186" s="402"/>
    </row>
    <row r="187" spans="3:21" ht="13.5" customHeight="1" x14ac:dyDescent="0.3">
      <c r="C187" s="407"/>
      <c r="D187" s="407"/>
      <c r="E187" s="407"/>
      <c r="F187" s="407"/>
      <c r="G187" s="407"/>
      <c r="H187" s="407"/>
      <c r="I187" s="407"/>
      <c r="J187" s="407"/>
      <c r="K187" s="407"/>
      <c r="L187" s="407"/>
      <c r="M187" s="407"/>
      <c r="N187" s="402"/>
      <c r="O187" s="402"/>
    </row>
    <row r="188" spans="3:21" ht="13.5" customHeight="1" x14ac:dyDescent="0.3">
      <c r="C188" s="407"/>
      <c r="D188" s="407"/>
      <c r="E188" s="407"/>
      <c r="F188" s="407"/>
      <c r="G188" s="407"/>
      <c r="H188" s="407"/>
      <c r="I188" s="407"/>
      <c r="J188" s="407"/>
      <c r="K188" s="407"/>
      <c r="L188" s="407"/>
      <c r="M188" s="407"/>
      <c r="N188" s="402"/>
      <c r="O188" s="402"/>
    </row>
    <row r="189" spans="3:21" ht="13.5" customHeight="1" x14ac:dyDescent="0.3">
      <c r="C189" s="407"/>
      <c r="D189" s="407"/>
      <c r="E189" s="407"/>
      <c r="F189" s="407"/>
      <c r="G189" s="407"/>
      <c r="H189" s="407"/>
      <c r="I189" s="407"/>
      <c r="J189" s="407"/>
      <c r="K189" s="407"/>
      <c r="L189" s="407"/>
      <c r="M189" s="407"/>
      <c r="N189" s="402"/>
      <c r="O189" s="402"/>
    </row>
    <row r="190" spans="3:21" ht="13.5" customHeight="1" x14ac:dyDescent="0.3">
      <c r="C190" s="407"/>
      <c r="D190" s="407"/>
      <c r="E190" s="407"/>
      <c r="F190" s="407"/>
      <c r="G190" s="407"/>
      <c r="H190" s="407"/>
      <c r="I190" s="407"/>
      <c r="J190" s="407"/>
      <c r="K190" s="407"/>
      <c r="L190" s="407"/>
      <c r="M190" s="407"/>
      <c r="N190" s="402"/>
      <c r="O190" s="402"/>
    </row>
    <row r="191" spans="3:21" ht="13.5" customHeight="1" x14ac:dyDescent="0.3">
      <c r="C191" s="407"/>
      <c r="D191" s="407"/>
      <c r="E191" s="407"/>
      <c r="F191" s="407"/>
      <c r="G191" s="407"/>
      <c r="H191" s="407"/>
      <c r="I191" s="407"/>
      <c r="J191" s="407"/>
      <c r="K191" s="407"/>
      <c r="L191" s="407"/>
      <c r="M191" s="407"/>
      <c r="N191" s="402"/>
      <c r="O191" s="402"/>
    </row>
    <row r="192" spans="3:21" ht="13.5" customHeight="1" x14ac:dyDescent="0.3">
      <c r="C192" s="407"/>
      <c r="D192" s="407"/>
      <c r="E192" s="407"/>
      <c r="F192" s="407"/>
      <c r="G192" s="407"/>
      <c r="H192" s="407"/>
      <c r="I192" s="407"/>
      <c r="J192" s="407"/>
      <c r="K192" s="407"/>
      <c r="L192" s="407"/>
      <c r="M192" s="407"/>
      <c r="N192" s="402"/>
      <c r="O192" s="402"/>
    </row>
    <row r="193" spans="3:15" ht="13.5" customHeight="1" x14ac:dyDescent="0.3">
      <c r="C193" s="407"/>
      <c r="D193" s="407"/>
      <c r="E193" s="407"/>
      <c r="F193" s="407"/>
      <c r="G193" s="407"/>
      <c r="H193" s="407"/>
      <c r="I193" s="407"/>
      <c r="J193" s="407"/>
      <c r="K193" s="407"/>
      <c r="L193" s="407"/>
      <c r="M193" s="407"/>
      <c r="N193" s="402"/>
      <c r="O193" s="402"/>
    </row>
    <row r="194" spans="3:15" ht="13.5" customHeight="1" x14ac:dyDescent="0.3">
      <c r="C194" s="407"/>
      <c r="D194" s="407"/>
      <c r="E194" s="407"/>
      <c r="F194" s="407"/>
      <c r="G194" s="407"/>
      <c r="H194" s="407"/>
      <c r="I194" s="407"/>
      <c r="J194" s="407"/>
      <c r="K194" s="407"/>
      <c r="L194" s="407"/>
      <c r="M194" s="407"/>
      <c r="N194" s="402"/>
      <c r="O194" s="402"/>
    </row>
    <row r="195" spans="3:15" ht="13.5" customHeight="1" x14ac:dyDescent="0.3">
      <c r="C195" s="407"/>
      <c r="D195" s="407"/>
      <c r="E195" s="407"/>
      <c r="F195" s="407"/>
      <c r="G195" s="407"/>
      <c r="H195" s="407"/>
      <c r="I195" s="407"/>
      <c r="J195" s="407"/>
      <c r="K195" s="407"/>
      <c r="L195" s="407"/>
      <c r="M195" s="407"/>
      <c r="N195" s="402"/>
      <c r="O195" s="402"/>
    </row>
    <row r="196" spans="3:15" ht="13.5" customHeight="1" x14ac:dyDescent="0.3">
      <c r="C196" s="407"/>
      <c r="D196" s="407"/>
      <c r="E196" s="407"/>
      <c r="F196" s="407"/>
      <c r="G196" s="407"/>
      <c r="H196" s="407"/>
      <c r="I196" s="407"/>
      <c r="J196" s="407"/>
      <c r="K196" s="407"/>
      <c r="L196" s="407"/>
      <c r="M196" s="407"/>
      <c r="N196" s="402"/>
      <c r="O196" s="402"/>
    </row>
    <row r="197" spans="3:15" ht="13.5" customHeight="1" x14ac:dyDescent="0.3">
      <c r="C197" s="407"/>
      <c r="D197" s="407"/>
      <c r="E197" s="407"/>
      <c r="F197" s="407"/>
      <c r="G197" s="407"/>
      <c r="H197" s="407"/>
      <c r="I197" s="407"/>
      <c r="J197" s="407"/>
      <c r="K197" s="407"/>
      <c r="L197" s="407"/>
      <c r="M197" s="407"/>
      <c r="N197" s="402"/>
      <c r="O197" s="402"/>
    </row>
    <row r="198" spans="3:15" ht="13.5" customHeight="1" x14ac:dyDescent="0.3">
      <c r="C198" s="407"/>
      <c r="D198" s="407"/>
      <c r="E198" s="407"/>
      <c r="F198" s="407"/>
      <c r="G198" s="407"/>
      <c r="H198" s="407"/>
      <c r="I198" s="407"/>
      <c r="J198" s="407"/>
      <c r="K198" s="407"/>
      <c r="L198" s="407"/>
      <c r="M198" s="407"/>
      <c r="N198" s="402"/>
      <c r="O198" s="402"/>
    </row>
    <row r="199" spans="3:15" ht="13.5" customHeight="1" x14ac:dyDescent="0.3">
      <c r="C199" s="407"/>
      <c r="D199" s="407"/>
      <c r="E199" s="407"/>
      <c r="F199" s="407"/>
      <c r="G199" s="407"/>
      <c r="H199" s="407"/>
      <c r="I199" s="407"/>
      <c r="J199" s="407"/>
      <c r="K199" s="407"/>
      <c r="L199" s="407"/>
      <c r="M199" s="407"/>
      <c r="N199" s="402"/>
      <c r="O199" s="402"/>
    </row>
    <row r="200" spans="3:15" ht="13.5" customHeight="1" x14ac:dyDescent="0.3">
      <c r="C200" s="407"/>
      <c r="D200" s="407"/>
      <c r="E200" s="407"/>
      <c r="F200" s="407"/>
      <c r="G200" s="407"/>
      <c r="H200" s="407"/>
      <c r="I200" s="407"/>
      <c r="J200" s="407"/>
      <c r="K200" s="407"/>
      <c r="L200" s="407"/>
      <c r="M200" s="407"/>
      <c r="N200" s="402"/>
      <c r="O200" s="402"/>
    </row>
    <row r="201" spans="3:15" ht="13.5" customHeight="1" x14ac:dyDescent="0.3">
      <c r="C201" s="407"/>
      <c r="D201" s="407"/>
      <c r="E201" s="407"/>
      <c r="F201" s="407"/>
      <c r="G201" s="407"/>
      <c r="H201" s="407"/>
      <c r="I201" s="407"/>
      <c r="J201" s="407"/>
      <c r="K201" s="407"/>
      <c r="L201" s="407"/>
      <c r="M201" s="407"/>
      <c r="N201" s="402"/>
      <c r="O201" s="402"/>
    </row>
    <row r="202" spans="3:15" ht="13.5" customHeight="1" x14ac:dyDescent="0.3">
      <c r="C202" s="407"/>
      <c r="D202" s="407"/>
      <c r="E202" s="407"/>
      <c r="F202" s="407"/>
      <c r="G202" s="407"/>
      <c r="H202" s="407"/>
      <c r="I202" s="407"/>
      <c r="J202" s="407"/>
      <c r="K202" s="407"/>
      <c r="L202" s="407"/>
      <c r="M202" s="407"/>
      <c r="N202" s="402"/>
      <c r="O202" s="402"/>
    </row>
    <row r="203" spans="3:15" ht="13.5" customHeight="1" x14ac:dyDescent="0.3">
      <c r="C203" s="407"/>
      <c r="D203" s="407"/>
      <c r="E203" s="407"/>
      <c r="F203" s="407"/>
      <c r="G203" s="407"/>
      <c r="H203" s="407"/>
      <c r="I203" s="407"/>
      <c r="J203" s="407"/>
      <c r="K203" s="407"/>
      <c r="L203" s="407"/>
      <c r="M203" s="407"/>
      <c r="N203" s="402"/>
      <c r="O203" s="402"/>
    </row>
    <row r="204" spans="3:15" ht="13.5" customHeight="1" x14ac:dyDescent="0.3">
      <c r="C204" s="407"/>
      <c r="D204" s="407"/>
      <c r="E204" s="407"/>
      <c r="F204" s="407"/>
      <c r="G204" s="407"/>
      <c r="H204" s="407"/>
      <c r="I204" s="407"/>
      <c r="J204" s="407"/>
      <c r="K204" s="407"/>
      <c r="L204" s="407"/>
      <c r="M204" s="407"/>
      <c r="N204" s="402"/>
      <c r="O204" s="402"/>
    </row>
    <row r="205" spans="3:15" ht="13.5" customHeight="1" x14ac:dyDescent="0.3">
      <c r="C205" s="407"/>
      <c r="D205" s="407"/>
      <c r="E205" s="407"/>
      <c r="F205" s="407"/>
      <c r="G205" s="407"/>
      <c r="H205" s="407"/>
      <c r="I205" s="407"/>
      <c r="J205" s="407"/>
      <c r="K205" s="407"/>
      <c r="L205" s="407"/>
      <c r="M205" s="407"/>
      <c r="N205" s="402"/>
      <c r="O205" s="402"/>
    </row>
    <row r="206" spans="3:15" ht="13.5" customHeight="1" x14ac:dyDescent="0.3">
      <c r="C206" s="407"/>
      <c r="D206" s="407"/>
      <c r="E206" s="407"/>
      <c r="F206" s="407"/>
      <c r="G206" s="407"/>
      <c r="H206" s="407"/>
      <c r="I206" s="407"/>
      <c r="J206" s="407"/>
      <c r="K206" s="407"/>
      <c r="L206" s="407"/>
      <c r="M206" s="407"/>
      <c r="N206" s="402"/>
      <c r="O206" s="402"/>
    </row>
    <row r="207" spans="3:15" ht="13.5" customHeight="1" x14ac:dyDescent="0.3">
      <c r="C207" s="407"/>
      <c r="D207" s="407"/>
      <c r="E207" s="407"/>
      <c r="F207" s="407"/>
      <c r="G207" s="407"/>
      <c r="H207" s="407"/>
      <c r="I207" s="407"/>
      <c r="J207" s="407"/>
      <c r="K207" s="407"/>
      <c r="L207" s="407"/>
      <c r="M207" s="407"/>
      <c r="N207" s="402"/>
      <c r="O207" s="402"/>
    </row>
    <row r="208" spans="3:15" ht="13.5" customHeight="1" x14ac:dyDescent="0.3">
      <c r="C208" s="407"/>
      <c r="D208" s="407"/>
      <c r="E208" s="407"/>
      <c r="F208" s="407"/>
      <c r="G208" s="407"/>
      <c r="H208" s="407"/>
      <c r="I208" s="407"/>
      <c r="J208" s="407"/>
      <c r="K208" s="407"/>
      <c r="L208" s="407"/>
      <c r="M208" s="407"/>
      <c r="N208" s="402"/>
      <c r="O208" s="402"/>
    </row>
    <row r="209" spans="3:15" ht="13.5" customHeight="1" x14ac:dyDescent="0.3">
      <c r="C209" s="407"/>
      <c r="D209" s="407"/>
      <c r="E209" s="407"/>
      <c r="F209" s="407"/>
      <c r="G209" s="407"/>
      <c r="H209" s="407"/>
      <c r="I209" s="407"/>
      <c r="J209" s="407"/>
      <c r="K209" s="407"/>
      <c r="L209" s="407"/>
      <c r="M209" s="407"/>
      <c r="N209" s="402"/>
      <c r="O209" s="402"/>
    </row>
    <row r="210" spans="3:15" ht="13.5" customHeight="1" x14ac:dyDescent="0.3">
      <c r="C210" s="407"/>
      <c r="D210" s="407"/>
      <c r="E210" s="407"/>
      <c r="F210" s="407"/>
      <c r="G210" s="407"/>
      <c r="H210" s="407"/>
      <c r="I210" s="407"/>
      <c r="J210" s="407"/>
      <c r="K210" s="407"/>
      <c r="L210" s="407"/>
      <c r="M210" s="407"/>
      <c r="N210" s="402"/>
      <c r="O210" s="402"/>
    </row>
    <row r="211" spans="3:15" ht="13.5" customHeight="1" x14ac:dyDescent="0.3">
      <c r="C211" s="407"/>
      <c r="D211" s="407"/>
      <c r="E211" s="407"/>
      <c r="F211" s="407"/>
      <c r="G211" s="407"/>
      <c r="H211" s="407"/>
      <c r="I211" s="407"/>
      <c r="J211" s="407"/>
      <c r="K211" s="407"/>
      <c r="L211" s="407"/>
      <c r="M211" s="407"/>
      <c r="N211" s="402"/>
      <c r="O211" s="402"/>
    </row>
    <row r="212" spans="3:15" ht="13.5" customHeight="1" x14ac:dyDescent="0.3">
      <c r="C212" s="407"/>
      <c r="D212" s="407"/>
      <c r="E212" s="407"/>
      <c r="F212" s="407"/>
      <c r="G212" s="407"/>
      <c r="H212" s="407"/>
      <c r="I212" s="407"/>
      <c r="J212" s="407"/>
      <c r="K212" s="407"/>
      <c r="L212" s="407"/>
      <c r="M212" s="407"/>
      <c r="N212" s="402"/>
      <c r="O212" s="402"/>
    </row>
    <row r="213" spans="3:15" ht="13.5" customHeight="1" x14ac:dyDescent="0.3">
      <c r="C213" s="407"/>
      <c r="D213" s="407"/>
      <c r="E213" s="407"/>
      <c r="F213" s="407"/>
      <c r="G213" s="407"/>
      <c r="H213" s="407"/>
      <c r="I213" s="407"/>
      <c r="J213" s="407"/>
      <c r="K213" s="407"/>
      <c r="L213" s="407"/>
      <c r="M213" s="407"/>
      <c r="N213" s="402"/>
      <c r="O213" s="402"/>
    </row>
    <row r="214" spans="3:15" ht="13.5" customHeight="1" x14ac:dyDescent="0.3">
      <c r="C214" s="407"/>
      <c r="D214" s="407"/>
      <c r="E214" s="407"/>
      <c r="F214" s="407"/>
      <c r="G214" s="407"/>
      <c r="H214" s="407"/>
      <c r="I214" s="407"/>
      <c r="J214" s="407"/>
      <c r="K214" s="407"/>
      <c r="L214" s="407"/>
      <c r="M214" s="407"/>
      <c r="N214" s="402"/>
      <c r="O214" s="402"/>
    </row>
    <row r="215" spans="3:15" ht="13.5" customHeight="1" x14ac:dyDescent="0.3">
      <c r="C215" s="407"/>
      <c r="D215" s="407"/>
      <c r="E215" s="407"/>
      <c r="F215" s="407"/>
      <c r="G215" s="407"/>
      <c r="H215" s="407"/>
      <c r="I215" s="407"/>
      <c r="J215" s="407"/>
      <c r="K215" s="407"/>
      <c r="L215" s="407"/>
      <c r="M215" s="407"/>
      <c r="N215" s="402"/>
      <c r="O215" s="402"/>
    </row>
    <row r="216" spans="3:15" ht="13.5" customHeight="1" x14ac:dyDescent="0.3">
      <c r="C216" s="407"/>
      <c r="D216" s="407"/>
      <c r="E216" s="407"/>
      <c r="F216" s="407"/>
      <c r="G216" s="407"/>
      <c r="H216" s="407"/>
      <c r="I216" s="407"/>
      <c r="J216" s="407"/>
      <c r="K216" s="407"/>
      <c r="L216" s="407"/>
      <c r="M216" s="407"/>
      <c r="N216" s="402"/>
      <c r="O216" s="402"/>
    </row>
    <row r="217" spans="3:15" ht="13.5" customHeight="1" x14ac:dyDescent="0.3">
      <c r="C217" s="407"/>
      <c r="D217" s="407"/>
      <c r="E217" s="407"/>
      <c r="F217" s="407"/>
      <c r="G217" s="407"/>
      <c r="H217" s="407"/>
      <c r="I217" s="407"/>
      <c r="J217" s="407"/>
      <c r="K217" s="407"/>
      <c r="L217" s="407"/>
      <c r="M217" s="407"/>
      <c r="N217" s="402"/>
      <c r="O217" s="402"/>
    </row>
    <row r="218" spans="3:15" ht="13.5" customHeight="1" x14ac:dyDescent="0.3">
      <c r="C218" s="407"/>
      <c r="D218" s="407"/>
      <c r="E218" s="407"/>
      <c r="F218" s="407"/>
      <c r="G218" s="407"/>
      <c r="H218" s="407"/>
      <c r="I218" s="407"/>
      <c r="J218" s="407"/>
      <c r="K218" s="407"/>
      <c r="L218" s="407"/>
      <c r="M218" s="407"/>
      <c r="N218" s="402"/>
      <c r="O218" s="402"/>
    </row>
    <row r="219" spans="3:15" ht="13.5" customHeight="1" x14ac:dyDescent="0.3">
      <c r="C219" s="407"/>
      <c r="D219" s="407"/>
      <c r="E219" s="407"/>
      <c r="F219" s="407"/>
      <c r="G219" s="407"/>
      <c r="H219" s="407"/>
      <c r="I219" s="407"/>
      <c r="J219" s="407"/>
      <c r="K219" s="407"/>
      <c r="L219" s="407"/>
      <c r="M219" s="407"/>
      <c r="N219" s="402"/>
      <c r="O219" s="402"/>
    </row>
    <row r="220" spans="3:15" ht="13.5" customHeight="1" x14ac:dyDescent="0.3">
      <c r="C220" s="407"/>
      <c r="D220" s="407"/>
      <c r="E220" s="407"/>
      <c r="F220" s="407"/>
      <c r="G220" s="407"/>
      <c r="H220" s="407"/>
      <c r="I220" s="407"/>
      <c r="J220" s="407"/>
      <c r="K220" s="407"/>
      <c r="L220" s="407"/>
      <c r="M220" s="407"/>
      <c r="N220" s="402"/>
      <c r="O220" s="402"/>
    </row>
    <row r="221" spans="3:15" ht="13.5" customHeight="1" x14ac:dyDescent="0.3">
      <c r="C221" s="407"/>
      <c r="D221" s="407"/>
      <c r="E221" s="407"/>
      <c r="F221" s="407"/>
      <c r="G221" s="407"/>
      <c r="H221" s="407"/>
      <c r="I221" s="407"/>
      <c r="J221" s="407"/>
      <c r="K221" s="407"/>
      <c r="L221" s="407"/>
      <c r="M221" s="407"/>
      <c r="N221" s="402"/>
      <c r="O221" s="402"/>
    </row>
    <row r="222" spans="3:15" ht="13.5" customHeight="1" x14ac:dyDescent="0.3">
      <c r="C222" s="407"/>
      <c r="D222" s="407"/>
      <c r="E222" s="407"/>
      <c r="F222" s="407"/>
      <c r="G222" s="407"/>
      <c r="H222" s="407"/>
      <c r="I222" s="407"/>
      <c r="J222" s="407"/>
      <c r="K222" s="407"/>
      <c r="L222" s="407"/>
      <c r="M222" s="407"/>
      <c r="N222" s="402"/>
      <c r="O222" s="402"/>
    </row>
    <row r="223" spans="3:15" ht="13.5" customHeight="1" x14ac:dyDescent="0.3">
      <c r="C223" s="407"/>
      <c r="D223" s="407"/>
      <c r="E223" s="407"/>
      <c r="F223" s="407"/>
      <c r="G223" s="407"/>
      <c r="H223" s="407"/>
      <c r="I223" s="407"/>
      <c r="J223" s="407"/>
      <c r="K223" s="407"/>
      <c r="L223" s="407"/>
      <c r="M223" s="407"/>
      <c r="N223" s="402"/>
      <c r="O223" s="402"/>
    </row>
    <row r="224" spans="3:15" ht="13.5" customHeight="1" x14ac:dyDescent="0.3">
      <c r="C224" s="407"/>
      <c r="D224" s="407"/>
      <c r="E224" s="407"/>
      <c r="F224" s="407"/>
      <c r="G224" s="407"/>
      <c r="H224" s="407"/>
      <c r="I224" s="407"/>
      <c r="J224" s="407"/>
      <c r="K224" s="407"/>
      <c r="L224" s="407"/>
      <c r="M224" s="407"/>
      <c r="N224" s="402"/>
      <c r="O224" s="402"/>
    </row>
    <row r="225" spans="3:15" ht="13.5" customHeight="1" x14ac:dyDescent="0.3">
      <c r="C225" s="407"/>
      <c r="D225" s="407"/>
      <c r="E225" s="407"/>
      <c r="F225" s="407"/>
      <c r="G225" s="407"/>
      <c r="H225" s="407"/>
      <c r="I225" s="407"/>
      <c r="J225" s="407"/>
      <c r="K225" s="407"/>
      <c r="L225" s="407"/>
      <c r="M225" s="407"/>
      <c r="N225" s="402"/>
      <c r="O225" s="402"/>
    </row>
    <row r="226" spans="3:15" ht="13.5" customHeight="1" x14ac:dyDescent="0.3">
      <c r="C226" s="407"/>
      <c r="D226" s="407"/>
      <c r="E226" s="407"/>
      <c r="F226" s="407"/>
      <c r="G226" s="407"/>
      <c r="H226" s="407"/>
      <c r="I226" s="407"/>
      <c r="J226" s="407"/>
      <c r="K226" s="407"/>
      <c r="L226" s="407"/>
      <c r="M226" s="407"/>
      <c r="N226" s="402"/>
      <c r="O226" s="402"/>
    </row>
    <row r="227" spans="3:15" ht="13.5" customHeight="1" x14ac:dyDescent="0.3">
      <c r="C227" s="407"/>
      <c r="D227" s="407"/>
      <c r="E227" s="407"/>
      <c r="F227" s="407"/>
      <c r="G227" s="407"/>
      <c r="H227" s="407"/>
      <c r="I227" s="407"/>
      <c r="J227" s="407"/>
      <c r="K227" s="407"/>
      <c r="L227" s="407"/>
      <c r="M227" s="407"/>
      <c r="N227" s="402"/>
      <c r="O227" s="402"/>
    </row>
    <row r="228" spans="3:15" ht="13.5" customHeight="1" x14ac:dyDescent="0.3">
      <c r="C228" s="407"/>
      <c r="D228" s="407"/>
      <c r="E228" s="407"/>
      <c r="F228" s="407"/>
      <c r="G228" s="407"/>
      <c r="H228" s="407"/>
      <c r="I228" s="407"/>
      <c r="J228" s="407"/>
      <c r="K228" s="407"/>
      <c r="L228" s="407"/>
      <c r="M228" s="407"/>
      <c r="N228" s="402"/>
      <c r="O228" s="402"/>
    </row>
    <row r="229" spans="3:15" ht="13.5" customHeight="1" x14ac:dyDescent="0.3">
      <c r="C229" s="407"/>
      <c r="D229" s="407"/>
      <c r="E229" s="407"/>
      <c r="F229" s="407"/>
      <c r="G229" s="407"/>
      <c r="H229" s="407"/>
      <c r="I229" s="407"/>
      <c r="J229" s="407"/>
      <c r="K229" s="407"/>
      <c r="L229" s="407"/>
      <c r="M229" s="407"/>
      <c r="N229" s="402"/>
      <c r="O229" s="402"/>
    </row>
    <row r="230" spans="3:15" ht="13.5" customHeight="1" x14ac:dyDescent="0.3">
      <c r="C230" s="407"/>
      <c r="D230" s="407"/>
      <c r="E230" s="407"/>
      <c r="F230" s="407"/>
      <c r="G230" s="407"/>
      <c r="H230" s="407"/>
      <c r="I230" s="407"/>
      <c r="J230" s="407"/>
      <c r="K230" s="407"/>
      <c r="L230" s="407"/>
      <c r="M230" s="407"/>
      <c r="N230" s="402"/>
      <c r="O230" s="402"/>
    </row>
    <row r="231" spans="3:15" ht="13.5" customHeight="1" x14ac:dyDescent="0.3">
      <c r="C231" s="407"/>
      <c r="D231" s="407"/>
      <c r="E231" s="407"/>
      <c r="F231" s="407"/>
      <c r="G231" s="407"/>
      <c r="H231" s="407"/>
      <c r="I231" s="407"/>
      <c r="J231" s="407"/>
      <c r="K231" s="407"/>
      <c r="L231" s="407"/>
      <c r="M231" s="407"/>
      <c r="N231" s="402"/>
      <c r="O231" s="402"/>
    </row>
    <row r="232" spans="3:15" ht="13.5" customHeight="1" x14ac:dyDescent="0.3">
      <c r="C232" s="407"/>
      <c r="D232" s="407"/>
      <c r="E232" s="407"/>
      <c r="F232" s="407"/>
      <c r="G232" s="407"/>
      <c r="H232" s="407"/>
      <c r="I232" s="407"/>
      <c r="J232" s="407"/>
      <c r="K232" s="407"/>
      <c r="L232" s="407"/>
      <c r="M232" s="407"/>
      <c r="N232" s="402"/>
      <c r="O232" s="402"/>
    </row>
    <row r="233" spans="3:15" ht="13.5" customHeight="1" x14ac:dyDescent="0.3">
      <c r="C233" s="407"/>
      <c r="D233" s="407"/>
      <c r="E233" s="407"/>
      <c r="F233" s="407"/>
      <c r="G233" s="407"/>
      <c r="H233" s="407"/>
      <c r="I233" s="407"/>
      <c r="J233" s="407"/>
      <c r="K233" s="407"/>
      <c r="L233" s="407"/>
      <c r="M233" s="407"/>
      <c r="N233" s="402"/>
      <c r="O233" s="402"/>
    </row>
    <row r="234" spans="3:15" ht="13.5" customHeight="1" x14ac:dyDescent="0.3">
      <c r="C234" s="407"/>
      <c r="D234" s="407"/>
      <c r="E234" s="407"/>
      <c r="F234" s="407"/>
      <c r="G234" s="407"/>
      <c r="H234" s="407"/>
      <c r="I234" s="407"/>
      <c r="J234" s="407"/>
      <c r="K234" s="407"/>
      <c r="L234" s="407"/>
      <c r="M234" s="407"/>
      <c r="N234" s="402"/>
      <c r="O234" s="402"/>
    </row>
    <row r="235" spans="3:15" ht="13.5" customHeight="1" x14ac:dyDescent="0.3">
      <c r="C235" s="407"/>
      <c r="D235" s="407"/>
      <c r="E235" s="407"/>
      <c r="F235" s="407"/>
      <c r="G235" s="407"/>
      <c r="H235" s="407"/>
      <c r="I235" s="407"/>
      <c r="J235" s="407"/>
      <c r="K235" s="407"/>
      <c r="L235" s="407"/>
      <c r="M235" s="407"/>
      <c r="N235" s="402"/>
      <c r="O235" s="402"/>
    </row>
    <row r="236" spans="3:15" ht="13.5" customHeight="1" x14ac:dyDescent="0.3">
      <c r="C236" s="407"/>
      <c r="D236" s="407"/>
      <c r="E236" s="407"/>
      <c r="F236" s="407"/>
      <c r="G236" s="407"/>
      <c r="H236" s="407"/>
      <c r="I236" s="407"/>
      <c r="J236" s="407"/>
      <c r="K236" s="407"/>
      <c r="L236" s="407"/>
      <c r="M236" s="407"/>
      <c r="N236" s="402"/>
      <c r="O236" s="402"/>
    </row>
    <row r="237" spans="3:15" ht="13.5" customHeight="1" x14ac:dyDescent="0.3">
      <c r="C237" s="407"/>
      <c r="D237" s="407"/>
      <c r="E237" s="407"/>
      <c r="F237" s="407"/>
      <c r="G237" s="407"/>
      <c r="H237" s="407"/>
      <c r="I237" s="407"/>
      <c r="J237" s="407"/>
      <c r="K237" s="407"/>
      <c r="L237" s="407"/>
      <c r="M237" s="407"/>
      <c r="N237" s="402"/>
      <c r="O237" s="402"/>
    </row>
    <row r="238" spans="3:15" ht="13.5" customHeight="1" x14ac:dyDescent="0.3">
      <c r="C238" s="407"/>
      <c r="D238" s="407"/>
      <c r="E238" s="407"/>
      <c r="F238" s="407"/>
      <c r="G238" s="407"/>
      <c r="H238" s="407"/>
      <c r="I238" s="407"/>
      <c r="J238" s="407"/>
      <c r="K238" s="407"/>
      <c r="L238" s="407"/>
      <c r="M238" s="407"/>
      <c r="N238" s="402"/>
      <c r="O238" s="402"/>
    </row>
    <row r="239" spans="3:15" ht="13.5" customHeight="1" x14ac:dyDescent="0.3">
      <c r="C239" s="407"/>
      <c r="D239" s="407"/>
      <c r="E239" s="407"/>
      <c r="F239" s="407"/>
      <c r="G239" s="407"/>
      <c r="H239" s="407"/>
      <c r="I239" s="407"/>
      <c r="J239" s="407"/>
      <c r="K239" s="407"/>
      <c r="L239" s="407"/>
      <c r="M239" s="407"/>
      <c r="N239" s="402"/>
      <c r="O239" s="402"/>
    </row>
    <row r="240" spans="3:15" ht="13.5" customHeight="1" x14ac:dyDescent="0.3">
      <c r="C240" s="407"/>
      <c r="D240" s="407"/>
      <c r="E240" s="407"/>
      <c r="F240" s="407"/>
      <c r="G240" s="407"/>
      <c r="H240" s="407"/>
      <c r="I240" s="407"/>
      <c r="J240" s="407"/>
      <c r="K240" s="407"/>
      <c r="L240" s="407"/>
      <c r="M240" s="407"/>
      <c r="N240" s="402"/>
      <c r="O240" s="402"/>
    </row>
    <row r="241" spans="3:15" ht="13.5" customHeight="1" x14ac:dyDescent="0.3">
      <c r="C241" s="407"/>
      <c r="D241" s="407"/>
      <c r="E241" s="407"/>
      <c r="F241" s="407"/>
      <c r="G241" s="407"/>
      <c r="H241" s="407"/>
      <c r="I241" s="407"/>
      <c r="J241" s="407"/>
      <c r="K241" s="407"/>
      <c r="L241" s="407"/>
      <c r="M241" s="407"/>
      <c r="N241" s="402"/>
      <c r="O241" s="402"/>
    </row>
    <row r="242" spans="3:15" ht="13.5" customHeight="1" x14ac:dyDescent="0.3">
      <c r="C242" s="407"/>
      <c r="D242" s="407"/>
      <c r="E242" s="407"/>
      <c r="F242" s="407"/>
      <c r="G242" s="407"/>
      <c r="H242" s="407"/>
      <c r="I242" s="407"/>
      <c r="J242" s="407"/>
      <c r="K242" s="407"/>
      <c r="L242" s="407"/>
      <c r="M242" s="407"/>
      <c r="N242" s="402"/>
      <c r="O242" s="402"/>
    </row>
    <row r="243" spans="3:15" ht="13.5" customHeight="1" x14ac:dyDescent="0.3">
      <c r="C243" s="407"/>
      <c r="D243" s="407"/>
      <c r="E243" s="407"/>
      <c r="F243" s="407"/>
      <c r="G243" s="407"/>
      <c r="H243" s="407"/>
      <c r="I243" s="407"/>
      <c r="J243" s="407"/>
      <c r="K243" s="407"/>
      <c r="L243" s="407"/>
      <c r="M243" s="407"/>
      <c r="N243" s="402"/>
      <c r="O243" s="402"/>
    </row>
    <row r="244" spans="3:15" ht="13.5" customHeight="1" x14ac:dyDescent="0.3">
      <c r="C244" s="407"/>
      <c r="D244" s="407"/>
      <c r="E244" s="407"/>
      <c r="F244" s="407"/>
      <c r="G244" s="407"/>
      <c r="H244" s="407"/>
      <c r="I244" s="407"/>
      <c r="J244" s="407"/>
      <c r="K244" s="407"/>
      <c r="L244" s="407"/>
      <c r="M244" s="407"/>
      <c r="N244" s="402"/>
      <c r="O244" s="402"/>
    </row>
    <row r="245" spans="3:15" ht="13.5" customHeight="1" x14ac:dyDescent="0.3">
      <c r="C245" s="407"/>
      <c r="D245" s="407"/>
      <c r="E245" s="407"/>
      <c r="F245" s="407"/>
      <c r="G245" s="407"/>
      <c r="H245" s="407"/>
      <c r="I245" s="407"/>
      <c r="J245" s="407"/>
      <c r="K245" s="407"/>
      <c r="L245" s="407"/>
      <c r="M245" s="407"/>
      <c r="N245" s="402"/>
      <c r="O245" s="402"/>
    </row>
    <row r="246" spans="3:15" ht="13.5" customHeight="1" x14ac:dyDescent="0.3">
      <c r="C246" s="407"/>
      <c r="D246" s="407"/>
      <c r="E246" s="407"/>
      <c r="F246" s="407"/>
      <c r="G246" s="407"/>
      <c r="H246" s="407"/>
      <c r="I246" s="407"/>
      <c r="J246" s="407"/>
      <c r="K246" s="407"/>
      <c r="L246" s="407"/>
      <c r="M246" s="407"/>
      <c r="N246" s="402"/>
      <c r="O246" s="402"/>
    </row>
    <row r="247" spans="3:15" ht="13.5" customHeight="1" x14ac:dyDescent="0.3">
      <c r="C247" s="407"/>
      <c r="D247" s="407"/>
      <c r="E247" s="407"/>
      <c r="F247" s="407"/>
      <c r="G247" s="407"/>
      <c r="H247" s="407"/>
      <c r="I247" s="407"/>
      <c r="J247" s="407"/>
      <c r="K247" s="407"/>
      <c r="L247" s="407"/>
      <c r="M247" s="407"/>
      <c r="N247" s="402"/>
      <c r="O247" s="402"/>
    </row>
    <row r="248" spans="3:15" ht="13.5" customHeight="1" x14ac:dyDescent="0.3">
      <c r="C248" s="407"/>
      <c r="D248" s="407"/>
      <c r="E248" s="407"/>
      <c r="F248" s="407"/>
      <c r="G248" s="407"/>
      <c r="H248" s="407"/>
      <c r="I248" s="407"/>
      <c r="J248" s="407"/>
      <c r="K248" s="407"/>
      <c r="L248" s="407"/>
      <c r="M248" s="407"/>
      <c r="N248" s="402"/>
      <c r="O248" s="402"/>
    </row>
    <row r="249" spans="3:15" ht="13.5" customHeight="1" x14ac:dyDescent="0.3">
      <c r="C249" s="407"/>
      <c r="D249" s="407"/>
      <c r="E249" s="407"/>
      <c r="F249" s="407"/>
      <c r="G249" s="407"/>
      <c r="H249" s="407"/>
      <c r="I249" s="407"/>
      <c r="J249" s="407"/>
      <c r="K249" s="407"/>
      <c r="L249" s="407"/>
      <c r="M249" s="407"/>
      <c r="N249" s="402"/>
      <c r="O249" s="402"/>
    </row>
    <row r="250" spans="3:15" ht="13.5" customHeight="1" x14ac:dyDescent="0.3">
      <c r="C250" s="407"/>
      <c r="D250" s="407"/>
      <c r="E250" s="407"/>
      <c r="F250" s="407"/>
      <c r="G250" s="407"/>
      <c r="H250" s="407"/>
      <c r="I250" s="407"/>
      <c r="J250" s="407"/>
      <c r="K250" s="407"/>
      <c r="L250" s="407"/>
      <c r="M250" s="407"/>
      <c r="N250" s="402"/>
      <c r="O250" s="402"/>
    </row>
    <row r="251" spans="3:15" ht="13.5" customHeight="1" x14ac:dyDescent="0.3">
      <c r="C251" s="407"/>
      <c r="D251" s="407"/>
      <c r="E251" s="407"/>
      <c r="F251" s="407"/>
      <c r="G251" s="407"/>
      <c r="H251" s="407"/>
      <c r="I251" s="407"/>
      <c r="J251" s="407"/>
      <c r="K251" s="407"/>
      <c r="L251" s="407"/>
      <c r="M251" s="407"/>
      <c r="N251" s="402"/>
      <c r="O251" s="402"/>
    </row>
    <row r="252" spans="3:15" ht="13.5" customHeight="1" x14ac:dyDescent="0.3">
      <c r="C252" s="407"/>
      <c r="D252" s="407"/>
      <c r="E252" s="407"/>
      <c r="F252" s="407"/>
      <c r="G252" s="407"/>
      <c r="H252" s="407"/>
      <c r="I252" s="407"/>
      <c r="J252" s="407"/>
      <c r="K252" s="407"/>
      <c r="L252" s="407"/>
      <c r="M252" s="407"/>
      <c r="N252" s="402"/>
      <c r="O252" s="402"/>
    </row>
    <row r="253" spans="3:15" ht="13.5" customHeight="1" x14ac:dyDescent="0.3">
      <c r="C253" s="407"/>
      <c r="D253" s="407"/>
      <c r="E253" s="407"/>
      <c r="F253" s="407"/>
      <c r="G253" s="407"/>
      <c r="H253" s="407"/>
      <c r="I253" s="407"/>
      <c r="J253" s="407"/>
      <c r="K253" s="407"/>
      <c r="L253" s="407"/>
      <c r="M253" s="407"/>
      <c r="N253" s="402"/>
      <c r="O253" s="402"/>
    </row>
    <row r="254" spans="3:15" ht="13.5" customHeight="1" x14ac:dyDescent="0.3">
      <c r="C254" s="407"/>
      <c r="D254" s="407"/>
      <c r="E254" s="407"/>
      <c r="F254" s="407"/>
      <c r="G254" s="407"/>
      <c r="H254" s="407"/>
      <c r="I254" s="407"/>
      <c r="J254" s="407"/>
      <c r="K254" s="407"/>
      <c r="L254" s="407"/>
      <c r="M254" s="407"/>
      <c r="N254" s="402"/>
      <c r="O254" s="402"/>
    </row>
    <row r="255" spans="3:15" ht="13.5" customHeight="1" x14ac:dyDescent="0.3">
      <c r="C255" s="407"/>
      <c r="D255" s="407"/>
      <c r="E255" s="407"/>
      <c r="F255" s="407"/>
      <c r="G255" s="407"/>
      <c r="H255" s="407"/>
      <c r="I255" s="407"/>
      <c r="J255" s="407"/>
      <c r="K255" s="407"/>
      <c r="L255" s="407"/>
      <c r="M255" s="407"/>
      <c r="N255" s="402"/>
      <c r="O255" s="402"/>
    </row>
    <row r="256" spans="3:15" ht="13.5" customHeight="1" x14ac:dyDescent="0.3">
      <c r="C256" s="407"/>
      <c r="D256" s="407"/>
      <c r="E256" s="407"/>
      <c r="F256" s="407"/>
      <c r="G256" s="407"/>
      <c r="H256" s="407"/>
      <c r="I256" s="407"/>
      <c r="J256" s="407"/>
      <c r="K256" s="407"/>
      <c r="L256" s="407"/>
      <c r="M256" s="407"/>
      <c r="N256" s="402"/>
      <c r="O256" s="402"/>
    </row>
    <row r="257" spans="3:15" ht="13.5" customHeight="1" x14ac:dyDescent="0.3">
      <c r="C257" s="407"/>
      <c r="D257" s="407"/>
      <c r="E257" s="407"/>
      <c r="F257" s="407"/>
      <c r="G257" s="407"/>
      <c r="H257" s="407"/>
      <c r="I257" s="407"/>
      <c r="J257" s="407"/>
      <c r="K257" s="407"/>
      <c r="L257" s="407"/>
      <c r="M257" s="407"/>
      <c r="N257" s="402"/>
      <c r="O257" s="402"/>
    </row>
    <row r="258" spans="3:15" ht="13.5" customHeight="1" x14ac:dyDescent="0.3">
      <c r="C258" s="407"/>
      <c r="D258" s="407"/>
      <c r="E258" s="407"/>
      <c r="F258" s="407"/>
      <c r="G258" s="407"/>
      <c r="H258" s="407"/>
      <c r="I258" s="407"/>
      <c r="J258" s="407"/>
      <c r="K258" s="407"/>
      <c r="L258" s="407"/>
      <c r="M258" s="407"/>
      <c r="N258" s="402"/>
      <c r="O258" s="402"/>
    </row>
    <row r="259" spans="3:15" ht="13.5" customHeight="1" x14ac:dyDescent="0.3">
      <c r="C259" s="407"/>
      <c r="D259" s="407"/>
      <c r="E259" s="407"/>
      <c r="F259" s="407"/>
      <c r="G259" s="407"/>
      <c r="H259" s="407"/>
      <c r="I259" s="407"/>
      <c r="J259" s="407"/>
      <c r="K259" s="407"/>
      <c r="L259" s="407"/>
      <c r="M259" s="407"/>
      <c r="N259" s="402"/>
      <c r="O259" s="402"/>
    </row>
    <row r="260" spans="3:15" ht="13.5" customHeight="1" x14ac:dyDescent="0.3">
      <c r="C260" s="407"/>
      <c r="D260" s="407"/>
      <c r="E260" s="407"/>
      <c r="F260" s="407"/>
      <c r="G260" s="407"/>
      <c r="H260" s="407"/>
      <c r="I260" s="407"/>
      <c r="J260" s="407"/>
      <c r="K260" s="407"/>
      <c r="L260" s="407"/>
      <c r="M260" s="407"/>
      <c r="N260" s="402"/>
      <c r="O260" s="402"/>
    </row>
    <row r="261" spans="3:15" ht="13.5" customHeight="1" x14ac:dyDescent="0.3">
      <c r="C261" s="407"/>
      <c r="D261" s="407"/>
      <c r="E261" s="407"/>
      <c r="F261" s="407"/>
      <c r="G261" s="407"/>
      <c r="H261" s="407"/>
      <c r="I261" s="407"/>
      <c r="J261" s="407"/>
      <c r="K261" s="407"/>
      <c r="L261" s="407"/>
      <c r="M261" s="407"/>
      <c r="N261" s="402"/>
      <c r="O261" s="402"/>
    </row>
    <row r="262" spans="3:15" ht="13.5" customHeight="1" x14ac:dyDescent="0.3">
      <c r="C262" s="407"/>
      <c r="D262" s="407"/>
      <c r="E262" s="407"/>
      <c r="F262" s="407"/>
      <c r="G262" s="407"/>
      <c r="H262" s="407"/>
      <c r="I262" s="407"/>
      <c r="J262" s="407"/>
      <c r="K262" s="407"/>
      <c r="L262" s="407"/>
      <c r="M262" s="407"/>
      <c r="N262" s="402"/>
      <c r="O262" s="402"/>
    </row>
    <row r="263" spans="3:15" ht="13.5" customHeight="1" x14ac:dyDescent="0.3">
      <c r="C263" s="407"/>
      <c r="D263" s="407"/>
      <c r="E263" s="407"/>
      <c r="F263" s="407"/>
      <c r="G263" s="407"/>
      <c r="H263" s="407"/>
      <c r="I263" s="407"/>
      <c r="J263" s="407"/>
      <c r="K263" s="407"/>
      <c r="L263" s="407"/>
      <c r="M263" s="407"/>
      <c r="N263" s="402"/>
      <c r="O263" s="402"/>
    </row>
    <row r="264" spans="3:15" ht="13.5" customHeight="1" x14ac:dyDescent="0.3">
      <c r="C264" s="407"/>
      <c r="D264" s="407"/>
      <c r="E264" s="407"/>
      <c r="F264" s="407"/>
      <c r="G264" s="407"/>
      <c r="H264" s="407"/>
      <c r="I264" s="407"/>
      <c r="J264" s="407"/>
      <c r="K264" s="407"/>
      <c r="L264" s="407"/>
      <c r="M264" s="407"/>
      <c r="N264" s="402"/>
      <c r="O264" s="402"/>
    </row>
    <row r="265" spans="3:15" ht="13.5" customHeight="1" x14ac:dyDescent="0.3">
      <c r="C265" s="407"/>
      <c r="D265" s="407"/>
      <c r="E265" s="407"/>
      <c r="F265" s="407"/>
      <c r="G265" s="407"/>
      <c r="H265" s="407"/>
      <c r="I265" s="407"/>
      <c r="J265" s="407"/>
      <c r="K265" s="407"/>
      <c r="L265" s="407"/>
      <c r="M265" s="407"/>
      <c r="N265" s="402"/>
      <c r="O265" s="402"/>
    </row>
    <row r="266" spans="3:15" ht="13.5" customHeight="1" x14ac:dyDescent="0.3">
      <c r="C266" s="407"/>
      <c r="D266" s="407"/>
      <c r="E266" s="407"/>
      <c r="F266" s="407"/>
      <c r="G266" s="407"/>
      <c r="H266" s="407"/>
      <c r="I266" s="407"/>
      <c r="J266" s="407"/>
      <c r="K266" s="407"/>
      <c r="L266" s="407"/>
      <c r="M266" s="407"/>
      <c r="N266" s="402"/>
      <c r="O266" s="402"/>
    </row>
    <row r="267" spans="3:15" ht="13.5" customHeight="1" x14ac:dyDescent="0.3">
      <c r="C267" s="407"/>
      <c r="D267" s="407"/>
      <c r="E267" s="407"/>
      <c r="F267" s="407"/>
      <c r="G267" s="407"/>
      <c r="H267" s="407"/>
      <c r="I267" s="407"/>
      <c r="J267" s="407"/>
      <c r="K267" s="407"/>
      <c r="L267" s="407"/>
      <c r="M267" s="407"/>
      <c r="N267" s="402"/>
      <c r="O267" s="402"/>
    </row>
    <row r="268" spans="3:15" ht="13.5" customHeight="1" x14ac:dyDescent="0.3">
      <c r="C268" s="407"/>
      <c r="D268" s="407"/>
      <c r="E268" s="407"/>
      <c r="F268" s="407"/>
      <c r="G268" s="407"/>
      <c r="H268" s="407"/>
      <c r="I268" s="407"/>
      <c r="J268" s="407"/>
      <c r="K268" s="407"/>
      <c r="L268" s="407"/>
      <c r="M268" s="407"/>
      <c r="N268" s="402"/>
      <c r="O268" s="402"/>
    </row>
    <row r="269" spans="3:15" ht="13.5" customHeight="1" x14ac:dyDescent="0.3">
      <c r="C269" s="407"/>
      <c r="D269" s="407"/>
      <c r="E269" s="407"/>
      <c r="F269" s="407"/>
      <c r="G269" s="407"/>
      <c r="H269" s="407"/>
      <c r="I269" s="407"/>
      <c r="J269" s="407"/>
      <c r="K269" s="407"/>
      <c r="L269" s="407"/>
      <c r="M269" s="407"/>
      <c r="N269" s="402"/>
      <c r="O269" s="402"/>
    </row>
    <row r="270" spans="3:15" ht="13.5" customHeight="1" x14ac:dyDescent="0.3">
      <c r="C270" s="407"/>
      <c r="D270" s="407"/>
      <c r="E270" s="407"/>
      <c r="F270" s="407"/>
      <c r="G270" s="407"/>
      <c r="H270" s="407"/>
      <c r="I270" s="407"/>
      <c r="J270" s="407"/>
      <c r="K270" s="407"/>
      <c r="L270" s="407"/>
      <c r="M270" s="407"/>
      <c r="N270" s="402"/>
      <c r="O270" s="402"/>
    </row>
    <row r="271" spans="3:15" ht="13.5" customHeight="1" x14ac:dyDescent="0.3">
      <c r="C271" s="407"/>
      <c r="D271" s="407"/>
      <c r="E271" s="407"/>
      <c r="F271" s="407"/>
      <c r="G271" s="407"/>
      <c r="H271" s="407"/>
      <c r="I271" s="407"/>
      <c r="J271" s="407"/>
      <c r="K271" s="407"/>
      <c r="L271" s="407"/>
      <c r="M271" s="407"/>
      <c r="N271" s="402"/>
      <c r="O271" s="402"/>
    </row>
    <row r="272" spans="3:15" ht="13.5" customHeight="1" x14ac:dyDescent="0.3">
      <c r="C272" s="407"/>
      <c r="D272" s="407"/>
      <c r="E272" s="407"/>
      <c r="F272" s="407"/>
      <c r="G272" s="407"/>
      <c r="H272" s="407"/>
      <c r="I272" s="407"/>
      <c r="J272" s="407"/>
      <c r="K272" s="407"/>
      <c r="L272" s="407"/>
      <c r="M272" s="407"/>
      <c r="N272" s="402"/>
      <c r="O272" s="402"/>
    </row>
    <row r="273" spans="3:15" ht="13.5" customHeight="1" x14ac:dyDescent="0.3">
      <c r="C273" s="407"/>
      <c r="D273" s="407"/>
      <c r="E273" s="407"/>
      <c r="F273" s="407"/>
      <c r="G273" s="407"/>
      <c r="H273" s="407"/>
      <c r="I273" s="407"/>
      <c r="J273" s="407"/>
      <c r="K273" s="407"/>
      <c r="L273" s="407"/>
      <c r="M273" s="407"/>
      <c r="N273" s="402"/>
      <c r="O273" s="402"/>
    </row>
    <row r="274" spans="3:15" ht="13.5" customHeight="1" x14ac:dyDescent="0.3">
      <c r="C274" s="407"/>
      <c r="D274" s="407"/>
      <c r="E274" s="407"/>
      <c r="F274" s="407"/>
      <c r="G274" s="407"/>
      <c r="H274" s="407"/>
      <c r="I274" s="407"/>
      <c r="J274" s="407"/>
      <c r="K274" s="407"/>
      <c r="L274" s="407"/>
      <c r="M274" s="407"/>
      <c r="N274" s="402"/>
      <c r="O274" s="402"/>
    </row>
    <row r="275" spans="3:15" ht="13.5" customHeight="1" x14ac:dyDescent="0.3">
      <c r="C275" s="407"/>
      <c r="D275" s="407"/>
      <c r="E275" s="407"/>
      <c r="F275" s="407"/>
      <c r="G275" s="407"/>
      <c r="H275" s="407"/>
      <c r="I275" s="407"/>
      <c r="J275" s="407"/>
      <c r="K275" s="407"/>
      <c r="L275" s="407"/>
      <c r="M275" s="407"/>
      <c r="N275" s="402"/>
      <c r="O275" s="402"/>
    </row>
    <row r="276" spans="3:15" ht="13.5" customHeight="1" x14ac:dyDescent="0.3">
      <c r="C276" s="407"/>
      <c r="D276" s="407"/>
      <c r="E276" s="407"/>
      <c r="F276" s="407"/>
      <c r="G276" s="407"/>
      <c r="H276" s="407"/>
      <c r="I276" s="407"/>
      <c r="J276" s="407"/>
      <c r="K276" s="407"/>
      <c r="L276" s="407"/>
      <c r="M276" s="407"/>
      <c r="N276" s="402"/>
      <c r="O276" s="402"/>
    </row>
    <row r="277" spans="3:15" ht="13.5" customHeight="1" x14ac:dyDescent="0.3">
      <c r="C277" s="407"/>
      <c r="D277" s="407"/>
      <c r="E277" s="407"/>
      <c r="F277" s="407"/>
      <c r="G277" s="407"/>
      <c r="H277" s="407"/>
      <c r="I277" s="407"/>
      <c r="J277" s="407"/>
      <c r="K277" s="407"/>
      <c r="L277" s="407"/>
      <c r="M277" s="407"/>
      <c r="N277" s="402"/>
      <c r="O277" s="402"/>
    </row>
    <row r="278" spans="3:15" ht="13.5" customHeight="1" x14ac:dyDescent="0.3">
      <c r="C278" s="407"/>
      <c r="D278" s="407"/>
      <c r="E278" s="407"/>
      <c r="F278" s="407"/>
      <c r="G278" s="407"/>
      <c r="H278" s="407"/>
      <c r="I278" s="407"/>
      <c r="J278" s="407"/>
      <c r="K278" s="407"/>
      <c r="L278" s="407"/>
      <c r="M278" s="407"/>
      <c r="N278" s="402"/>
      <c r="O278" s="402"/>
    </row>
    <row r="279" spans="3:15" ht="13.5" customHeight="1" x14ac:dyDescent="0.3">
      <c r="C279" s="407"/>
      <c r="D279" s="407"/>
      <c r="E279" s="407"/>
      <c r="F279" s="407"/>
      <c r="G279" s="407"/>
      <c r="H279" s="407"/>
      <c r="I279" s="407"/>
      <c r="J279" s="407"/>
      <c r="K279" s="407"/>
      <c r="L279" s="407"/>
      <c r="M279" s="407"/>
      <c r="N279" s="402"/>
      <c r="O279" s="402"/>
    </row>
    <row r="280" spans="3:15" ht="13.5" customHeight="1" x14ac:dyDescent="0.3">
      <c r="C280" s="407"/>
      <c r="D280" s="407"/>
      <c r="E280" s="407"/>
      <c r="F280" s="407"/>
      <c r="G280" s="407"/>
      <c r="H280" s="407"/>
      <c r="I280" s="407"/>
      <c r="J280" s="407"/>
      <c r="K280" s="407"/>
      <c r="L280" s="407"/>
      <c r="M280" s="407"/>
      <c r="N280" s="402"/>
      <c r="O280" s="402"/>
    </row>
    <row r="281" spans="3:15" ht="13.5" customHeight="1" x14ac:dyDescent="0.3">
      <c r="C281" s="407"/>
      <c r="D281" s="407"/>
      <c r="E281" s="407"/>
      <c r="F281" s="407"/>
      <c r="G281" s="407"/>
      <c r="H281" s="407"/>
      <c r="I281" s="407"/>
      <c r="J281" s="407"/>
      <c r="K281" s="407"/>
      <c r="L281" s="407"/>
      <c r="M281" s="407"/>
      <c r="N281" s="402"/>
      <c r="O281" s="402"/>
    </row>
    <row r="282" spans="3:15" ht="13.5" customHeight="1" x14ac:dyDescent="0.3">
      <c r="C282" s="407"/>
      <c r="D282" s="407"/>
      <c r="E282" s="407"/>
      <c r="F282" s="407"/>
      <c r="G282" s="407"/>
      <c r="H282" s="407"/>
      <c r="I282" s="407"/>
      <c r="J282" s="407"/>
      <c r="K282" s="407"/>
      <c r="L282" s="407"/>
      <c r="M282" s="407"/>
      <c r="N282" s="402"/>
      <c r="O282" s="402"/>
    </row>
    <row r="283" spans="3:15" ht="13.5" customHeight="1" x14ac:dyDescent="0.3">
      <c r="C283" s="407"/>
      <c r="D283" s="407"/>
      <c r="E283" s="407"/>
      <c r="F283" s="407"/>
      <c r="G283" s="407"/>
      <c r="H283" s="407"/>
      <c r="I283" s="407"/>
      <c r="J283" s="407"/>
      <c r="K283" s="407"/>
      <c r="L283" s="407"/>
      <c r="M283" s="407"/>
      <c r="N283" s="402"/>
      <c r="O283" s="402"/>
    </row>
    <row r="284" spans="3:15" ht="13.5" customHeight="1" x14ac:dyDescent="0.3">
      <c r="C284" s="407"/>
      <c r="D284" s="407"/>
      <c r="E284" s="407"/>
      <c r="F284" s="407"/>
      <c r="G284" s="407"/>
      <c r="H284" s="407"/>
      <c r="I284" s="407"/>
      <c r="J284" s="407"/>
      <c r="K284" s="407"/>
      <c r="L284" s="407"/>
      <c r="M284" s="407"/>
      <c r="N284" s="402"/>
      <c r="O284" s="402"/>
    </row>
  </sheetData>
  <mergeCells count="1">
    <mergeCell ref="R17:S17"/>
  </mergeCells>
  <phoneticPr fontId="1" type="noConversion"/>
  <pageMargins left="0.70866141732283472" right="0.70866141732283472" top="0.74803149606299213" bottom="0.74803149606299213" header="0.31496062992125984" footer="0.31496062992125984"/>
  <pageSetup paperSize="9" scale="71" fitToHeight="10" orientation="landscape" r:id="rId1"/>
  <ignoredErrors>
    <ignoredError sqref="C25:G25 C27:G27 C29:G29 C31:G31 C33:G33 C35:G35 C37:G37 C39:G39 C23:G23 C43:G43 C45:G45 E41:G41 C41:D41" formula="1"/>
  </ignoredErrors>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8" tint="-0.499984740745262"/>
    <pageSetUpPr fitToPage="1"/>
  </sheetPr>
  <dimension ref="B1:S31"/>
  <sheetViews>
    <sheetView showGridLines="0" zoomScale="85" zoomScaleNormal="85" workbookViewId="0">
      <selection activeCell="H17" sqref="H17"/>
    </sheetView>
  </sheetViews>
  <sheetFormatPr defaultRowHeight="13.5" customHeight="1" outlineLevelCol="1" x14ac:dyDescent="0.3"/>
  <cols>
    <col min="1" max="1" width="1.625" style="403" customWidth="1"/>
    <col min="2" max="2" width="14.375" style="403" customWidth="1"/>
    <col min="3" max="4" width="8.625" style="403" customWidth="1" outlineLevel="1"/>
    <col min="5" max="8" width="8.5" style="403" customWidth="1"/>
    <col min="9" max="9" width="8.5" style="403" customWidth="1" outlineLevel="1"/>
    <col min="10" max="14" width="8.5" style="403" customWidth="1"/>
    <col min="15" max="15" width="8.5" style="825" customWidth="1"/>
    <col min="16" max="16" width="8.5" style="401" customWidth="1"/>
    <col min="17" max="17" width="2.625" style="403" customWidth="1"/>
    <col min="18" max="16384" width="9" style="403"/>
  </cols>
  <sheetData>
    <row r="1" spans="2:19" customFormat="1" ht="30" customHeight="1" x14ac:dyDescent="0.3">
      <c r="B1" s="58" t="str">
        <f>"Project"&amp;" "&amp;Title!L6</f>
        <v>Project IT</v>
      </c>
      <c r="C1" s="58"/>
      <c r="D1" s="58"/>
      <c r="E1" s="59"/>
      <c r="F1" s="59"/>
      <c r="G1" s="59"/>
      <c r="H1" s="59"/>
      <c r="I1" s="59"/>
      <c r="J1" s="59"/>
      <c r="K1" s="61"/>
      <c r="L1" s="61"/>
      <c r="M1" s="61"/>
      <c r="N1" s="61"/>
      <c r="O1" s="61"/>
      <c r="P1" s="20" t="str">
        <f>Des!C12</f>
        <v>DRAFT - For Discussion Purposes Only</v>
      </c>
    </row>
    <row r="2" spans="2:19" customFormat="1" ht="20.100000000000001" customHeight="1" x14ac:dyDescent="0.3">
      <c r="B2" s="51" t="s">
        <v>90</v>
      </c>
      <c r="C2" s="51"/>
      <c r="D2" s="51"/>
      <c r="E2" s="60"/>
      <c r="F2" s="60"/>
      <c r="G2" s="60"/>
      <c r="H2" s="60"/>
      <c r="I2" s="60"/>
      <c r="J2" s="60"/>
      <c r="K2" s="60"/>
      <c r="L2" s="60"/>
      <c r="M2" s="60"/>
      <c r="N2" s="60"/>
      <c r="O2" s="60"/>
      <c r="P2" s="19"/>
    </row>
    <row r="3" spans="2:19" customFormat="1" ht="14.1" customHeight="1" x14ac:dyDescent="0.3">
      <c r="C3" s="142"/>
      <c r="D3" s="142"/>
      <c r="E3" s="142"/>
      <c r="F3" s="142"/>
      <c r="O3" s="691"/>
      <c r="P3" s="126"/>
    </row>
    <row r="4" spans="2:19" s="294" customFormat="1" ht="13.5" customHeight="1" x14ac:dyDescent="0.3">
      <c r="B4" s="834" t="s">
        <v>90</v>
      </c>
      <c r="C4" s="835"/>
      <c r="D4" s="835"/>
      <c r="E4" s="835"/>
      <c r="F4" s="835"/>
      <c r="G4" s="835"/>
      <c r="H4" s="835"/>
      <c r="I4" s="835"/>
      <c r="J4" s="836"/>
      <c r="K4" s="835"/>
      <c r="L4" s="835"/>
      <c r="M4" s="835"/>
      <c r="N4" s="835"/>
      <c r="O4" s="835"/>
      <c r="P4" s="837"/>
    </row>
    <row r="5" spans="2:19" s="294" customFormat="1" ht="13.5" customHeight="1" x14ac:dyDescent="0.3">
      <c r="B5" s="773" t="s">
        <v>14</v>
      </c>
      <c r="C5" s="774">
        <f>'Pro forma'!C$5</f>
        <v>2010</v>
      </c>
      <c r="D5" s="774">
        <f>'Pro forma'!D$5</f>
        <v>2011</v>
      </c>
      <c r="E5" s="774">
        <f>'Pro forma'!E$5</f>
        <v>2012</v>
      </c>
      <c r="F5" s="774">
        <f>'Pro forma'!F$5</f>
        <v>2013</v>
      </c>
      <c r="G5" s="774">
        <f>'Pro forma'!G$5</f>
        <v>2014</v>
      </c>
      <c r="H5" s="774" t="str">
        <f>'Pro forma'!H$5</f>
        <v>2015/12A</v>
      </c>
      <c r="I5" s="774" t="str">
        <f>'Pro forma'!I$5</f>
        <v>2015/0E</v>
      </c>
      <c r="J5" s="774">
        <f>'Pro forma'!J$5</f>
        <v>2015</v>
      </c>
      <c r="K5" s="776">
        <f>'Pro forma'!K$5</f>
        <v>2016</v>
      </c>
      <c r="L5" s="776">
        <f>'Pro forma'!L$5</f>
        <v>2017</v>
      </c>
      <c r="M5" s="776">
        <f>'Pro forma'!M$5</f>
        <v>2018</v>
      </c>
      <c r="N5" s="776">
        <f>'Pro forma'!N$5</f>
        <v>2019</v>
      </c>
      <c r="O5" s="776">
        <f>'Pro forma'!O$5</f>
        <v>2020</v>
      </c>
      <c r="P5" s="777" t="s">
        <v>118</v>
      </c>
    </row>
    <row r="6" spans="2:19" s="294" customFormat="1" ht="15" customHeight="1" x14ac:dyDescent="0.3">
      <c r="B6" s="848" t="s">
        <v>119</v>
      </c>
      <c r="C6" s="849">
        <f t="shared" ref="C6:D6" si="0">C7+C10</f>
        <v>18519.411283000001</v>
      </c>
      <c r="D6" s="849">
        <f t="shared" si="0"/>
        <v>21660.263296000001</v>
      </c>
      <c r="E6" s="849">
        <f>E7+E10</f>
        <v>53264.835575999998</v>
      </c>
      <c r="F6" s="849">
        <f t="shared" ref="F6" si="1">F7+F10</f>
        <v>48356.580020000001</v>
      </c>
      <c r="G6" s="849">
        <f t="shared" ref="G6:H6" si="2">G7+G10</f>
        <v>73678.644045999987</v>
      </c>
      <c r="H6" s="849">
        <f t="shared" si="2"/>
        <v>49127.395277000003</v>
      </c>
      <c r="I6" s="849"/>
      <c r="J6" s="849">
        <f t="shared" ref="J6" si="3">J7+J10</f>
        <v>49127.395277000003</v>
      </c>
      <c r="K6" s="849">
        <f t="shared" ref="K6" ca="1" si="4">K7+K10</f>
        <v>62070.400783891258</v>
      </c>
      <c r="L6" s="849">
        <f t="shared" ref="L6" ca="1" si="5">L7+L10</f>
        <v>64234.481625817338</v>
      </c>
      <c r="M6" s="849">
        <f t="shared" ref="M6" ca="1" si="6">M7+M10</f>
        <v>66514.676885122666</v>
      </c>
      <c r="N6" s="849">
        <f t="shared" ref="N6:O6" ca="1" si="7">N7+N10</f>
        <v>68873.38827250716</v>
      </c>
      <c r="O6" s="849">
        <f t="shared" ca="1" si="7"/>
        <v>71364.089413798632</v>
      </c>
      <c r="P6" s="850">
        <f t="shared" ref="P6" ca="1" si="8">P7+P10</f>
        <v>71364.089413798632</v>
      </c>
    </row>
    <row r="7" spans="2:19" ht="15" customHeight="1" x14ac:dyDescent="0.3">
      <c r="B7" s="624" t="s">
        <v>120</v>
      </c>
      <c r="C7" s="395">
        <f>BS!J11</f>
        <v>17773.456383000001</v>
      </c>
      <c r="D7" s="395">
        <f>BS!K11</f>
        <v>21031.333290000002</v>
      </c>
      <c r="E7" s="395">
        <f>BS!L11</f>
        <v>50905.102564000001</v>
      </c>
      <c r="F7" s="395">
        <f>BS!M11</f>
        <v>44334.764403000001</v>
      </c>
      <c r="G7" s="395">
        <f>BS!N11</f>
        <v>71278.666539999991</v>
      </c>
      <c r="H7" s="395">
        <f>BS!O11</f>
        <v>48654.174305</v>
      </c>
      <c r="I7" s="396"/>
      <c r="J7" s="396">
        <f>H7</f>
        <v>48654.174305</v>
      </c>
      <c r="K7" s="396">
        <f t="shared" ref="K7:P7" si="9">K$22/K8</f>
        <v>59990.596782865847</v>
      </c>
      <c r="L7" s="396">
        <f t="shared" si="9"/>
        <v>62065.161834247192</v>
      </c>
      <c r="M7" s="396">
        <f t="shared" si="9"/>
        <v>64268.785969690129</v>
      </c>
      <c r="N7" s="396">
        <f t="shared" si="9"/>
        <v>66548.55527150628</v>
      </c>
      <c r="O7" s="396">
        <f t="shared" si="9"/>
        <v>68956.056604790137</v>
      </c>
      <c r="P7" s="851">
        <f t="shared" si="9"/>
        <v>68956.056604790137</v>
      </c>
      <c r="R7" s="345"/>
    </row>
    <row r="8" spans="2:19" ht="15" customHeight="1" x14ac:dyDescent="0.3">
      <c r="B8" s="852" t="s">
        <v>1155</v>
      </c>
      <c r="C8" s="274"/>
      <c r="D8" s="274">
        <f>D$22/((D7+C7)/2)</f>
        <v>6.1894908468764678</v>
      </c>
      <c r="E8" s="274">
        <f>E$22/((E7+D7)/2)</f>
        <v>5.0677869818835175</v>
      </c>
      <c r="F8" s="274">
        <f>F$22/((F7+E7)/2)</f>
        <v>4.4452680445332176</v>
      </c>
      <c r="G8" s="274">
        <f>G$22/((G7+F7)/2)</f>
        <v>4.3560812099097435</v>
      </c>
      <c r="H8" s="274">
        <f>H$22/((H7+G7)/2)</f>
        <v>3.583474250638643</v>
      </c>
      <c r="I8" s="333"/>
      <c r="J8" s="274">
        <f>H8</f>
        <v>3.583474250638643</v>
      </c>
      <c r="K8" s="274">
        <f>AVERAGE(F8:H8)</f>
        <v>4.128274501693868</v>
      </c>
      <c r="L8" s="274">
        <f t="shared" ref="L8:O8" si="10">K8</f>
        <v>4.128274501693868</v>
      </c>
      <c r="M8" s="274">
        <f t="shared" si="10"/>
        <v>4.128274501693868</v>
      </c>
      <c r="N8" s="274">
        <f t="shared" si="10"/>
        <v>4.128274501693868</v>
      </c>
      <c r="O8" s="274">
        <f t="shared" si="10"/>
        <v>4.128274501693868</v>
      </c>
      <c r="P8" s="853">
        <f>N8</f>
        <v>4.128274501693868</v>
      </c>
      <c r="R8" s="345"/>
    </row>
    <row r="9" spans="2:19" ht="15" customHeight="1" x14ac:dyDescent="0.3">
      <c r="B9" s="852" t="s">
        <v>1156</v>
      </c>
      <c r="C9" s="275" t="e">
        <f t="shared" ref="C9:H9" si="11">365/C8</f>
        <v>#DIV/0!</v>
      </c>
      <c r="D9" s="275">
        <f t="shared" si="11"/>
        <v>58.970924916093473</v>
      </c>
      <c r="E9" s="275">
        <f t="shared" si="11"/>
        <v>72.023548208481003</v>
      </c>
      <c r="F9" s="275">
        <f t="shared" si="11"/>
        <v>82.109784234243492</v>
      </c>
      <c r="G9" s="275">
        <f t="shared" si="11"/>
        <v>83.790908022938964</v>
      </c>
      <c r="H9" s="275">
        <f t="shared" si="11"/>
        <v>101.85645953363557</v>
      </c>
      <c r="I9" s="275"/>
      <c r="J9" s="275">
        <f t="shared" ref="J9:P9" si="12">365/J8</f>
        <v>101.85645953363557</v>
      </c>
      <c r="K9" s="275">
        <f t="shared" si="12"/>
        <v>88.414663281290345</v>
      </c>
      <c r="L9" s="275">
        <f t="shared" si="12"/>
        <v>88.414663281290345</v>
      </c>
      <c r="M9" s="275">
        <f t="shared" si="12"/>
        <v>88.414663281290345</v>
      </c>
      <c r="N9" s="275">
        <f t="shared" si="12"/>
        <v>88.414663281290345</v>
      </c>
      <c r="O9" s="275">
        <f t="shared" ref="O9" si="13">365/O8</f>
        <v>88.414663281290345</v>
      </c>
      <c r="P9" s="854">
        <f t="shared" si="12"/>
        <v>88.414663281290345</v>
      </c>
      <c r="S9" s="1554"/>
    </row>
    <row r="10" spans="2:19" ht="15" customHeight="1" x14ac:dyDescent="0.3">
      <c r="B10" s="624" t="s">
        <v>1954</v>
      </c>
      <c r="C10" s="395">
        <f>BS!J19</f>
        <v>745.95489999999995</v>
      </c>
      <c r="D10" s="395">
        <f>BS!K19</f>
        <v>628.93000600000005</v>
      </c>
      <c r="E10" s="395">
        <f>BS!L19</f>
        <v>2359.7330120000001</v>
      </c>
      <c r="F10" s="395">
        <f>BS!M19</f>
        <v>4021.8156169999997</v>
      </c>
      <c r="G10" s="395">
        <f>BS!N19</f>
        <v>2399.9775060000002</v>
      </c>
      <c r="H10" s="395">
        <f>BS!O19</f>
        <v>473.22097200000007</v>
      </c>
      <c r="I10" s="396"/>
      <c r="J10" s="396">
        <f>H10</f>
        <v>473.22097200000007</v>
      </c>
      <c r="K10" s="396">
        <f t="shared" ref="K10:P10" ca="1" si="14">(K$27)/K11</f>
        <v>2079.8040010254135</v>
      </c>
      <c r="L10" s="396">
        <f t="shared" ca="1" si="14"/>
        <v>2169.3197915701448</v>
      </c>
      <c r="M10" s="396">
        <f t="shared" ca="1" si="14"/>
        <v>2245.890915432537</v>
      </c>
      <c r="N10" s="396">
        <f t="shared" ca="1" si="14"/>
        <v>2324.8330010008808</v>
      </c>
      <c r="O10" s="396">
        <f t="shared" ca="1" si="14"/>
        <v>2408.032809008494</v>
      </c>
      <c r="P10" s="851">
        <f t="shared" ca="1" si="14"/>
        <v>2408.032809008494</v>
      </c>
      <c r="R10" s="347"/>
    </row>
    <row r="11" spans="2:19" ht="15" customHeight="1" x14ac:dyDescent="0.3">
      <c r="B11" s="852" t="s">
        <v>1155</v>
      </c>
      <c r="C11" s="274"/>
      <c r="D11" s="274">
        <f>D$27/((D10+C10)/2)</f>
        <v>46.691108129744791</v>
      </c>
      <c r="E11" s="274">
        <f t="shared" ref="E11:H11" si="15">E$27/((E10+D10)/2)</f>
        <v>46.718292101541969</v>
      </c>
      <c r="F11" s="274">
        <f t="shared" si="15"/>
        <v>21.896727000871685</v>
      </c>
      <c r="G11" s="274">
        <f t="shared" si="15"/>
        <v>20.937312203415868</v>
      </c>
      <c r="H11" s="274">
        <f t="shared" si="15"/>
        <v>28.819942832365651</v>
      </c>
      <c r="I11" s="333"/>
      <c r="J11" s="274">
        <f>H11</f>
        <v>28.819942832365651</v>
      </c>
      <c r="K11" s="274">
        <f>AVERAGE(F11:H11)</f>
        <v>23.884660678884401</v>
      </c>
      <c r="L11" s="274">
        <f t="shared" ref="L11:O11" si="16">K11</f>
        <v>23.884660678884401</v>
      </c>
      <c r="M11" s="274">
        <f t="shared" si="16"/>
        <v>23.884660678884401</v>
      </c>
      <c r="N11" s="274">
        <f t="shared" si="16"/>
        <v>23.884660678884401</v>
      </c>
      <c r="O11" s="274">
        <f t="shared" si="16"/>
        <v>23.884660678884401</v>
      </c>
      <c r="P11" s="853">
        <f>N11</f>
        <v>23.884660678884401</v>
      </c>
      <c r="R11" s="345"/>
    </row>
    <row r="12" spans="2:19" ht="15" customHeight="1" x14ac:dyDescent="0.3">
      <c r="B12" s="852" t="s">
        <v>1156</v>
      </c>
      <c r="C12" s="275" t="e">
        <f t="shared" ref="C12:G12" si="17">365/C11</f>
        <v>#DIV/0!</v>
      </c>
      <c r="D12" s="275">
        <f t="shared" si="17"/>
        <v>7.8173342767051404</v>
      </c>
      <c r="E12" s="275">
        <f t="shared" si="17"/>
        <v>7.8127856045480932</v>
      </c>
      <c r="F12" s="275">
        <f t="shared" si="17"/>
        <v>16.669157905903916</v>
      </c>
      <c r="G12" s="275">
        <f t="shared" si="17"/>
        <v>17.432992184185476</v>
      </c>
      <c r="H12" s="275">
        <f t="shared" ref="H12" si="18">365/H11</f>
        <v>12.664841222033729</v>
      </c>
      <c r="I12" s="275"/>
      <c r="J12" s="275">
        <f t="shared" ref="J12:P12" si="19">365/J11</f>
        <v>12.664841222033729</v>
      </c>
      <c r="K12" s="275">
        <f t="shared" si="19"/>
        <v>15.281774562645715</v>
      </c>
      <c r="L12" s="275">
        <f t="shared" si="19"/>
        <v>15.281774562645715</v>
      </c>
      <c r="M12" s="275">
        <f t="shared" si="19"/>
        <v>15.281774562645715</v>
      </c>
      <c r="N12" s="275">
        <f t="shared" si="19"/>
        <v>15.281774562645715</v>
      </c>
      <c r="O12" s="275">
        <f t="shared" ref="O12" si="20">365/O11</f>
        <v>15.281774562645715</v>
      </c>
      <c r="P12" s="854">
        <f t="shared" si="19"/>
        <v>15.281774562645715</v>
      </c>
    </row>
    <row r="13" spans="2:19" ht="15" customHeight="1" x14ac:dyDescent="0.3">
      <c r="B13" s="852"/>
      <c r="C13" s="275"/>
      <c r="D13" s="275"/>
      <c r="E13" s="275"/>
      <c r="F13" s="275"/>
      <c r="G13" s="275"/>
      <c r="H13" s="275"/>
      <c r="I13" s="275"/>
      <c r="J13" s="275"/>
      <c r="K13" s="275"/>
      <c r="L13" s="275"/>
      <c r="M13" s="275"/>
      <c r="N13" s="275"/>
      <c r="O13" s="275"/>
      <c r="P13" s="854"/>
    </row>
    <row r="14" spans="2:19" s="294" customFormat="1" ht="15" customHeight="1" x14ac:dyDescent="0.3">
      <c r="B14" s="622" t="s">
        <v>121</v>
      </c>
      <c r="C14" s="397">
        <f>C15</f>
        <v>19416.165578</v>
      </c>
      <c r="D14" s="397">
        <f t="shared" ref="D14:P14" si="21">D15</f>
        <v>16841.211718999999</v>
      </c>
      <c r="E14" s="397">
        <f t="shared" si="21"/>
        <v>38969.414470999996</v>
      </c>
      <c r="F14" s="397">
        <f t="shared" si="21"/>
        <v>39416.497802999998</v>
      </c>
      <c r="G14" s="397">
        <f t="shared" si="21"/>
        <v>65492.904071999998</v>
      </c>
      <c r="H14" s="397">
        <f t="shared" si="21"/>
        <v>30584.002055000001</v>
      </c>
      <c r="I14" s="394"/>
      <c r="J14" s="394">
        <f t="shared" si="21"/>
        <v>30584.002055000001</v>
      </c>
      <c r="K14" s="394">
        <f t="shared" ca="1" si="21"/>
        <v>50292.649327454128</v>
      </c>
      <c r="L14" s="394">
        <f t="shared" ca="1" si="21"/>
        <v>52067.792498946423</v>
      </c>
      <c r="M14" s="394">
        <f t="shared" ca="1" si="21"/>
        <v>53931.427450037401</v>
      </c>
      <c r="N14" s="394">
        <f t="shared" ca="1" si="21"/>
        <v>55881.084966510876</v>
      </c>
      <c r="O14" s="394">
        <f t="shared" ca="1" si="21"/>
        <v>57950.326222804411</v>
      </c>
      <c r="P14" s="855">
        <f t="shared" ca="1" si="21"/>
        <v>57950.326222804411</v>
      </c>
    </row>
    <row r="15" spans="2:19" ht="15" customHeight="1" x14ac:dyDescent="0.3">
      <c r="B15" s="624" t="s">
        <v>122</v>
      </c>
      <c r="C15" s="395">
        <f>BS!J57</f>
        <v>19416.165578</v>
      </c>
      <c r="D15" s="395">
        <f>BS!K57</f>
        <v>16841.211718999999</v>
      </c>
      <c r="E15" s="395">
        <f>BS!L57</f>
        <v>38969.414470999996</v>
      </c>
      <c r="F15" s="395">
        <f>BS!M57</f>
        <v>39416.497802999998</v>
      </c>
      <c r="G15" s="395">
        <f>BS!N57</f>
        <v>65492.904071999998</v>
      </c>
      <c r="H15" s="395">
        <f>BS!O57</f>
        <v>30584.002055000001</v>
      </c>
      <c r="I15" s="396"/>
      <c r="J15" s="396">
        <f>H15</f>
        <v>30584.002055000001</v>
      </c>
      <c r="K15" s="396">
        <f t="shared" ref="K15:P15" ca="1" si="22">K26/K16</f>
        <v>50292.649327454128</v>
      </c>
      <c r="L15" s="396">
        <f t="shared" ca="1" si="22"/>
        <v>52067.792498946423</v>
      </c>
      <c r="M15" s="396">
        <f t="shared" ca="1" si="22"/>
        <v>53931.427450037401</v>
      </c>
      <c r="N15" s="396">
        <f t="shared" ca="1" si="22"/>
        <v>55881.084966510876</v>
      </c>
      <c r="O15" s="396">
        <f t="shared" ca="1" si="22"/>
        <v>57950.326222804411</v>
      </c>
      <c r="P15" s="851">
        <f t="shared" ca="1" si="22"/>
        <v>57950.326222804411</v>
      </c>
      <c r="R15" s="345"/>
    </row>
    <row r="16" spans="2:19" ht="15" customHeight="1" x14ac:dyDescent="0.3">
      <c r="B16" s="852" t="s">
        <v>1155</v>
      </c>
      <c r="C16" s="274"/>
      <c r="D16" s="274">
        <f>D$26/((D15+C15)/2)</f>
        <v>5.8674679193523023</v>
      </c>
      <c r="E16" s="274">
        <f>E$26/((E15+D15)/2)</f>
        <v>5.9358214766520252</v>
      </c>
      <c r="F16" s="274">
        <f>F$26/((F15+E15)/2)</f>
        <v>4.9506138306527818</v>
      </c>
      <c r="G16" s="274">
        <f>G$26/((G15+F15)/2)</f>
        <v>4.4549292615438434</v>
      </c>
      <c r="H16" s="274">
        <f>H$26/((H15+G15)/2)</f>
        <v>4.026961777709368</v>
      </c>
      <c r="I16" s="333"/>
      <c r="J16" s="274">
        <f>H16</f>
        <v>4.026961777709368</v>
      </c>
      <c r="K16" s="274">
        <f>AVERAGE(F16:H16)</f>
        <v>4.4775016233019977</v>
      </c>
      <c r="L16" s="274">
        <f t="shared" ref="L16:O16" si="23">K16</f>
        <v>4.4775016233019977</v>
      </c>
      <c r="M16" s="274">
        <f t="shared" si="23"/>
        <v>4.4775016233019977</v>
      </c>
      <c r="N16" s="274">
        <f t="shared" si="23"/>
        <v>4.4775016233019977</v>
      </c>
      <c r="O16" s="274">
        <f t="shared" si="23"/>
        <v>4.4775016233019977</v>
      </c>
      <c r="P16" s="853">
        <f>N16</f>
        <v>4.4775016233019977</v>
      </c>
    </row>
    <row r="17" spans="2:19" ht="15" customHeight="1" x14ac:dyDescent="0.3">
      <c r="B17" s="852" t="s">
        <v>1156</v>
      </c>
      <c r="C17" s="275" t="e">
        <f t="shared" ref="C17:H17" si="24">365/C16</f>
        <v>#DIV/0!</v>
      </c>
      <c r="D17" s="275">
        <f t="shared" si="24"/>
        <v>62.20741297896889</v>
      </c>
      <c r="E17" s="275">
        <f t="shared" si="24"/>
        <v>61.491067653515508</v>
      </c>
      <c r="F17" s="275">
        <f t="shared" si="24"/>
        <v>73.728230980171517</v>
      </c>
      <c r="G17" s="275">
        <f t="shared" si="24"/>
        <v>81.931716211698102</v>
      </c>
      <c r="H17" s="275">
        <f t="shared" si="24"/>
        <v>90.639052503652195</v>
      </c>
      <c r="I17" s="275"/>
      <c r="J17" s="275">
        <f t="shared" ref="J17" si="25">365/J16</f>
        <v>90.639052503652195</v>
      </c>
      <c r="K17" s="275">
        <f t="shared" ref="K17" si="26">365/K16</f>
        <v>81.518675079971388</v>
      </c>
      <c r="L17" s="275">
        <f t="shared" ref="L17" si="27">365/L16</f>
        <v>81.518675079971388</v>
      </c>
      <c r="M17" s="275">
        <f t="shared" ref="M17" si="28">365/M16</f>
        <v>81.518675079971388</v>
      </c>
      <c r="N17" s="275">
        <f t="shared" ref="N17:O17" si="29">365/N16</f>
        <v>81.518675079971388</v>
      </c>
      <c r="O17" s="275">
        <f t="shared" si="29"/>
        <v>81.518675079971388</v>
      </c>
      <c r="P17" s="854">
        <f t="shared" ref="P17" si="30">365/P16</f>
        <v>81.518675079971388</v>
      </c>
      <c r="R17" s="347"/>
      <c r="S17" s="1554"/>
    </row>
    <row r="18" spans="2:19" s="294" customFormat="1" ht="15" customHeight="1" x14ac:dyDescent="0.3">
      <c r="B18" s="848" t="s">
        <v>126</v>
      </c>
      <c r="C18" s="849">
        <f t="shared" ref="C18:P18" si="31">C6-C14</f>
        <v>-896.75429499999882</v>
      </c>
      <c r="D18" s="849">
        <f t="shared" si="31"/>
        <v>4819.051577000002</v>
      </c>
      <c r="E18" s="849">
        <f t="shared" si="31"/>
        <v>14295.421105000001</v>
      </c>
      <c r="F18" s="849">
        <f t="shared" si="31"/>
        <v>8940.0822170000029</v>
      </c>
      <c r="G18" s="849">
        <f t="shared" si="31"/>
        <v>8185.7399739999892</v>
      </c>
      <c r="H18" s="849">
        <f t="shared" si="31"/>
        <v>18543.393222000002</v>
      </c>
      <c r="I18" s="849"/>
      <c r="J18" s="849">
        <f t="shared" si="31"/>
        <v>18543.393222000002</v>
      </c>
      <c r="K18" s="849">
        <f t="shared" ca="1" si="31"/>
        <v>11777.75145643713</v>
      </c>
      <c r="L18" s="849">
        <f t="shared" ca="1" si="31"/>
        <v>12166.689126870915</v>
      </c>
      <c r="M18" s="849">
        <f t="shared" ca="1" si="31"/>
        <v>12583.249435085265</v>
      </c>
      <c r="N18" s="849">
        <f t="shared" ca="1" si="31"/>
        <v>12992.303305996284</v>
      </c>
      <c r="O18" s="849">
        <f t="shared" ca="1" si="31"/>
        <v>13413.763190994221</v>
      </c>
      <c r="P18" s="850">
        <f t="shared" ca="1" si="31"/>
        <v>13413.763190994221</v>
      </c>
    </row>
    <row r="19" spans="2:19" s="294" customFormat="1" ht="15" customHeight="1" thickBot="1" x14ac:dyDescent="0.35">
      <c r="B19" s="882" t="s">
        <v>127</v>
      </c>
      <c r="C19" s="883"/>
      <c r="D19" s="883">
        <f t="shared" ref="D19:E19" si="32">D18-C18</f>
        <v>5715.8058720000008</v>
      </c>
      <c r="E19" s="883">
        <f t="shared" si="32"/>
        <v>9476.3695279999993</v>
      </c>
      <c r="F19" s="883">
        <f>F18-E18</f>
        <v>-5355.3388879999984</v>
      </c>
      <c r="G19" s="883">
        <f>G18-F18</f>
        <v>-754.3422430000137</v>
      </c>
      <c r="H19" s="883">
        <f t="shared" ref="H19" si="33">H18-G18</f>
        <v>10357.653248000013</v>
      </c>
      <c r="I19" s="883"/>
      <c r="J19" s="883">
        <f>J18-G18</f>
        <v>10357.653248000013</v>
      </c>
      <c r="K19" s="883">
        <f t="shared" ref="K19" ca="1" si="34">K18-J18</f>
        <v>-6765.641765562872</v>
      </c>
      <c r="L19" s="883">
        <f t="shared" ref="L19" ca="1" si="35">L18-K18</f>
        <v>388.93767043378466</v>
      </c>
      <c r="M19" s="883">
        <f t="shared" ref="M19" ca="1" si="36">M18-L18</f>
        <v>416.56030821434979</v>
      </c>
      <c r="N19" s="883">
        <f t="shared" ref="N19:O19" ca="1" si="37">N18-M18</f>
        <v>409.05387091101875</v>
      </c>
      <c r="O19" s="883">
        <f t="shared" ca="1" si="37"/>
        <v>421.45988499793748</v>
      </c>
      <c r="P19" s="884">
        <f t="shared" ref="P19" ca="1" si="38">P18-N18</f>
        <v>421.45988499793748</v>
      </c>
    </row>
    <row r="20" spans="2:19" ht="13.5" customHeight="1" x14ac:dyDescent="0.3">
      <c r="E20" s="303"/>
      <c r="F20" s="303"/>
      <c r="G20" s="303"/>
      <c r="H20" s="303"/>
      <c r="I20" s="303"/>
      <c r="J20" s="308"/>
      <c r="K20" s="303"/>
      <c r="L20" s="303"/>
      <c r="M20" s="303"/>
      <c r="N20" s="303"/>
      <c r="O20" s="303"/>
      <c r="P20" s="309"/>
    </row>
    <row r="21" spans="2:19" ht="13.5" customHeight="1" x14ac:dyDescent="0.3">
      <c r="B21" s="262" t="str">
        <f>unit</f>
        <v>KRW Millions</v>
      </c>
      <c r="C21" s="263">
        <f t="shared" ref="C21:N21" si="39">C5</f>
        <v>2010</v>
      </c>
      <c r="D21" s="263">
        <f t="shared" si="39"/>
        <v>2011</v>
      </c>
      <c r="E21" s="263">
        <f t="shared" si="39"/>
        <v>2012</v>
      </c>
      <c r="F21" s="263">
        <f t="shared" si="39"/>
        <v>2013</v>
      </c>
      <c r="G21" s="263">
        <f t="shared" si="39"/>
        <v>2014</v>
      </c>
      <c r="H21" s="264" t="str">
        <f t="shared" si="39"/>
        <v>2015/12A</v>
      </c>
      <c r="I21" s="264" t="str">
        <f t="shared" si="39"/>
        <v>2015/0E</v>
      </c>
      <c r="J21" s="263">
        <f t="shared" si="39"/>
        <v>2015</v>
      </c>
      <c r="K21" s="266">
        <f t="shared" si="39"/>
        <v>2016</v>
      </c>
      <c r="L21" s="266">
        <f t="shared" si="39"/>
        <v>2017</v>
      </c>
      <c r="M21" s="266">
        <f t="shared" si="39"/>
        <v>2018</v>
      </c>
      <c r="N21" s="266">
        <f t="shared" si="39"/>
        <v>2019</v>
      </c>
      <c r="O21" s="266">
        <f t="shared" ref="O21" si="40">O5</f>
        <v>2020</v>
      </c>
      <c r="P21" s="272" t="s">
        <v>151</v>
      </c>
    </row>
    <row r="22" spans="2:19" ht="13.5" customHeight="1" x14ac:dyDescent="0.3">
      <c r="B22" s="310" t="s">
        <v>148</v>
      </c>
      <c r="C22" s="398">
        <f>매출액!C6</f>
        <v>101202.82810300001</v>
      </c>
      <c r="D22" s="398">
        <f>매출액!D6</f>
        <v>120090.945248</v>
      </c>
      <c r="E22" s="398">
        <f>매출액!E6</f>
        <v>182279.26657199999</v>
      </c>
      <c r="F22" s="398">
        <f>매출액!F6</f>
        <v>211683.36859699996</v>
      </c>
      <c r="G22" s="398">
        <f>매출액!G6</f>
        <v>251810.747072</v>
      </c>
      <c r="H22" s="398">
        <f>매출액!H6</f>
        <v>214888.123487</v>
      </c>
      <c r="I22" s="398">
        <f>매출액!I6</f>
        <v>0</v>
      </c>
      <c r="J22" s="398">
        <f>매출액!J6</f>
        <v>214888.123487</v>
      </c>
      <c r="K22" s="398">
        <f>매출액!K6</f>
        <v>247657.65104010326</v>
      </c>
      <c r="L22" s="398">
        <f>매출액!L6</f>
        <v>256222.02504382611</v>
      </c>
      <c r="M22" s="398">
        <f>매출액!M6</f>
        <v>265319.19037349237</v>
      </c>
      <c r="N22" s="398">
        <f>매출액!N6</f>
        <v>274730.70385192439</v>
      </c>
      <c r="O22" s="398">
        <f>매출액!O6</f>
        <v>284669.53021891415</v>
      </c>
      <c r="P22" s="399">
        <f>O22*(1+DCF!$C$24)</f>
        <v>284669.53021891415</v>
      </c>
    </row>
    <row r="23" spans="2:19" s="825" customFormat="1" ht="13.5" customHeight="1" x14ac:dyDescent="0.3">
      <c r="B23" s="310" t="s">
        <v>2009</v>
      </c>
      <c r="C23" s="398">
        <f>매출액!C9</f>
        <v>28667.764768000001</v>
      </c>
      <c r="D23" s="398">
        <f>매출액!D9</f>
        <v>33818.960225000003</v>
      </c>
      <c r="E23" s="398">
        <f>매출액!E9</f>
        <v>72895.967908999999</v>
      </c>
      <c r="F23" s="398">
        <f>매출액!F9</f>
        <v>71774.780262999993</v>
      </c>
      <c r="G23" s="398">
        <f>매출액!G9</f>
        <v>69236.768544999999</v>
      </c>
      <c r="H23" s="398">
        <f>매출액!H9</f>
        <v>43311.994716999994</v>
      </c>
      <c r="I23" s="398">
        <f>매출액!I9</f>
        <v>0</v>
      </c>
      <c r="J23" s="398">
        <f>매출액!J9</f>
        <v>43311.994716999994</v>
      </c>
      <c r="K23" s="398"/>
      <c r="L23" s="398"/>
      <c r="M23" s="398"/>
      <c r="N23" s="398"/>
      <c r="O23" s="398"/>
      <c r="P23" s="399"/>
    </row>
    <row r="24" spans="2:19" s="825" customFormat="1" ht="13.5" customHeight="1" x14ac:dyDescent="0.3">
      <c r="B24" s="310" t="s">
        <v>2010</v>
      </c>
      <c r="C24" s="398">
        <f>매출액!C13</f>
        <v>32345.633293999999</v>
      </c>
      <c r="D24" s="398">
        <f>매출액!D13</f>
        <v>31656.878968000001</v>
      </c>
      <c r="E24" s="398">
        <f>매출액!E13</f>
        <v>52687.668978000002</v>
      </c>
      <c r="F24" s="398">
        <f>매출액!F13</f>
        <v>60245.229018999999</v>
      </c>
      <c r="G24" s="398">
        <f>매출액!G13</f>
        <v>90980.180334999997</v>
      </c>
      <c r="H24" s="398">
        <f>매출액!H13</f>
        <v>76214.068412999986</v>
      </c>
      <c r="I24" s="398">
        <f>매출액!I13</f>
        <v>0</v>
      </c>
      <c r="J24" s="398">
        <f>매출액!J13</f>
        <v>76214.068412999986</v>
      </c>
      <c r="K24" s="398"/>
      <c r="L24" s="398"/>
      <c r="M24" s="398"/>
      <c r="N24" s="398"/>
      <c r="O24" s="398"/>
      <c r="P24" s="399"/>
    </row>
    <row r="25" spans="2:19" s="825" customFormat="1" ht="13.5" customHeight="1" x14ac:dyDescent="0.3">
      <c r="B25" s="310" t="s">
        <v>2011</v>
      </c>
      <c r="C25" s="398">
        <f>매출액!C17</f>
        <v>40189.430041</v>
      </c>
      <c r="D25" s="398">
        <f>매출액!D17</f>
        <v>54615.106054999997</v>
      </c>
      <c r="E25" s="398">
        <f>매출액!E17</f>
        <v>56695.629685</v>
      </c>
      <c r="F25" s="398">
        <f>매출액!F17</f>
        <v>79663.359314999994</v>
      </c>
      <c r="G25" s="398">
        <f>매출액!G17</f>
        <v>91593.798192000002</v>
      </c>
      <c r="H25" s="398">
        <f>매출액!H17</f>
        <v>95362.060357000024</v>
      </c>
      <c r="I25" s="398">
        <f>매출액!I17</f>
        <v>0</v>
      </c>
      <c r="J25" s="398">
        <f>매출액!J17</f>
        <v>95362.060357000024</v>
      </c>
      <c r="K25" s="398"/>
      <c r="L25" s="398"/>
      <c r="M25" s="398"/>
      <c r="N25" s="398"/>
      <c r="O25" s="398"/>
      <c r="P25" s="399"/>
    </row>
    <row r="26" spans="2:19" ht="13.5" customHeight="1" x14ac:dyDescent="0.3">
      <c r="B26" s="310" t="s">
        <v>158</v>
      </c>
      <c r="C26" s="398">
        <f>IS!J11</f>
        <v>86101.882786000002</v>
      </c>
      <c r="D26" s="398">
        <f>IS!K11</f>
        <v>106369.499065</v>
      </c>
      <c r="E26" s="398">
        <f>IS!L11</f>
        <v>165640.95678199999</v>
      </c>
      <c r="F26" s="398">
        <f>IS!M11</f>
        <v>194029.19071600001</v>
      </c>
      <c r="G26" s="398">
        <f>IS!N11</f>
        <v>233681.982112</v>
      </c>
      <c r="H26" s="398">
        <f>IS!O11</f>
        <v>193449.01434699999</v>
      </c>
      <c r="I26" s="398">
        <f>매출원가!I6</f>
        <v>0</v>
      </c>
      <c r="J26" s="398">
        <f ca="1">매출원가!J6</f>
        <v>193443.27590900002</v>
      </c>
      <c r="K26" s="398">
        <f ca="1">매출원가!K6</f>
        <v>225185.41900383399</v>
      </c>
      <c r="L26" s="398">
        <f ca="1">매출원가!L6</f>
        <v>233133.6254357842</v>
      </c>
      <c r="M26" s="398">
        <f ca="1">매출원가!M6</f>
        <v>241478.05395453639</v>
      </c>
      <c r="N26" s="398">
        <f ca="1">매출원가!N6</f>
        <v>250207.64864942932</v>
      </c>
      <c r="O26" s="398">
        <f ca="1">매출원가!O6</f>
        <v>259472.67973348708</v>
      </c>
      <c r="P26" s="399">
        <f ca="1">O26*(1+DCF!$C$24)</f>
        <v>259472.67973348708</v>
      </c>
    </row>
    <row r="27" spans="2:19" s="825" customFormat="1" ht="13.5" customHeight="1" x14ac:dyDescent="0.3">
      <c r="B27" s="310" t="s">
        <v>4452</v>
      </c>
      <c r="C27" s="398">
        <f>IS!J12</f>
        <v>27235.239343000001</v>
      </c>
      <c r="D27" s="398">
        <f>IS!K12</f>
        <v>32097.449906000002</v>
      </c>
      <c r="E27" s="398">
        <f>IS!L12</f>
        <v>69812.615934000001</v>
      </c>
      <c r="F27" s="398">
        <f>IS!M12</f>
        <v>69867.514085999996</v>
      </c>
      <c r="G27" s="398">
        <f>IS!N12</f>
        <v>67227.543760999994</v>
      </c>
      <c r="H27" s="398">
        <f>IS!O12</f>
        <v>41402.707941000001</v>
      </c>
      <c r="I27" s="398">
        <f>매출원가!I9</f>
        <v>0</v>
      </c>
      <c r="J27" s="398">
        <f ca="1">매출원가!J9</f>
        <v>41356.111594666669</v>
      </c>
      <c r="K27" s="398">
        <f ca="1">매출원가!K9</f>
        <v>49675.412843078149</v>
      </c>
      <c r="L27" s="398">
        <f ca="1">매출원가!L9</f>
        <v>51813.467125641138</v>
      </c>
      <c r="M27" s="398">
        <f ca="1">매출원가!M9</f>
        <v>53642.342436895204</v>
      </c>
      <c r="N27" s="398">
        <f ca="1">매출원가!N9</f>
        <v>55527.847363978559</v>
      </c>
      <c r="O27" s="398">
        <f ca="1">매출원가!O9</f>
        <v>57515.046546788733</v>
      </c>
      <c r="P27" s="399">
        <f ca="1">O27*(1+DCF!$C$24)</f>
        <v>57515.046546788733</v>
      </c>
    </row>
    <row r="28" spans="2:19" ht="13.5" customHeight="1" x14ac:dyDescent="0.3">
      <c r="B28" s="312" t="s">
        <v>3813</v>
      </c>
      <c r="C28" s="1664">
        <f>IS!J14</f>
        <v>27951.194243000002</v>
      </c>
      <c r="D28" s="1664">
        <f>IS!K14</f>
        <v>31980.425012</v>
      </c>
      <c r="E28" s="1664">
        <f>IS!L14</f>
        <v>71543.418940000003</v>
      </c>
      <c r="F28" s="1664">
        <f>IS!M14</f>
        <v>71529.596690999999</v>
      </c>
      <c r="G28" s="1664">
        <f>IS!N14</f>
        <v>65605.705650000004</v>
      </c>
      <c r="H28" s="1664">
        <f>IS!O14</f>
        <v>39475.951407</v>
      </c>
      <c r="I28" s="1664"/>
      <c r="J28" s="1664"/>
      <c r="K28" s="1664"/>
      <c r="L28" s="1664"/>
      <c r="M28" s="1664"/>
      <c r="N28" s="1664"/>
      <c r="O28" s="1664"/>
      <c r="P28" s="1665"/>
    </row>
    <row r="31" spans="2:19" ht="13.5" customHeight="1" x14ac:dyDescent="0.3">
      <c r="E31" s="1554"/>
    </row>
  </sheetData>
  <phoneticPr fontId="1" type="noConversion"/>
  <pageMargins left="0.70866141732283472" right="0.70866141732283472" top="0.74803149606299213" bottom="0.74803149606299213" header="0.31496062992125984" footer="0.31496062992125984"/>
  <pageSetup paperSize="9" scale="95"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8" tint="-0.499984740745262"/>
    <pageSetUpPr fitToPage="1"/>
  </sheetPr>
  <dimension ref="B1:O25"/>
  <sheetViews>
    <sheetView showGridLines="0" zoomScale="85" zoomScaleNormal="85" workbookViewId="0">
      <selection activeCell="E13" sqref="E13"/>
    </sheetView>
  </sheetViews>
  <sheetFormatPr defaultRowHeight="13.5" customHeight="1" x14ac:dyDescent="0.3"/>
  <cols>
    <col min="1" max="1" width="1.25" style="403" customWidth="1"/>
    <col min="2" max="2" width="18.875" style="403" customWidth="1"/>
    <col min="3" max="4" width="12.125" style="403" customWidth="1"/>
    <col min="5" max="5" width="9.875" style="403" customWidth="1"/>
    <col min="6" max="6" width="0.5" style="403" customWidth="1"/>
    <col min="7" max="7" width="11.875" style="403" customWidth="1"/>
    <col min="8" max="8" width="10.125" style="403" customWidth="1"/>
    <col min="9" max="9" width="17.75" style="403" customWidth="1"/>
    <col min="10" max="10" width="2.875" style="403" customWidth="1"/>
    <col min="11" max="16384" width="9" style="403"/>
  </cols>
  <sheetData>
    <row r="1" spans="2:15" customFormat="1" ht="30" customHeight="1" x14ac:dyDescent="0.3">
      <c r="B1" s="58" t="str">
        <f>"Project"&amp;" "&amp;Title!L6</f>
        <v>Project IT</v>
      </c>
      <c r="C1" s="59"/>
      <c r="D1" s="59"/>
      <c r="E1" s="59"/>
      <c r="F1" s="59"/>
      <c r="G1" s="59"/>
      <c r="H1" s="59"/>
      <c r="I1" s="61" t="str">
        <f>Des!C12</f>
        <v>DRAFT - For Discussion Purposes Only</v>
      </c>
    </row>
    <row r="2" spans="2:15" customFormat="1" ht="20.100000000000001" customHeight="1" x14ac:dyDescent="0.3">
      <c r="B2" s="51" t="s">
        <v>107</v>
      </c>
      <c r="C2" s="51"/>
      <c r="D2" s="51"/>
      <c r="E2" s="51"/>
      <c r="F2" s="51"/>
      <c r="G2" s="60"/>
      <c r="H2" s="60"/>
      <c r="I2" s="60"/>
    </row>
    <row r="3" spans="2:15" customFormat="1" ht="14.1" customHeight="1" x14ac:dyDescent="0.3"/>
    <row r="4" spans="2:15" ht="13.5" customHeight="1" x14ac:dyDescent="0.3">
      <c r="B4" s="834" t="s">
        <v>1135</v>
      </c>
      <c r="C4" s="838"/>
      <c r="D4" s="838"/>
      <c r="E4" s="838"/>
      <c r="F4" s="838"/>
      <c r="G4" s="839"/>
      <c r="H4" s="839"/>
      <c r="I4" s="840" t="str">
        <f>unit</f>
        <v>KRW Millions</v>
      </c>
    </row>
    <row r="5" spans="2:15" ht="13.5" customHeight="1" x14ac:dyDescent="0.3">
      <c r="B5" s="810" t="s">
        <v>93</v>
      </c>
      <c r="C5" s="811" t="s">
        <v>75</v>
      </c>
      <c r="D5" s="812" t="s">
        <v>1221</v>
      </c>
      <c r="E5" s="811" t="s">
        <v>76</v>
      </c>
      <c r="F5" s="2142" t="s">
        <v>77</v>
      </c>
      <c r="G5" s="2142"/>
      <c r="H5" s="2142"/>
      <c r="I5" s="2143"/>
    </row>
    <row r="6" spans="2:15" s="294" customFormat="1" ht="13.5" customHeight="1" x14ac:dyDescent="0.3">
      <c r="B6" s="890" t="s">
        <v>94</v>
      </c>
      <c r="C6" s="740"/>
      <c r="D6" s="741"/>
      <c r="E6" s="740"/>
      <c r="F6" s="742"/>
      <c r="G6" s="742"/>
      <c r="H6" s="742"/>
      <c r="I6" s="743"/>
    </row>
    <row r="7" spans="2:15" ht="13.5" customHeight="1" x14ac:dyDescent="0.3">
      <c r="B7" s="584" t="s">
        <v>168</v>
      </c>
      <c r="C7" s="292">
        <f>BS!O9</f>
        <v>7679.8966099999998</v>
      </c>
      <c r="D7" s="744">
        <v>0</v>
      </c>
      <c r="E7" s="292">
        <f>C7+D7</f>
        <v>7679.8966099999998</v>
      </c>
      <c r="F7" s="736"/>
      <c r="G7" s="62"/>
      <c r="H7" s="62"/>
      <c r="I7" s="745"/>
    </row>
    <row r="8" spans="2:15" ht="13.5" customHeight="1" x14ac:dyDescent="0.3">
      <c r="B8" s="891" t="s">
        <v>169</v>
      </c>
      <c r="C8" s="749">
        <f>BS!O10</f>
        <v>7000</v>
      </c>
      <c r="D8" s="750">
        <v>0</v>
      </c>
      <c r="E8" s="749">
        <f>C8+D8</f>
        <v>7000</v>
      </c>
      <c r="F8" s="751"/>
      <c r="G8" s="752"/>
      <c r="H8" s="752"/>
      <c r="I8" s="753"/>
    </row>
    <row r="9" spans="2:15" s="294" customFormat="1" ht="13.5" customHeight="1" x14ac:dyDescent="0.3">
      <c r="B9" s="892" t="s">
        <v>95</v>
      </c>
      <c r="C9" s="307"/>
      <c r="D9" s="739"/>
      <c r="E9" s="307"/>
      <c r="F9" s="735"/>
      <c r="G9" s="894"/>
      <c r="H9" s="894"/>
      <c r="I9" s="895"/>
    </row>
    <row r="10" spans="2:15" ht="13.5" customHeight="1" x14ac:dyDescent="0.3">
      <c r="B10" s="584" t="s">
        <v>170</v>
      </c>
      <c r="C10" s="292">
        <f>BS!O35</f>
        <v>183</v>
      </c>
      <c r="D10" s="737"/>
      <c r="E10" s="292">
        <f>C10+D10</f>
        <v>183</v>
      </c>
      <c r="F10" s="738"/>
      <c r="G10" s="62"/>
      <c r="H10" s="62"/>
      <c r="I10" s="745"/>
    </row>
    <row r="11" spans="2:15" ht="13.5" customHeight="1" x14ac:dyDescent="0.3">
      <c r="B11" s="584" t="s">
        <v>171</v>
      </c>
      <c r="C11" s="292">
        <f>499999500/1000000</f>
        <v>499.99950000000001</v>
      </c>
      <c r="D11" s="475">
        <v>0</v>
      </c>
      <c r="E11" s="292">
        <f>C11+D11</f>
        <v>499.99950000000001</v>
      </c>
      <c r="F11" s="738"/>
      <c r="G11" s="62"/>
      <c r="H11" s="62" t="s">
        <v>3790</v>
      </c>
      <c r="I11" s="745"/>
      <c r="O11" s="407"/>
    </row>
    <row r="12" spans="2:15" ht="13.5" customHeight="1" x14ac:dyDescent="0.3">
      <c r="B12" s="584" t="s">
        <v>3791</v>
      </c>
      <c r="C12" s="292">
        <f>BS!O30</f>
        <v>1634.0375859999999</v>
      </c>
      <c r="D12" s="475">
        <v>-12.407586000000038</v>
      </c>
      <c r="E12" s="292">
        <f>C12+D12</f>
        <v>1621.6299999999999</v>
      </c>
      <c r="F12" s="738"/>
      <c r="G12" s="2144" t="s">
        <v>4599</v>
      </c>
      <c r="H12" s="2144"/>
      <c r="I12" s="2145"/>
      <c r="O12" s="407"/>
    </row>
    <row r="13" spans="2:15" ht="13.5" customHeight="1" thickBot="1" x14ac:dyDescent="0.35">
      <c r="B13" s="893" t="s">
        <v>78</v>
      </c>
      <c r="C13" s="813">
        <f>SUM(C7:C12)</f>
        <v>16996.933696</v>
      </c>
      <c r="D13" s="817">
        <f t="shared" ref="D13:E13" si="0">SUM(D7:D12)</f>
        <v>-12.407586000000038</v>
      </c>
      <c r="E13" s="813">
        <f t="shared" si="0"/>
        <v>16984.526109999999</v>
      </c>
      <c r="F13" s="815"/>
      <c r="G13" s="815"/>
      <c r="H13" s="815"/>
      <c r="I13" s="816"/>
    </row>
    <row r="14" spans="2:15" ht="13.5" customHeight="1" x14ac:dyDescent="0.3">
      <c r="C14" s="346"/>
      <c r="D14" s="303"/>
      <c r="E14" s="527" t="e">
        <f>E13/(#REF!/1000000)</f>
        <v>#REF!</v>
      </c>
      <c r="F14" s="325"/>
      <c r="G14" s="528" t="s">
        <v>1134</v>
      </c>
    </row>
    <row r="15" spans="2:15" ht="13.5" customHeight="1" x14ac:dyDescent="0.3">
      <c r="B15" s="755" t="s">
        <v>108</v>
      </c>
      <c r="C15" s="756"/>
      <c r="D15" s="757"/>
      <c r="E15" s="757"/>
      <c r="F15" s="756"/>
      <c r="G15" s="757"/>
      <c r="H15" s="757"/>
      <c r="I15" s="758" t="str">
        <f>unit</f>
        <v>KRW Millions</v>
      </c>
    </row>
    <row r="16" spans="2:15" ht="13.5" customHeight="1" x14ac:dyDescent="0.3">
      <c r="B16" s="810" t="s">
        <v>93</v>
      </c>
      <c r="C16" s="811" t="s">
        <v>75</v>
      </c>
      <c r="D16" s="916" t="s">
        <v>1221</v>
      </c>
      <c r="E16" s="811" t="s">
        <v>76</v>
      </c>
      <c r="F16" s="2142" t="s">
        <v>77</v>
      </c>
      <c r="G16" s="2142"/>
      <c r="H16" s="2142"/>
      <c r="I16" s="2143"/>
    </row>
    <row r="17" spans="2:15" ht="13.5" customHeight="1" x14ac:dyDescent="0.3">
      <c r="B17" s="890" t="s">
        <v>150</v>
      </c>
      <c r="C17" s="740"/>
      <c r="D17" s="754"/>
      <c r="E17" s="740"/>
      <c r="F17" s="742"/>
      <c r="G17" s="742"/>
      <c r="H17" s="742"/>
      <c r="I17" s="743"/>
    </row>
    <row r="18" spans="2:15" ht="13.5" customHeight="1" x14ac:dyDescent="0.3">
      <c r="B18" s="584" t="s">
        <v>172</v>
      </c>
      <c r="C18" s="292">
        <v>0</v>
      </c>
      <c r="D18" s="475">
        <v>0</v>
      </c>
      <c r="E18" s="292">
        <f t="shared" ref="E18:E19" si="1">C18-D18</f>
        <v>0</v>
      </c>
      <c r="F18" s="738"/>
      <c r="G18" s="2082"/>
      <c r="H18" s="2082"/>
      <c r="I18" s="2146"/>
    </row>
    <row r="19" spans="2:15" ht="13.5" customHeight="1" x14ac:dyDescent="0.3">
      <c r="B19" s="594" t="s">
        <v>173</v>
      </c>
      <c r="C19" s="746">
        <v>0</v>
      </c>
      <c r="D19" s="747">
        <v>0</v>
      </c>
      <c r="E19" s="746">
        <f t="shared" si="1"/>
        <v>0</v>
      </c>
      <c r="F19" s="748"/>
      <c r="G19" s="2140"/>
      <c r="H19" s="2140"/>
      <c r="I19" s="2141"/>
    </row>
    <row r="20" spans="2:15" ht="13.5" customHeight="1" thickBot="1" x14ac:dyDescent="0.35">
      <c r="B20" s="893" t="s">
        <v>78</v>
      </c>
      <c r="C20" s="813">
        <f>SUM(C18:C19)</f>
        <v>0</v>
      </c>
      <c r="D20" s="814">
        <f t="shared" ref="D20:E20" si="2">SUM(D18:D19)</f>
        <v>0</v>
      </c>
      <c r="E20" s="813">
        <f t="shared" si="2"/>
        <v>0</v>
      </c>
      <c r="F20" s="815"/>
      <c r="G20" s="815"/>
      <c r="H20" s="815"/>
      <c r="I20" s="816"/>
    </row>
    <row r="21" spans="2:15" ht="13.5" customHeight="1" x14ac:dyDescent="0.3">
      <c r="D21" s="303"/>
      <c r="E21" s="303"/>
      <c r="O21" s="403" t="s">
        <v>1136</v>
      </c>
    </row>
    <row r="25" spans="2:15" ht="13.5" customHeight="1" x14ac:dyDescent="0.3">
      <c r="E25" s="1682"/>
    </row>
  </sheetData>
  <mergeCells count="5">
    <mergeCell ref="G19:I19"/>
    <mergeCell ref="F5:I5"/>
    <mergeCell ref="F16:I16"/>
    <mergeCell ref="G12:I12"/>
    <mergeCell ref="G18:I18"/>
  </mergeCells>
  <phoneticPr fontId="1" type="noConversion"/>
  <pageMargins left="0.70866141732283472" right="0.70866141732283472" top="0.74803149606299213" bottom="0.74803149606299213" header="0.31496062992125984" footer="0.31496062992125984"/>
  <pageSetup paperSize="9" scale="35"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tabColor rgb="FF000000"/>
  </sheetPr>
  <dimension ref="A1"/>
  <sheetViews>
    <sheetView showGridLines="0" workbookViewId="0">
      <selection activeCell="D36" sqref="D36"/>
    </sheetView>
  </sheetViews>
  <sheetFormatPr defaultRowHeight="16.5" x14ac:dyDescent="0.3"/>
  <cols>
    <col min="1" max="1" width="1.625" style="142" customWidth="1"/>
    <col min="2" max="16384" width="9" style="142"/>
  </cols>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theme="0" tint="-0.499984740745262"/>
  </sheetPr>
  <dimension ref="A1:E2"/>
  <sheetViews>
    <sheetView workbookViewId="0"/>
  </sheetViews>
  <sheetFormatPr defaultRowHeight="16.5" x14ac:dyDescent="0.3"/>
  <sheetData>
    <row r="1" spans="1:5" x14ac:dyDescent="0.3">
      <c r="A1" s="208" t="s">
        <v>138</v>
      </c>
      <c r="B1" s="208" t="s">
        <v>139</v>
      </c>
      <c r="C1" s="208" t="s">
        <v>140</v>
      </c>
      <c r="D1" s="208" t="s">
        <v>141</v>
      </c>
      <c r="E1" s="208" t="s">
        <v>142</v>
      </c>
    </row>
    <row r="2" spans="1:5" x14ac:dyDescent="0.3">
      <c r="A2">
        <v>2</v>
      </c>
      <c r="B2">
        <v>18</v>
      </c>
      <c r="C2">
        <v>7</v>
      </c>
      <c r="D2">
        <v>24</v>
      </c>
      <c r="E2" t="s">
        <v>1132</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R526"/>
  <sheetViews>
    <sheetView zoomScale="85" zoomScaleNormal="85" workbookViewId="0">
      <pane ySplit="23" topLeftCell="A51" activePane="bottomLeft" state="frozen"/>
      <selection pane="bottomLeft" activeCell="F28" sqref="F28"/>
    </sheetView>
  </sheetViews>
  <sheetFormatPr defaultRowHeight="12" x14ac:dyDescent="0.3"/>
  <cols>
    <col min="1" max="1" width="9" style="1498"/>
    <col min="2" max="2" width="10.625" style="1498" customWidth="1"/>
    <col min="3" max="3" width="39.875" style="1498" customWidth="1"/>
    <col min="4" max="4" width="10.625" style="1508" customWidth="1"/>
    <col min="5" max="6" width="9.625" style="1518" customWidth="1"/>
    <col min="7" max="7" width="10.625" style="1518" customWidth="1"/>
    <col min="8" max="8" width="9.625" style="1518" customWidth="1"/>
    <col min="9" max="9" width="7.625" style="1498" customWidth="1"/>
    <col min="10" max="10" width="12.875" style="1498" bestFit="1" customWidth="1"/>
    <col min="11" max="11" width="14.625" style="1498" customWidth="1"/>
    <col min="12" max="13" width="12.625" style="1498" customWidth="1"/>
    <col min="14" max="16" width="10.625" style="1498" customWidth="1"/>
    <col min="17" max="20" width="11.625" style="1498" customWidth="1"/>
    <col min="21" max="21" width="11.625" style="1538" customWidth="1"/>
    <col min="22" max="22" width="11.625" style="1539" customWidth="1"/>
    <col min="23" max="30" width="11.625" style="1498" customWidth="1"/>
    <col min="31" max="31" width="11.625" style="1539" customWidth="1"/>
    <col min="32" max="32" width="11.625" style="1540" customWidth="1"/>
    <col min="33" max="33" width="9" style="1498"/>
    <col min="34" max="38" width="10.625" style="1498" bestFit="1" customWidth="1"/>
    <col min="39" max="16384" width="9" style="1498"/>
  </cols>
  <sheetData>
    <row r="1" spans="3:44" x14ac:dyDescent="0.3">
      <c r="C1" s="1499">
        <v>1</v>
      </c>
      <c r="D1" s="1499">
        <v>2</v>
      </c>
      <c r="E1" s="1499">
        <v>3</v>
      </c>
      <c r="F1" s="1499">
        <v>4</v>
      </c>
      <c r="G1" s="1499">
        <v>5</v>
      </c>
      <c r="H1" s="1499">
        <v>6</v>
      </c>
      <c r="I1" s="1499">
        <v>7</v>
      </c>
      <c r="J1" s="1499">
        <v>8</v>
      </c>
      <c r="K1" s="1499">
        <v>9</v>
      </c>
      <c r="L1" s="1499">
        <v>10</v>
      </c>
      <c r="M1" s="1499">
        <v>11</v>
      </c>
      <c r="O1" s="1644" t="s">
        <v>3799</v>
      </c>
      <c r="P1" s="1644" t="s">
        <v>3798</v>
      </c>
      <c r="Q1" s="1644" t="s">
        <v>3797</v>
      </c>
      <c r="R1" s="1499"/>
      <c r="S1" s="1499">
        <v>16</v>
      </c>
      <c r="T1" s="1499">
        <v>17</v>
      </c>
      <c r="U1" s="1500">
        <v>19</v>
      </c>
      <c r="V1" s="1501">
        <v>20</v>
      </c>
      <c r="W1" s="1501">
        <v>21</v>
      </c>
      <c r="X1" s="1501">
        <v>22</v>
      </c>
      <c r="Y1" s="1501">
        <v>23</v>
      </c>
      <c r="Z1" s="1501">
        <v>24</v>
      </c>
      <c r="AA1" s="1501">
        <v>25</v>
      </c>
      <c r="AB1" s="1501">
        <v>26</v>
      </c>
      <c r="AC1" s="1501">
        <v>27</v>
      </c>
      <c r="AD1" s="1501">
        <v>28</v>
      </c>
      <c r="AE1" s="1501">
        <v>29</v>
      </c>
      <c r="AF1" s="1502">
        <v>30</v>
      </c>
      <c r="AH1" s="1501">
        <v>32</v>
      </c>
      <c r="AI1" s="1501">
        <v>33</v>
      </c>
      <c r="AJ1" s="1501">
        <v>34</v>
      </c>
      <c r="AK1" s="1501">
        <v>35</v>
      </c>
      <c r="AL1" s="1501">
        <v>36</v>
      </c>
      <c r="AM1" s="1501">
        <v>37</v>
      </c>
      <c r="AN1" s="1501">
        <v>38</v>
      </c>
      <c r="AO1" s="1501">
        <v>39</v>
      </c>
      <c r="AP1" s="1501">
        <v>40</v>
      </c>
      <c r="AQ1" s="1501">
        <v>41</v>
      </c>
      <c r="AR1" s="1501">
        <v>42</v>
      </c>
    </row>
    <row r="2" spans="3:44" ht="12.75" customHeight="1" x14ac:dyDescent="0.3">
      <c r="D2" s="1503" t="s">
        <v>2920</v>
      </c>
      <c r="E2" s="1504">
        <f>DATE(YEAR(E4),12,31)</f>
        <v>42369</v>
      </c>
      <c r="F2" s="1505"/>
      <c r="G2" s="1506"/>
      <c r="H2" s="1507"/>
      <c r="J2" s="1508"/>
      <c r="O2" s="1214">
        <f>Q2-P2</f>
        <v>13612599.333333343</v>
      </c>
      <c r="P2" s="1214">
        <f>SUMIF($A$25:$A$81,P1,$Q$25:$Q$81)</f>
        <v>164140376</v>
      </c>
      <c r="Q2" s="1214">
        <f>Q82</f>
        <v>177752975.33333334</v>
      </c>
      <c r="R2" s="1214"/>
      <c r="T2" s="1509" t="s">
        <v>3046</v>
      </c>
      <c r="U2" s="1593">
        <f t="shared" ref="U2:AF8" ca="1" si="0">OFFSET($B$24,MATCH($T2,$B$25:$B$1048576,0),U$1)</f>
        <v>14242933.333333334</v>
      </c>
      <c r="V2" s="1510">
        <f t="shared" ca="1" si="0"/>
        <v>191995908.66666672</v>
      </c>
      <c r="W2" s="1510">
        <f t="shared" ca="1" si="0"/>
        <v>97329535</v>
      </c>
      <c r="X2" s="1511">
        <f t="shared" ca="1" si="0"/>
        <v>33827200</v>
      </c>
      <c r="Y2" s="1511">
        <f t="shared" ca="1" si="0"/>
        <v>13177866.333333334</v>
      </c>
      <c r="Z2" s="1511">
        <f t="shared" ca="1" si="0"/>
        <v>9561933.3333333321</v>
      </c>
      <c r="AA2" s="1511">
        <f t="shared" ca="1" si="0"/>
        <v>1954500.0000000002</v>
      </c>
      <c r="AB2" s="1511">
        <f t="shared" ca="1" si="0"/>
        <v>0</v>
      </c>
      <c r="AC2" s="1511">
        <f t="shared" ca="1" si="0"/>
        <v>0</v>
      </c>
      <c r="AD2" s="1511">
        <f t="shared" ca="1" si="0"/>
        <v>0</v>
      </c>
      <c r="AE2" s="1510">
        <f t="shared" ca="1" si="0"/>
        <v>0</v>
      </c>
      <c r="AF2" s="1512">
        <f t="shared" ca="1" si="0"/>
        <v>0</v>
      </c>
      <c r="AH2" s="1511">
        <f t="shared" ref="AH2:AR8" ca="1" si="1">OFFSET($B$24,MATCH($T2,$B$25:$B$1048576,0),AH$1)</f>
        <v>155906034.66666666</v>
      </c>
      <c r="AI2" s="1511">
        <f t="shared" ca="1" si="1"/>
        <v>58576499.666666664</v>
      </c>
      <c r="AJ2" s="1511">
        <f t="shared" ca="1" si="1"/>
        <v>24749299.666666668</v>
      </c>
      <c r="AK2" s="1511">
        <f t="shared" ca="1" si="1"/>
        <v>11571433.333333332</v>
      </c>
      <c r="AL2" s="1511">
        <f t="shared" ca="1" si="1"/>
        <v>2009500.0000000002</v>
      </c>
      <c r="AM2" s="1511">
        <f t="shared" ca="1" si="1"/>
        <v>55000</v>
      </c>
      <c r="AN2" s="1511">
        <f t="shared" ca="1" si="1"/>
        <v>55000</v>
      </c>
      <c r="AO2" s="1511">
        <f t="shared" ca="1" si="1"/>
        <v>55000</v>
      </c>
      <c r="AP2" s="1511">
        <f t="shared" ca="1" si="1"/>
        <v>55000</v>
      </c>
      <c r="AQ2" s="1511">
        <f t="shared" ca="1" si="1"/>
        <v>55000</v>
      </c>
      <c r="AR2" s="1511">
        <f t="shared" ca="1" si="1"/>
        <v>55000</v>
      </c>
    </row>
    <row r="3" spans="3:44" ht="12.75" customHeight="1" x14ac:dyDescent="0.3">
      <c r="D3" s="1513" t="s">
        <v>2922</v>
      </c>
      <c r="E3" s="1514"/>
      <c r="F3" s="1515"/>
      <c r="G3" s="1498"/>
      <c r="H3" s="1498"/>
      <c r="J3" s="1508"/>
      <c r="O3" s="1214">
        <f t="shared" ref="O3:O8" si="2">Q3-P3</f>
        <v>71250350</v>
      </c>
      <c r="P3" s="1214">
        <f>SUMIF($A$84:$A$89,P1,$Q$84:$Q$89)</f>
        <v>0</v>
      </c>
      <c r="Q3" s="1214">
        <f>Q90</f>
        <v>71250350</v>
      </c>
      <c r="R3" s="1214"/>
      <c r="T3" s="1509" t="s">
        <v>2923</v>
      </c>
      <c r="U3" s="1593">
        <f t="shared" ca="1" si="0"/>
        <v>6477304.5</v>
      </c>
      <c r="V3" s="1510">
        <f t="shared" ca="1" si="0"/>
        <v>77727654.5</v>
      </c>
      <c r="W3" s="1511">
        <f t="shared" ca="1" si="0"/>
        <v>77727654</v>
      </c>
      <c r="X3" s="1511">
        <f t="shared" ca="1" si="0"/>
        <v>77725654</v>
      </c>
      <c r="Y3" s="1511">
        <f t="shared" ca="1" si="0"/>
        <v>53352255.500000007</v>
      </c>
      <c r="Z3" s="1511">
        <f t="shared" ca="1" si="0"/>
        <v>8122026</v>
      </c>
      <c r="AA3" s="1511">
        <f t="shared" ca="1" si="0"/>
        <v>0</v>
      </c>
      <c r="AB3" s="1511">
        <f t="shared" ca="1" si="0"/>
        <v>0</v>
      </c>
      <c r="AC3" s="1511">
        <f t="shared" ca="1" si="0"/>
        <v>0</v>
      </c>
      <c r="AD3" s="1511">
        <f t="shared" ca="1" si="0"/>
        <v>0</v>
      </c>
      <c r="AE3" s="1510">
        <f t="shared" ca="1" si="0"/>
        <v>0</v>
      </c>
      <c r="AF3" s="1512">
        <f t="shared" ca="1" si="0"/>
        <v>0</v>
      </c>
      <c r="AH3" s="1511">
        <f t="shared" ca="1" si="1"/>
        <v>216933589.5</v>
      </c>
      <c r="AI3" s="1511">
        <f t="shared" ca="1" si="1"/>
        <v>139205935.5</v>
      </c>
      <c r="AJ3" s="1511">
        <f t="shared" ca="1" si="1"/>
        <v>61480281.500000007</v>
      </c>
      <c r="AK3" s="1511">
        <f t="shared" ca="1" si="1"/>
        <v>8128026</v>
      </c>
      <c r="AL3" s="1511">
        <f t="shared" ca="1" si="1"/>
        <v>6000</v>
      </c>
      <c r="AM3" s="1511">
        <f t="shared" ca="1" si="1"/>
        <v>6000</v>
      </c>
      <c r="AN3" s="1511">
        <f t="shared" ca="1" si="1"/>
        <v>6000</v>
      </c>
      <c r="AO3" s="1511">
        <f t="shared" ca="1" si="1"/>
        <v>6000</v>
      </c>
      <c r="AP3" s="1511">
        <f t="shared" ca="1" si="1"/>
        <v>6000</v>
      </c>
      <c r="AQ3" s="1511">
        <f t="shared" ca="1" si="1"/>
        <v>6000</v>
      </c>
      <c r="AR3" s="1511">
        <f t="shared" ca="1" si="1"/>
        <v>6000</v>
      </c>
    </row>
    <row r="4" spans="3:44" ht="12.75" customHeight="1" x14ac:dyDescent="0.3">
      <c r="D4" s="1516" t="s">
        <v>2924</v>
      </c>
      <c r="E4" s="1517">
        <f>Des!$C$8</f>
        <v>42369</v>
      </c>
      <c r="F4" s="1505"/>
      <c r="G4" s="1506"/>
      <c r="H4" s="1506"/>
      <c r="O4" s="1214">
        <f t="shared" si="2"/>
        <v>190365452.61666667</v>
      </c>
      <c r="P4" s="1214">
        <f>SUMIF($A$92:$A$417,P1,$Q$92:$Q$417)</f>
        <v>15975667</v>
      </c>
      <c r="Q4" s="1214">
        <f>Q418</f>
        <v>206341119.61666667</v>
      </c>
      <c r="R4" s="1214"/>
      <c r="T4" s="1509" t="s">
        <v>2921</v>
      </c>
      <c r="U4" s="1593">
        <f t="shared" ca="1" si="0"/>
        <v>19283280.949999992</v>
      </c>
      <c r="V4" s="1510">
        <f t="shared" ca="1" si="0"/>
        <v>225624400.56666675</v>
      </c>
      <c r="W4" s="1511">
        <f t="shared" ca="1" si="0"/>
        <v>204080978.00000003</v>
      </c>
      <c r="X4" s="1511">
        <f t="shared" ca="1" si="0"/>
        <v>133138193.46666667</v>
      </c>
      <c r="Y4" s="1511">
        <f t="shared" ca="1" si="0"/>
        <v>87451349.133333325</v>
      </c>
      <c r="Z4" s="1511">
        <f t="shared" ca="1" si="0"/>
        <v>60241360.466666661</v>
      </c>
      <c r="AA4" s="1511">
        <f t="shared" ca="1" si="0"/>
        <v>17178427.983333334</v>
      </c>
      <c r="AB4" s="1511">
        <f t="shared" ca="1" si="0"/>
        <v>0</v>
      </c>
      <c r="AC4" s="1511">
        <f t="shared" ca="1" si="0"/>
        <v>0</v>
      </c>
      <c r="AD4" s="1511">
        <f t="shared" ca="1" si="0"/>
        <v>0</v>
      </c>
      <c r="AE4" s="1510">
        <f t="shared" ca="1" si="0"/>
        <v>0</v>
      </c>
      <c r="AF4" s="1512">
        <f t="shared" ca="1" si="0"/>
        <v>0</v>
      </c>
      <c r="AH4" s="1511">
        <f t="shared" ca="1" si="1"/>
        <v>502413309.05000031</v>
      </c>
      <c r="AI4" s="1511">
        <f t="shared" ca="1" si="1"/>
        <v>298332331.05000007</v>
      </c>
      <c r="AJ4" s="1511">
        <f t="shared" ca="1" si="1"/>
        <v>165194137.58333328</v>
      </c>
      <c r="AK4" s="1511">
        <f t="shared" ca="1" si="1"/>
        <v>77742788.449999988</v>
      </c>
      <c r="AL4" s="1511">
        <f t="shared" ca="1" si="1"/>
        <v>17501427.983333334</v>
      </c>
      <c r="AM4" s="1511">
        <f t="shared" ca="1" si="1"/>
        <v>323000</v>
      </c>
      <c r="AN4" s="1511">
        <f t="shared" ca="1" si="1"/>
        <v>323000</v>
      </c>
      <c r="AO4" s="1511">
        <f t="shared" ca="1" si="1"/>
        <v>323000</v>
      </c>
      <c r="AP4" s="1511">
        <f t="shared" ca="1" si="1"/>
        <v>323000</v>
      </c>
      <c r="AQ4" s="1511">
        <f t="shared" ca="1" si="1"/>
        <v>323000</v>
      </c>
      <c r="AR4" s="1511">
        <f t="shared" ca="1" si="1"/>
        <v>323000</v>
      </c>
    </row>
    <row r="5" spans="3:44" ht="12.75" customHeight="1" x14ac:dyDescent="0.3">
      <c r="O5" s="1214">
        <f t="shared" si="2"/>
        <v>152392948</v>
      </c>
      <c r="P5" s="1214">
        <f>SUMIF($A$420:$A$458,P1,$Q$420:$Q$458)</f>
        <v>0</v>
      </c>
      <c r="Q5" s="1519">
        <f>Q459</f>
        <v>152392948</v>
      </c>
      <c r="R5" s="1519"/>
      <c r="T5" s="1509" t="s">
        <v>3631</v>
      </c>
      <c r="U5" s="1593">
        <f t="shared" ca="1" si="0"/>
        <v>15812602.016666664</v>
      </c>
      <c r="V5" s="1510">
        <f t="shared" ca="1" si="0"/>
        <v>168205550.01666668</v>
      </c>
      <c r="W5" s="1511">
        <f t="shared" ca="1" si="0"/>
        <v>180941012.69999999</v>
      </c>
      <c r="X5" s="1511">
        <f t="shared" ca="1" si="0"/>
        <v>164684724.86666667</v>
      </c>
      <c r="Y5" s="1511">
        <f t="shared" ca="1" si="0"/>
        <v>97386794.75</v>
      </c>
      <c r="Z5" s="1511">
        <f t="shared" ca="1" si="0"/>
        <v>76131475</v>
      </c>
      <c r="AA5" s="1511">
        <f t="shared" ca="1" si="0"/>
        <v>21633399.666666668</v>
      </c>
      <c r="AB5" s="1511">
        <f t="shared" ca="1" si="0"/>
        <v>0</v>
      </c>
      <c r="AC5" s="1511">
        <f t="shared" ca="1" si="0"/>
        <v>0</v>
      </c>
      <c r="AD5" s="1511">
        <f t="shared" ca="1" si="0"/>
        <v>0</v>
      </c>
      <c r="AE5" s="1510">
        <f t="shared" ca="1" si="0"/>
        <v>0</v>
      </c>
      <c r="AF5" s="1512">
        <f t="shared" ca="1" si="0"/>
        <v>0</v>
      </c>
      <c r="AH5" s="1511">
        <f t="shared" ca="1" si="1"/>
        <v>540816406.98333335</v>
      </c>
      <c r="AI5" s="1511">
        <f t="shared" ca="1" si="1"/>
        <v>359875394.28333336</v>
      </c>
      <c r="AJ5" s="1511">
        <f t="shared" ca="1" si="1"/>
        <v>195190669.41666666</v>
      </c>
      <c r="AK5" s="1511">
        <f t="shared" ca="1" si="1"/>
        <v>97803874.666666672</v>
      </c>
      <c r="AL5" s="1511">
        <f t="shared" ca="1" si="1"/>
        <v>21672399.666666668</v>
      </c>
      <c r="AM5" s="1511">
        <f t="shared" ca="1" si="1"/>
        <v>39000</v>
      </c>
      <c r="AN5" s="1511">
        <f t="shared" ca="1" si="1"/>
        <v>39000</v>
      </c>
      <c r="AO5" s="1511">
        <f t="shared" ca="1" si="1"/>
        <v>39000</v>
      </c>
      <c r="AP5" s="1511">
        <f t="shared" ca="1" si="1"/>
        <v>39000</v>
      </c>
      <c r="AQ5" s="1511">
        <f t="shared" ca="1" si="1"/>
        <v>39000</v>
      </c>
      <c r="AR5" s="1511">
        <f t="shared" ca="1" si="1"/>
        <v>39000</v>
      </c>
    </row>
    <row r="6" spans="3:44" ht="12.75" customHeight="1" x14ac:dyDescent="0.3">
      <c r="O6" s="1214">
        <f t="shared" si="2"/>
        <v>1946550</v>
      </c>
      <c r="P6" s="1214"/>
      <c r="Q6" s="1519">
        <f>Q469</f>
        <v>1946550</v>
      </c>
      <c r="T6" s="1509" t="s">
        <v>3639</v>
      </c>
      <c r="U6" s="1593">
        <f t="shared" ca="1" si="0"/>
        <v>34150</v>
      </c>
      <c r="V6" s="1510">
        <f t="shared" ca="1" si="0"/>
        <v>1980700</v>
      </c>
      <c r="W6" s="1510">
        <f t="shared" ca="1" si="0"/>
        <v>409800</v>
      </c>
      <c r="X6" s="1510">
        <f t="shared" ca="1" si="0"/>
        <v>135600</v>
      </c>
      <c r="Y6" s="1510">
        <f t="shared" ca="1" si="0"/>
        <v>0</v>
      </c>
      <c r="Z6" s="1510">
        <f t="shared" ca="1" si="0"/>
        <v>0</v>
      </c>
      <c r="AA6" s="1510">
        <f t="shared" ca="1" si="0"/>
        <v>0</v>
      </c>
      <c r="AB6" s="1510">
        <f t="shared" ca="1" si="0"/>
        <v>0</v>
      </c>
      <c r="AC6" s="1510">
        <f t="shared" ca="1" si="0"/>
        <v>0</v>
      </c>
      <c r="AD6" s="1510">
        <f t="shared" ca="1" si="0"/>
        <v>0</v>
      </c>
      <c r="AE6" s="1510">
        <f t="shared" ca="1" si="0"/>
        <v>0</v>
      </c>
      <c r="AF6" s="1512">
        <f t="shared" ca="1" si="0"/>
        <v>0</v>
      </c>
      <c r="AH6" s="1511">
        <f t="shared" ca="1" si="1"/>
        <v>546400</v>
      </c>
      <c r="AI6" s="1511">
        <f t="shared" ca="1" si="1"/>
        <v>136600</v>
      </c>
      <c r="AJ6" s="1511">
        <f t="shared" ca="1" si="1"/>
        <v>1000</v>
      </c>
      <c r="AK6" s="1511">
        <f t="shared" ca="1" si="1"/>
        <v>1000</v>
      </c>
      <c r="AL6" s="1511">
        <f t="shared" ca="1" si="1"/>
        <v>1000</v>
      </c>
      <c r="AM6" s="1511">
        <f t="shared" ca="1" si="1"/>
        <v>1000</v>
      </c>
      <c r="AN6" s="1511">
        <f t="shared" ca="1" si="1"/>
        <v>1000</v>
      </c>
      <c r="AO6" s="1511">
        <f t="shared" ca="1" si="1"/>
        <v>1000</v>
      </c>
      <c r="AP6" s="1511">
        <f t="shared" ca="1" si="1"/>
        <v>1000</v>
      </c>
      <c r="AQ6" s="1511">
        <f t="shared" ca="1" si="1"/>
        <v>1000</v>
      </c>
      <c r="AR6" s="1511">
        <f t="shared" ca="1" si="1"/>
        <v>1000</v>
      </c>
    </row>
    <row r="7" spans="3:44" ht="12.75" customHeight="1" x14ac:dyDescent="0.3">
      <c r="O7" s="1214">
        <f t="shared" si="2"/>
        <v>54085322</v>
      </c>
      <c r="P7" s="1214">
        <f>SUMIF($A$471:$A$519,P1,$Q$471:$Q$519)</f>
        <v>6462166</v>
      </c>
      <c r="Q7" s="1519">
        <f>Q520</f>
        <v>60547488</v>
      </c>
      <c r="T7" s="1509" t="s">
        <v>3768</v>
      </c>
      <c r="U7" s="1593">
        <f t="shared" ca="1" si="0"/>
        <v>4683790.729166667</v>
      </c>
      <c r="V7" s="1510">
        <f t="shared" ca="1" si="0"/>
        <v>65231278.729166672</v>
      </c>
      <c r="W7" s="1520">
        <f t="shared" ca="1" si="0"/>
        <v>21832407.083333336</v>
      </c>
      <c r="X7" s="1520">
        <f t="shared" ca="1" si="0"/>
        <v>10755990.416666668</v>
      </c>
      <c r="Y7" s="1520">
        <f t="shared" ca="1" si="0"/>
        <v>9021650.104166666</v>
      </c>
      <c r="Z7" s="1520">
        <f t="shared" ca="1" si="0"/>
        <v>910333.66666666651</v>
      </c>
      <c r="AA7" s="1520">
        <f t="shared" ca="1" si="0"/>
        <v>0</v>
      </c>
      <c r="AB7" s="1520">
        <f t="shared" ca="1" si="0"/>
        <v>0</v>
      </c>
      <c r="AC7" s="1520">
        <f t="shared" ca="1" si="0"/>
        <v>0</v>
      </c>
      <c r="AD7" s="1520">
        <f t="shared" ca="1" si="0"/>
        <v>0</v>
      </c>
      <c r="AE7" s="1520">
        <f t="shared" ca="1" si="0"/>
        <v>0</v>
      </c>
      <c r="AF7" s="1521">
        <f t="shared" ca="1" si="0"/>
        <v>0</v>
      </c>
      <c r="AH7" s="1511">
        <f t="shared" ca="1" si="1"/>
        <v>42533381.270833328</v>
      </c>
      <c r="AI7" s="1511">
        <f t="shared" ca="1" si="1"/>
        <v>20700974.1875</v>
      </c>
      <c r="AJ7" s="1511">
        <f t="shared" ca="1" si="1"/>
        <v>9944983.7708333321</v>
      </c>
      <c r="AK7" s="1511">
        <f t="shared" ca="1" si="1"/>
        <v>923333.66666666651</v>
      </c>
      <c r="AL7" s="1511">
        <f t="shared" ca="1" si="1"/>
        <v>13000</v>
      </c>
      <c r="AM7" s="1511">
        <f t="shared" ca="1" si="1"/>
        <v>13000</v>
      </c>
      <c r="AN7" s="1511">
        <f t="shared" ca="1" si="1"/>
        <v>13000</v>
      </c>
      <c r="AO7" s="1511">
        <f t="shared" ca="1" si="1"/>
        <v>13000</v>
      </c>
      <c r="AP7" s="1511">
        <f t="shared" ca="1" si="1"/>
        <v>13000</v>
      </c>
      <c r="AQ7" s="1511">
        <f t="shared" ca="1" si="1"/>
        <v>13000</v>
      </c>
      <c r="AR7" s="1511">
        <f t="shared" ca="1" si="1"/>
        <v>13000</v>
      </c>
    </row>
    <row r="8" spans="3:44" ht="12.75" customHeight="1" x14ac:dyDescent="0.3">
      <c r="O8" s="1214">
        <f t="shared" si="2"/>
        <v>42617113</v>
      </c>
      <c r="P8" s="1214"/>
      <c r="Q8" s="1519">
        <f>Q526</f>
        <v>42617113</v>
      </c>
      <c r="T8" s="1509" t="s">
        <v>3766</v>
      </c>
      <c r="U8" s="1593">
        <f t="shared" ca="1" si="0"/>
        <v>3979233.3333333386</v>
      </c>
      <c r="V8" s="1510">
        <f t="shared" ca="1" si="0"/>
        <v>46596346.333333336</v>
      </c>
      <c r="W8" s="1520">
        <f t="shared" ca="1" si="0"/>
        <v>47750800.000000067</v>
      </c>
      <c r="X8" s="1520">
        <f t="shared" ca="1" si="0"/>
        <v>47750800.000000067</v>
      </c>
      <c r="Y8" s="1520">
        <f t="shared" ca="1" si="0"/>
        <v>9743617.6666665226</v>
      </c>
      <c r="Z8" s="1520">
        <f t="shared" ca="1" si="0"/>
        <v>0</v>
      </c>
      <c r="AA8" s="1520">
        <f t="shared" ca="1" si="0"/>
        <v>0</v>
      </c>
      <c r="AB8" s="1520">
        <f t="shared" ca="1" si="0"/>
        <v>0</v>
      </c>
      <c r="AC8" s="1520">
        <f t="shared" ca="1" si="0"/>
        <v>0</v>
      </c>
      <c r="AD8" s="1520">
        <f t="shared" ca="1" si="0"/>
        <v>0</v>
      </c>
      <c r="AE8" s="1520">
        <f t="shared" ca="1" si="0"/>
        <v>0</v>
      </c>
      <c r="AF8" s="1521">
        <f t="shared" ca="1" si="0"/>
        <v>0</v>
      </c>
      <c r="AH8" s="1511">
        <f t="shared" ca="1" si="1"/>
        <v>105246217.66666666</v>
      </c>
      <c r="AI8" s="1511">
        <f t="shared" ca="1" si="1"/>
        <v>57495417.66666659</v>
      </c>
      <c r="AJ8" s="1511">
        <f t="shared" ca="1" si="1"/>
        <v>9744617.6666665226</v>
      </c>
      <c r="AK8" s="1511">
        <f t="shared" ca="1" si="1"/>
        <v>1000</v>
      </c>
      <c r="AL8" s="1511">
        <f t="shared" ca="1" si="1"/>
        <v>1000</v>
      </c>
      <c r="AM8" s="1511">
        <f t="shared" ca="1" si="1"/>
        <v>1000</v>
      </c>
      <c r="AN8" s="1511">
        <f t="shared" ca="1" si="1"/>
        <v>1000</v>
      </c>
      <c r="AO8" s="1511">
        <f t="shared" ca="1" si="1"/>
        <v>1000</v>
      </c>
      <c r="AP8" s="1511">
        <f t="shared" ca="1" si="1"/>
        <v>1000</v>
      </c>
      <c r="AQ8" s="1511">
        <f t="shared" ca="1" si="1"/>
        <v>1000</v>
      </c>
      <c r="AR8" s="1511">
        <f t="shared" ca="1" si="1"/>
        <v>1000</v>
      </c>
    </row>
    <row r="9" spans="3:44" ht="12.75" customHeight="1" x14ac:dyDescent="0.3">
      <c r="O9" s="1214"/>
      <c r="P9" s="1214"/>
      <c r="Q9" s="1519"/>
      <c r="T9" s="1509"/>
      <c r="U9" s="1593"/>
      <c r="V9" s="1510"/>
      <c r="W9" s="1520"/>
      <c r="X9" s="1520"/>
      <c r="Y9" s="1520"/>
      <c r="Z9" s="1520"/>
      <c r="AA9" s="1520"/>
      <c r="AB9" s="1520"/>
      <c r="AC9" s="1520"/>
      <c r="AD9" s="1520"/>
      <c r="AE9" s="1520"/>
      <c r="AF9" s="1521"/>
      <c r="AH9" s="1511"/>
      <c r="AI9" s="1511"/>
      <c r="AJ9" s="1511"/>
      <c r="AK9" s="1511"/>
      <c r="AL9" s="1511"/>
      <c r="AM9" s="1511"/>
      <c r="AN9" s="1511"/>
      <c r="AO9" s="1511"/>
      <c r="AP9" s="1511"/>
      <c r="AQ9" s="1511"/>
      <c r="AR9" s="1511"/>
    </row>
    <row r="10" spans="3:44" ht="12.75" customHeight="1" x14ac:dyDescent="0.3">
      <c r="O10" s="1214"/>
      <c r="P10" s="1214"/>
      <c r="Q10" s="1519"/>
      <c r="T10" s="1509"/>
      <c r="U10" s="1593"/>
      <c r="V10" s="1510"/>
      <c r="W10" s="1520"/>
      <c r="X10" s="1520"/>
      <c r="Y10" s="1520"/>
      <c r="Z10" s="1520"/>
      <c r="AA10" s="1520"/>
      <c r="AB10" s="1520"/>
      <c r="AC10" s="1520"/>
      <c r="AD10" s="1520"/>
      <c r="AE10" s="1520"/>
      <c r="AF10" s="1521"/>
      <c r="AH10" s="1511"/>
      <c r="AI10" s="1511"/>
      <c r="AJ10" s="1511"/>
      <c r="AK10" s="1511"/>
      <c r="AL10" s="1511"/>
      <c r="AM10" s="1511"/>
      <c r="AN10" s="1511"/>
      <c r="AO10" s="1511"/>
      <c r="AP10" s="1511"/>
      <c r="AQ10" s="1511"/>
      <c r="AR10" s="1511"/>
    </row>
    <row r="11" spans="3:44" ht="12.75" customHeight="1" x14ac:dyDescent="0.3">
      <c r="O11" s="1214"/>
      <c r="P11" s="1214"/>
      <c r="Q11" s="1519"/>
      <c r="T11" s="1509" t="s">
        <v>3800</v>
      </c>
      <c r="U11" s="1593">
        <f>SUMIF($A$25:$A$81,"SM",U$25:U$81)</f>
        <v>13762766.666666668</v>
      </c>
      <c r="V11" s="1510">
        <f t="shared" ref="V11:AF11" si="3">SUMIF($A$25:$A$81,"SM",V$25:V$81)</f>
        <v>177903142.66666672</v>
      </c>
      <c r="W11" s="1520">
        <f t="shared" si="3"/>
        <v>95409867.666666672</v>
      </c>
      <c r="X11" s="1520">
        <f t="shared" si="3"/>
        <v>33827200</v>
      </c>
      <c r="Y11" s="1520">
        <f t="shared" si="3"/>
        <v>13177866.333333334</v>
      </c>
      <c r="Z11" s="1520">
        <f t="shared" si="3"/>
        <v>9561933.3333333321</v>
      </c>
      <c r="AA11" s="1520">
        <f t="shared" si="3"/>
        <v>1954500.0000000002</v>
      </c>
      <c r="AB11" s="1520">
        <f t="shared" si="3"/>
        <v>0</v>
      </c>
      <c r="AC11" s="1520">
        <f t="shared" si="3"/>
        <v>0</v>
      </c>
      <c r="AD11" s="1520">
        <f t="shared" si="3"/>
        <v>0</v>
      </c>
      <c r="AE11" s="1520">
        <f t="shared" si="3"/>
        <v>0</v>
      </c>
      <c r="AF11" s="1521">
        <f t="shared" si="3"/>
        <v>0</v>
      </c>
      <c r="AH11" s="1511"/>
      <c r="AI11" s="1511"/>
      <c r="AJ11" s="1511"/>
      <c r="AK11" s="1511"/>
      <c r="AL11" s="1511"/>
      <c r="AM11" s="1511"/>
      <c r="AN11" s="1511"/>
      <c r="AO11" s="1511"/>
      <c r="AP11" s="1511"/>
      <c r="AQ11" s="1511"/>
      <c r="AR11" s="1511"/>
    </row>
    <row r="12" spans="3:44" ht="12.75" customHeight="1" x14ac:dyDescent="0.3">
      <c r="O12" s="1214"/>
      <c r="P12" s="1214"/>
      <c r="Q12" s="1519"/>
      <c r="T12" s="1509" t="s">
        <v>3801</v>
      </c>
      <c r="U12" s="1593">
        <f>SUMIF($A$92:$A$417,"SM",U$92:U$417)</f>
        <v>1452333.3333333333</v>
      </c>
      <c r="V12" s="1510">
        <f t="shared" ref="V12:AF12" si="4">SUMIF($A$92:$A$417,"SM",V$92:V$417)</f>
        <v>17428000.333333332</v>
      </c>
      <c r="W12" s="1520">
        <f t="shared" si="4"/>
        <v>14522332.666666666</v>
      </c>
      <c r="X12" s="1520">
        <f t="shared" si="4"/>
        <v>0</v>
      </c>
      <c r="Y12" s="1520">
        <f t="shared" si="4"/>
        <v>0</v>
      </c>
      <c r="Z12" s="1645">
        <f t="shared" si="4"/>
        <v>0</v>
      </c>
      <c r="AA12" s="1520">
        <f t="shared" si="4"/>
        <v>0</v>
      </c>
      <c r="AB12" s="1520">
        <f t="shared" si="4"/>
        <v>0</v>
      </c>
      <c r="AC12" s="1520">
        <f t="shared" si="4"/>
        <v>0</v>
      </c>
      <c r="AD12" s="1520">
        <f t="shared" si="4"/>
        <v>0</v>
      </c>
      <c r="AE12" s="1520">
        <f t="shared" si="4"/>
        <v>0</v>
      </c>
      <c r="AF12" s="1521">
        <f t="shared" si="4"/>
        <v>0</v>
      </c>
      <c r="AH12" s="1511"/>
      <c r="AI12" s="1511"/>
      <c r="AJ12" s="1511"/>
      <c r="AK12" s="1511"/>
      <c r="AL12" s="1511"/>
      <c r="AM12" s="1511"/>
      <c r="AN12" s="1511"/>
      <c r="AO12" s="1511"/>
      <c r="AP12" s="1511"/>
      <c r="AQ12" s="1511"/>
      <c r="AR12" s="1511"/>
    </row>
    <row r="13" spans="3:44" ht="12.75" customHeight="1" x14ac:dyDescent="0.3">
      <c r="O13" s="1214"/>
      <c r="P13" s="1214"/>
      <c r="Q13" s="1519"/>
      <c r="T13" s="1509" t="s">
        <v>3802</v>
      </c>
      <c r="U13" s="1593">
        <f>SUMIF($A$471:$A$519,"SM",U$471:U$519)</f>
        <v>670500</v>
      </c>
      <c r="V13" s="1510">
        <f t="shared" ref="V13:AF13" si="5">SUMIF($A$471:$A$519,"SM",V$471:V$519)</f>
        <v>7132666</v>
      </c>
      <c r="W13" s="1520">
        <f t="shared" si="5"/>
        <v>8046000</v>
      </c>
      <c r="X13" s="1520">
        <f t="shared" si="5"/>
        <v>8046000</v>
      </c>
      <c r="Y13" s="1645">
        <f t="shared" si="5"/>
        <v>8045000.3333333321</v>
      </c>
      <c r="Z13" s="1520">
        <f t="shared" si="5"/>
        <v>910333.66666666651</v>
      </c>
      <c r="AA13" s="1520">
        <f t="shared" si="5"/>
        <v>0</v>
      </c>
      <c r="AB13" s="1520">
        <f t="shared" si="5"/>
        <v>0</v>
      </c>
      <c r="AC13" s="1520">
        <f t="shared" si="5"/>
        <v>0</v>
      </c>
      <c r="AD13" s="1520">
        <f t="shared" si="5"/>
        <v>0</v>
      </c>
      <c r="AE13" s="1520">
        <f t="shared" si="5"/>
        <v>0</v>
      </c>
      <c r="AF13" s="1521">
        <f t="shared" si="5"/>
        <v>0</v>
      </c>
      <c r="AH13" s="1511"/>
      <c r="AI13" s="1511"/>
      <c r="AJ13" s="1511"/>
      <c r="AK13" s="1511"/>
      <c r="AL13" s="1511"/>
      <c r="AM13" s="1511"/>
      <c r="AN13" s="1511"/>
      <c r="AO13" s="1511"/>
      <c r="AP13" s="1511"/>
      <c r="AQ13" s="1511"/>
      <c r="AR13" s="1511"/>
    </row>
    <row r="14" spans="3:44" ht="12.75" customHeight="1" x14ac:dyDescent="0.3">
      <c r="O14" s="1214"/>
      <c r="P14" s="1214"/>
      <c r="Q14" s="1519"/>
      <c r="T14" s="1509"/>
      <c r="U14" s="1593"/>
      <c r="V14" s="1510"/>
      <c r="W14" s="1520"/>
      <c r="X14" s="1520"/>
      <c r="Y14" s="1520"/>
      <c r="Z14" s="1520"/>
      <c r="AA14" s="1520"/>
      <c r="AB14" s="1520"/>
      <c r="AC14" s="1520"/>
      <c r="AD14" s="1520"/>
      <c r="AE14" s="1520"/>
      <c r="AF14" s="1521"/>
      <c r="AH14" s="1511"/>
      <c r="AI14" s="1511"/>
      <c r="AJ14" s="1511"/>
      <c r="AK14" s="1511"/>
      <c r="AL14" s="1511"/>
      <c r="AM14" s="1511"/>
      <c r="AN14" s="1511"/>
      <c r="AO14" s="1511"/>
      <c r="AP14" s="1511"/>
      <c r="AQ14" s="1511"/>
      <c r="AR14" s="1511"/>
    </row>
    <row r="15" spans="3:44" ht="12.75" customHeight="1" x14ac:dyDescent="0.3">
      <c r="J15" s="1498" t="s">
        <v>3878</v>
      </c>
      <c r="K15" s="1498" t="s">
        <v>3879</v>
      </c>
      <c r="L15" s="1498" t="s">
        <v>3883</v>
      </c>
      <c r="O15" s="1214"/>
      <c r="P15" s="1214"/>
      <c r="Q15" s="1519"/>
      <c r="T15" s="1509"/>
      <c r="U15" s="1593"/>
      <c r="V15" s="1510"/>
      <c r="W15" s="1520"/>
      <c r="X15" s="1520"/>
      <c r="Y15" s="1520"/>
      <c r="Z15" s="1520"/>
      <c r="AA15" s="1520"/>
      <c r="AB15" s="1520"/>
      <c r="AC15" s="1520"/>
      <c r="AD15" s="1520"/>
      <c r="AE15" s="1520"/>
      <c r="AF15" s="1521"/>
      <c r="AH15" s="1511"/>
      <c r="AI15" s="1511"/>
      <c r="AJ15" s="1511"/>
      <c r="AK15" s="1511"/>
      <c r="AL15" s="1511"/>
      <c r="AM15" s="1511"/>
      <c r="AN15" s="1511"/>
      <c r="AO15" s="1511"/>
      <c r="AP15" s="1511"/>
      <c r="AQ15" s="1511"/>
      <c r="AR15" s="1511"/>
    </row>
    <row r="16" spans="3:44" ht="12.75" customHeight="1" x14ac:dyDescent="0.3">
      <c r="I16" s="1498" t="s">
        <v>3880</v>
      </c>
      <c r="J16" s="1519">
        <f>SUM(R25:R81)</f>
        <v>1402632783</v>
      </c>
      <c r="K16" s="1593">
        <f>SUMIF($A$25:$A$81,"SM",R$25:R$81)</f>
        <v>1175058597</v>
      </c>
      <c r="L16" s="1728">
        <f>K16/J16</f>
        <v>0.83775212674463773</v>
      </c>
      <c r="O16" s="1214"/>
      <c r="P16" s="1214"/>
      <c r="Q16" s="1519"/>
      <c r="U16" s="1593"/>
      <c r="V16" s="1510"/>
      <c r="W16" s="1520"/>
      <c r="X16" s="1520"/>
      <c r="Y16" s="1520"/>
      <c r="Z16" s="1520"/>
      <c r="AA16" s="1520"/>
      <c r="AB16" s="1520"/>
      <c r="AC16" s="1520"/>
      <c r="AD16" s="1520"/>
      <c r="AE16" s="1520"/>
      <c r="AF16" s="1521"/>
      <c r="AH16" s="1511"/>
      <c r="AI16" s="1511"/>
      <c r="AJ16" s="1511"/>
      <c r="AK16" s="1511"/>
      <c r="AL16" s="1511"/>
      <c r="AM16" s="1511"/>
      <c r="AN16" s="1511"/>
      <c r="AO16" s="1511"/>
      <c r="AP16" s="1511"/>
      <c r="AQ16" s="1511"/>
      <c r="AR16" s="1511"/>
    </row>
    <row r="17" spans="1:44" ht="12.75" customHeight="1" x14ac:dyDescent="0.3">
      <c r="I17" s="1498" t="s">
        <v>3881</v>
      </c>
      <c r="J17" s="1519">
        <f>SUM(R92:R417)</f>
        <v>1315029438</v>
      </c>
      <c r="K17" s="1593">
        <f>SUMIF($A$92:$A$417,"SM",R$92:R$417)</f>
        <v>87140000</v>
      </c>
      <c r="L17" s="1728">
        <f>K17/J17</f>
        <v>6.6264676274113948E-2</v>
      </c>
      <c r="O17" s="1214"/>
      <c r="P17" s="1214"/>
      <c r="Q17" s="1519"/>
      <c r="T17" s="1509"/>
      <c r="U17" s="1593"/>
      <c r="V17" s="1510"/>
      <c r="W17" s="1520"/>
      <c r="X17" s="1520"/>
      <c r="Y17" s="1520"/>
      <c r="Z17" s="1520"/>
      <c r="AA17" s="1520"/>
      <c r="AB17" s="1520"/>
      <c r="AC17" s="1520"/>
      <c r="AD17" s="1520"/>
      <c r="AE17" s="1520"/>
      <c r="AF17" s="1521"/>
      <c r="AH17" s="1511"/>
      <c r="AI17" s="1511"/>
      <c r="AJ17" s="1511"/>
      <c r="AK17" s="1511"/>
      <c r="AL17" s="1511"/>
      <c r="AM17" s="1511"/>
      <c r="AN17" s="1511"/>
      <c r="AO17" s="1511"/>
      <c r="AP17" s="1511"/>
      <c r="AQ17" s="1511"/>
      <c r="AR17" s="1511"/>
    </row>
    <row r="18" spans="1:44" ht="12.75" customHeight="1" x14ac:dyDescent="0.3">
      <c r="I18" s="1498" t="s">
        <v>3882</v>
      </c>
      <c r="J18" s="1519">
        <f>SUM(R471:R519)</f>
        <v>669491191</v>
      </c>
      <c r="K18" s="1593">
        <f>SUMIF($A$471:$A$519,"SM",R$471:R$519)</f>
        <v>103770877</v>
      </c>
      <c r="L18" s="1728">
        <f>K18/J18</f>
        <v>0.15499961522271918</v>
      </c>
      <c r="O18" s="1214"/>
      <c r="P18" s="1214"/>
      <c r="Q18" s="1519"/>
      <c r="T18" s="1509"/>
      <c r="U18" s="1593"/>
      <c r="V18" s="1510"/>
      <c r="W18" s="1520"/>
      <c r="X18" s="1520"/>
      <c r="Y18" s="1520"/>
      <c r="Z18" s="1520"/>
      <c r="AA18" s="1520"/>
      <c r="AB18" s="1520"/>
      <c r="AC18" s="1520"/>
      <c r="AD18" s="1520"/>
      <c r="AE18" s="1520"/>
      <c r="AF18" s="1521"/>
      <c r="AH18" s="1511"/>
      <c r="AI18" s="1511"/>
      <c r="AJ18" s="1511"/>
      <c r="AK18" s="1511"/>
      <c r="AL18" s="1511"/>
      <c r="AM18" s="1511"/>
      <c r="AN18" s="1511"/>
      <c r="AO18" s="1511"/>
      <c r="AP18" s="1511"/>
      <c r="AQ18" s="1511"/>
      <c r="AR18" s="1511"/>
    </row>
    <row r="19" spans="1:44" ht="12.75" customHeight="1" x14ac:dyDescent="0.3">
      <c r="T19" s="1509"/>
      <c r="U19" s="1552"/>
      <c r="V19" s="1510"/>
      <c r="W19" s="1520"/>
      <c r="X19" s="1520"/>
      <c r="Y19" s="1520"/>
      <c r="Z19" s="1520"/>
      <c r="AA19" s="1520"/>
      <c r="AB19" s="1520"/>
      <c r="AC19" s="1520"/>
      <c r="AD19" s="1520"/>
      <c r="AE19" s="1520"/>
      <c r="AF19" s="1521"/>
    </row>
    <row r="20" spans="1:44" x14ac:dyDescent="0.3">
      <c r="V20" s="1550"/>
      <c r="W20" s="1522"/>
      <c r="X20" s="1522"/>
      <c r="Y20" s="1522"/>
      <c r="Z20" s="1522"/>
      <c r="AA20" s="1522"/>
      <c r="AB20" s="1522"/>
      <c r="AC20" s="1522"/>
      <c r="AD20" s="1522"/>
      <c r="AE20" s="1522"/>
      <c r="AF20" s="1523"/>
    </row>
    <row r="21" spans="1:44" x14ac:dyDescent="0.3">
      <c r="K21" s="1525" t="s">
        <v>3041</v>
      </c>
      <c r="N21" s="1525" t="s">
        <v>3041</v>
      </c>
      <c r="S21" s="1498" t="s">
        <v>3042</v>
      </c>
      <c r="V21" s="1550">
        <v>1</v>
      </c>
      <c r="W21" s="1522">
        <v>2</v>
      </c>
      <c r="X21" s="1522">
        <v>3</v>
      </c>
      <c r="Y21" s="1522">
        <v>4</v>
      </c>
      <c r="Z21" s="1522">
        <v>5</v>
      </c>
      <c r="AA21" s="1522">
        <v>6</v>
      </c>
      <c r="AB21" s="1522">
        <v>7</v>
      </c>
      <c r="AC21" s="1522">
        <v>8</v>
      </c>
      <c r="AD21" s="1522">
        <v>9</v>
      </c>
      <c r="AE21" s="1522">
        <v>10</v>
      </c>
      <c r="AF21" s="1523">
        <v>11</v>
      </c>
    </row>
    <row r="22" spans="1:44" ht="18" customHeight="1" x14ac:dyDescent="0.3">
      <c r="B22" s="2147" t="s">
        <v>2927</v>
      </c>
      <c r="C22" s="2147" t="s">
        <v>2928</v>
      </c>
      <c r="D22" s="2155" t="s">
        <v>2929</v>
      </c>
      <c r="E22" s="2157" t="s">
        <v>2930</v>
      </c>
      <c r="F22" s="2159" t="s">
        <v>2931</v>
      </c>
      <c r="G22" s="2159" t="s">
        <v>2932</v>
      </c>
      <c r="H22" s="2159" t="s">
        <v>2933</v>
      </c>
      <c r="I22" s="2149" t="s">
        <v>2934</v>
      </c>
      <c r="J22" s="2147" t="s">
        <v>2935</v>
      </c>
      <c r="K22" s="2147" t="s">
        <v>2936</v>
      </c>
      <c r="L22" s="2147" t="s">
        <v>2937</v>
      </c>
      <c r="M22" s="2147" t="s">
        <v>2938</v>
      </c>
      <c r="N22" s="2149" t="s">
        <v>2939</v>
      </c>
      <c r="O22" s="2147" t="s">
        <v>2940</v>
      </c>
      <c r="P22" s="2147" t="s">
        <v>2941</v>
      </c>
      <c r="Q22" s="2147" t="s">
        <v>2942</v>
      </c>
      <c r="R22" s="2147" t="s">
        <v>3045</v>
      </c>
      <c r="S22" s="2149" t="s">
        <v>2943</v>
      </c>
      <c r="T22" s="2151" t="s">
        <v>2944</v>
      </c>
      <c r="U22" s="2153"/>
      <c r="V22" s="2153"/>
      <c r="W22" s="2153"/>
      <c r="X22" s="2153"/>
      <c r="Y22" s="2153"/>
      <c r="Z22" s="2153"/>
      <c r="AA22" s="2153"/>
      <c r="AB22" s="2153"/>
      <c r="AC22" s="2153"/>
      <c r="AD22" s="2153"/>
      <c r="AE22" s="2153"/>
      <c r="AF22" s="2154"/>
      <c r="AH22" s="2153" t="s">
        <v>3044</v>
      </c>
      <c r="AI22" s="2153"/>
      <c r="AJ22" s="2153"/>
      <c r="AK22" s="2153"/>
      <c r="AL22" s="2153"/>
      <c r="AM22" s="2153"/>
      <c r="AN22" s="2153"/>
      <c r="AO22" s="2153"/>
      <c r="AP22" s="2153"/>
      <c r="AQ22" s="2153"/>
      <c r="AR22" s="2154"/>
    </row>
    <row r="23" spans="1:44" s="1525" customFormat="1" ht="18" customHeight="1" x14ac:dyDescent="0.3">
      <c r="B23" s="2148"/>
      <c r="C23" s="2148"/>
      <c r="D23" s="2156"/>
      <c r="E23" s="2158"/>
      <c r="F23" s="2160"/>
      <c r="G23" s="2160"/>
      <c r="H23" s="2160"/>
      <c r="I23" s="2150"/>
      <c r="J23" s="2148"/>
      <c r="K23" s="2148"/>
      <c r="L23" s="2148"/>
      <c r="M23" s="2148"/>
      <c r="N23" s="2150"/>
      <c r="O23" s="2148"/>
      <c r="P23" s="2148"/>
      <c r="Q23" s="2148"/>
      <c r="R23" s="2148"/>
      <c r="S23" s="2150"/>
      <c r="T23" s="2152"/>
      <c r="U23" s="1553" t="s">
        <v>3043</v>
      </c>
      <c r="V23" s="1524">
        <f>YEAR(E4)</f>
        <v>2015</v>
      </c>
      <c r="W23" s="1524">
        <f>V23+1</f>
        <v>2016</v>
      </c>
      <c r="X23" s="1524">
        <f t="shared" ref="X23:AF23" si="6">W23+1</f>
        <v>2017</v>
      </c>
      <c r="Y23" s="1524">
        <f t="shared" si="6"/>
        <v>2018</v>
      </c>
      <c r="Z23" s="1524">
        <f t="shared" si="6"/>
        <v>2019</v>
      </c>
      <c r="AA23" s="1524">
        <f t="shared" si="6"/>
        <v>2020</v>
      </c>
      <c r="AB23" s="1524">
        <f t="shared" si="6"/>
        <v>2021</v>
      </c>
      <c r="AC23" s="1524">
        <f t="shared" si="6"/>
        <v>2022</v>
      </c>
      <c r="AD23" s="1524">
        <f t="shared" si="6"/>
        <v>2023</v>
      </c>
      <c r="AE23" s="1524">
        <f t="shared" si="6"/>
        <v>2024</v>
      </c>
      <c r="AF23" s="1524">
        <f t="shared" si="6"/>
        <v>2025</v>
      </c>
      <c r="AH23" s="1524">
        <f>YEAR(E4)</f>
        <v>2015</v>
      </c>
      <c r="AI23" s="1524">
        <f>AH23+1</f>
        <v>2016</v>
      </c>
      <c r="AJ23" s="1524">
        <f t="shared" ref="AJ23" si="7">AI23+1</f>
        <v>2017</v>
      </c>
      <c r="AK23" s="1524">
        <f t="shared" ref="AK23" si="8">AJ23+1</f>
        <v>2018</v>
      </c>
      <c r="AL23" s="1524">
        <f t="shared" ref="AL23" si="9">AK23+1</f>
        <v>2019</v>
      </c>
      <c r="AM23" s="1524">
        <f t="shared" ref="AM23" si="10">AL23+1</f>
        <v>2020</v>
      </c>
      <c r="AN23" s="1524">
        <f t="shared" ref="AN23" si="11">AM23+1</f>
        <v>2021</v>
      </c>
      <c r="AO23" s="1524">
        <f t="shared" ref="AO23" si="12">AN23+1</f>
        <v>2022</v>
      </c>
      <c r="AP23" s="1524">
        <f t="shared" ref="AP23" si="13">AO23+1</f>
        <v>2023</v>
      </c>
      <c r="AQ23" s="1524">
        <f t="shared" ref="AQ23" si="14">AP23+1</f>
        <v>2024</v>
      </c>
      <c r="AR23" s="1524">
        <f t="shared" ref="AR23" si="15">AQ23+1</f>
        <v>2025</v>
      </c>
    </row>
    <row r="24" spans="1:44" s="1531" customFormat="1" ht="12" customHeight="1" x14ac:dyDescent="0.3">
      <c r="B24" s="1526"/>
      <c r="C24" s="1526"/>
      <c r="D24" s="1527"/>
      <c r="E24" s="1528"/>
      <c r="F24" s="1528"/>
      <c r="G24" s="1528"/>
      <c r="H24" s="1528"/>
      <c r="I24" s="1526"/>
      <c r="J24" s="1526"/>
      <c r="K24" s="1526"/>
      <c r="L24" s="1526"/>
      <c r="M24" s="1526"/>
      <c r="N24" s="1526"/>
      <c r="O24" s="1526"/>
      <c r="P24" s="1526"/>
      <c r="Q24" s="1526"/>
      <c r="R24" s="1526"/>
      <c r="S24" s="1526"/>
      <c r="T24" s="1526"/>
      <c r="U24" s="1529"/>
      <c r="V24" s="1526"/>
      <c r="W24" s="1526"/>
      <c r="X24" s="1526"/>
      <c r="Y24" s="1526"/>
      <c r="Z24" s="1526"/>
      <c r="AA24" s="1526"/>
      <c r="AB24" s="1526"/>
      <c r="AC24" s="1526"/>
      <c r="AD24" s="1526"/>
      <c r="AE24" s="1526"/>
      <c r="AF24" s="1530"/>
    </row>
    <row r="25" spans="1:44" s="1531" customFormat="1" ht="12" customHeight="1" x14ac:dyDescent="0.3">
      <c r="A25" s="1531" t="s">
        <v>3796</v>
      </c>
      <c r="B25" s="1498" t="s">
        <v>2946</v>
      </c>
      <c r="C25" s="1548" t="s">
        <v>2947</v>
      </c>
      <c r="D25" s="1549">
        <v>38899</v>
      </c>
      <c r="E25" s="1518">
        <v>5</v>
      </c>
      <c r="F25" s="1518">
        <f t="shared" ref="F25:F56" si="16">E25-(YEAR($E$4)-YEAR(D25))</f>
        <v>-4</v>
      </c>
      <c r="G25" s="1532">
        <f t="shared" ref="G25:G56" si="17">IF(YEAR(D25)=YEAR($E$4),IF($E$2=$E$4,0,IF(D25&lt;$E$4,$E$2-$E$4,$E$2-D25)),$E$2-$E$4)</f>
        <v>0</v>
      </c>
      <c r="H25" s="1533">
        <f t="shared" ref="H25:H56" si="18">IF(YEAR(D25)=YEAR($E$4),G25/365,IF($E$2=$E$4,G25/365,($E$2-$E$4)/365))</f>
        <v>0</v>
      </c>
      <c r="I25" s="1534">
        <f>1/E25</f>
        <v>0.2</v>
      </c>
      <c r="J25" s="1519">
        <v>33833334</v>
      </c>
      <c r="K25" s="1519">
        <v>33832334</v>
      </c>
      <c r="L25" s="1526"/>
      <c r="M25" s="1526"/>
      <c r="N25" s="1519">
        <f>ROUND(J25-K25-L25+M25,)</f>
        <v>1000</v>
      </c>
      <c r="O25" s="1526"/>
      <c r="P25" s="1526"/>
      <c r="Q25" s="1519">
        <v>0</v>
      </c>
      <c r="R25" s="1519">
        <f>J25+O25-P25</f>
        <v>33833334</v>
      </c>
      <c r="S25" s="1519">
        <f>ROUND(N25+O25-P25-Q25,)</f>
        <v>1000</v>
      </c>
      <c r="T25" s="1519">
        <f t="shared" ref="T25:T76" si="19">J25-K25-L25+M25+O25-P25-Q25-S25</f>
        <v>0</v>
      </c>
      <c r="U25" s="1535">
        <f>IF(S25&gt;1000,IF(S25-R25*(1/12)*I25&gt;1000,R25*(1/12)*I25,S25-1000),)</f>
        <v>0</v>
      </c>
      <c r="V25" s="1537">
        <f t="shared" ref="V25:V56" si="20">Q25+U25</f>
        <v>0</v>
      </c>
      <c r="W25" s="1519">
        <f>IF(AH25&gt;1000,IF(AH25-$I25*$R25&gt;1000,$I25*$R25,AH25-1000),)</f>
        <v>0</v>
      </c>
      <c r="X25" s="1537">
        <f t="shared" ref="X25:X81" si="21">IF(AI25&gt;1000,IF(AI25-$I25*$R25&gt;1000,$I25*$R25,AI25-1000),)</f>
        <v>0</v>
      </c>
      <c r="Y25" s="1537">
        <f t="shared" ref="Y25:Y81" si="22">IF(AJ25&gt;1000,IF(AJ25-$I25*$R25&gt;1000,$I25*$R25,AJ25-1000),)</f>
        <v>0</v>
      </c>
      <c r="Z25" s="1537">
        <f t="shared" ref="Z25:Z81" si="23">IF(AK25&gt;1000,IF(AK25-$I25*$R25&gt;1000,$I25*$R25,AK25-1000),)</f>
        <v>0</v>
      </c>
      <c r="AA25" s="1537">
        <f t="shared" ref="AA25:AA81" si="24">IF(AL25&gt;1000,IF(AL25-$I25*$R25&gt;1000,$I25*$R25,AL25-1000),)</f>
        <v>0</v>
      </c>
      <c r="AB25" s="1537">
        <f t="shared" ref="AB25:AB81" si="25">IF(AM25&gt;1000,IF(AM25-$I25*$R25&gt;1000,$I25*$R25,AM25-1000),)</f>
        <v>0</v>
      </c>
      <c r="AC25" s="1537">
        <f t="shared" ref="AC25:AC81" si="26">IF(AN25&gt;1000,IF(AN25-$I25*$R25&gt;1000,$I25*$R25,AN25-1000),)</f>
        <v>0</v>
      </c>
      <c r="AD25" s="1537">
        <f t="shared" ref="AD25:AD81" si="27">IF(AO25&gt;1000,IF(AO25-$I25*$R25&gt;1000,$I25*$R25,AO25-1000),)</f>
        <v>0</v>
      </c>
      <c r="AE25" s="1537">
        <f t="shared" ref="AE25:AE81" si="28">IF(AP25&gt;1000,IF(AP25-$I25*$R25&gt;1000,$I25*$R25,AP25-1000),)</f>
        <v>0</v>
      </c>
      <c r="AF25" s="1536">
        <f t="shared" ref="AF25:AF81" si="29">IF(AQ25&gt;1000,IF(AQ25-$I25*$R25&gt;1000,$I25*$R25,AQ25-1000),)</f>
        <v>0</v>
      </c>
      <c r="AH25" s="1537">
        <f t="shared" ref="AH25:AH56" si="30">S25-U25</f>
        <v>1000</v>
      </c>
      <c r="AI25" s="1537">
        <f>AH25-W25</f>
        <v>1000</v>
      </c>
      <c r="AJ25" s="1537">
        <f t="shared" ref="AJ25:AR40" si="31">AI25-X25</f>
        <v>1000</v>
      </c>
      <c r="AK25" s="1537">
        <f t="shared" si="31"/>
        <v>1000</v>
      </c>
      <c r="AL25" s="1537">
        <f t="shared" si="31"/>
        <v>1000</v>
      </c>
      <c r="AM25" s="1537">
        <f t="shared" si="31"/>
        <v>1000</v>
      </c>
      <c r="AN25" s="1537">
        <f t="shared" si="31"/>
        <v>1000</v>
      </c>
      <c r="AO25" s="1537">
        <f t="shared" si="31"/>
        <v>1000</v>
      </c>
      <c r="AP25" s="1537">
        <f t="shared" si="31"/>
        <v>1000</v>
      </c>
      <c r="AQ25" s="1537">
        <f t="shared" si="31"/>
        <v>1000</v>
      </c>
      <c r="AR25" s="1537">
        <f t="shared" si="31"/>
        <v>1000</v>
      </c>
    </row>
    <row r="26" spans="1:44" s="1531" customFormat="1" ht="12" customHeight="1" x14ac:dyDescent="0.3">
      <c r="A26" s="1531" t="s">
        <v>3796</v>
      </c>
      <c r="B26" s="1498"/>
      <c r="C26" s="1548" t="s">
        <v>2948</v>
      </c>
      <c r="D26" s="1549">
        <v>38899</v>
      </c>
      <c r="E26" s="1518">
        <v>5</v>
      </c>
      <c r="F26" s="1518">
        <f t="shared" si="16"/>
        <v>-4</v>
      </c>
      <c r="G26" s="1532">
        <f t="shared" si="17"/>
        <v>0</v>
      </c>
      <c r="H26" s="1533">
        <f t="shared" si="18"/>
        <v>0</v>
      </c>
      <c r="I26" s="1534">
        <f t="shared" ref="I26:I81" si="32">1/E26</f>
        <v>0.2</v>
      </c>
      <c r="J26" s="1519">
        <v>9466818</v>
      </c>
      <c r="K26" s="1519">
        <v>9465818</v>
      </c>
      <c r="L26" s="1526"/>
      <c r="M26" s="1526"/>
      <c r="N26" s="1519">
        <f t="shared" ref="N26:N81" si="33">ROUND(J26-K26-L26+M26,)</f>
        <v>1000</v>
      </c>
      <c r="O26" s="1526"/>
      <c r="P26" s="1526"/>
      <c r="Q26" s="1519">
        <v>0</v>
      </c>
      <c r="R26" s="1519">
        <f t="shared" ref="R26:R81" si="34">J26+O26-P26</f>
        <v>9466818</v>
      </c>
      <c r="S26" s="1519">
        <f t="shared" ref="S26:S81" si="35">ROUND(N26+O26-P26-Q26,)</f>
        <v>1000</v>
      </c>
      <c r="T26" s="1519">
        <f t="shared" si="19"/>
        <v>0</v>
      </c>
      <c r="U26" s="1535">
        <f t="shared" ref="U26:U81" si="36">IF(S26&gt;1000,IF(S26-R26*(1/12)*I26&gt;1000,R26*(1/12)*I26,S26-1000),)</f>
        <v>0</v>
      </c>
      <c r="V26" s="1537">
        <f t="shared" si="20"/>
        <v>0</v>
      </c>
      <c r="W26" s="1519">
        <f t="shared" ref="W26:W81" si="37">IF(AH26&gt;1000,IF(AH26-$I26*$R26&gt;1000,$I26*$R26,AH26-1000),)</f>
        <v>0</v>
      </c>
      <c r="X26" s="1537">
        <f t="shared" si="21"/>
        <v>0</v>
      </c>
      <c r="Y26" s="1537">
        <f t="shared" si="22"/>
        <v>0</v>
      </c>
      <c r="Z26" s="1537">
        <f t="shared" si="23"/>
        <v>0</v>
      </c>
      <c r="AA26" s="1537">
        <f t="shared" si="24"/>
        <v>0</v>
      </c>
      <c r="AB26" s="1537">
        <f t="shared" si="25"/>
        <v>0</v>
      </c>
      <c r="AC26" s="1537">
        <f t="shared" si="26"/>
        <v>0</v>
      </c>
      <c r="AD26" s="1537">
        <f t="shared" si="27"/>
        <v>0</v>
      </c>
      <c r="AE26" s="1537">
        <f t="shared" si="28"/>
        <v>0</v>
      </c>
      <c r="AF26" s="1536">
        <f t="shared" si="29"/>
        <v>0</v>
      </c>
      <c r="AH26" s="1537">
        <f t="shared" si="30"/>
        <v>1000</v>
      </c>
      <c r="AI26" s="1537">
        <f t="shared" ref="AI26:AI81" si="38">AH26-W26</f>
        <v>1000</v>
      </c>
      <c r="AJ26" s="1537">
        <f t="shared" si="31"/>
        <v>1000</v>
      </c>
      <c r="AK26" s="1537">
        <f t="shared" si="31"/>
        <v>1000</v>
      </c>
      <c r="AL26" s="1537">
        <f t="shared" si="31"/>
        <v>1000</v>
      </c>
      <c r="AM26" s="1537">
        <f t="shared" si="31"/>
        <v>1000</v>
      </c>
      <c r="AN26" s="1537">
        <f t="shared" si="31"/>
        <v>1000</v>
      </c>
      <c r="AO26" s="1537">
        <f t="shared" si="31"/>
        <v>1000</v>
      </c>
      <c r="AP26" s="1537">
        <f t="shared" si="31"/>
        <v>1000</v>
      </c>
      <c r="AQ26" s="1537">
        <f t="shared" si="31"/>
        <v>1000</v>
      </c>
      <c r="AR26" s="1537">
        <f t="shared" si="31"/>
        <v>1000</v>
      </c>
    </row>
    <row r="27" spans="1:44" s="1531" customFormat="1" ht="12" customHeight="1" x14ac:dyDescent="0.3">
      <c r="B27" s="1498"/>
      <c r="C27" s="1548" t="s">
        <v>2949</v>
      </c>
      <c r="D27" s="1549">
        <v>38899</v>
      </c>
      <c r="E27" s="1518">
        <v>2</v>
      </c>
      <c r="F27" s="1518">
        <f t="shared" si="16"/>
        <v>-7</v>
      </c>
      <c r="G27" s="1532">
        <f t="shared" si="17"/>
        <v>0</v>
      </c>
      <c r="H27" s="1533">
        <f t="shared" si="18"/>
        <v>0</v>
      </c>
      <c r="I27" s="1534">
        <f t="shared" si="32"/>
        <v>0.5</v>
      </c>
      <c r="J27" s="1519">
        <v>918684</v>
      </c>
      <c r="K27" s="1519">
        <v>917684</v>
      </c>
      <c r="L27" s="1526"/>
      <c r="M27" s="1526"/>
      <c r="N27" s="1519">
        <f t="shared" si="33"/>
        <v>1000</v>
      </c>
      <c r="O27" s="1526"/>
      <c r="P27" s="1526"/>
      <c r="Q27" s="1519">
        <v>0</v>
      </c>
      <c r="R27" s="1519">
        <f t="shared" si="34"/>
        <v>918684</v>
      </c>
      <c r="S27" s="1519">
        <f t="shared" si="35"/>
        <v>1000</v>
      </c>
      <c r="T27" s="1519">
        <f t="shared" si="19"/>
        <v>0</v>
      </c>
      <c r="U27" s="1535">
        <f t="shared" si="36"/>
        <v>0</v>
      </c>
      <c r="V27" s="1537">
        <f t="shared" si="20"/>
        <v>0</v>
      </c>
      <c r="W27" s="1519">
        <f t="shared" si="37"/>
        <v>0</v>
      </c>
      <c r="X27" s="1537">
        <f t="shared" si="21"/>
        <v>0</v>
      </c>
      <c r="Y27" s="1537">
        <f t="shared" si="22"/>
        <v>0</v>
      </c>
      <c r="Z27" s="1537">
        <f t="shared" si="23"/>
        <v>0</v>
      </c>
      <c r="AA27" s="1537">
        <f t="shared" si="24"/>
        <v>0</v>
      </c>
      <c r="AB27" s="1537">
        <f t="shared" si="25"/>
        <v>0</v>
      </c>
      <c r="AC27" s="1537">
        <f t="shared" si="26"/>
        <v>0</v>
      </c>
      <c r="AD27" s="1537">
        <f t="shared" si="27"/>
        <v>0</v>
      </c>
      <c r="AE27" s="1537">
        <f t="shared" si="28"/>
        <v>0</v>
      </c>
      <c r="AF27" s="1536">
        <f t="shared" si="29"/>
        <v>0</v>
      </c>
      <c r="AH27" s="1537">
        <f t="shared" si="30"/>
        <v>1000</v>
      </c>
      <c r="AI27" s="1537">
        <f t="shared" si="38"/>
        <v>1000</v>
      </c>
      <c r="AJ27" s="1537">
        <f t="shared" si="31"/>
        <v>1000</v>
      </c>
      <c r="AK27" s="1537">
        <f t="shared" si="31"/>
        <v>1000</v>
      </c>
      <c r="AL27" s="1537">
        <f t="shared" si="31"/>
        <v>1000</v>
      </c>
      <c r="AM27" s="1537">
        <f t="shared" si="31"/>
        <v>1000</v>
      </c>
      <c r="AN27" s="1537">
        <f t="shared" si="31"/>
        <v>1000</v>
      </c>
      <c r="AO27" s="1537">
        <f t="shared" si="31"/>
        <v>1000</v>
      </c>
      <c r="AP27" s="1537">
        <f t="shared" si="31"/>
        <v>1000</v>
      </c>
      <c r="AQ27" s="1537">
        <f t="shared" si="31"/>
        <v>1000</v>
      </c>
      <c r="AR27" s="1537">
        <f t="shared" si="31"/>
        <v>1000</v>
      </c>
    </row>
    <row r="28" spans="1:44" s="1531" customFormat="1" ht="12" customHeight="1" x14ac:dyDescent="0.3">
      <c r="B28" s="1498"/>
      <c r="C28" s="1548" t="s">
        <v>2950</v>
      </c>
      <c r="D28" s="1549">
        <v>38899</v>
      </c>
      <c r="E28" s="1518">
        <v>3</v>
      </c>
      <c r="F28" s="1518">
        <f t="shared" si="16"/>
        <v>-6</v>
      </c>
      <c r="G28" s="1532">
        <f t="shared" si="17"/>
        <v>0</v>
      </c>
      <c r="H28" s="1533">
        <f t="shared" si="18"/>
        <v>0</v>
      </c>
      <c r="I28" s="1534">
        <f t="shared" si="32"/>
        <v>0.33333333333333331</v>
      </c>
      <c r="J28" s="1519">
        <v>431667</v>
      </c>
      <c r="K28" s="1519">
        <v>430667</v>
      </c>
      <c r="L28" s="1526"/>
      <c r="M28" s="1526"/>
      <c r="N28" s="1519">
        <f t="shared" si="33"/>
        <v>1000</v>
      </c>
      <c r="O28" s="1526"/>
      <c r="P28" s="1526"/>
      <c r="Q28" s="1519">
        <v>0</v>
      </c>
      <c r="R28" s="1519">
        <f t="shared" si="34"/>
        <v>431667</v>
      </c>
      <c r="S28" s="1519">
        <f t="shared" si="35"/>
        <v>1000</v>
      </c>
      <c r="T28" s="1519">
        <f t="shared" si="19"/>
        <v>0</v>
      </c>
      <c r="U28" s="1535">
        <f t="shared" si="36"/>
        <v>0</v>
      </c>
      <c r="V28" s="1537">
        <f t="shared" si="20"/>
        <v>0</v>
      </c>
      <c r="W28" s="1519">
        <f t="shared" si="37"/>
        <v>0</v>
      </c>
      <c r="X28" s="1537">
        <f t="shared" si="21"/>
        <v>0</v>
      </c>
      <c r="Y28" s="1537">
        <f t="shared" si="22"/>
        <v>0</v>
      </c>
      <c r="Z28" s="1537">
        <f t="shared" si="23"/>
        <v>0</v>
      </c>
      <c r="AA28" s="1537">
        <f t="shared" si="24"/>
        <v>0</v>
      </c>
      <c r="AB28" s="1537">
        <f t="shared" si="25"/>
        <v>0</v>
      </c>
      <c r="AC28" s="1537">
        <f t="shared" si="26"/>
        <v>0</v>
      </c>
      <c r="AD28" s="1537">
        <f t="shared" si="27"/>
        <v>0</v>
      </c>
      <c r="AE28" s="1537">
        <f t="shared" si="28"/>
        <v>0</v>
      </c>
      <c r="AF28" s="1536">
        <f t="shared" si="29"/>
        <v>0</v>
      </c>
      <c r="AH28" s="1537">
        <f t="shared" si="30"/>
        <v>1000</v>
      </c>
      <c r="AI28" s="1537">
        <f t="shared" si="38"/>
        <v>1000</v>
      </c>
      <c r="AJ28" s="1537">
        <f t="shared" si="31"/>
        <v>1000</v>
      </c>
      <c r="AK28" s="1537">
        <f t="shared" si="31"/>
        <v>1000</v>
      </c>
      <c r="AL28" s="1537">
        <f t="shared" si="31"/>
        <v>1000</v>
      </c>
      <c r="AM28" s="1537">
        <f t="shared" si="31"/>
        <v>1000</v>
      </c>
      <c r="AN28" s="1537">
        <f t="shared" si="31"/>
        <v>1000</v>
      </c>
      <c r="AO28" s="1537">
        <f t="shared" si="31"/>
        <v>1000</v>
      </c>
      <c r="AP28" s="1537">
        <f t="shared" si="31"/>
        <v>1000</v>
      </c>
      <c r="AQ28" s="1537">
        <f t="shared" si="31"/>
        <v>1000</v>
      </c>
      <c r="AR28" s="1537">
        <f t="shared" si="31"/>
        <v>1000</v>
      </c>
    </row>
    <row r="29" spans="1:44" s="1531" customFormat="1" ht="12" customHeight="1" x14ac:dyDescent="0.3">
      <c r="B29" s="1498"/>
      <c r="C29" s="1548" t="s">
        <v>2951</v>
      </c>
      <c r="D29" s="1549">
        <v>38899</v>
      </c>
      <c r="E29" s="1518">
        <v>4</v>
      </c>
      <c r="F29" s="1518">
        <f t="shared" si="16"/>
        <v>-5</v>
      </c>
      <c r="G29" s="1532">
        <f t="shared" si="17"/>
        <v>0</v>
      </c>
      <c r="H29" s="1533">
        <f t="shared" si="18"/>
        <v>0</v>
      </c>
      <c r="I29" s="1534">
        <f t="shared" si="32"/>
        <v>0.25</v>
      </c>
      <c r="J29" s="1519">
        <v>3504835</v>
      </c>
      <c r="K29" s="1519">
        <v>3503835</v>
      </c>
      <c r="L29" s="1526"/>
      <c r="M29" s="1526"/>
      <c r="N29" s="1519">
        <f t="shared" si="33"/>
        <v>1000</v>
      </c>
      <c r="O29" s="1526"/>
      <c r="P29" s="1526"/>
      <c r="Q29" s="1519">
        <v>0</v>
      </c>
      <c r="R29" s="1519">
        <f t="shared" si="34"/>
        <v>3504835</v>
      </c>
      <c r="S29" s="1519">
        <f t="shared" si="35"/>
        <v>1000</v>
      </c>
      <c r="T29" s="1519">
        <f t="shared" si="19"/>
        <v>0</v>
      </c>
      <c r="U29" s="1535">
        <f t="shared" si="36"/>
        <v>0</v>
      </c>
      <c r="V29" s="1537">
        <f t="shared" si="20"/>
        <v>0</v>
      </c>
      <c r="W29" s="1519">
        <f t="shared" si="37"/>
        <v>0</v>
      </c>
      <c r="X29" s="1537">
        <f t="shared" si="21"/>
        <v>0</v>
      </c>
      <c r="Y29" s="1537">
        <f t="shared" si="22"/>
        <v>0</v>
      </c>
      <c r="Z29" s="1537">
        <f t="shared" si="23"/>
        <v>0</v>
      </c>
      <c r="AA29" s="1537">
        <f t="shared" si="24"/>
        <v>0</v>
      </c>
      <c r="AB29" s="1537">
        <f t="shared" si="25"/>
        <v>0</v>
      </c>
      <c r="AC29" s="1537">
        <f t="shared" si="26"/>
        <v>0</v>
      </c>
      <c r="AD29" s="1537">
        <f t="shared" si="27"/>
        <v>0</v>
      </c>
      <c r="AE29" s="1537">
        <f t="shared" si="28"/>
        <v>0</v>
      </c>
      <c r="AF29" s="1536">
        <f t="shared" si="29"/>
        <v>0</v>
      </c>
      <c r="AH29" s="1537">
        <f t="shared" si="30"/>
        <v>1000</v>
      </c>
      <c r="AI29" s="1537">
        <f t="shared" si="38"/>
        <v>1000</v>
      </c>
      <c r="AJ29" s="1537">
        <f t="shared" si="31"/>
        <v>1000</v>
      </c>
      <c r="AK29" s="1537">
        <f t="shared" si="31"/>
        <v>1000</v>
      </c>
      <c r="AL29" s="1537">
        <f t="shared" si="31"/>
        <v>1000</v>
      </c>
      <c r="AM29" s="1537">
        <f t="shared" si="31"/>
        <v>1000</v>
      </c>
      <c r="AN29" s="1537">
        <f t="shared" si="31"/>
        <v>1000</v>
      </c>
      <c r="AO29" s="1537">
        <f t="shared" si="31"/>
        <v>1000</v>
      </c>
      <c r="AP29" s="1537">
        <f t="shared" si="31"/>
        <v>1000</v>
      </c>
      <c r="AQ29" s="1537">
        <f t="shared" si="31"/>
        <v>1000</v>
      </c>
      <c r="AR29" s="1537">
        <f t="shared" si="31"/>
        <v>1000</v>
      </c>
    </row>
    <row r="30" spans="1:44" s="1531" customFormat="1" ht="12" customHeight="1" x14ac:dyDescent="0.3">
      <c r="A30" s="1531" t="s">
        <v>3796</v>
      </c>
      <c r="B30" s="1498"/>
      <c r="C30" s="1548" t="s">
        <v>2952</v>
      </c>
      <c r="D30" s="1549">
        <v>38899</v>
      </c>
      <c r="E30" s="1518">
        <v>2</v>
      </c>
      <c r="F30" s="1518">
        <f t="shared" si="16"/>
        <v>-7</v>
      </c>
      <c r="G30" s="1532">
        <f t="shared" si="17"/>
        <v>0</v>
      </c>
      <c r="H30" s="1533">
        <f t="shared" si="18"/>
        <v>0</v>
      </c>
      <c r="I30" s="1534">
        <f t="shared" si="32"/>
        <v>0.5</v>
      </c>
      <c r="J30" s="1519">
        <v>708572</v>
      </c>
      <c r="K30" s="1519">
        <v>707572</v>
      </c>
      <c r="L30" s="1526"/>
      <c r="M30" s="1526"/>
      <c r="N30" s="1519">
        <f t="shared" si="33"/>
        <v>1000</v>
      </c>
      <c r="O30" s="1526"/>
      <c r="P30" s="1526"/>
      <c r="Q30" s="1519">
        <v>0</v>
      </c>
      <c r="R30" s="1519">
        <f t="shared" si="34"/>
        <v>708572</v>
      </c>
      <c r="S30" s="1519">
        <f t="shared" si="35"/>
        <v>1000</v>
      </c>
      <c r="T30" s="1519">
        <f t="shared" si="19"/>
        <v>0</v>
      </c>
      <c r="U30" s="1535">
        <f t="shared" si="36"/>
        <v>0</v>
      </c>
      <c r="V30" s="1537">
        <f t="shared" si="20"/>
        <v>0</v>
      </c>
      <c r="W30" s="1519">
        <f t="shared" si="37"/>
        <v>0</v>
      </c>
      <c r="X30" s="1537">
        <f t="shared" si="21"/>
        <v>0</v>
      </c>
      <c r="Y30" s="1537">
        <f t="shared" si="22"/>
        <v>0</v>
      </c>
      <c r="Z30" s="1537">
        <f t="shared" si="23"/>
        <v>0</v>
      </c>
      <c r="AA30" s="1537">
        <f t="shared" si="24"/>
        <v>0</v>
      </c>
      <c r="AB30" s="1537">
        <f t="shared" si="25"/>
        <v>0</v>
      </c>
      <c r="AC30" s="1537">
        <f t="shared" si="26"/>
        <v>0</v>
      </c>
      <c r="AD30" s="1537">
        <f t="shared" si="27"/>
        <v>0</v>
      </c>
      <c r="AE30" s="1537">
        <f t="shared" si="28"/>
        <v>0</v>
      </c>
      <c r="AF30" s="1536">
        <f t="shared" si="29"/>
        <v>0</v>
      </c>
      <c r="AH30" s="1537">
        <f t="shared" si="30"/>
        <v>1000</v>
      </c>
      <c r="AI30" s="1537">
        <f t="shared" si="38"/>
        <v>1000</v>
      </c>
      <c r="AJ30" s="1537">
        <f t="shared" si="31"/>
        <v>1000</v>
      </c>
      <c r="AK30" s="1537">
        <f t="shared" si="31"/>
        <v>1000</v>
      </c>
      <c r="AL30" s="1537">
        <f t="shared" si="31"/>
        <v>1000</v>
      </c>
      <c r="AM30" s="1537">
        <f t="shared" si="31"/>
        <v>1000</v>
      </c>
      <c r="AN30" s="1537">
        <f t="shared" si="31"/>
        <v>1000</v>
      </c>
      <c r="AO30" s="1537">
        <f t="shared" si="31"/>
        <v>1000</v>
      </c>
      <c r="AP30" s="1537">
        <f t="shared" si="31"/>
        <v>1000</v>
      </c>
      <c r="AQ30" s="1537">
        <f t="shared" si="31"/>
        <v>1000</v>
      </c>
      <c r="AR30" s="1537">
        <f t="shared" si="31"/>
        <v>1000</v>
      </c>
    </row>
    <row r="31" spans="1:44" s="1531" customFormat="1" ht="12" customHeight="1" x14ac:dyDescent="0.3">
      <c r="A31" s="1531" t="s">
        <v>3796</v>
      </c>
      <c r="B31" s="1498"/>
      <c r="C31" s="1548" t="s">
        <v>2953</v>
      </c>
      <c r="D31" s="1549" t="s">
        <v>3004</v>
      </c>
      <c r="E31" s="1518">
        <v>2</v>
      </c>
      <c r="F31" s="1518">
        <f t="shared" si="16"/>
        <v>-7</v>
      </c>
      <c r="G31" s="1532">
        <f t="shared" si="17"/>
        <v>0</v>
      </c>
      <c r="H31" s="1533">
        <f t="shared" si="18"/>
        <v>0</v>
      </c>
      <c r="I31" s="1534">
        <f t="shared" si="32"/>
        <v>0.5</v>
      </c>
      <c r="J31" s="1519">
        <v>708572</v>
      </c>
      <c r="K31" s="1519">
        <v>707572</v>
      </c>
      <c r="L31" s="1526"/>
      <c r="M31" s="1526"/>
      <c r="N31" s="1519">
        <f t="shared" si="33"/>
        <v>1000</v>
      </c>
      <c r="O31" s="1526"/>
      <c r="P31" s="1526"/>
      <c r="Q31" s="1519">
        <v>0</v>
      </c>
      <c r="R31" s="1519">
        <f t="shared" si="34"/>
        <v>708572</v>
      </c>
      <c r="S31" s="1519">
        <f t="shared" si="35"/>
        <v>1000</v>
      </c>
      <c r="T31" s="1519">
        <f t="shared" si="19"/>
        <v>0</v>
      </c>
      <c r="U31" s="1535">
        <f t="shared" si="36"/>
        <v>0</v>
      </c>
      <c r="V31" s="1537">
        <f t="shared" si="20"/>
        <v>0</v>
      </c>
      <c r="W31" s="1519">
        <f t="shared" si="37"/>
        <v>0</v>
      </c>
      <c r="X31" s="1537">
        <f t="shared" si="21"/>
        <v>0</v>
      </c>
      <c r="Y31" s="1537">
        <f t="shared" si="22"/>
        <v>0</v>
      </c>
      <c r="Z31" s="1537">
        <f t="shared" si="23"/>
        <v>0</v>
      </c>
      <c r="AA31" s="1537">
        <f t="shared" si="24"/>
        <v>0</v>
      </c>
      <c r="AB31" s="1537">
        <f t="shared" si="25"/>
        <v>0</v>
      </c>
      <c r="AC31" s="1537">
        <f t="shared" si="26"/>
        <v>0</v>
      </c>
      <c r="AD31" s="1537">
        <f t="shared" si="27"/>
        <v>0</v>
      </c>
      <c r="AE31" s="1537">
        <f t="shared" si="28"/>
        <v>0</v>
      </c>
      <c r="AF31" s="1536">
        <f t="shared" si="29"/>
        <v>0</v>
      </c>
      <c r="AH31" s="1537">
        <f t="shared" si="30"/>
        <v>1000</v>
      </c>
      <c r="AI31" s="1537">
        <f t="shared" si="38"/>
        <v>1000</v>
      </c>
      <c r="AJ31" s="1537">
        <f t="shared" si="31"/>
        <v>1000</v>
      </c>
      <c r="AK31" s="1537">
        <f t="shared" si="31"/>
        <v>1000</v>
      </c>
      <c r="AL31" s="1537">
        <f t="shared" si="31"/>
        <v>1000</v>
      </c>
      <c r="AM31" s="1537">
        <f t="shared" si="31"/>
        <v>1000</v>
      </c>
      <c r="AN31" s="1537">
        <f t="shared" si="31"/>
        <v>1000</v>
      </c>
      <c r="AO31" s="1537">
        <f t="shared" si="31"/>
        <v>1000</v>
      </c>
      <c r="AP31" s="1537">
        <f t="shared" si="31"/>
        <v>1000</v>
      </c>
      <c r="AQ31" s="1537">
        <f t="shared" si="31"/>
        <v>1000</v>
      </c>
      <c r="AR31" s="1537">
        <f t="shared" si="31"/>
        <v>1000</v>
      </c>
    </row>
    <row r="32" spans="1:44" s="1531" customFormat="1" ht="12" customHeight="1" x14ac:dyDescent="0.3">
      <c r="A32" s="1531" t="s">
        <v>3796</v>
      </c>
      <c r="B32" s="1498"/>
      <c r="C32" s="1548" t="s">
        <v>2954</v>
      </c>
      <c r="D32" s="1549" t="s">
        <v>3004</v>
      </c>
      <c r="E32" s="1518">
        <v>3</v>
      </c>
      <c r="F32" s="1518">
        <f t="shared" si="16"/>
        <v>-6</v>
      </c>
      <c r="G32" s="1532">
        <f t="shared" si="17"/>
        <v>0</v>
      </c>
      <c r="H32" s="1533">
        <f t="shared" si="18"/>
        <v>0</v>
      </c>
      <c r="I32" s="1534">
        <f t="shared" si="32"/>
        <v>0.33333333333333331</v>
      </c>
      <c r="J32" s="1519">
        <v>700071</v>
      </c>
      <c r="K32" s="1519">
        <v>699071</v>
      </c>
      <c r="L32" s="1526"/>
      <c r="M32" s="1526"/>
      <c r="N32" s="1519">
        <f t="shared" si="33"/>
        <v>1000</v>
      </c>
      <c r="O32" s="1526"/>
      <c r="P32" s="1526"/>
      <c r="Q32" s="1519">
        <v>0</v>
      </c>
      <c r="R32" s="1519">
        <f t="shared" si="34"/>
        <v>700071</v>
      </c>
      <c r="S32" s="1519">
        <f t="shared" si="35"/>
        <v>1000</v>
      </c>
      <c r="T32" s="1519">
        <f t="shared" si="19"/>
        <v>0</v>
      </c>
      <c r="U32" s="1535">
        <f t="shared" si="36"/>
        <v>0</v>
      </c>
      <c r="V32" s="1537">
        <f t="shared" si="20"/>
        <v>0</v>
      </c>
      <c r="W32" s="1519">
        <f t="shared" si="37"/>
        <v>0</v>
      </c>
      <c r="X32" s="1537">
        <f t="shared" si="21"/>
        <v>0</v>
      </c>
      <c r="Y32" s="1537">
        <f t="shared" si="22"/>
        <v>0</v>
      </c>
      <c r="Z32" s="1537">
        <f t="shared" si="23"/>
        <v>0</v>
      </c>
      <c r="AA32" s="1537">
        <f t="shared" si="24"/>
        <v>0</v>
      </c>
      <c r="AB32" s="1537">
        <f t="shared" si="25"/>
        <v>0</v>
      </c>
      <c r="AC32" s="1537">
        <f t="shared" si="26"/>
        <v>0</v>
      </c>
      <c r="AD32" s="1537">
        <f t="shared" si="27"/>
        <v>0</v>
      </c>
      <c r="AE32" s="1537">
        <f t="shared" si="28"/>
        <v>0</v>
      </c>
      <c r="AF32" s="1536">
        <f t="shared" si="29"/>
        <v>0</v>
      </c>
      <c r="AH32" s="1537">
        <f t="shared" si="30"/>
        <v>1000</v>
      </c>
      <c r="AI32" s="1537">
        <f t="shared" si="38"/>
        <v>1000</v>
      </c>
      <c r="AJ32" s="1537">
        <f t="shared" si="31"/>
        <v>1000</v>
      </c>
      <c r="AK32" s="1537">
        <f t="shared" si="31"/>
        <v>1000</v>
      </c>
      <c r="AL32" s="1537">
        <f t="shared" si="31"/>
        <v>1000</v>
      </c>
      <c r="AM32" s="1537">
        <f t="shared" si="31"/>
        <v>1000</v>
      </c>
      <c r="AN32" s="1537">
        <f t="shared" si="31"/>
        <v>1000</v>
      </c>
      <c r="AO32" s="1537">
        <f t="shared" si="31"/>
        <v>1000</v>
      </c>
      <c r="AP32" s="1537">
        <f t="shared" si="31"/>
        <v>1000</v>
      </c>
      <c r="AQ32" s="1537">
        <f t="shared" si="31"/>
        <v>1000</v>
      </c>
      <c r="AR32" s="1537">
        <f t="shared" si="31"/>
        <v>1000</v>
      </c>
    </row>
    <row r="33" spans="1:44" s="1531" customFormat="1" ht="12" customHeight="1" x14ac:dyDescent="0.3">
      <c r="A33" s="1531" t="s">
        <v>3796</v>
      </c>
      <c r="B33" s="1498"/>
      <c r="C33" s="1548" t="s">
        <v>2955</v>
      </c>
      <c r="D33" s="1549" t="s">
        <v>3004</v>
      </c>
      <c r="E33" s="1518">
        <v>3</v>
      </c>
      <c r="F33" s="1518">
        <f t="shared" si="16"/>
        <v>-6</v>
      </c>
      <c r="G33" s="1532">
        <f t="shared" si="17"/>
        <v>0</v>
      </c>
      <c r="H33" s="1533">
        <f t="shared" si="18"/>
        <v>0</v>
      </c>
      <c r="I33" s="1534">
        <f t="shared" si="32"/>
        <v>0.33333333333333331</v>
      </c>
      <c r="J33" s="1519">
        <v>6120000</v>
      </c>
      <c r="K33" s="1519">
        <v>6119000</v>
      </c>
      <c r="L33" s="1526"/>
      <c r="M33" s="1526"/>
      <c r="N33" s="1519">
        <f t="shared" si="33"/>
        <v>1000</v>
      </c>
      <c r="O33" s="1526"/>
      <c r="P33" s="1526"/>
      <c r="Q33" s="1519">
        <v>0</v>
      </c>
      <c r="R33" s="1519">
        <f t="shared" si="34"/>
        <v>6120000</v>
      </c>
      <c r="S33" s="1519">
        <f t="shared" si="35"/>
        <v>1000</v>
      </c>
      <c r="T33" s="1519">
        <f t="shared" si="19"/>
        <v>0</v>
      </c>
      <c r="U33" s="1535">
        <f t="shared" si="36"/>
        <v>0</v>
      </c>
      <c r="V33" s="1537">
        <f t="shared" si="20"/>
        <v>0</v>
      </c>
      <c r="W33" s="1519">
        <f t="shared" si="37"/>
        <v>0</v>
      </c>
      <c r="X33" s="1537">
        <f t="shared" si="21"/>
        <v>0</v>
      </c>
      <c r="Y33" s="1537">
        <f t="shared" si="22"/>
        <v>0</v>
      </c>
      <c r="Z33" s="1537">
        <f t="shared" si="23"/>
        <v>0</v>
      </c>
      <c r="AA33" s="1537">
        <f t="shared" si="24"/>
        <v>0</v>
      </c>
      <c r="AB33" s="1537">
        <f t="shared" si="25"/>
        <v>0</v>
      </c>
      <c r="AC33" s="1537">
        <f t="shared" si="26"/>
        <v>0</v>
      </c>
      <c r="AD33" s="1537">
        <f t="shared" si="27"/>
        <v>0</v>
      </c>
      <c r="AE33" s="1537">
        <f t="shared" si="28"/>
        <v>0</v>
      </c>
      <c r="AF33" s="1536">
        <f t="shared" si="29"/>
        <v>0</v>
      </c>
      <c r="AH33" s="1537">
        <f t="shared" si="30"/>
        <v>1000</v>
      </c>
      <c r="AI33" s="1537">
        <f t="shared" si="38"/>
        <v>1000</v>
      </c>
      <c r="AJ33" s="1537">
        <f t="shared" si="31"/>
        <v>1000</v>
      </c>
      <c r="AK33" s="1537">
        <f t="shared" si="31"/>
        <v>1000</v>
      </c>
      <c r="AL33" s="1537">
        <f t="shared" si="31"/>
        <v>1000</v>
      </c>
      <c r="AM33" s="1537">
        <f t="shared" si="31"/>
        <v>1000</v>
      </c>
      <c r="AN33" s="1537">
        <f t="shared" si="31"/>
        <v>1000</v>
      </c>
      <c r="AO33" s="1537">
        <f t="shared" si="31"/>
        <v>1000</v>
      </c>
      <c r="AP33" s="1537">
        <f t="shared" si="31"/>
        <v>1000</v>
      </c>
      <c r="AQ33" s="1537">
        <f t="shared" si="31"/>
        <v>1000</v>
      </c>
      <c r="AR33" s="1537">
        <f t="shared" si="31"/>
        <v>1000</v>
      </c>
    </row>
    <row r="34" spans="1:44" s="1531" customFormat="1" ht="12" customHeight="1" x14ac:dyDescent="0.3">
      <c r="A34" s="1531" t="s">
        <v>3796</v>
      </c>
      <c r="B34" s="1498"/>
      <c r="C34" s="1548" t="s">
        <v>2956</v>
      </c>
      <c r="D34" s="1549" t="s">
        <v>3004</v>
      </c>
      <c r="E34" s="1518">
        <v>3</v>
      </c>
      <c r="F34" s="1518">
        <f t="shared" si="16"/>
        <v>-6</v>
      </c>
      <c r="G34" s="1532">
        <f t="shared" si="17"/>
        <v>0</v>
      </c>
      <c r="H34" s="1533">
        <f t="shared" si="18"/>
        <v>0</v>
      </c>
      <c r="I34" s="1534">
        <f t="shared" si="32"/>
        <v>0.33333333333333331</v>
      </c>
      <c r="J34" s="1519">
        <v>1785000</v>
      </c>
      <c r="K34" s="1519">
        <v>1784000</v>
      </c>
      <c r="L34" s="1526"/>
      <c r="M34" s="1526"/>
      <c r="N34" s="1519">
        <f t="shared" si="33"/>
        <v>1000</v>
      </c>
      <c r="O34" s="1526"/>
      <c r="P34" s="1526"/>
      <c r="Q34" s="1519">
        <v>0</v>
      </c>
      <c r="R34" s="1519">
        <f t="shared" si="34"/>
        <v>1785000</v>
      </c>
      <c r="S34" s="1519">
        <f t="shared" si="35"/>
        <v>1000</v>
      </c>
      <c r="T34" s="1519">
        <f t="shared" si="19"/>
        <v>0</v>
      </c>
      <c r="U34" s="1535">
        <f t="shared" si="36"/>
        <v>0</v>
      </c>
      <c r="V34" s="1537">
        <f t="shared" si="20"/>
        <v>0</v>
      </c>
      <c r="W34" s="1519">
        <f t="shared" si="37"/>
        <v>0</v>
      </c>
      <c r="X34" s="1537">
        <f t="shared" si="21"/>
        <v>0</v>
      </c>
      <c r="Y34" s="1537">
        <f t="shared" si="22"/>
        <v>0</v>
      </c>
      <c r="Z34" s="1537">
        <f t="shared" si="23"/>
        <v>0</v>
      </c>
      <c r="AA34" s="1537">
        <f t="shared" si="24"/>
        <v>0</v>
      </c>
      <c r="AB34" s="1537">
        <f t="shared" si="25"/>
        <v>0</v>
      </c>
      <c r="AC34" s="1537">
        <f t="shared" si="26"/>
        <v>0</v>
      </c>
      <c r="AD34" s="1537">
        <f t="shared" si="27"/>
        <v>0</v>
      </c>
      <c r="AE34" s="1537">
        <f t="shared" si="28"/>
        <v>0</v>
      </c>
      <c r="AF34" s="1536">
        <f t="shared" si="29"/>
        <v>0</v>
      </c>
      <c r="AH34" s="1537">
        <f t="shared" si="30"/>
        <v>1000</v>
      </c>
      <c r="AI34" s="1537">
        <f t="shared" si="38"/>
        <v>1000</v>
      </c>
      <c r="AJ34" s="1537">
        <f t="shared" si="31"/>
        <v>1000</v>
      </c>
      <c r="AK34" s="1537">
        <f t="shared" si="31"/>
        <v>1000</v>
      </c>
      <c r="AL34" s="1537">
        <f t="shared" si="31"/>
        <v>1000</v>
      </c>
      <c r="AM34" s="1537">
        <f t="shared" si="31"/>
        <v>1000</v>
      </c>
      <c r="AN34" s="1537">
        <f t="shared" si="31"/>
        <v>1000</v>
      </c>
      <c r="AO34" s="1537">
        <f t="shared" si="31"/>
        <v>1000</v>
      </c>
      <c r="AP34" s="1537">
        <f t="shared" si="31"/>
        <v>1000</v>
      </c>
      <c r="AQ34" s="1537">
        <f t="shared" si="31"/>
        <v>1000</v>
      </c>
      <c r="AR34" s="1537">
        <f t="shared" si="31"/>
        <v>1000</v>
      </c>
    </row>
    <row r="35" spans="1:44" s="1531" customFormat="1" ht="12" customHeight="1" x14ac:dyDescent="0.3">
      <c r="A35" s="1531" t="s">
        <v>3796</v>
      </c>
      <c r="B35" s="1498"/>
      <c r="C35" s="1548" t="s">
        <v>2957</v>
      </c>
      <c r="D35" s="1549" t="s">
        <v>3004</v>
      </c>
      <c r="E35" s="1518">
        <v>4</v>
      </c>
      <c r="F35" s="1518">
        <f t="shared" si="16"/>
        <v>-5</v>
      </c>
      <c r="G35" s="1532">
        <f t="shared" si="17"/>
        <v>0</v>
      </c>
      <c r="H35" s="1533">
        <f t="shared" si="18"/>
        <v>0</v>
      </c>
      <c r="I35" s="1534">
        <f t="shared" si="32"/>
        <v>0.25</v>
      </c>
      <c r="J35" s="1519">
        <v>193550</v>
      </c>
      <c r="K35" s="1519">
        <v>192550</v>
      </c>
      <c r="L35" s="1526"/>
      <c r="M35" s="1526"/>
      <c r="N35" s="1519">
        <f t="shared" si="33"/>
        <v>1000</v>
      </c>
      <c r="O35" s="1526"/>
      <c r="P35" s="1526"/>
      <c r="Q35" s="1519">
        <v>0</v>
      </c>
      <c r="R35" s="1519">
        <f t="shared" si="34"/>
        <v>193550</v>
      </c>
      <c r="S35" s="1519">
        <f t="shared" si="35"/>
        <v>1000</v>
      </c>
      <c r="T35" s="1519">
        <f t="shared" si="19"/>
        <v>0</v>
      </c>
      <c r="U35" s="1535">
        <f t="shared" si="36"/>
        <v>0</v>
      </c>
      <c r="V35" s="1537">
        <f t="shared" si="20"/>
        <v>0</v>
      </c>
      <c r="W35" s="1519">
        <f t="shared" si="37"/>
        <v>0</v>
      </c>
      <c r="X35" s="1537">
        <f t="shared" si="21"/>
        <v>0</v>
      </c>
      <c r="Y35" s="1537">
        <f t="shared" si="22"/>
        <v>0</v>
      </c>
      <c r="Z35" s="1537">
        <f t="shared" si="23"/>
        <v>0</v>
      </c>
      <c r="AA35" s="1537">
        <f t="shared" si="24"/>
        <v>0</v>
      </c>
      <c r="AB35" s="1537">
        <f t="shared" si="25"/>
        <v>0</v>
      </c>
      <c r="AC35" s="1537">
        <f t="shared" si="26"/>
        <v>0</v>
      </c>
      <c r="AD35" s="1537">
        <f t="shared" si="27"/>
        <v>0</v>
      </c>
      <c r="AE35" s="1537">
        <f t="shared" si="28"/>
        <v>0</v>
      </c>
      <c r="AF35" s="1536">
        <f t="shared" si="29"/>
        <v>0</v>
      </c>
      <c r="AH35" s="1537">
        <f t="shared" si="30"/>
        <v>1000</v>
      </c>
      <c r="AI35" s="1537">
        <f t="shared" si="38"/>
        <v>1000</v>
      </c>
      <c r="AJ35" s="1537">
        <f t="shared" si="31"/>
        <v>1000</v>
      </c>
      <c r="AK35" s="1537">
        <f t="shared" si="31"/>
        <v>1000</v>
      </c>
      <c r="AL35" s="1537">
        <f t="shared" si="31"/>
        <v>1000</v>
      </c>
      <c r="AM35" s="1537">
        <f t="shared" si="31"/>
        <v>1000</v>
      </c>
      <c r="AN35" s="1537">
        <f t="shared" si="31"/>
        <v>1000</v>
      </c>
      <c r="AO35" s="1537">
        <f t="shared" si="31"/>
        <v>1000</v>
      </c>
      <c r="AP35" s="1537">
        <f t="shared" si="31"/>
        <v>1000</v>
      </c>
      <c r="AQ35" s="1537">
        <f t="shared" si="31"/>
        <v>1000</v>
      </c>
      <c r="AR35" s="1537">
        <f t="shared" si="31"/>
        <v>1000</v>
      </c>
    </row>
    <row r="36" spans="1:44" s="1531" customFormat="1" ht="12" customHeight="1" x14ac:dyDescent="0.3">
      <c r="A36" s="1531" t="s">
        <v>3796</v>
      </c>
      <c r="B36" s="1498"/>
      <c r="C36" s="1548" t="s">
        <v>2958</v>
      </c>
      <c r="D36" s="1549" t="s">
        <v>3004</v>
      </c>
      <c r="E36" s="1518">
        <v>3</v>
      </c>
      <c r="F36" s="1518">
        <f t="shared" si="16"/>
        <v>-6</v>
      </c>
      <c r="G36" s="1532">
        <f t="shared" si="17"/>
        <v>0</v>
      </c>
      <c r="H36" s="1533">
        <f t="shared" si="18"/>
        <v>0</v>
      </c>
      <c r="I36" s="1534">
        <f t="shared" si="32"/>
        <v>0.33333333333333331</v>
      </c>
      <c r="J36" s="1519">
        <v>235000</v>
      </c>
      <c r="K36" s="1519">
        <v>234000</v>
      </c>
      <c r="L36" s="1526"/>
      <c r="M36" s="1526"/>
      <c r="N36" s="1519">
        <f t="shared" si="33"/>
        <v>1000</v>
      </c>
      <c r="O36" s="1526"/>
      <c r="P36" s="1526"/>
      <c r="Q36" s="1519">
        <v>0</v>
      </c>
      <c r="R36" s="1519">
        <f t="shared" si="34"/>
        <v>235000</v>
      </c>
      <c r="S36" s="1519">
        <f t="shared" si="35"/>
        <v>1000</v>
      </c>
      <c r="T36" s="1519">
        <f t="shared" si="19"/>
        <v>0</v>
      </c>
      <c r="U36" s="1535">
        <f t="shared" si="36"/>
        <v>0</v>
      </c>
      <c r="V36" s="1537">
        <f t="shared" si="20"/>
        <v>0</v>
      </c>
      <c r="W36" s="1519">
        <f t="shared" si="37"/>
        <v>0</v>
      </c>
      <c r="X36" s="1537">
        <f t="shared" si="21"/>
        <v>0</v>
      </c>
      <c r="Y36" s="1537">
        <f t="shared" si="22"/>
        <v>0</v>
      </c>
      <c r="Z36" s="1537">
        <f t="shared" si="23"/>
        <v>0</v>
      </c>
      <c r="AA36" s="1537">
        <f t="shared" si="24"/>
        <v>0</v>
      </c>
      <c r="AB36" s="1537">
        <f t="shared" si="25"/>
        <v>0</v>
      </c>
      <c r="AC36" s="1537">
        <f t="shared" si="26"/>
        <v>0</v>
      </c>
      <c r="AD36" s="1537">
        <f t="shared" si="27"/>
        <v>0</v>
      </c>
      <c r="AE36" s="1537">
        <f t="shared" si="28"/>
        <v>0</v>
      </c>
      <c r="AF36" s="1536">
        <f t="shared" si="29"/>
        <v>0</v>
      </c>
      <c r="AH36" s="1537">
        <f t="shared" si="30"/>
        <v>1000</v>
      </c>
      <c r="AI36" s="1537">
        <f t="shared" si="38"/>
        <v>1000</v>
      </c>
      <c r="AJ36" s="1537">
        <f t="shared" si="31"/>
        <v>1000</v>
      </c>
      <c r="AK36" s="1537">
        <f t="shared" si="31"/>
        <v>1000</v>
      </c>
      <c r="AL36" s="1537">
        <f t="shared" si="31"/>
        <v>1000</v>
      </c>
      <c r="AM36" s="1537">
        <f t="shared" si="31"/>
        <v>1000</v>
      </c>
      <c r="AN36" s="1537">
        <f t="shared" si="31"/>
        <v>1000</v>
      </c>
      <c r="AO36" s="1537">
        <f t="shared" si="31"/>
        <v>1000</v>
      </c>
      <c r="AP36" s="1537">
        <f t="shared" si="31"/>
        <v>1000</v>
      </c>
      <c r="AQ36" s="1537">
        <f t="shared" si="31"/>
        <v>1000</v>
      </c>
      <c r="AR36" s="1537">
        <f t="shared" si="31"/>
        <v>1000</v>
      </c>
    </row>
    <row r="37" spans="1:44" s="1531" customFormat="1" ht="12" customHeight="1" x14ac:dyDescent="0.3">
      <c r="A37" s="1531" t="s">
        <v>3796</v>
      </c>
      <c r="B37" s="1498"/>
      <c r="C37" s="1548" t="s">
        <v>2959</v>
      </c>
      <c r="D37" s="1549" t="s">
        <v>3004</v>
      </c>
      <c r="E37" s="1518">
        <v>4</v>
      </c>
      <c r="F37" s="1518">
        <f t="shared" si="16"/>
        <v>-5</v>
      </c>
      <c r="G37" s="1532">
        <f t="shared" si="17"/>
        <v>0</v>
      </c>
      <c r="H37" s="1533">
        <f t="shared" si="18"/>
        <v>0</v>
      </c>
      <c r="I37" s="1534">
        <f t="shared" si="32"/>
        <v>0.25</v>
      </c>
      <c r="J37" s="1519">
        <v>62866680</v>
      </c>
      <c r="K37" s="1519">
        <v>62865680</v>
      </c>
      <c r="L37" s="1526"/>
      <c r="M37" s="1526"/>
      <c r="N37" s="1519">
        <f t="shared" si="33"/>
        <v>1000</v>
      </c>
      <c r="O37" s="1526"/>
      <c r="P37" s="1526"/>
      <c r="Q37" s="1519">
        <v>0</v>
      </c>
      <c r="R37" s="1519">
        <f t="shared" si="34"/>
        <v>62866680</v>
      </c>
      <c r="S37" s="1519">
        <f t="shared" si="35"/>
        <v>1000</v>
      </c>
      <c r="T37" s="1519">
        <f t="shared" si="19"/>
        <v>0</v>
      </c>
      <c r="U37" s="1535">
        <f t="shared" si="36"/>
        <v>0</v>
      </c>
      <c r="V37" s="1537">
        <f t="shared" si="20"/>
        <v>0</v>
      </c>
      <c r="W37" s="1519">
        <f t="shared" si="37"/>
        <v>0</v>
      </c>
      <c r="X37" s="1537">
        <f t="shared" si="21"/>
        <v>0</v>
      </c>
      <c r="Y37" s="1537">
        <f t="shared" si="22"/>
        <v>0</v>
      </c>
      <c r="Z37" s="1537">
        <f t="shared" si="23"/>
        <v>0</v>
      </c>
      <c r="AA37" s="1537">
        <f t="shared" si="24"/>
        <v>0</v>
      </c>
      <c r="AB37" s="1537">
        <f t="shared" si="25"/>
        <v>0</v>
      </c>
      <c r="AC37" s="1537">
        <f t="shared" si="26"/>
        <v>0</v>
      </c>
      <c r="AD37" s="1537">
        <f t="shared" si="27"/>
        <v>0</v>
      </c>
      <c r="AE37" s="1537">
        <f t="shared" si="28"/>
        <v>0</v>
      </c>
      <c r="AF37" s="1536">
        <f t="shared" si="29"/>
        <v>0</v>
      </c>
      <c r="AH37" s="1537">
        <f t="shared" si="30"/>
        <v>1000</v>
      </c>
      <c r="AI37" s="1537">
        <f t="shared" si="38"/>
        <v>1000</v>
      </c>
      <c r="AJ37" s="1537">
        <f t="shared" si="31"/>
        <v>1000</v>
      </c>
      <c r="AK37" s="1537">
        <f t="shared" si="31"/>
        <v>1000</v>
      </c>
      <c r="AL37" s="1537">
        <f t="shared" si="31"/>
        <v>1000</v>
      </c>
      <c r="AM37" s="1537">
        <f t="shared" si="31"/>
        <v>1000</v>
      </c>
      <c r="AN37" s="1537">
        <f t="shared" si="31"/>
        <v>1000</v>
      </c>
      <c r="AO37" s="1537">
        <f t="shared" si="31"/>
        <v>1000</v>
      </c>
      <c r="AP37" s="1537">
        <f t="shared" si="31"/>
        <v>1000</v>
      </c>
      <c r="AQ37" s="1537">
        <f t="shared" si="31"/>
        <v>1000</v>
      </c>
      <c r="AR37" s="1537">
        <f t="shared" si="31"/>
        <v>1000</v>
      </c>
    </row>
    <row r="38" spans="1:44" s="1531" customFormat="1" ht="12" customHeight="1" x14ac:dyDescent="0.3">
      <c r="A38" s="1531" t="s">
        <v>3796</v>
      </c>
      <c r="B38" s="1498"/>
      <c r="C38" s="1548" t="s">
        <v>2960</v>
      </c>
      <c r="D38" s="1549" t="s">
        <v>3004</v>
      </c>
      <c r="E38" s="1518">
        <v>4</v>
      </c>
      <c r="F38" s="1518">
        <f t="shared" si="16"/>
        <v>-5</v>
      </c>
      <c r="G38" s="1532">
        <f t="shared" si="17"/>
        <v>0</v>
      </c>
      <c r="H38" s="1533">
        <f t="shared" si="18"/>
        <v>0</v>
      </c>
      <c r="I38" s="1534">
        <f t="shared" si="32"/>
        <v>0.25</v>
      </c>
      <c r="J38" s="1519">
        <v>32550000</v>
      </c>
      <c r="K38" s="1519">
        <v>32549000</v>
      </c>
      <c r="L38" s="1526"/>
      <c r="M38" s="1526"/>
      <c r="N38" s="1519">
        <f t="shared" si="33"/>
        <v>1000</v>
      </c>
      <c r="O38" s="1526"/>
      <c r="P38" s="1526"/>
      <c r="Q38" s="1519">
        <v>0</v>
      </c>
      <c r="R38" s="1519">
        <f t="shared" si="34"/>
        <v>32550000</v>
      </c>
      <c r="S38" s="1519">
        <f t="shared" si="35"/>
        <v>1000</v>
      </c>
      <c r="T38" s="1519">
        <f t="shared" si="19"/>
        <v>0</v>
      </c>
      <c r="U38" s="1535">
        <f t="shared" si="36"/>
        <v>0</v>
      </c>
      <c r="V38" s="1537">
        <f t="shared" si="20"/>
        <v>0</v>
      </c>
      <c r="W38" s="1519">
        <f t="shared" si="37"/>
        <v>0</v>
      </c>
      <c r="X38" s="1537">
        <f t="shared" si="21"/>
        <v>0</v>
      </c>
      <c r="Y38" s="1537">
        <f t="shared" si="22"/>
        <v>0</v>
      </c>
      <c r="Z38" s="1537">
        <f t="shared" si="23"/>
        <v>0</v>
      </c>
      <c r="AA38" s="1537">
        <f t="shared" si="24"/>
        <v>0</v>
      </c>
      <c r="AB38" s="1537">
        <f t="shared" si="25"/>
        <v>0</v>
      </c>
      <c r="AC38" s="1537">
        <f t="shared" si="26"/>
        <v>0</v>
      </c>
      <c r="AD38" s="1537">
        <f t="shared" si="27"/>
        <v>0</v>
      </c>
      <c r="AE38" s="1537">
        <f t="shared" si="28"/>
        <v>0</v>
      </c>
      <c r="AF38" s="1536">
        <f t="shared" si="29"/>
        <v>0</v>
      </c>
      <c r="AH38" s="1537">
        <f t="shared" si="30"/>
        <v>1000</v>
      </c>
      <c r="AI38" s="1537">
        <f t="shared" si="38"/>
        <v>1000</v>
      </c>
      <c r="AJ38" s="1537">
        <f t="shared" si="31"/>
        <v>1000</v>
      </c>
      <c r="AK38" s="1537">
        <f t="shared" si="31"/>
        <v>1000</v>
      </c>
      <c r="AL38" s="1537">
        <f t="shared" si="31"/>
        <v>1000</v>
      </c>
      <c r="AM38" s="1537">
        <f t="shared" si="31"/>
        <v>1000</v>
      </c>
      <c r="AN38" s="1537">
        <f t="shared" si="31"/>
        <v>1000</v>
      </c>
      <c r="AO38" s="1537">
        <f t="shared" si="31"/>
        <v>1000</v>
      </c>
      <c r="AP38" s="1537">
        <f t="shared" si="31"/>
        <v>1000</v>
      </c>
      <c r="AQ38" s="1537">
        <f t="shared" si="31"/>
        <v>1000</v>
      </c>
      <c r="AR38" s="1537">
        <f t="shared" si="31"/>
        <v>1000</v>
      </c>
    </row>
    <row r="39" spans="1:44" s="1531" customFormat="1" ht="12" customHeight="1" x14ac:dyDescent="0.3">
      <c r="A39" s="1531" t="s">
        <v>3796</v>
      </c>
      <c r="B39" s="1498"/>
      <c r="C39" s="1548" t="s">
        <v>2961</v>
      </c>
      <c r="D39" s="1549" t="s">
        <v>3004</v>
      </c>
      <c r="E39" s="1518">
        <v>4</v>
      </c>
      <c r="F39" s="1518">
        <f t="shared" si="16"/>
        <v>-5</v>
      </c>
      <c r="G39" s="1532">
        <f t="shared" si="17"/>
        <v>0</v>
      </c>
      <c r="H39" s="1533">
        <f t="shared" si="18"/>
        <v>0</v>
      </c>
      <c r="I39" s="1534">
        <f t="shared" si="32"/>
        <v>0.25</v>
      </c>
      <c r="J39" s="1519">
        <v>8000000</v>
      </c>
      <c r="K39" s="1519">
        <v>7999000</v>
      </c>
      <c r="L39" s="1526"/>
      <c r="M39" s="1526"/>
      <c r="N39" s="1519">
        <f t="shared" si="33"/>
        <v>1000</v>
      </c>
      <c r="O39" s="1526"/>
      <c r="P39" s="1526"/>
      <c r="Q39" s="1519">
        <v>0</v>
      </c>
      <c r="R39" s="1519">
        <f t="shared" si="34"/>
        <v>8000000</v>
      </c>
      <c r="S39" s="1519">
        <f t="shared" si="35"/>
        <v>1000</v>
      </c>
      <c r="T39" s="1519">
        <f t="shared" si="19"/>
        <v>0</v>
      </c>
      <c r="U39" s="1535">
        <f t="shared" si="36"/>
        <v>0</v>
      </c>
      <c r="V39" s="1537">
        <f t="shared" si="20"/>
        <v>0</v>
      </c>
      <c r="W39" s="1519">
        <f t="shared" si="37"/>
        <v>0</v>
      </c>
      <c r="X39" s="1537">
        <f t="shared" si="21"/>
        <v>0</v>
      </c>
      <c r="Y39" s="1537">
        <f t="shared" si="22"/>
        <v>0</v>
      </c>
      <c r="Z39" s="1537">
        <f t="shared" si="23"/>
        <v>0</v>
      </c>
      <c r="AA39" s="1537">
        <f t="shared" si="24"/>
        <v>0</v>
      </c>
      <c r="AB39" s="1537">
        <f t="shared" si="25"/>
        <v>0</v>
      </c>
      <c r="AC39" s="1537">
        <f t="shared" si="26"/>
        <v>0</v>
      </c>
      <c r="AD39" s="1537">
        <f t="shared" si="27"/>
        <v>0</v>
      </c>
      <c r="AE39" s="1537">
        <f t="shared" si="28"/>
        <v>0</v>
      </c>
      <c r="AF39" s="1536">
        <f t="shared" si="29"/>
        <v>0</v>
      </c>
      <c r="AH39" s="1537">
        <f t="shared" si="30"/>
        <v>1000</v>
      </c>
      <c r="AI39" s="1537">
        <f t="shared" si="38"/>
        <v>1000</v>
      </c>
      <c r="AJ39" s="1537">
        <f t="shared" si="31"/>
        <v>1000</v>
      </c>
      <c r="AK39" s="1537">
        <f t="shared" si="31"/>
        <v>1000</v>
      </c>
      <c r="AL39" s="1537">
        <f t="shared" si="31"/>
        <v>1000</v>
      </c>
      <c r="AM39" s="1537">
        <f t="shared" si="31"/>
        <v>1000</v>
      </c>
      <c r="AN39" s="1537">
        <f t="shared" si="31"/>
        <v>1000</v>
      </c>
      <c r="AO39" s="1537">
        <f t="shared" si="31"/>
        <v>1000</v>
      </c>
      <c r="AP39" s="1537">
        <f t="shared" si="31"/>
        <v>1000</v>
      </c>
      <c r="AQ39" s="1537">
        <f t="shared" si="31"/>
        <v>1000</v>
      </c>
      <c r="AR39" s="1537">
        <f t="shared" si="31"/>
        <v>1000</v>
      </c>
    </row>
    <row r="40" spans="1:44" s="1531" customFormat="1" ht="12" customHeight="1" x14ac:dyDescent="0.3">
      <c r="B40" s="1498"/>
      <c r="C40" s="1548" t="s">
        <v>2962</v>
      </c>
      <c r="D40" s="1549" t="s">
        <v>3005</v>
      </c>
      <c r="E40" s="1518">
        <v>5</v>
      </c>
      <c r="F40" s="1518">
        <f t="shared" si="16"/>
        <v>-2</v>
      </c>
      <c r="G40" s="1532">
        <f t="shared" si="17"/>
        <v>0</v>
      </c>
      <c r="H40" s="1533">
        <f t="shared" si="18"/>
        <v>0</v>
      </c>
      <c r="I40" s="1534">
        <f t="shared" si="32"/>
        <v>0.2</v>
      </c>
      <c r="J40" s="1519">
        <v>17098000</v>
      </c>
      <c r="K40" s="1519">
        <v>17097000</v>
      </c>
      <c r="L40" s="1526"/>
      <c r="M40" s="1526"/>
      <c r="N40" s="1519">
        <f t="shared" si="33"/>
        <v>1000</v>
      </c>
      <c r="O40" s="1526"/>
      <c r="P40" s="1526"/>
      <c r="Q40" s="1519">
        <v>0</v>
      </c>
      <c r="R40" s="1519">
        <f t="shared" si="34"/>
        <v>17098000</v>
      </c>
      <c r="S40" s="1519">
        <f t="shared" si="35"/>
        <v>1000</v>
      </c>
      <c r="T40" s="1519">
        <f t="shared" si="19"/>
        <v>0</v>
      </c>
      <c r="U40" s="1535">
        <f t="shared" si="36"/>
        <v>0</v>
      </c>
      <c r="V40" s="1537">
        <f t="shared" si="20"/>
        <v>0</v>
      </c>
      <c r="W40" s="1519">
        <f t="shared" si="37"/>
        <v>0</v>
      </c>
      <c r="X40" s="1537">
        <f t="shared" si="21"/>
        <v>0</v>
      </c>
      <c r="Y40" s="1537">
        <f t="shared" si="22"/>
        <v>0</v>
      </c>
      <c r="Z40" s="1537">
        <f t="shared" si="23"/>
        <v>0</v>
      </c>
      <c r="AA40" s="1537">
        <f t="shared" si="24"/>
        <v>0</v>
      </c>
      <c r="AB40" s="1537">
        <f t="shared" si="25"/>
        <v>0</v>
      </c>
      <c r="AC40" s="1537">
        <f t="shared" si="26"/>
        <v>0</v>
      </c>
      <c r="AD40" s="1537">
        <f t="shared" si="27"/>
        <v>0</v>
      </c>
      <c r="AE40" s="1537">
        <f t="shared" si="28"/>
        <v>0</v>
      </c>
      <c r="AF40" s="1536">
        <f t="shared" si="29"/>
        <v>0</v>
      </c>
      <c r="AH40" s="1537">
        <f t="shared" si="30"/>
        <v>1000</v>
      </c>
      <c r="AI40" s="1537">
        <f t="shared" si="38"/>
        <v>1000</v>
      </c>
      <c r="AJ40" s="1537">
        <f t="shared" si="31"/>
        <v>1000</v>
      </c>
      <c r="AK40" s="1537">
        <f t="shared" si="31"/>
        <v>1000</v>
      </c>
      <c r="AL40" s="1537">
        <f t="shared" si="31"/>
        <v>1000</v>
      </c>
      <c r="AM40" s="1537">
        <f t="shared" si="31"/>
        <v>1000</v>
      </c>
      <c r="AN40" s="1537">
        <f t="shared" si="31"/>
        <v>1000</v>
      </c>
      <c r="AO40" s="1537">
        <f t="shared" si="31"/>
        <v>1000</v>
      </c>
      <c r="AP40" s="1537">
        <f t="shared" si="31"/>
        <v>1000</v>
      </c>
      <c r="AQ40" s="1537">
        <f t="shared" si="31"/>
        <v>1000</v>
      </c>
      <c r="AR40" s="1537">
        <f t="shared" si="31"/>
        <v>1000</v>
      </c>
    </row>
    <row r="41" spans="1:44" s="1531" customFormat="1" ht="12" customHeight="1" x14ac:dyDescent="0.3">
      <c r="B41" s="1498"/>
      <c r="C41" s="1548" t="s">
        <v>2963</v>
      </c>
      <c r="D41" s="1549" t="s">
        <v>3006</v>
      </c>
      <c r="E41" s="1518">
        <v>5</v>
      </c>
      <c r="F41" s="1518">
        <f t="shared" si="16"/>
        <v>-2</v>
      </c>
      <c r="G41" s="1532">
        <f t="shared" si="17"/>
        <v>0</v>
      </c>
      <c r="H41" s="1533">
        <f t="shared" si="18"/>
        <v>0</v>
      </c>
      <c r="I41" s="1534">
        <f t="shared" si="32"/>
        <v>0.2</v>
      </c>
      <c r="J41" s="1519">
        <v>2850000</v>
      </c>
      <c r="K41" s="1519">
        <v>2849000</v>
      </c>
      <c r="L41" s="1526"/>
      <c r="M41" s="1526"/>
      <c r="N41" s="1519">
        <f t="shared" si="33"/>
        <v>1000</v>
      </c>
      <c r="O41" s="1526"/>
      <c r="P41" s="1526"/>
      <c r="Q41" s="1519">
        <v>0</v>
      </c>
      <c r="R41" s="1519">
        <f t="shared" si="34"/>
        <v>2850000</v>
      </c>
      <c r="S41" s="1519">
        <f t="shared" si="35"/>
        <v>1000</v>
      </c>
      <c r="T41" s="1519">
        <f t="shared" si="19"/>
        <v>0</v>
      </c>
      <c r="U41" s="1535">
        <f t="shared" si="36"/>
        <v>0</v>
      </c>
      <c r="V41" s="1537">
        <f t="shared" si="20"/>
        <v>0</v>
      </c>
      <c r="W41" s="1519">
        <f t="shared" si="37"/>
        <v>0</v>
      </c>
      <c r="X41" s="1537">
        <f t="shared" si="21"/>
        <v>0</v>
      </c>
      <c r="Y41" s="1537">
        <f t="shared" si="22"/>
        <v>0</v>
      </c>
      <c r="Z41" s="1537">
        <f t="shared" si="23"/>
        <v>0</v>
      </c>
      <c r="AA41" s="1537">
        <f t="shared" si="24"/>
        <v>0</v>
      </c>
      <c r="AB41" s="1537">
        <f t="shared" si="25"/>
        <v>0</v>
      </c>
      <c r="AC41" s="1537">
        <f t="shared" si="26"/>
        <v>0</v>
      </c>
      <c r="AD41" s="1537">
        <f t="shared" si="27"/>
        <v>0</v>
      </c>
      <c r="AE41" s="1537">
        <f t="shared" si="28"/>
        <v>0</v>
      </c>
      <c r="AF41" s="1536">
        <f t="shared" si="29"/>
        <v>0</v>
      </c>
      <c r="AH41" s="1537">
        <f t="shared" si="30"/>
        <v>1000</v>
      </c>
      <c r="AI41" s="1537">
        <f t="shared" si="38"/>
        <v>1000</v>
      </c>
      <c r="AJ41" s="1537">
        <f t="shared" ref="AJ41:AJ81" si="39">AI41-X41</f>
        <v>1000</v>
      </c>
      <c r="AK41" s="1537">
        <f t="shared" ref="AK41:AK81" si="40">AJ41-Y41</f>
        <v>1000</v>
      </c>
      <c r="AL41" s="1537">
        <f t="shared" ref="AL41:AL81" si="41">AK41-Z41</f>
        <v>1000</v>
      </c>
      <c r="AM41" s="1537">
        <f t="shared" ref="AM41:AM81" si="42">AL41-AA41</f>
        <v>1000</v>
      </c>
      <c r="AN41" s="1537">
        <f t="shared" ref="AN41:AN81" si="43">AM41-AB41</f>
        <v>1000</v>
      </c>
      <c r="AO41" s="1537">
        <f t="shared" ref="AO41:AO81" si="44">AN41-AC41</f>
        <v>1000</v>
      </c>
      <c r="AP41" s="1537">
        <f t="shared" ref="AP41:AP81" si="45">AO41-AD41</f>
        <v>1000</v>
      </c>
      <c r="AQ41" s="1537">
        <f t="shared" ref="AQ41:AQ81" si="46">AP41-AE41</f>
        <v>1000</v>
      </c>
      <c r="AR41" s="1537">
        <f t="shared" ref="AR41:AR81" si="47">AQ41-AF41</f>
        <v>1000</v>
      </c>
    </row>
    <row r="42" spans="1:44" s="1531" customFormat="1" ht="12" customHeight="1" x14ac:dyDescent="0.3">
      <c r="B42" s="1498"/>
      <c r="C42" s="1548" t="s">
        <v>2964</v>
      </c>
      <c r="D42" s="1549" t="s">
        <v>3007</v>
      </c>
      <c r="E42" s="1518">
        <v>5</v>
      </c>
      <c r="F42" s="1518">
        <f t="shared" si="16"/>
        <v>-2</v>
      </c>
      <c r="G42" s="1532">
        <f t="shared" si="17"/>
        <v>0</v>
      </c>
      <c r="H42" s="1533">
        <f t="shared" si="18"/>
        <v>0</v>
      </c>
      <c r="I42" s="1534">
        <f t="shared" si="32"/>
        <v>0.2</v>
      </c>
      <c r="J42" s="1519">
        <v>3138000</v>
      </c>
      <c r="K42" s="1519">
        <v>3137000</v>
      </c>
      <c r="L42" s="1526"/>
      <c r="M42" s="1526"/>
      <c r="N42" s="1519">
        <f t="shared" si="33"/>
        <v>1000</v>
      </c>
      <c r="O42" s="1526"/>
      <c r="P42" s="1526"/>
      <c r="Q42" s="1519">
        <v>0</v>
      </c>
      <c r="R42" s="1519">
        <f t="shared" si="34"/>
        <v>3138000</v>
      </c>
      <c r="S42" s="1519">
        <f t="shared" si="35"/>
        <v>1000</v>
      </c>
      <c r="T42" s="1519">
        <f t="shared" si="19"/>
        <v>0</v>
      </c>
      <c r="U42" s="1535">
        <f t="shared" si="36"/>
        <v>0</v>
      </c>
      <c r="V42" s="1537">
        <f t="shared" si="20"/>
        <v>0</v>
      </c>
      <c r="W42" s="1519">
        <f t="shared" si="37"/>
        <v>0</v>
      </c>
      <c r="X42" s="1537">
        <f t="shared" si="21"/>
        <v>0</v>
      </c>
      <c r="Y42" s="1537">
        <f t="shared" si="22"/>
        <v>0</v>
      </c>
      <c r="Z42" s="1537">
        <f t="shared" si="23"/>
        <v>0</v>
      </c>
      <c r="AA42" s="1537">
        <f t="shared" si="24"/>
        <v>0</v>
      </c>
      <c r="AB42" s="1537">
        <f t="shared" si="25"/>
        <v>0</v>
      </c>
      <c r="AC42" s="1537">
        <f t="shared" si="26"/>
        <v>0</v>
      </c>
      <c r="AD42" s="1537">
        <f t="shared" si="27"/>
        <v>0</v>
      </c>
      <c r="AE42" s="1537">
        <f t="shared" si="28"/>
        <v>0</v>
      </c>
      <c r="AF42" s="1536">
        <f t="shared" si="29"/>
        <v>0</v>
      </c>
      <c r="AH42" s="1537">
        <f t="shared" si="30"/>
        <v>1000</v>
      </c>
      <c r="AI42" s="1537">
        <f t="shared" si="38"/>
        <v>1000</v>
      </c>
      <c r="AJ42" s="1537">
        <f t="shared" si="39"/>
        <v>1000</v>
      </c>
      <c r="AK42" s="1537">
        <f t="shared" si="40"/>
        <v>1000</v>
      </c>
      <c r="AL42" s="1537">
        <f t="shared" si="41"/>
        <v>1000</v>
      </c>
      <c r="AM42" s="1537">
        <f t="shared" si="42"/>
        <v>1000</v>
      </c>
      <c r="AN42" s="1537">
        <f t="shared" si="43"/>
        <v>1000</v>
      </c>
      <c r="AO42" s="1537">
        <f t="shared" si="44"/>
        <v>1000</v>
      </c>
      <c r="AP42" s="1537">
        <f t="shared" si="45"/>
        <v>1000</v>
      </c>
      <c r="AQ42" s="1537">
        <f t="shared" si="46"/>
        <v>1000</v>
      </c>
      <c r="AR42" s="1537">
        <f t="shared" si="47"/>
        <v>1000</v>
      </c>
    </row>
    <row r="43" spans="1:44" s="1531" customFormat="1" ht="12" customHeight="1" x14ac:dyDescent="0.3">
      <c r="B43" s="1498"/>
      <c r="C43" s="1548" t="s">
        <v>2965</v>
      </c>
      <c r="D43" s="1549" t="s">
        <v>3007</v>
      </c>
      <c r="E43" s="1518">
        <v>5</v>
      </c>
      <c r="F43" s="1518">
        <f t="shared" si="16"/>
        <v>-2</v>
      </c>
      <c r="G43" s="1532">
        <f t="shared" si="17"/>
        <v>0</v>
      </c>
      <c r="H43" s="1533">
        <f t="shared" si="18"/>
        <v>0</v>
      </c>
      <c r="I43" s="1534">
        <f t="shared" si="32"/>
        <v>0.2</v>
      </c>
      <c r="J43" s="1519">
        <v>3138000</v>
      </c>
      <c r="K43" s="1519">
        <v>3137000</v>
      </c>
      <c r="L43" s="1526"/>
      <c r="M43" s="1526"/>
      <c r="N43" s="1519">
        <f t="shared" si="33"/>
        <v>1000</v>
      </c>
      <c r="O43" s="1526"/>
      <c r="P43" s="1526"/>
      <c r="Q43" s="1519">
        <v>0</v>
      </c>
      <c r="R43" s="1519">
        <f t="shared" si="34"/>
        <v>3138000</v>
      </c>
      <c r="S43" s="1519">
        <f t="shared" si="35"/>
        <v>1000</v>
      </c>
      <c r="T43" s="1519">
        <f t="shared" si="19"/>
        <v>0</v>
      </c>
      <c r="U43" s="1535">
        <f t="shared" si="36"/>
        <v>0</v>
      </c>
      <c r="V43" s="1537">
        <f t="shared" si="20"/>
        <v>0</v>
      </c>
      <c r="W43" s="1519">
        <f t="shared" si="37"/>
        <v>0</v>
      </c>
      <c r="X43" s="1537">
        <f t="shared" si="21"/>
        <v>0</v>
      </c>
      <c r="Y43" s="1537">
        <f t="shared" si="22"/>
        <v>0</v>
      </c>
      <c r="Z43" s="1537">
        <f t="shared" si="23"/>
        <v>0</v>
      </c>
      <c r="AA43" s="1537">
        <f t="shared" si="24"/>
        <v>0</v>
      </c>
      <c r="AB43" s="1537">
        <f t="shared" si="25"/>
        <v>0</v>
      </c>
      <c r="AC43" s="1537">
        <f t="shared" si="26"/>
        <v>0</v>
      </c>
      <c r="AD43" s="1537">
        <f t="shared" si="27"/>
        <v>0</v>
      </c>
      <c r="AE43" s="1537">
        <f t="shared" si="28"/>
        <v>0</v>
      </c>
      <c r="AF43" s="1536">
        <f t="shared" si="29"/>
        <v>0</v>
      </c>
      <c r="AH43" s="1537">
        <f t="shared" si="30"/>
        <v>1000</v>
      </c>
      <c r="AI43" s="1537">
        <f t="shared" si="38"/>
        <v>1000</v>
      </c>
      <c r="AJ43" s="1537">
        <f t="shared" si="39"/>
        <v>1000</v>
      </c>
      <c r="AK43" s="1537">
        <f t="shared" si="40"/>
        <v>1000</v>
      </c>
      <c r="AL43" s="1537">
        <f t="shared" si="41"/>
        <v>1000</v>
      </c>
      <c r="AM43" s="1537">
        <f t="shared" si="42"/>
        <v>1000</v>
      </c>
      <c r="AN43" s="1537">
        <f t="shared" si="43"/>
        <v>1000</v>
      </c>
      <c r="AO43" s="1537">
        <f t="shared" si="44"/>
        <v>1000</v>
      </c>
      <c r="AP43" s="1537">
        <f t="shared" si="45"/>
        <v>1000</v>
      </c>
      <c r="AQ43" s="1537">
        <f t="shared" si="46"/>
        <v>1000</v>
      </c>
      <c r="AR43" s="1537">
        <f t="shared" si="47"/>
        <v>1000</v>
      </c>
    </row>
    <row r="44" spans="1:44" s="1531" customFormat="1" ht="12" customHeight="1" x14ac:dyDescent="0.3">
      <c r="B44" s="1498"/>
      <c r="C44" s="1548" t="s">
        <v>2966</v>
      </c>
      <c r="D44" s="1549" t="s">
        <v>3008</v>
      </c>
      <c r="E44" s="1518">
        <v>5</v>
      </c>
      <c r="F44" s="1518">
        <f t="shared" si="16"/>
        <v>-2</v>
      </c>
      <c r="G44" s="1532">
        <f t="shared" si="17"/>
        <v>0</v>
      </c>
      <c r="H44" s="1533">
        <f t="shared" si="18"/>
        <v>0</v>
      </c>
      <c r="I44" s="1534">
        <f t="shared" si="32"/>
        <v>0.2</v>
      </c>
      <c r="J44" s="1519">
        <v>144000</v>
      </c>
      <c r="K44" s="1519">
        <v>143000</v>
      </c>
      <c r="L44" s="1526"/>
      <c r="M44" s="1526"/>
      <c r="N44" s="1519">
        <f t="shared" si="33"/>
        <v>1000</v>
      </c>
      <c r="O44" s="1526"/>
      <c r="P44" s="1526"/>
      <c r="Q44" s="1519">
        <v>0</v>
      </c>
      <c r="R44" s="1519">
        <f t="shared" si="34"/>
        <v>144000</v>
      </c>
      <c r="S44" s="1519">
        <f t="shared" si="35"/>
        <v>1000</v>
      </c>
      <c r="T44" s="1519">
        <f t="shared" si="19"/>
        <v>0</v>
      </c>
      <c r="U44" s="1535">
        <f t="shared" si="36"/>
        <v>0</v>
      </c>
      <c r="V44" s="1537">
        <f t="shared" si="20"/>
        <v>0</v>
      </c>
      <c r="W44" s="1519">
        <f t="shared" si="37"/>
        <v>0</v>
      </c>
      <c r="X44" s="1537">
        <f t="shared" si="21"/>
        <v>0</v>
      </c>
      <c r="Y44" s="1537">
        <f t="shared" si="22"/>
        <v>0</v>
      </c>
      <c r="Z44" s="1537">
        <f t="shared" si="23"/>
        <v>0</v>
      </c>
      <c r="AA44" s="1537">
        <f t="shared" si="24"/>
        <v>0</v>
      </c>
      <c r="AB44" s="1537">
        <f t="shared" si="25"/>
        <v>0</v>
      </c>
      <c r="AC44" s="1537">
        <f t="shared" si="26"/>
        <v>0</v>
      </c>
      <c r="AD44" s="1537">
        <f t="shared" si="27"/>
        <v>0</v>
      </c>
      <c r="AE44" s="1537">
        <f t="shared" si="28"/>
        <v>0</v>
      </c>
      <c r="AF44" s="1536">
        <f t="shared" si="29"/>
        <v>0</v>
      </c>
      <c r="AH44" s="1537">
        <f t="shared" si="30"/>
        <v>1000</v>
      </c>
      <c r="AI44" s="1537">
        <f t="shared" si="38"/>
        <v>1000</v>
      </c>
      <c r="AJ44" s="1537">
        <f t="shared" si="39"/>
        <v>1000</v>
      </c>
      <c r="AK44" s="1537">
        <f t="shared" si="40"/>
        <v>1000</v>
      </c>
      <c r="AL44" s="1537">
        <f t="shared" si="41"/>
        <v>1000</v>
      </c>
      <c r="AM44" s="1537">
        <f t="shared" si="42"/>
        <v>1000</v>
      </c>
      <c r="AN44" s="1537">
        <f t="shared" si="43"/>
        <v>1000</v>
      </c>
      <c r="AO44" s="1537">
        <f t="shared" si="44"/>
        <v>1000</v>
      </c>
      <c r="AP44" s="1537">
        <f t="shared" si="45"/>
        <v>1000</v>
      </c>
      <c r="AQ44" s="1537">
        <f t="shared" si="46"/>
        <v>1000</v>
      </c>
      <c r="AR44" s="1537">
        <f t="shared" si="47"/>
        <v>1000</v>
      </c>
    </row>
    <row r="45" spans="1:44" s="1531" customFormat="1" ht="12" customHeight="1" x14ac:dyDescent="0.3">
      <c r="B45" s="1498"/>
      <c r="C45" s="1548" t="s">
        <v>2967</v>
      </c>
      <c r="D45" s="1549" t="s">
        <v>3008</v>
      </c>
      <c r="E45" s="1518">
        <v>5</v>
      </c>
      <c r="F45" s="1518">
        <f t="shared" si="16"/>
        <v>-2</v>
      </c>
      <c r="G45" s="1532">
        <f t="shared" si="17"/>
        <v>0</v>
      </c>
      <c r="H45" s="1533">
        <f t="shared" si="18"/>
        <v>0</v>
      </c>
      <c r="I45" s="1534">
        <f t="shared" si="32"/>
        <v>0.2</v>
      </c>
      <c r="J45" s="1519">
        <v>1977000</v>
      </c>
      <c r="K45" s="1519">
        <v>1976000</v>
      </c>
      <c r="L45" s="1526"/>
      <c r="M45" s="1526"/>
      <c r="N45" s="1519">
        <f t="shared" si="33"/>
        <v>1000</v>
      </c>
      <c r="O45" s="1526"/>
      <c r="P45" s="1526"/>
      <c r="Q45" s="1519">
        <v>0</v>
      </c>
      <c r="R45" s="1519">
        <f t="shared" si="34"/>
        <v>1977000</v>
      </c>
      <c r="S45" s="1519">
        <f t="shared" si="35"/>
        <v>1000</v>
      </c>
      <c r="T45" s="1519">
        <f t="shared" si="19"/>
        <v>0</v>
      </c>
      <c r="U45" s="1535">
        <f t="shared" si="36"/>
        <v>0</v>
      </c>
      <c r="V45" s="1537">
        <f t="shared" si="20"/>
        <v>0</v>
      </c>
      <c r="W45" s="1519">
        <f t="shared" si="37"/>
        <v>0</v>
      </c>
      <c r="X45" s="1537">
        <f t="shared" si="21"/>
        <v>0</v>
      </c>
      <c r="Y45" s="1537">
        <f t="shared" si="22"/>
        <v>0</v>
      </c>
      <c r="Z45" s="1537">
        <f t="shared" si="23"/>
        <v>0</v>
      </c>
      <c r="AA45" s="1537">
        <f t="shared" si="24"/>
        <v>0</v>
      </c>
      <c r="AB45" s="1537">
        <f t="shared" si="25"/>
        <v>0</v>
      </c>
      <c r="AC45" s="1537">
        <f t="shared" si="26"/>
        <v>0</v>
      </c>
      <c r="AD45" s="1537">
        <f t="shared" si="27"/>
        <v>0</v>
      </c>
      <c r="AE45" s="1537">
        <f t="shared" si="28"/>
        <v>0</v>
      </c>
      <c r="AF45" s="1536">
        <f t="shared" si="29"/>
        <v>0</v>
      </c>
      <c r="AH45" s="1537">
        <f t="shared" si="30"/>
        <v>1000</v>
      </c>
      <c r="AI45" s="1537">
        <f t="shared" si="38"/>
        <v>1000</v>
      </c>
      <c r="AJ45" s="1537">
        <f t="shared" si="39"/>
        <v>1000</v>
      </c>
      <c r="AK45" s="1537">
        <f t="shared" si="40"/>
        <v>1000</v>
      </c>
      <c r="AL45" s="1537">
        <f t="shared" si="41"/>
        <v>1000</v>
      </c>
      <c r="AM45" s="1537">
        <f t="shared" si="42"/>
        <v>1000</v>
      </c>
      <c r="AN45" s="1537">
        <f t="shared" si="43"/>
        <v>1000</v>
      </c>
      <c r="AO45" s="1537">
        <f t="shared" si="44"/>
        <v>1000</v>
      </c>
      <c r="AP45" s="1537">
        <f t="shared" si="45"/>
        <v>1000</v>
      </c>
      <c r="AQ45" s="1537">
        <f t="shared" si="46"/>
        <v>1000</v>
      </c>
      <c r="AR45" s="1537">
        <f t="shared" si="47"/>
        <v>1000</v>
      </c>
    </row>
    <row r="46" spans="1:44" s="1531" customFormat="1" ht="12" customHeight="1" x14ac:dyDescent="0.3">
      <c r="B46" s="1498"/>
      <c r="C46" s="1548" t="s">
        <v>2968</v>
      </c>
      <c r="D46" s="1549" t="s">
        <v>3009</v>
      </c>
      <c r="E46" s="1518">
        <v>5</v>
      </c>
      <c r="F46" s="1518">
        <f t="shared" si="16"/>
        <v>-2</v>
      </c>
      <c r="G46" s="1532">
        <f t="shared" si="17"/>
        <v>0</v>
      </c>
      <c r="H46" s="1533">
        <f t="shared" si="18"/>
        <v>0</v>
      </c>
      <c r="I46" s="1534">
        <f t="shared" si="32"/>
        <v>0.2</v>
      </c>
      <c r="J46" s="1519">
        <v>4900000</v>
      </c>
      <c r="K46" s="1519">
        <v>4898999.666666667</v>
      </c>
      <c r="L46" s="1526"/>
      <c r="M46" s="1526"/>
      <c r="N46" s="1519">
        <f t="shared" si="33"/>
        <v>1000</v>
      </c>
      <c r="O46" s="1526"/>
      <c r="P46" s="1526"/>
      <c r="Q46" s="1519">
        <v>0</v>
      </c>
      <c r="R46" s="1519">
        <f t="shared" si="34"/>
        <v>4900000</v>
      </c>
      <c r="S46" s="1519">
        <f t="shared" si="35"/>
        <v>1000</v>
      </c>
      <c r="T46" s="1519">
        <f t="shared" si="19"/>
        <v>0.33333333302289248</v>
      </c>
      <c r="U46" s="1535">
        <f t="shared" si="36"/>
        <v>0</v>
      </c>
      <c r="V46" s="1537">
        <f t="shared" si="20"/>
        <v>0</v>
      </c>
      <c r="W46" s="1519">
        <f t="shared" si="37"/>
        <v>0</v>
      </c>
      <c r="X46" s="1537">
        <f t="shared" si="21"/>
        <v>0</v>
      </c>
      <c r="Y46" s="1537">
        <f t="shared" si="22"/>
        <v>0</v>
      </c>
      <c r="Z46" s="1537">
        <f t="shared" si="23"/>
        <v>0</v>
      </c>
      <c r="AA46" s="1537">
        <f t="shared" si="24"/>
        <v>0</v>
      </c>
      <c r="AB46" s="1537">
        <f t="shared" si="25"/>
        <v>0</v>
      </c>
      <c r="AC46" s="1537">
        <f t="shared" si="26"/>
        <v>0</v>
      </c>
      <c r="AD46" s="1537">
        <f t="shared" si="27"/>
        <v>0</v>
      </c>
      <c r="AE46" s="1537">
        <f t="shared" si="28"/>
        <v>0</v>
      </c>
      <c r="AF46" s="1536">
        <f t="shared" si="29"/>
        <v>0</v>
      </c>
      <c r="AH46" s="1537">
        <f t="shared" si="30"/>
        <v>1000</v>
      </c>
      <c r="AI46" s="1537">
        <f t="shared" si="38"/>
        <v>1000</v>
      </c>
      <c r="AJ46" s="1537">
        <f t="shared" si="39"/>
        <v>1000</v>
      </c>
      <c r="AK46" s="1537">
        <f t="shared" si="40"/>
        <v>1000</v>
      </c>
      <c r="AL46" s="1537">
        <f t="shared" si="41"/>
        <v>1000</v>
      </c>
      <c r="AM46" s="1537">
        <f t="shared" si="42"/>
        <v>1000</v>
      </c>
      <c r="AN46" s="1537">
        <f t="shared" si="43"/>
        <v>1000</v>
      </c>
      <c r="AO46" s="1537">
        <f t="shared" si="44"/>
        <v>1000</v>
      </c>
      <c r="AP46" s="1537">
        <f t="shared" si="45"/>
        <v>1000</v>
      </c>
      <c r="AQ46" s="1537">
        <f t="shared" si="46"/>
        <v>1000</v>
      </c>
      <c r="AR46" s="1537">
        <f t="shared" si="47"/>
        <v>1000</v>
      </c>
    </row>
    <row r="47" spans="1:44" s="1531" customFormat="1" ht="12" customHeight="1" x14ac:dyDescent="0.3">
      <c r="B47" s="1498"/>
      <c r="C47" s="1548" t="s">
        <v>2969</v>
      </c>
      <c r="D47" s="1549" t="s">
        <v>3010</v>
      </c>
      <c r="E47" s="1518">
        <v>5</v>
      </c>
      <c r="F47" s="1518">
        <f t="shared" si="16"/>
        <v>-2</v>
      </c>
      <c r="G47" s="1532">
        <f t="shared" si="17"/>
        <v>0</v>
      </c>
      <c r="H47" s="1533">
        <f t="shared" si="18"/>
        <v>0</v>
      </c>
      <c r="I47" s="1534">
        <f t="shared" si="32"/>
        <v>0.2</v>
      </c>
      <c r="J47" s="1519">
        <v>2500000</v>
      </c>
      <c r="K47" s="1519">
        <v>2498999.6666666665</v>
      </c>
      <c r="L47" s="1526"/>
      <c r="M47" s="1526"/>
      <c r="N47" s="1519">
        <f t="shared" si="33"/>
        <v>1000</v>
      </c>
      <c r="O47" s="1526"/>
      <c r="P47" s="1526"/>
      <c r="Q47" s="1519">
        <v>0</v>
      </c>
      <c r="R47" s="1519">
        <f t="shared" si="34"/>
        <v>2500000</v>
      </c>
      <c r="S47" s="1519">
        <f t="shared" si="35"/>
        <v>1000</v>
      </c>
      <c r="T47" s="1519">
        <f t="shared" si="19"/>
        <v>0.33333333348855376</v>
      </c>
      <c r="U47" s="1535">
        <f t="shared" si="36"/>
        <v>0</v>
      </c>
      <c r="V47" s="1537">
        <f t="shared" si="20"/>
        <v>0</v>
      </c>
      <c r="W47" s="1519">
        <f t="shared" si="37"/>
        <v>0</v>
      </c>
      <c r="X47" s="1537">
        <f t="shared" si="21"/>
        <v>0</v>
      </c>
      <c r="Y47" s="1537">
        <f t="shared" si="22"/>
        <v>0</v>
      </c>
      <c r="Z47" s="1537">
        <f t="shared" si="23"/>
        <v>0</v>
      </c>
      <c r="AA47" s="1537">
        <f t="shared" si="24"/>
        <v>0</v>
      </c>
      <c r="AB47" s="1537">
        <f t="shared" si="25"/>
        <v>0</v>
      </c>
      <c r="AC47" s="1537">
        <f t="shared" si="26"/>
        <v>0</v>
      </c>
      <c r="AD47" s="1537">
        <f t="shared" si="27"/>
        <v>0</v>
      </c>
      <c r="AE47" s="1537">
        <f t="shared" si="28"/>
        <v>0</v>
      </c>
      <c r="AF47" s="1536">
        <f t="shared" si="29"/>
        <v>0</v>
      </c>
      <c r="AH47" s="1537">
        <f t="shared" si="30"/>
        <v>1000</v>
      </c>
      <c r="AI47" s="1537">
        <f t="shared" si="38"/>
        <v>1000</v>
      </c>
      <c r="AJ47" s="1537">
        <f t="shared" si="39"/>
        <v>1000</v>
      </c>
      <c r="AK47" s="1537">
        <f t="shared" si="40"/>
        <v>1000</v>
      </c>
      <c r="AL47" s="1537">
        <f t="shared" si="41"/>
        <v>1000</v>
      </c>
      <c r="AM47" s="1537">
        <f t="shared" si="42"/>
        <v>1000</v>
      </c>
      <c r="AN47" s="1537">
        <f t="shared" si="43"/>
        <v>1000</v>
      </c>
      <c r="AO47" s="1537">
        <f t="shared" si="44"/>
        <v>1000</v>
      </c>
      <c r="AP47" s="1537">
        <f t="shared" si="45"/>
        <v>1000</v>
      </c>
      <c r="AQ47" s="1537">
        <f t="shared" si="46"/>
        <v>1000</v>
      </c>
      <c r="AR47" s="1537">
        <f t="shared" si="47"/>
        <v>1000</v>
      </c>
    </row>
    <row r="48" spans="1:44" s="1531" customFormat="1" ht="12" customHeight="1" x14ac:dyDescent="0.3">
      <c r="B48" s="1498"/>
      <c r="C48" s="1548" t="s">
        <v>2970</v>
      </c>
      <c r="D48" s="1549" t="s">
        <v>3010</v>
      </c>
      <c r="E48" s="1518">
        <v>5</v>
      </c>
      <c r="F48" s="1518">
        <f t="shared" si="16"/>
        <v>-2</v>
      </c>
      <c r="G48" s="1532">
        <f t="shared" si="17"/>
        <v>0</v>
      </c>
      <c r="H48" s="1533">
        <f t="shared" si="18"/>
        <v>0</v>
      </c>
      <c r="I48" s="1534">
        <f t="shared" si="32"/>
        <v>0.2</v>
      </c>
      <c r="J48" s="1519">
        <v>2444000</v>
      </c>
      <c r="K48" s="1519">
        <v>2443000.3333333335</v>
      </c>
      <c r="L48" s="1526"/>
      <c r="M48" s="1526"/>
      <c r="N48" s="1519">
        <f t="shared" si="33"/>
        <v>1000</v>
      </c>
      <c r="O48" s="1526"/>
      <c r="P48" s="1526"/>
      <c r="Q48" s="1519">
        <v>0</v>
      </c>
      <c r="R48" s="1519">
        <f t="shared" si="34"/>
        <v>2444000</v>
      </c>
      <c r="S48" s="1519">
        <f t="shared" si="35"/>
        <v>1000</v>
      </c>
      <c r="T48" s="1519">
        <f t="shared" si="19"/>
        <v>-0.33333333348855376</v>
      </c>
      <c r="U48" s="1535">
        <f t="shared" si="36"/>
        <v>0</v>
      </c>
      <c r="V48" s="1537">
        <f t="shared" si="20"/>
        <v>0</v>
      </c>
      <c r="W48" s="1519">
        <f t="shared" si="37"/>
        <v>0</v>
      </c>
      <c r="X48" s="1537">
        <f t="shared" si="21"/>
        <v>0</v>
      </c>
      <c r="Y48" s="1537">
        <f t="shared" si="22"/>
        <v>0</v>
      </c>
      <c r="Z48" s="1537">
        <f t="shared" si="23"/>
        <v>0</v>
      </c>
      <c r="AA48" s="1537">
        <f t="shared" si="24"/>
        <v>0</v>
      </c>
      <c r="AB48" s="1537">
        <f t="shared" si="25"/>
        <v>0</v>
      </c>
      <c r="AC48" s="1537">
        <f t="shared" si="26"/>
        <v>0</v>
      </c>
      <c r="AD48" s="1537">
        <f t="shared" si="27"/>
        <v>0</v>
      </c>
      <c r="AE48" s="1537">
        <f t="shared" si="28"/>
        <v>0</v>
      </c>
      <c r="AF48" s="1536">
        <f t="shared" si="29"/>
        <v>0</v>
      </c>
      <c r="AH48" s="1537">
        <f t="shared" si="30"/>
        <v>1000</v>
      </c>
      <c r="AI48" s="1537">
        <f t="shared" si="38"/>
        <v>1000</v>
      </c>
      <c r="AJ48" s="1537">
        <f t="shared" si="39"/>
        <v>1000</v>
      </c>
      <c r="AK48" s="1537">
        <f t="shared" si="40"/>
        <v>1000</v>
      </c>
      <c r="AL48" s="1537">
        <f t="shared" si="41"/>
        <v>1000</v>
      </c>
      <c r="AM48" s="1537">
        <f t="shared" si="42"/>
        <v>1000</v>
      </c>
      <c r="AN48" s="1537">
        <f t="shared" si="43"/>
        <v>1000</v>
      </c>
      <c r="AO48" s="1537">
        <f t="shared" si="44"/>
        <v>1000</v>
      </c>
      <c r="AP48" s="1537">
        <f t="shared" si="45"/>
        <v>1000</v>
      </c>
      <c r="AQ48" s="1537">
        <f t="shared" si="46"/>
        <v>1000</v>
      </c>
      <c r="AR48" s="1537">
        <f t="shared" si="47"/>
        <v>1000</v>
      </c>
    </row>
    <row r="49" spans="1:44" s="1531" customFormat="1" ht="12" customHeight="1" x14ac:dyDescent="0.3">
      <c r="A49" s="1531" t="s">
        <v>3796</v>
      </c>
      <c r="B49" s="1498"/>
      <c r="C49" s="1548" t="s">
        <v>2971</v>
      </c>
      <c r="D49" s="1549" t="s">
        <v>3010</v>
      </c>
      <c r="E49" s="1518">
        <v>5</v>
      </c>
      <c r="F49" s="1518">
        <f t="shared" si="16"/>
        <v>-2</v>
      </c>
      <c r="G49" s="1532">
        <f t="shared" si="17"/>
        <v>0</v>
      </c>
      <c r="H49" s="1533">
        <f t="shared" si="18"/>
        <v>0</v>
      </c>
      <c r="I49" s="1534">
        <f t="shared" si="32"/>
        <v>0.2</v>
      </c>
      <c r="J49" s="1519">
        <v>4036000</v>
      </c>
      <c r="K49" s="1519">
        <v>4034999.666666667</v>
      </c>
      <c r="L49" s="1526"/>
      <c r="M49" s="1526"/>
      <c r="N49" s="1519">
        <f t="shared" si="33"/>
        <v>1000</v>
      </c>
      <c r="O49" s="1526"/>
      <c r="P49" s="1526"/>
      <c r="Q49" s="1519">
        <v>0</v>
      </c>
      <c r="R49" s="1519">
        <f t="shared" si="34"/>
        <v>4036000</v>
      </c>
      <c r="S49" s="1519">
        <f t="shared" si="35"/>
        <v>1000</v>
      </c>
      <c r="T49" s="1519">
        <f t="shared" si="19"/>
        <v>0.33333333302289248</v>
      </c>
      <c r="U49" s="1535">
        <f t="shared" si="36"/>
        <v>0</v>
      </c>
      <c r="V49" s="1537">
        <f t="shared" si="20"/>
        <v>0</v>
      </c>
      <c r="W49" s="1519">
        <f t="shared" si="37"/>
        <v>0</v>
      </c>
      <c r="X49" s="1537">
        <f t="shared" si="21"/>
        <v>0</v>
      </c>
      <c r="Y49" s="1537">
        <f t="shared" si="22"/>
        <v>0</v>
      </c>
      <c r="Z49" s="1537">
        <f t="shared" si="23"/>
        <v>0</v>
      </c>
      <c r="AA49" s="1537">
        <f t="shared" si="24"/>
        <v>0</v>
      </c>
      <c r="AB49" s="1537">
        <f t="shared" si="25"/>
        <v>0</v>
      </c>
      <c r="AC49" s="1537">
        <f t="shared" si="26"/>
        <v>0</v>
      </c>
      <c r="AD49" s="1537">
        <f t="shared" si="27"/>
        <v>0</v>
      </c>
      <c r="AE49" s="1537">
        <f t="shared" si="28"/>
        <v>0</v>
      </c>
      <c r="AF49" s="1536">
        <f t="shared" si="29"/>
        <v>0</v>
      </c>
      <c r="AH49" s="1537">
        <f t="shared" si="30"/>
        <v>1000</v>
      </c>
      <c r="AI49" s="1537">
        <f t="shared" si="38"/>
        <v>1000</v>
      </c>
      <c r="AJ49" s="1537">
        <f t="shared" si="39"/>
        <v>1000</v>
      </c>
      <c r="AK49" s="1537">
        <f t="shared" si="40"/>
        <v>1000</v>
      </c>
      <c r="AL49" s="1537">
        <f t="shared" si="41"/>
        <v>1000</v>
      </c>
      <c r="AM49" s="1537">
        <f t="shared" si="42"/>
        <v>1000</v>
      </c>
      <c r="AN49" s="1537">
        <f t="shared" si="43"/>
        <v>1000</v>
      </c>
      <c r="AO49" s="1537">
        <f t="shared" si="44"/>
        <v>1000</v>
      </c>
      <c r="AP49" s="1537">
        <f t="shared" si="45"/>
        <v>1000</v>
      </c>
      <c r="AQ49" s="1537">
        <f t="shared" si="46"/>
        <v>1000</v>
      </c>
      <c r="AR49" s="1537">
        <f t="shared" si="47"/>
        <v>1000</v>
      </c>
    </row>
    <row r="50" spans="1:44" s="1531" customFormat="1" ht="12" customHeight="1" x14ac:dyDescent="0.3">
      <c r="A50" s="1531" t="s">
        <v>3796</v>
      </c>
      <c r="B50" s="1498"/>
      <c r="C50" s="1548" t="s">
        <v>2972</v>
      </c>
      <c r="D50" s="1549" t="s">
        <v>3010</v>
      </c>
      <c r="E50" s="1518">
        <v>5</v>
      </c>
      <c r="F50" s="1518">
        <f t="shared" si="16"/>
        <v>-2</v>
      </c>
      <c r="G50" s="1532">
        <f t="shared" si="17"/>
        <v>0</v>
      </c>
      <c r="H50" s="1533">
        <f t="shared" si="18"/>
        <v>0</v>
      </c>
      <c r="I50" s="1534">
        <f t="shared" si="32"/>
        <v>0.2</v>
      </c>
      <c r="J50" s="1519">
        <v>4792000</v>
      </c>
      <c r="K50" s="1519">
        <v>4790999.666666667</v>
      </c>
      <c r="L50" s="1526"/>
      <c r="M50" s="1526"/>
      <c r="N50" s="1519">
        <f t="shared" si="33"/>
        <v>1000</v>
      </c>
      <c r="O50" s="1526"/>
      <c r="P50" s="1526"/>
      <c r="Q50" s="1519">
        <v>0</v>
      </c>
      <c r="R50" s="1519">
        <f t="shared" si="34"/>
        <v>4792000</v>
      </c>
      <c r="S50" s="1519">
        <f t="shared" si="35"/>
        <v>1000</v>
      </c>
      <c r="T50" s="1519">
        <f t="shared" si="19"/>
        <v>0.33333333302289248</v>
      </c>
      <c r="U50" s="1535">
        <f t="shared" si="36"/>
        <v>0</v>
      </c>
      <c r="V50" s="1537">
        <f t="shared" si="20"/>
        <v>0</v>
      </c>
      <c r="W50" s="1519">
        <f t="shared" si="37"/>
        <v>0</v>
      </c>
      <c r="X50" s="1537">
        <f t="shared" si="21"/>
        <v>0</v>
      </c>
      <c r="Y50" s="1537">
        <f t="shared" si="22"/>
        <v>0</v>
      </c>
      <c r="Z50" s="1537">
        <f t="shared" si="23"/>
        <v>0</v>
      </c>
      <c r="AA50" s="1537">
        <f t="shared" si="24"/>
        <v>0</v>
      </c>
      <c r="AB50" s="1537">
        <f t="shared" si="25"/>
        <v>0</v>
      </c>
      <c r="AC50" s="1537">
        <f t="shared" si="26"/>
        <v>0</v>
      </c>
      <c r="AD50" s="1537">
        <f t="shared" si="27"/>
        <v>0</v>
      </c>
      <c r="AE50" s="1537">
        <f t="shared" si="28"/>
        <v>0</v>
      </c>
      <c r="AF50" s="1536">
        <f t="shared" si="29"/>
        <v>0</v>
      </c>
      <c r="AH50" s="1537">
        <f t="shared" si="30"/>
        <v>1000</v>
      </c>
      <c r="AI50" s="1537">
        <f t="shared" si="38"/>
        <v>1000</v>
      </c>
      <c r="AJ50" s="1537">
        <f t="shared" si="39"/>
        <v>1000</v>
      </c>
      <c r="AK50" s="1537">
        <f t="shared" si="40"/>
        <v>1000</v>
      </c>
      <c r="AL50" s="1537">
        <f t="shared" si="41"/>
        <v>1000</v>
      </c>
      <c r="AM50" s="1537">
        <f t="shared" si="42"/>
        <v>1000</v>
      </c>
      <c r="AN50" s="1537">
        <f t="shared" si="43"/>
        <v>1000</v>
      </c>
      <c r="AO50" s="1537">
        <f t="shared" si="44"/>
        <v>1000</v>
      </c>
      <c r="AP50" s="1537">
        <f t="shared" si="45"/>
        <v>1000</v>
      </c>
      <c r="AQ50" s="1537">
        <f t="shared" si="46"/>
        <v>1000</v>
      </c>
      <c r="AR50" s="1537">
        <f t="shared" si="47"/>
        <v>1000</v>
      </c>
    </row>
    <row r="51" spans="1:44" s="1531" customFormat="1" ht="12" customHeight="1" x14ac:dyDescent="0.3">
      <c r="A51" s="1531" t="s">
        <v>3796</v>
      </c>
      <c r="B51" s="1498"/>
      <c r="C51" s="1548" t="s">
        <v>2973</v>
      </c>
      <c r="D51" s="1549" t="s">
        <v>3011</v>
      </c>
      <c r="E51" s="1518">
        <v>5</v>
      </c>
      <c r="F51" s="1518">
        <f t="shared" si="16"/>
        <v>-2</v>
      </c>
      <c r="G51" s="1532">
        <f t="shared" si="17"/>
        <v>0</v>
      </c>
      <c r="H51" s="1533">
        <f t="shared" si="18"/>
        <v>0</v>
      </c>
      <c r="I51" s="1534">
        <f t="shared" si="32"/>
        <v>0.2</v>
      </c>
      <c r="J51" s="1519">
        <v>8500000</v>
      </c>
      <c r="K51" s="1519">
        <v>8499000</v>
      </c>
      <c r="L51" s="1526"/>
      <c r="M51" s="1526"/>
      <c r="N51" s="1519">
        <f t="shared" si="33"/>
        <v>1000</v>
      </c>
      <c r="O51" s="1526"/>
      <c r="P51" s="1526"/>
      <c r="Q51" s="1519">
        <v>0</v>
      </c>
      <c r="R51" s="1519">
        <f t="shared" si="34"/>
        <v>8500000</v>
      </c>
      <c r="S51" s="1519">
        <f t="shared" si="35"/>
        <v>1000</v>
      </c>
      <c r="T51" s="1519">
        <f t="shared" si="19"/>
        <v>0</v>
      </c>
      <c r="U51" s="1535">
        <f t="shared" si="36"/>
        <v>0</v>
      </c>
      <c r="V51" s="1537">
        <f t="shared" si="20"/>
        <v>0</v>
      </c>
      <c r="W51" s="1519">
        <f t="shared" si="37"/>
        <v>0</v>
      </c>
      <c r="X51" s="1537">
        <f t="shared" si="21"/>
        <v>0</v>
      </c>
      <c r="Y51" s="1537">
        <f t="shared" si="22"/>
        <v>0</v>
      </c>
      <c r="Z51" s="1537">
        <f t="shared" si="23"/>
        <v>0</v>
      </c>
      <c r="AA51" s="1537">
        <f t="shared" si="24"/>
        <v>0</v>
      </c>
      <c r="AB51" s="1537">
        <f t="shared" si="25"/>
        <v>0</v>
      </c>
      <c r="AC51" s="1537">
        <f t="shared" si="26"/>
        <v>0</v>
      </c>
      <c r="AD51" s="1537">
        <f t="shared" si="27"/>
        <v>0</v>
      </c>
      <c r="AE51" s="1537">
        <f t="shared" si="28"/>
        <v>0</v>
      </c>
      <c r="AF51" s="1536">
        <f t="shared" si="29"/>
        <v>0</v>
      </c>
      <c r="AH51" s="1537">
        <f t="shared" si="30"/>
        <v>1000</v>
      </c>
      <c r="AI51" s="1537">
        <f t="shared" si="38"/>
        <v>1000</v>
      </c>
      <c r="AJ51" s="1537">
        <f t="shared" si="39"/>
        <v>1000</v>
      </c>
      <c r="AK51" s="1537">
        <f t="shared" si="40"/>
        <v>1000</v>
      </c>
      <c r="AL51" s="1537">
        <f t="shared" si="41"/>
        <v>1000</v>
      </c>
      <c r="AM51" s="1537">
        <f t="shared" si="42"/>
        <v>1000</v>
      </c>
      <c r="AN51" s="1537">
        <f t="shared" si="43"/>
        <v>1000</v>
      </c>
      <c r="AO51" s="1537">
        <f t="shared" si="44"/>
        <v>1000</v>
      </c>
      <c r="AP51" s="1537">
        <f t="shared" si="45"/>
        <v>1000</v>
      </c>
      <c r="AQ51" s="1537">
        <f t="shared" si="46"/>
        <v>1000</v>
      </c>
      <c r="AR51" s="1537">
        <f t="shared" si="47"/>
        <v>1000</v>
      </c>
    </row>
    <row r="52" spans="1:44" s="1531" customFormat="1" ht="12" customHeight="1" x14ac:dyDescent="0.3">
      <c r="B52" s="1498"/>
      <c r="C52" s="1548" t="s">
        <v>2974</v>
      </c>
      <c r="D52" s="1549" t="s">
        <v>3012</v>
      </c>
      <c r="E52" s="1518">
        <v>5</v>
      </c>
      <c r="F52" s="1518">
        <f t="shared" si="16"/>
        <v>-2</v>
      </c>
      <c r="G52" s="1532">
        <f t="shared" si="17"/>
        <v>0</v>
      </c>
      <c r="H52" s="1533">
        <f t="shared" si="18"/>
        <v>0</v>
      </c>
      <c r="I52" s="1534">
        <f t="shared" si="32"/>
        <v>0.2</v>
      </c>
      <c r="J52" s="1519">
        <v>4212000</v>
      </c>
      <c r="K52" s="1519">
        <v>4211000</v>
      </c>
      <c r="L52" s="1526"/>
      <c r="M52" s="1526"/>
      <c r="N52" s="1519">
        <f t="shared" si="33"/>
        <v>1000</v>
      </c>
      <c r="O52" s="1526"/>
      <c r="P52" s="1526"/>
      <c r="Q52" s="1519">
        <v>0</v>
      </c>
      <c r="R52" s="1519">
        <f t="shared" si="34"/>
        <v>4212000</v>
      </c>
      <c r="S52" s="1519">
        <f t="shared" si="35"/>
        <v>1000</v>
      </c>
      <c r="T52" s="1519">
        <f t="shared" si="19"/>
        <v>0</v>
      </c>
      <c r="U52" s="1535">
        <f t="shared" si="36"/>
        <v>0</v>
      </c>
      <c r="V52" s="1537">
        <f t="shared" si="20"/>
        <v>0</v>
      </c>
      <c r="W52" s="1519">
        <f t="shared" si="37"/>
        <v>0</v>
      </c>
      <c r="X52" s="1537">
        <f t="shared" si="21"/>
        <v>0</v>
      </c>
      <c r="Y52" s="1537">
        <f t="shared" si="22"/>
        <v>0</v>
      </c>
      <c r="Z52" s="1537">
        <f t="shared" si="23"/>
        <v>0</v>
      </c>
      <c r="AA52" s="1537">
        <f t="shared" si="24"/>
        <v>0</v>
      </c>
      <c r="AB52" s="1537">
        <f t="shared" si="25"/>
        <v>0</v>
      </c>
      <c r="AC52" s="1537">
        <f t="shared" si="26"/>
        <v>0</v>
      </c>
      <c r="AD52" s="1537">
        <f t="shared" si="27"/>
        <v>0</v>
      </c>
      <c r="AE52" s="1537">
        <f t="shared" si="28"/>
        <v>0</v>
      </c>
      <c r="AF52" s="1536">
        <f t="shared" si="29"/>
        <v>0</v>
      </c>
      <c r="AH52" s="1537">
        <f t="shared" si="30"/>
        <v>1000</v>
      </c>
      <c r="AI52" s="1537">
        <f t="shared" si="38"/>
        <v>1000</v>
      </c>
      <c r="AJ52" s="1537">
        <f t="shared" si="39"/>
        <v>1000</v>
      </c>
      <c r="AK52" s="1537">
        <f t="shared" si="40"/>
        <v>1000</v>
      </c>
      <c r="AL52" s="1537">
        <f t="shared" si="41"/>
        <v>1000</v>
      </c>
      <c r="AM52" s="1537">
        <f t="shared" si="42"/>
        <v>1000</v>
      </c>
      <c r="AN52" s="1537">
        <f t="shared" si="43"/>
        <v>1000</v>
      </c>
      <c r="AO52" s="1537">
        <f t="shared" si="44"/>
        <v>1000</v>
      </c>
      <c r="AP52" s="1537">
        <f t="shared" si="45"/>
        <v>1000</v>
      </c>
      <c r="AQ52" s="1537">
        <f t="shared" si="46"/>
        <v>1000</v>
      </c>
      <c r="AR52" s="1537">
        <f t="shared" si="47"/>
        <v>1000</v>
      </c>
    </row>
    <row r="53" spans="1:44" s="1531" customFormat="1" ht="12" customHeight="1" x14ac:dyDescent="0.3">
      <c r="B53" s="1498"/>
      <c r="C53" s="1548" t="s">
        <v>2975</v>
      </c>
      <c r="D53" s="1549" t="s">
        <v>3013</v>
      </c>
      <c r="E53" s="1518">
        <v>5</v>
      </c>
      <c r="F53" s="1518">
        <f t="shared" si="16"/>
        <v>-1</v>
      </c>
      <c r="G53" s="1532">
        <f t="shared" si="17"/>
        <v>0</v>
      </c>
      <c r="H53" s="1533">
        <f t="shared" si="18"/>
        <v>0</v>
      </c>
      <c r="I53" s="1534">
        <f t="shared" si="32"/>
        <v>0.2</v>
      </c>
      <c r="J53" s="1519">
        <v>6000000</v>
      </c>
      <c r="K53" s="1519">
        <v>5999000</v>
      </c>
      <c r="L53" s="1526"/>
      <c r="M53" s="1526"/>
      <c r="N53" s="1519">
        <f t="shared" si="33"/>
        <v>1000</v>
      </c>
      <c r="O53" s="1526"/>
      <c r="P53" s="1526"/>
      <c r="Q53" s="1519">
        <v>0</v>
      </c>
      <c r="R53" s="1519">
        <f t="shared" si="34"/>
        <v>6000000</v>
      </c>
      <c r="S53" s="1519">
        <f t="shared" si="35"/>
        <v>1000</v>
      </c>
      <c r="T53" s="1519">
        <f t="shared" si="19"/>
        <v>0</v>
      </c>
      <c r="U53" s="1535">
        <f t="shared" si="36"/>
        <v>0</v>
      </c>
      <c r="V53" s="1537">
        <f t="shared" si="20"/>
        <v>0</v>
      </c>
      <c r="W53" s="1519">
        <f t="shared" si="37"/>
        <v>0</v>
      </c>
      <c r="X53" s="1537">
        <f t="shared" si="21"/>
        <v>0</v>
      </c>
      <c r="Y53" s="1537">
        <f t="shared" si="22"/>
        <v>0</v>
      </c>
      <c r="Z53" s="1537">
        <f t="shared" si="23"/>
        <v>0</v>
      </c>
      <c r="AA53" s="1537">
        <f t="shared" si="24"/>
        <v>0</v>
      </c>
      <c r="AB53" s="1537">
        <f t="shared" si="25"/>
        <v>0</v>
      </c>
      <c r="AC53" s="1537">
        <f t="shared" si="26"/>
        <v>0</v>
      </c>
      <c r="AD53" s="1537">
        <f t="shared" si="27"/>
        <v>0</v>
      </c>
      <c r="AE53" s="1537">
        <f t="shared" si="28"/>
        <v>0</v>
      </c>
      <c r="AF53" s="1536">
        <f t="shared" si="29"/>
        <v>0</v>
      </c>
      <c r="AH53" s="1537">
        <f t="shared" si="30"/>
        <v>1000</v>
      </c>
      <c r="AI53" s="1537">
        <f t="shared" si="38"/>
        <v>1000</v>
      </c>
      <c r="AJ53" s="1537">
        <f t="shared" si="39"/>
        <v>1000</v>
      </c>
      <c r="AK53" s="1537">
        <f t="shared" si="40"/>
        <v>1000</v>
      </c>
      <c r="AL53" s="1537">
        <f t="shared" si="41"/>
        <v>1000</v>
      </c>
      <c r="AM53" s="1537">
        <f t="shared" si="42"/>
        <v>1000</v>
      </c>
      <c r="AN53" s="1537">
        <f t="shared" si="43"/>
        <v>1000</v>
      </c>
      <c r="AO53" s="1537">
        <f t="shared" si="44"/>
        <v>1000</v>
      </c>
      <c r="AP53" s="1537">
        <f t="shared" si="45"/>
        <v>1000</v>
      </c>
      <c r="AQ53" s="1537">
        <f t="shared" si="46"/>
        <v>1000</v>
      </c>
      <c r="AR53" s="1537">
        <f t="shared" si="47"/>
        <v>1000</v>
      </c>
    </row>
    <row r="54" spans="1:44" s="1531" customFormat="1" ht="12" customHeight="1" x14ac:dyDescent="0.3">
      <c r="B54" s="1498"/>
      <c r="C54" s="1548" t="s">
        <v>2976</v>
      </c>
      <c r="D54" s="1549" t="s">
        <v>3014</v>
      </c>
      <c r="E54" s="1518">
        <v>5</v>
      </c>
      <c r="F54" s="1518">
        <f t="shared" si="16"/>
        <v>-1</v>
      </c>
      <c r="G54" s="1532">
        <f t="shared" si="17"/>
        <v>0</v>
      </c>
      <c r="H54" s="1533">
        <f t="shared" si="18"/>
        <v>0</v>
      </c>
      <c r="I54" s="1534">
        <f t="shared" si="32"/>
        <v>0.2</v>
      </c>
      <c r="J54" s="1519">
        <v>3768000</v>
      </c>
      <c r="K54" s="1519">
        <v>3767000</v>
      </c>
      <c r="L54" s="1526"/>
      <c r="M54" s="1526"/>
      <c r="N54" s="1519">
        <f t="shared" si="33"/>
        <v>1000</v>
      </c>
      <c r="O54" s="1526"/>
      <c r="P54" s="1526"/>
      <c r="Q54" s="1519">
        <v>0</v>
      </c>
      <c r="R54" s="1519">
        <f t="shared" si="34"/>
        <v>3768000</v>
      </c>
      <c r="S54" s="1519">
        <f t="shared" si="35"/>
        <v>1000</v>
      </c>
      <c r="T54" s="1519">
        <f t="shared" si="19"/>
        <v>0</v>
      </c>
      <c r="U54" s="1535">
        <f t="shared" si="36"/>
        <v>0</v>
      </c>
      <c r="V54" s="1537">
        <f t="shared" si="20"/>
        <v>0</v>
      </c>
      <c r="W54" s="1519">
        <f t="shared" si="37"/>
        <v>0</v>
      </c>
      <c r="X54" s="1537">
        <f t="shared" si="21"/>
        <v>0</v>
      </c>
      <c r="Y54" s="1537">
        <f t="shared" si="22"/>
        <v>0</v>
      </c>
      <c r="Z54" s="1537">
        <f t="shared" si="23"/>
        <v>0</v>
      </c>
      <c r="AA54" s="1537">
        <f t="shared" si="24"/>
        <v>0</v>
      </c>
      <c r="AB54" s="1537">
        <f t="shared" si="25"/>
        <v>0</v>
      </c>
      <c r="AC54" s="1537">
        <f t="shared" si="26"/>
        <v>0</v>
      </c>
      <c r="AD54" s="1537">
        <f t="shared" si="27"/>
        <v>0</v>
      </c>
      <c r="AE54" s="1537">
        <f t="shared" si="28"/>
        <v>0</v>
      </c>
      <c r="AF54" s="1536">
        <f t="shared" si="29"/>
        <v>0</v>
      </c>
      <c r="AH54" s="1537">
        <f t="shared" si="30"/>
        <v>1000</v>
      </c>
      <c r="AI54" s="1537">
        <f t="shared" si="38"/>
        <v>1000</v>
      </c>
      <c r="AJ54" s="1537">
        <f t="shared" si="39"/>
        <v>1000</v>
      </c>
      <c r="AK54" s="1537">
        <f t="shared" si="40"/>
        <v>1000</v>
      </c>
      <c r="AL54" s="1537">
        <f t="shared" si="41"/>
        <v>1000</v>
      </c>
      <c r="AM54" s="1537">
        <f t="shared" si="42"/>
        <v>1000</v>
      </c>
      <c r="AN54" s="1537">
        <f t="shared" si="43"/>
        <v>1000</v>
      </c>
      <c r="AO54" s="1537">
        <f t="shared" si="44"/>
        <v>1000</v>
      </c>
      <c r="AP54" s="1537">
        <f t="shared" si="45"/>
        <v>1000</v>
      </c>
      <c r="AQ54" s="1537">
        <f t="shared" si="46"/>
        <v>1000</v>
      </c>
      <c r="AR54" s="1537">
        <f t="shared" si="47"/>
        <v>1000</v>
      </c>
    </row>
    <row r="55" spans="1:44" s="1531" customFormat="1" ht="12" customHeight="1" x14ac:dyDescent="0.3">
      <c r="B55" s="1498"/>
      <c r="C55" s="1548" t="s">
        <v>2977</v>
      </c>
      <c r="D55" s="1549" t="s">
        <v>3014</v>
      </c>
      <c r="E55" s="1518">
        <v>5</v>
      </c>
      <c r="F55" s="1518">
        <f t="shared" si="16"/>
        <v>-1</v>
      </c>
      <c r="G55" s="1532">
        <f t="shared" si="17"/>
        <v>0</v>
      </c>
      <c r="H55" s="1533">
        <f t="shared" si="18"/>
        <v>0</v>
      </c>
      <c r="I55" s="1534">
        <f t="shared" si="32"/>
        <v>0.2</v>
      </c>
      <c r="J55" s="1519">
        <v>1500000</v>
      </c>
      <c r="K55" s="1519">
        <v>1499000</v>
      </c>
      <c r="L55" s="1526"/>
      <c r="M55" s="1526"/>
      <c r="N55" s="1519">
        <f t="shared" si="33"/>
        <v>1000</v>
      </c>
      <c r="O55" s="1526"/>
      <c r="P55" s="1526"/>
      <c r="Q55" s="1519">
        <v>0</v>
      </c>
      <c r="R55" s="1519">
        <f t="shared" si="34"/>
        <v>1500000</v>
      </c>
      <c r="S55" s="1519">
        <f t="shared" si="35"/>
        <v>1000</v>
      </c>
      <c r="T55" s="1519">
        <f t="shared" si="19"/>
        <v>0</v>
      </c>
      <c r="U55" s="1535">
        <f t="shared" si="36"/>
        <v>0</v>
      </c>
      <c r="V55" s="1537">
        <f t="shared" si="20"/>
        <v>0</v>
      </c>
      <c r="W55" s="1519">
        <f t="shared" si="37"/>
        <v>0</v>
      </c>
      <c r="X55" s="1537">
        <f t="shared" si="21"/>
        <v>0</v>
      </c>
      <c r="Y55" s="1537">
        <f t="shared" si="22"/>
        <v>0</v>
      </c>
      <c r="Z55" s="1537">
        <f t="shared" si="23"/>
        <v>0</v>
      </c>
      <c r="AA55" s="1537">
        <f t="shared" si="24"/>
        <v>0</v>
      </c>
      <c r="AB55" s="1537">
        <f t="shared" si="25"/>
        <v>0</v>
      </c>
      <c r="AC55" s="1537">
        <f t="shared" si="26"/>
        <v>0</v>
      </c>
      <c r="AD55" s="1537">
        <f t="shared" si="27"/>
        <v>0</v>
      </c>
      <c r="AE55" s="1537">
        <f t="shared" si="28"/>
        <v>0</v>
      </c>
      <c r="AF55" s="1536">
        <f t="shared" si="29"/>
        <v>0</v>
      </c>
      <c r="AH55" s="1537">
        <f t="shared" si="30"/>
        <v>1000</v>
      </c>
      <c r="AI55" s="1537">
        <f t="shared" si="38"/>
        <v>1000</v>
      </c>
      <c r="AJ55" s="1537">
        <f t="shared" si="39"/>
        <v>1000</v>
      </c>
      <c r="AK55" s="1537">
        <f t="shared" si="40"/>
        <v>1000</v>
      </c>
      <c r="AL55" s="1537">
        <f t="shared" si="41"/>
        <v>1000</v>
      </c>
      <c r="AM55" s="1537">
        <f t="shared" si="42"/>
        <v>1000</v>
      </c>
      <c r="AN55" s="1537">
        <f t="shared" si="43"/>
        <v>1000</v>
      </c>
      <c r="AO55" s="1537">
        <f t="shared" si="44"/>
        <v>1000</v>
      </c>
      <c r="AP55" s="1537">
        <f t="shared" si="45"/>
        <v>1000</v>
      </c>
      <c r="AQ55" s="1537">
        <f t="shared" si="46"/>
        <v>1000</v>
      </c>
      <c r="AR55" s="1537">
        <f t="shared" si="47"/>
        <v>1000</v>
      </c>
    </row>
    <row r="56" spans="1:44" s="1531" customFormat="1" ht="12" customHeight="1" x14ac:dyDescent="0.3">
      <c r="B56" s="1498"/>
      <c r="C56" s="1548" t="s">
        <v>2978</v>
      </c>
      <c r="D56" s="1549" t="s">
        <v>3015</v>
      </c>
      <c r="E56" s="1518">
        <v>5</v>
      </c>
      <c r="F56" s="1518">
        <f t="shared" si="16"/>
        <v>-1</v>
      </c>
      <c r="G56" s="1532">
        <f t="shared" si="17"/>
        <v>0</v>
      </c>
      <c r="H56" s="1533">
        <f t="shared" si="18"/>
        <v>0</v>
      </c>
      <c r="I56" s="1534">
        <f t="shared" si="32"/>
        <v>0.2</v>
      </c>
      <c r="J56" s="1519">
        <v>11858000</v>
      </c>
      <c r="K56" s="1519">
        <v>11857000</v>
      </c>
      <c r="L56" s="1526"/>
      <c r="M56" s="1526"/>
      <c r="N56" s="1519">
        <f t="shared" si="33"/>
        <v>1000</v>
      </c>
      <c r="O56" s="1526"/>
      <c r="P56" s="1526"/>
      <c r="Q56" s="1519">
        <v>0</v>
      </c>
      <c r="R56" s="1519">
        <f t="shared" si="34"/>
        <v>11858000</v>
      </c>
      <c r="S56" s="1519">
        <f t="shared" si="35"/>
        <v>1000</v>
      </c>
      <c r="T56" s="1519">
        <f t="shared" si="19"/>
        <v>0</v>
      </c>
      <c r="U56" s="1535">
        <f t="shared" si="36"/>
        <v>0</v>
      </c>
      <c r="V56" s="1537">
        <f t="shared" si="20"/>
        <v>0</v>
      </c>
      <c r="W56" s="1519">
        <f t="shared" si="37"/>
        <v>0</v>
      </c>
      <c r="X56" s="1537">
        <f t="shared" si="21"/>
        <v>0</v>
      </c>
      <c r="Y56" s="1537">
        <f t="shared" si="22"/>
        <v>0</v>
      </c>
      <c r="Z56" s="1537">
        <f t="shared" si="23"/>
        <v>0</v>
      </c>
      <c r="AA56" s="1537">
        <f t="shared" si="24"/>
        <v>0</v>
      </c>
      <c r="AB56" s="1537">
        <f t="shared" si="25"/>
        <v>0</v>
      </c>
      <c r="AC56" s="1537">
        <f t="shared" si="26"/>
        <v>0</v>
      </c>
      <c r="AD56" s="1537">
        <f t="shared" si="27"/>
        <v>0</v>
      </c>
      <c r="AE56" s="1537">
        <f t="shared" si="28"/>
        <v>0</v>
      </c>
      <c r="AF56" s="1536">
        <f t="shared" si="29"/>
        <v>0</v>
      </c>
      <c r="AH56" s="1537">
        <f t="shared" si="30"/>
        <v>1000</v>
      </c>
      <c r="AI56" s="1537">
        <f t="shared" si="38"/>
        <v>1000</v>
      </c>
      <c r="AJ56" s="1537">
        <f t="shared" si="39"/>
        <v>1000</v>
      </c>
      <c r="AK56" s="1537">
        <f t="shared" si="40"/>
        <v>1000</v>
      </c>
      <c r="AL56" s="1537">
        <f t="shared" si="41"/>
        <v>1000</v>
      </c>
      <c r="AM56" s="1537">
        <f t="shared" si="42"/>
        <v>1000</v>
      </c>
      <c r="AN56" s="1537">
        <f t="shared" si="43"/>
        <v>1000</v>
      </c>
      <c r="AO56" s="1537">
        <f t="shared" si="44"/>
        <v>1000</v>
      </c>
      <c r="AP56" s="1537">
        <f t="shared" si="45"/>
        <v>1000</v>
      </c>
      <c r="AQ56" s="1537">
        <f t="shared" si="46"/>
        <v>1000</v>
      </c>
      <c r="AR56" s="1537">
        <f t="shared" si="47"/>
        <v>1000</v>
      </c>
    </row>
    <row r="57" spans="1:44" s="1531" customFormat="1" ht="12" customHeight="1" x14ac:dyDescent="0.3">
      <c r="B57" s="1498"/>
      <c r="C57" s="1548" t="s">
        <v>2979</v>
      </c>
      <c r="D57" s="1549" t="s">
        <v>3016</v>
      </c>
      <c r="E57" s="1518">
        <v>5</v>
      </c>
      <c r="F57" s="1518">
        <f t="shared" ref="F57:F81" si="48">E57-(YEAR($E$4)-YEAR(D57))</f>
        <v>-1</v>
      </c>
      <c r="G57" s="1532">
        <f t="shared" ref="G57:G81" si="49">IF(YEAR(D57)=YEAR($E$4),IF($E$2=$E$4,0,IF(D57&lt;$E$4,$E$2-$E$4,$E$2-D57)),$E$2-$E$4)</f>
        <v>0</v>
      </c>
      <c r="H57" s="1533">
        <f t="shared" ref="H57:H81" si="50">IF(YEAR(D57)=YEAR($E$4),G57/365,IF($E$2=$E$4,G57/365,($E$2-$E$4)/365))</f>
        <v>0</v>
      </c>
      <c r="I57" s="1534">
        <f t="shared" si="32"/>
        <v>0.2</v>
      </c>
      <c r="J57" s="1519">
        <v>3795000</v>
      </c>
      <c r="K57" s="1519">
        <v>3794000</v>
      </c>
      <c r="L57" s="1526"/>
      <c r="M57" s="1526"/>
      <c r="N57" s="1519">
        <f t="shared" si="33"/>
        <v>1000</v>
      </c>
      <c r="O57" s="1526"/>
      <c r="P57" s="1526"/>
      <c r="Q57" s="1519">
        <v>0</v>
      </c>
      <c r="R57" s="1519">
        <f t="shared" si="34"/>
        <v>3795000</v>
      </c>
      <c r="S57" s="1519">
        <f t="shared" si="35"/>
        <v>1000</v>
      </c>
      <c r="T57" s="1519">
        <f t="shared" si="19"/>
        <v>0</v>
      </c>
      <c r="U57" s="1535">
        <f t="shared" si="36"/>
        <v>0</v>
      </c>
      <c r="V57" s="1537">
        <f t="shared" ref="V57:V81" si="51">Q57+U57</f>
        <v>0</v>
      </c>
      <c r="W57" s="1519">
        <f t="shared" si="37"/>
        <v>0</v>
      </c>
      <c r="X57" s="1537">
        <f t="shared" si="21"/>
        <v>0</v>
      </c>
      <c r="Y57" s="1537">
        <f t="shared" si="22"/>
        <v>0</v>
      </c>
      <c r="Z57" s="1537">
        <f t="shared" si="23"/>
        <v>0</v>
      </c>
      <c r="AA57" s="1537">
        <f t="shared" si="24"/>
        <v>0</v>
      </c>
      <c r="AB57" s="1537">
        <f t="shared" si="25"/>
        <v>0</v>
      </c>
      <c r="AC57" s="1537">
        <f t="shared" si="26"/>
        <v>0</v>
      </c>
      <c r="AD57" s="1537">
        <f t="shared" si="27"/>
        <v>0</v>
      </c>
      <c r="AE57" s="1537">
        <f t="shared" si="28"/>
        <v>0</v>
      </c>
      <c r="AF57" s="1536">
        <f t="shared" si="29"/>
        <v>0</v>
      </c>
      <c r="AH57" s="1537">
        <f t="shared" ref="AH57:AH81" si="52">S57-U57</f>
        <v>1000</v>
      </c>
      <c r="AI57" s="1537">
        <f t="shared" si="38"/>
        <v>1000</v>
      </c>
      <c r="AJ57" s="1537">
        <f t="shared" si="39"/>
        <v>1000</v>
      </c>
      <c r="AK57" s="1537">
        <f t="shared" si="40"/>
        <v>1000</v>
      </c>
      <c r="AL57" s="1537">
        <f t="shared" si="41"/>
        <v>1000</v>
      </c>
      <c r="AM57" s="1537">
        <f t="shared" si="42"/>
        <v>1000</v>
      </c>
      <c r="AN57" s="1537">
        <f t="shared" si="43"/>
        <v>1000</v>
      </c>
      <c r="AO57" s="1537">
        <f t="shared" si="44"/>
        <v>1000</v>
      </c>
      <c r="AP57" s="1537">
        <f t="shared" si="45"/>
        <v>1000</v>
      </c>
      <c r="AQ57" s="1537">
        <f t="shared" si="46"/>
        <v>1000</v>
      </c>
      <c r="AR57" s="1537">
        <f t="shared" si="47"/>
        <v>1000</v>
      </c>
    </row>
    <row r="58" spans="1:44" s="1531" customFormat="1" ht="12" customHeight="1" x14ac:dyDescent="0.3">
      <c r="A58" s="1531" t="s">
        <v>3796</v>
      </c>
      <c r="B58" s="1498"/>
      <c r="C58" s="1548" t="s">
        <v>2980</v>
      </c>
      <c r="D58" s="1549" t="s">
        <v>3017</v>
      </c>
      <c r="E58" s="1518">
        <v>5</v>
      </c>
      <c r="F58" s="1518">
        <f t="shared" si="48"/>
        <v>-1</v>
      </c>
      <c r="G58" s="1532">
        <f t="shared" si="49"/>
        <v>0</v>
      </c>
      <c r="H58" s="1533">
        <f t="shared" si="50"/>
        <v>0</v>
      </c>
      <c r="I58" s="1534">
        <f t="shared" si="32"/>
        <v>0.2</v>
      </c>
      <c r="J58" s="1519">
        <v>4500000</v>
      </c>
      <c r="K58" s="1519">
        <v>4499000</v>
      </c>
      <c r="L58" s="1526"/>
      <c r="M58" s="1526"/>
      <c r="N58" s="1519">
        <f t="shared" si="33"/>
        <v>1000</v>
      </c>
      <c r="O58" s="1526"/>
      <c r="P58" s="1526"/>
      <c r="Q58" s="1519">
        <v>0</v>
      </c>
      <c r="R58" s="1519">
        <f t="shared" si="34"/>
        <v>4500000</v>
      </c>
      <c r="S58" s="1519">
        <f t="shared" si="35"/>
        <v>1000</v>
      </c>
      <c r="T58" s="1519">
        <f t="shared" si="19"/>
        <v>0</v>
      </c>
      <c r="U58" s="1535">
        <f t="shared" si="36"/>
        <v>0</v>
      </c>
      <c r="V58" s="1537">
        <f t="shared" si="51"/>
        <v>0</v>
      </c>
      <c r="W58" s="1519">
        <f t="shared" si="37"/>
        <v>0</v>
      </c>
      <c r="X58" s="1537">
        <f t="shared" si="21"/>
        <v>0</v>
      </c>
      <c r="Y58" s="1537">
        <f t="shared" si="22"/>
        <v>0</v>
      </c>
      <c r="Z58" s="1537">
        <f t="shared" si="23"/>
        <v>0</v>
      </c>
      <c r="AA58" s="1537">
        <f t="shared" si="24"/>
        <v>0</v>
      </c>
      <c r="AB58" s="1537">
        <f t="shared" si="25"/>
        <v>0</v>
      </c>
      <c r="AC58" s="1537">
        <f t="shared" si="26"/>
        <v>0</v>
      </c>
      <c r="AD58" s="1537">
        <f t="shared" si="27"/>
        <v>0</v>
      </c>
      <c r="AE58" s="1537">
        <f t="shared" si="28"/>
        <v>0</v>
      </c>
      <c r="AF58" s="1536">
        <f t="shared" si="29"/>
        <v>0</v>
      </c>
      <c r="AH58" s="1537">
        <f t="shared" si="52"/>
        <v>1000</v>
      </c>
      <c r="AI58" s="1537">
        <f t="shared" si="38"/>
        <v>1000</v>
      </c>
      <c r="AJ58" s="1537">
        <f t="shared" si="39"/>
        <v>1000</v>
      </c>
      <c r="AK58" s="1537">
        <f t="shared" si="40"/>
        <v>1000</v>
      </c>
      <c r="AL58" s="1537">
        <f t="shared" si="41"/>
        <v>1000</v>
      </c>
      <c r="AM58" s="1537">
        <f t="shared" si="42"/>
        <v>1000</v>
      </c>
      <c r="AN58" s="1537">
        <f t="shared" si="43"/>
        <v>1000</v>
      </c>
      <c r="AO58" s="1537">
        <f t="shared" si="44"/>
        <v>1000</v>
      </c>
      <c r="AP58" s="1537">
        <f t="shared" si="45"/>
        <v>1000</v>
      </c>
      <c r="AQ58" s="1537">
        <f t="shared" si="46"/>
        <v>1000</v>
      </c>
      <c r="AR58" s="1537">
        <f t="shared" si="47"/>
        <v>1000</v>
      </c>
    </row>
    <row r="59" spans="1:44" s="1531" customFormat="1" ht="12" customHeight="1" x14ac:dyDescent="0.3">
      <c r="B59" s="1498"/>
      <c r="C59" s="1548" t="s">
        <v>2981</v>
      </c>
      <c r="D59" s="1549" t="s">
        <v>3018</v>
      </c>
      <c r="E59" s="1518">
        <v>5</v>
      </c>
      <c r="F59" s="1518">
        <f t="shared" si="48"/>
        <v>-1</v>
      </c>
      <c r="G59" s="1532">
        <f t="shared" si="49"/>
        <v>0</v>
      </c>
      <c r="H59" s="1533">
        <f t="shared" si="50"/>
        <v>0</v>
      </c>
      <c r="I59" s="1534">
        <f t="shared" si="32"/>
        <v>0.2</v>
      </c>
      <c r="J59" s="1519">
        <v>56287000</v>
      </c>
      <c r="K59" s="1519">
        <v>56286000</v>
      </c>
      <c r="L59" s="1526"/>
      <c r="M59" s="1526"/>
      <c r="N59" s="1519">
        <f t="shared" si="33"/>
        <v>1000</v>
      </c>
      <c r="O59" s="1526"/>
      <c r="P59" s="1526"/>
      <c r="Q59" s="1519">
        <v>0</v>
      </c>
      <c r="R59" s="1519">
        <f t="shared" si="34"/>
        <v>56287000</v>
      </c>
      <c r="S59" s="1519">
        <f t="shared" si="35"/>
        <v>1000</v>
      </c>
      <c r="T59" s="1519">
        <f t="shared" si="19"/>
        <v>0</v>
      </c>
      <c r="U59" s="1535">
        <f t="shared" si="36"/>
        <v>0</v>
      </c>
      <c r="V59" s="1537">
        <f t="shared" si="51"/>
        <v>0</v>
      </c>
      <c r="W59" s="1519">
        <f t="shared" si="37"/>
        <v>0</v>
      </c>
      <c r="X59" s="1537">
        <f t="shared" si="21"/>
        <v>0</v>
      </c>
      <c r="Y59" s="1537">
        <f t="shared" si="22"/>
        <v>0</v>
      </c>
      <c r="Z59" s="1537">
        <f t="shared" si="23"/>
        <v>0</v>
      </c>
      <c r="AA59" s="1537">
        <f t="shared" si="24"/>
        <v>0</v>
      </c>
      <c r="AB59" s="1537">
        <f t="shared" si="25"/>
        <v>0</v>
      </c>
      <c r="AC59" s="1537">
        <f t="shared" si="26"/>
        <v>0</v>
      </c>
      <c r="AD59" s="1537">
        <f t="shared" si="27"/>
        <v>0</v>
      </c>
      <c r="AE59" s="1537">
        <f t="shared" si="28"/>
        <v>0</v>
      </c>
      <c r="AF59" s="1536">
        <f t="shared" si="29"/>
        <v>0</v>
      </c>
      <c r="AH59" s="1537">
        <f t="shared" si="52"/>
        <v>1000</v>
      </c>
      <c r="AI59" s="1537">
        <f t="shared" si="38"/>
        <v>1000</v>
      </c>
      <c r="AJ59" s="1537">
        <f t="shared" si="39"/>
        <v>1000</v>
      </c>
      <c r="AK59" s="1537">
        <f t="shared" si="40"/>
        <v>1000</v>
      </c>
      <c r="AL59" s="1537">
        <f t="shared" si="41"/>
        <v>1000</v>
      </c>
      <c r="AM59" s="1537">
        <f t="shared" si="42"/>
        <v>1000</v>
      </c>
      <c r="AN59" s="1537">
        <f t="shared" si="43"/>
        <v>1000</v>
      </c>
      <c r="AO59" s="1537">
        <f t="shared" si="44"/>
        <v>1000</v>
      </c>
      <c r="AP59" s="1537">
        <f t="shared" si="45"/>
        <v>1000</v>
      </c>
      <c r="AQ59" s="1537">
        <f t="shared" si="46"/>
        <v>1000</v>
      </c>
      <c r="AR59" s="1537">
        <f t="shared" si="47"/>
        <v>1000</v>
      </c>
    </row>
    <row r="60" spans="1:44" s="1531" customFormat="1" ht="12" customHeight="1" x14ac:dyDescent="0.3">
      <c r="B60" s="1498"/>
      <c r="C60" s="1548" t="s">
        <v>2982</v>
      </c>
      <c r="D60" s="1549" t="s">
        <v>3019</v>
      </c>
      <c r="E60" s="1518">
        <v>5</v>
      </c>
      <c r="F60" s="1518">
        <f t="shared" si="48"/>
        <v>0</v>
      </c>
      <c r="G60" s="1532">
        <f t="shared" si="49"/>
        <v>0</v>
      </c>
      <c r="H60" s="1533">
        <f t="shared" si="50"/>
        <v>0</v>
      </c>
      <c r="I60" s="1534">
        <f t="shared" si="32"/>
        <v>0.2</v>
      </c>
      <c r="J60" s="1519">
        <v>18659000</v>
      </c>
      <c r="K60" s="1519">
        <v>18037033.333333332</v>
      </c>
      <c r="L60" s="1526"/>
      <c r="M60" s="1526"/>
      <c r="N60" s="1519">
        <f t="shared" si="33"/>
        <v>621967</v>
      </c>
      <c r="O60" s="1526"/>
      <c r="P60" s="1526"/>
      <c r="Q60" s="1519">
        <v>620967</v>
      </c>
      <c r="R60" s="1519">
        <f t="shared" si="34"/>
        <v>18659000</v>
      </c>
      <c r="S60" s="1519">
        <f t="shared" si="35"/>
        <v>1000</v>
      </c>
      <c r="T60" s="1519">
        <f t="shared" si="19"/>
        <v>-0.3333333320915699</v>
      </c>
      <c r="U60" s="1535">
        <f t="shared" si="36"/>
        <v>0</v>
      </c>
      <c r="V60" s="1537">
        <f t="shared" si="51"/>
        <v>620967</v>
      </c>
      <c r="W60" s="1519">
        <f t="shared" si="37"/>
        <v>0</v>
      </c>
      <c r="X60" s="1537">
        <f t="shared" si="21"/>
        <v>0</v>
      </c>
      <c r="Y60" s="1537">
        <f t="shared" si="22"/>
        <v>0</v>
      </c>
      <c r="Z60" s="1537">
        <f t="shared" si="23"/>
        <v>0</v>
      </c>
      <c r="AA60" s="1537">
        <f t="shared" si="24"/>
        <v>0</v>
      </c>
      <c r="AB60" s="1537">
        <f t="shared" si="25"/>
        <v>0</v>
      </c>
      <c r="AC60" s="1537">
        <f t="shared" si="26"/>
        <v>0</v>
      </c>
      <c r="AD60" s="1537">
        <f t="shared" si="27"/>
        <v>0</v>
      </c>
      <c r="AE60" s="1537">
        <f t="shared" si="28"/>
        <v>0</v>
      </c>
      <c r="AF60" s="1536">
        <f t="shared" si="29"/>
        <v>0</v>
      </c>
      <c r="AH60" s="1537">
        <f t="shared" si="52"/>
        <v>1000</v>
      </c>
      <c r="AI60" s="1537">
        <f t="shared" si="38"/>
        <v>1000</v>
      </c>
      <c r="AJ60" s="1537">
        <f t="shared" si="39"/>
        <v>1000</v>
      </c>
      <c r="AK60" s="1537">
        <f t="shared" si="40"/>
        <v>1000</v>
      </c>
      <c r="AL60" s="1537">
        <f t="shared" si="41"/>
        <v>1000</v>
      </c>
      <c r="AM60" s="1537">
        <f t="shared" si="42"/>
        <v>1000</v>
      </c>
      <c r="AN60" s="1537">
        <f t="shared" si="43"/>
        <v>1000</v>
      </c>
      <c r="AO60" s="1537">
        <f t="shared" si="44"/>
        <v>1000</v>
      </c>
      <c r="AP60" s="1537">
        <f t="shared" si="45"/>
        <v>1000</v>
      </c>
      <c r="AQ60" s="1537">
        <f t="shared" si="46"/>
        <v>1000</v>
      </c>
      <c r="AR60" s="1537">
        <f t="shared" si="47"/>
        <v>1000</v>
      </c>
    </row>
    <row r="61" spans="1:44" s="1531" customFormat="1" ht="12" customHeight="1" x14ac:dyDescent="0.3">
      <c r="B61" s="1498"/>
      <c r="C61" s="1548" t="s">
        <v>2983</v>
      </c>
      <c r="D61" s="1549" t="s">
        <v>3020</v>
      </c>
      <c r="E61" s="1518">
        <v>5</v>
      </c>
      <c r="F61" s="1518">
        <f t="shared" si="48"/>
        <v>0</v>
      </c>
      <c r="G61" s="1532">
        <f t="shared" si="49"/>
        <v>0</v>
      </c>
      <c r="H61" s="1533">
        <f t="shared" si="50"/>
        <v>0</v>
      </c>
      <c r="I61" s="1534">
        <f t="shared" si="32"/>
        <v>0.2</v>
      </c>
      <c r="J61" s="1519">
        <v>460000</v>
      </c>
      <c r="K61" s="1519">
        <v>444666.66666666669</v>
      </c>
      <c r="L61" s="1526"/>
      <c r="M61" s="1526"/>
      <c r="N61" s="1519">
        <f t="shared" si="33"/>
        <v>15333</v>
      </c>
      <c r="O61" s="1526"/>
      <c r="P61" s="1526"/>
      <c r="Q61" s="1519">
        <v>14333</v>
      </c>
      <c r="R61" s="1519">
        <f t="shared" si="34"/>
        <v>460000</v>
      </c>
      <c r="S61" s="1519">
        <f t="shared" si="35"/>
        <v>1000</v>
      </c>
      <c r="T61" s="1519">
        <f t="shared" si="19"/>
        <v>0.33333333331393078</v>
      </c>
      <c r="U61" s="1535">
        <f t="shared" si="36"/>
        <v>0</v>
      </c>
      <c r="V61" s="1537">
        <f t="shared" si="51"/>
        <v>14333</v>
      </c>
      <c r="W61" s="1519">
        <f t="shared" si="37"/>
        <v>0</v>
      </c>
      <c r="X61" s="1537">
        <f t="shared" si="21"/>
        <v>0</v>
      </c>
      <c r="Y61" s="1537">
        <f t="shared" si="22"/>
        <v>0</v>
      </c>
      <c r="Z61" s="1537">
        <f t="shared" si="23"/>
        <v>0</v>
      </c>
      <c r="AA61" s="1537">
        <f t="shared" si="24"/>
        <v>0</v>
      </c>
      <c r="AB61" s="1537">
        <f t="shared" si="25"/>
        <v>0</v>
      </c>
      <c r="AC61" s="1537">
        <f t="shared" si="26"/>
        <v>0</v>
      </c>
      <c r="AD61" s="1537">
        <f t="shared" si="27"/>
        <v>0</v>
      </c>
      <c r="AE61" s="1537">
        <f t="shared" si="28"/>
        <v>0</v>
      </c>
      <c r="AF61" s="1536">
        <f t="shared" si="29"/>
        <v>0</v>
      </c>
      <c r="AH61" s="1537">
        <f t="shared" si="52"/>
        <v>1000</v>
      </c>
      <c r="AI61" s="1537">
        <f t="shared" si="38"/>
        <v>1000</v>
      </c>
      <c r="AJ61" s="1537">
        <f t="shared" si="39"/>
        <v>1000</v>
      </c>
      <c r="AK61" s="1537">
        <f t="shared" si="40"/>
        <v>1000</v>
      </c>
      <c r="AL61" s="1537">
        <f t="shared" si="41"/>
        <v>1000</v>
      </c>
      <c r="AM61" s="1537">
        <f t="shared" si="42"/>
        <v>1000</v>
      </c>
      <c r="AN61" s="1537">
        <f t="shared" si="43"/>
        <v>1000</v>
      </c>
      <c r="AO61" s="1537">
        <f t="shared" si="44"/>
        <v>1000</v>
      </c>
      <c r="AP61" s="1537">
        <f t="shared" si="45"/>
        <v>1000</v>
      </c>
      <c r="AQ61" s="1537">
        <f t="shared" si="46"/>
        <v>1000</v>
      </c>
      <c r="AR61" s="1537">
        <f t="shared" si="47"/>
        <v>1000</v>
      </c>
    </row>
    <row r="62" spans="1:44" s="1531" customFormat="1" ht="12" customHeight="1" x14ac:dyDescent="0.3">
      <c r="B62" s="1498"/>
      <c r="C62" s="1548" t="s">
        <v>2984</v>
      </c>
      <c r="D62" s="1549" t="s">
        <v>3021</v>
      </c>
      <c r="E62" s="1518">
        <v>5</v>
      </c>
      <c r="F62" s="1518">
        <f t="shared" si="48"/>
        <v>0</v>
      </c>
      <c r="G62" s="1532">
        <f t="shared" si="49"/>
        <v>0</v>
      </c>
      <c r="H62" s="1533">
        <f t="shared" si="50"/>
        <v>0</v>
      </c>
      <c r="I62" s="1534">
        <f t="shared" si="32"/>
        <v>0.2</v>
      </c>
      <c r="J62" s="1519">
        <v>1327000</v>
      </c>
      <c r="K62" s="1519">
        <v>1282766.6666666667</v>
      </c>
      <c r="L62" s="1526"/>
      <c r="M62" s="1526"/>
      <c r="N62" s="1519">
        <f t="shared" si="33"/>
        <v>44233</v>
      </c>
      <c r="O62" s="1526"/>
      <c r="P62" s="1526"/>
      <c r="Q62" s="1519">
        <v>43233</v>
      </c>
      <c r="R62" s="1519">
        <f t="shared" si="34"/>
        <v>1327000</v>
      </c>
      <c r="S62" s="1519">
        <f t="shared" si="35"/>
        <v>1000</v>
      </c>
      <c r="T62" s="1519">
        <f t="shared" si="19"/>
        <v>0.33333333325572312</v>
      </c>
      <c r="U62" s="1535">
        <f t="shared" si="36"/>
        <v>0</v>
      </c>
      <c r="V62" s="1537">
        <f t="shared" si="51"/>
        <v>43233</v>
      </c>
      <c r="W62" s="1519">
        <f t="shared" si="37"/>
        <v>0</v>
      </c>
      <c r="X62" s="1537">
        <f t="shared" si="21"/>
        <v>0</v>
      </c>
      <c r="Y62" s="1537">
        <f t="shared" si="22"/>
        <v>0</v>
      </c>
      <c r="Z62" s="1537">
        <f t="shared" si="23"/>
        <v>0</v>
      </c>
      <c r="AA62" s="1537">
        <f t="shared" si="24"/>
        <v>0</v>
      </c>
      <c r="AB62" s="1537">
        <f t="shared" si="25"/>
        <v>0</v>
      </c>
      <c r="AC62" s="1537">
        <f t="shared" si="26"/>
        <v>0</v>
      </c>
      <c r="AD62" s="1537">
        <f t="shared" si="27"/>
        <v>0</v>
      </c>
      <c r="AE62" s="1537">
        <f t="shared" si="28"/>
        <v>0</v>
      </c>
      <c r="AF62" s="1536">
        <f t="shared" si="29"/>
        <v>0</v>
      </c>
      <c r="AH62" s="1537">
        <f t="shared" si="52"/>
        <v>1000</v>
      </c>
      <c r="AI62" s="1537">
        <f t="shared" si="38"/>
        <v>1000</v>
      </c>
      <c r="AJ62" s="1537">
        <f t="shared" si="39"/>
        <v>1000</v>
      </c>
      <c r="AK62" s="1537">
        <f t="shared" si="40"/>
        <v>1000</v>
      </c>
      <c r="AL62" s="1537">
        <f t="shared" si="41"/>
        <v>1000</v>
      </c>
      <c r="AM62" s="1537">
        <f t="shared" si="42"/>
        <v>1000</v>
      </c>
      <c r="AN62" s="1537">
        <f t="shared" si="43"/>
        <v>1000</v>
      </c>
      <c r="AO62" s="1537">
        <f t="shared" si="44"/>
        <v>1000</v>
      </c>
      <c r="AP62" s="1537">
        <f t="shared" si="45"/>
        <v>1000</v>
      </c>
      <c r="AQ62" s="1537">
        <f t="shared" si="46"/>
        <v>1000</v>
      </c>
      <c r="AR62" s="1537">
        <f t="shared" si="47"/>
        <v>1000</v>
      </c>
    </row>
    <row r="63" spans="1:44" s="1531" customFormat="1" ht="12" customHeight="1" x14ac:dyDescent="0.3">
      <c r="A63" s="1531" t="s">
        <v>3796</v>
      </c>
      <c r="B63" s="1498"/>
      <c r="C63" s="1548" t="s">
        <v>2985</v>
      </c>
      <c r="D63" s="1549" t="s">
        <v>3022</v>
      </c>
      <c r="E63" s="1518">
        <v>5</v>
      </c>
      <c r="F63" s="1518">
        <f t="shared" si="48"/>
        <v>0</v>
      </c>
      <c r="G63" s="1532">
        <f t="shared" si="49"/>
        <v>0</v>
      </c>
      <c r="H63" s="1533">
        <f t="shared" si="50"/>
        <v>0</v>
      </c>
      <c r="I63" s="1534">
        <f t="shared" si="32"/>
        <v>0.2</v>
      </c>
      <c r="J63" s="1519">
        <v>1065000</v>
      </c>
      <c r="K63" s="1519">
        <v>994000</v>
      </c>
      <c r="L63" s="1526"/>
      <c r="M63" s="1526"/>
      <c r="N63" s="1519">
        <f t="shared" si="33"/>
        <v>71000</v>
      </c>
      <c r="O63" s="1526"/>
      <c r="P63" s="1526"/>
      <c r="Q63" s="1519">
        <v>70000</v>
      </c>
      <c r="R63" s="1519">
        <f t="shared" si="34"/>
        <v>1065000</v>
      </c>
      <c r="S63" s="1519">
        <f t="shared" si="35"/>
        <v>1000</v>
      </c>
      <c r="T63" s="1519">
        <f t="shared" si="19"/>
        <v>0</v>
      </c>
      <c r="U63" s="1535">
        <f t="shared" si="36"/>
        <v>0</v>
      </c>
      <c r="V63" s="1537">
        <f t="shared" si="51"/>
        <v>70000</v>
      </c>
      <c r="W63" s="1519">
        <f t="shared" si="37"/>
        <v>0</v>
      </c>
      <c r="X63" s="1537">
        <f t="shared" si="21"/>
        <v>0</v>
      </c>
      <c r="Y63" s="1537">
        <f t="shared" si="22"/>
        <v>0</v>
      </c>
      <c r="Z63" s="1537">
        <f t="shared" si="23"/>
        <v>0</v>
      </c>
      <c r="AA63" s="1537">
        <f t="shared" si="24"/>
        <v>0</v>
      </c>
      <c r="AB63" s="1537">
        <f t="shared" si="25"/>
        <v>0</v>
      </c>
      <c r="AC63" s="1537">
        <f t="shared" si="26"/>
        <v>0</v>
      </c>
      <c r="AD63" s="1537">
        <f t="shared" si="27"/>
        <v>0</v>
      </c>
      <c r="AE63" s="1537">
        <f t="shared" si="28"/>
        <v>0</v>
      </c>
      <c r="AF63" s="1536">
        <f t="shared" si="29"/>
        <v>0</v>
      </c>
      <c r="AH63" s="1537">
        <f t="shared" si="52"/>
        <v>1000</v>
      </c>
      <c r="AI63" s="1537">
        <f t="shared" si="38"/>
        <v>1000</v>
      </c>
      <c r="AJ63" s="1537">
        <f t="shared" si="39"/>
        <v>1000</v>
      </c>
      <c r="AK63" s="1537">
        <f t="shared" si="40"/>
        <v>1000</v>
      </c>
      <c r="AL63" s="1537">
        <f t="shared" si="41"/>
        <v>1000</v>
      </c>
      <c r="AM63" s="1537">
        <f t="shared" si="42"/>
        <v>1000</v>
      </c>
      <c r="AN63" s="1537">
        <f t="shared" si="43"/>
        <v>1000</v>
      </c>
      <c r="AO63" s="1537">
        <f t="shared" si="44"/>
        <v>1000</v>
      </c>
      <c r="AP63" s="1537">
        <f t="shared" si="45"/>
        <v>1000</v>
      </c>
      <c r="AQ63" s="1537">
        <f t="shared" si="46"/>
        <v>1000</v>
      </c>
      <c r="AR63" s="1537">
        <f t="shared" si="47"/>
        <v>1000</v>
      </c>
    </row>
    <row r="64" spans="1:44" s="1531" customFormat="1" ht="12" customHeight="1" x14ac:dyDescent="0.3">
      <c r="A64" s="1531" t="s">
        <v>3796</v>
      </c>
      <c r="B64" s="1498"/>
      <c r="C64" s="1548" t="s">
        <v>2986</v>
      </c>
      <c r="D64" s="1549" t="s">
        <v>3023</v>
      </c>
      <c r="E64" s="1518">
        <v>5</v>
      </c>
      <c r="F64" s="1518">
        <f t="shared" si="48"/>
        <v>0</v>
      </c>
      <c r="G64" s="1532">
        <f t="shared" si="49"/>
        <v>0</v>
      </c>
      <c r="H64" s="1533">
        <f t="shared" si="50"/>
        <v>0</v>
      </c>
      <c r="I64" s="1534">
        <f t="shared" si="32"/>
        <v>0.2</v>
      </c>
      <c r="J64" s="1519">
        <v>164333000</v>
      </c>
      <c r="K64" s="1519">
        <v>150590707</v>
      </c>
      <c r="L64" s="1526"/>
      <c r="M64" s="1526"/>
      <c r="N64" s="1519">
        <f t="shared" si="33"/>
        <v>13742293</v>
      </c>
      <c r="O64" s="1526"/>
      <c r="P64" s="1526"/>
      <c r="Q64" s="1519">
        <v>13741293</v>
      </c>
      <c r="R64" s="1519">
        <f t="shared" si="34"/>
        <v>164333000</v>
      </c>
      <c r="S64" s="1519">
        <f t="shared" si="35"/>
        <v>1000</v>
      </c>
      <c r="T64" s="1519">
        <f t="shared" si="19"/>
        <v>0</v>
      </c>
      <c r="U64" s="1535">
        <f t="shared" si="36"/>
        <v>0</v>
      </c>
      <c r="V64" s="1537">
        <f t="shared" si="51"/>
        <v>13741293</v>
      </c>
      <c r="W64" s="1519">
        <f t="shared" si="37"/>
        <v>0</v>
      </c>
      <c r="X64" s="1537">
        <f t="shared" si="21"/>
        <v>0</v>
      </c>
      <c r="Y64" s="1537">
        <f t="shared" si="22"/>
        <v>0</v>
      </c>
      <c r="Z64" s="1537">
        <f t="shared" si="23"/>
        <v>0</v>
      </c>
      <c r="AA64" s="1537">
        <f t="shared" si="24"/>
        <v>0</v>
      </c>
      <c r="AB64" s="1537">
        <f t="shared" si="25"/>
        <v>0</v>
      </c>
      <c r="AC64" s="1537">
        <f t="shared" si="26"/>
        <v>0</v>
      </c>
      <c r="AD64" s="1537">
        <f t="shared" si="27"/>
        <v>0</v>
      </c>
      <c r="AE64" s="1537">
        <f t="shared" si="28"/>
        <v>0</v>
      </c>
      <c r="AF64" s="1536">
        <f t="shared" si="29"/>
        <v>0</v>
      </c>
      <c r="AH64" s="1537">
        <f t="shared" si="52"/>
        <v>1000</v>
      </c>
      <c r="AI64" s="1537">
        <f t="shared" si="38"/>
        <v>1000</v>
      </c>
      <c r="AJ64" s="1537">
        <f t="shared" si="39"/>
        <v>1000</v>
      </c>
      <c r="AK64" s="1537">
        <f t="shared" si="40"/>
        <v>1000</v>
      </c>
      <c r="AL64" s="1537">
        <f t="shared" si="41"/>
        <v>1000</v>
      </c>
      <c r="AM64" s="1537">
        <f t="shared" si="42"/>
        <v>1000</v>
      </c>
      <c r="AN64" s="1537">
        <f t="shared" si="43"/>
        <v>1000</v>
      </c>
      <c r="AO64" s="1537">
        <f t="shared" si="44"/>
        <v>1000</v>
      </c>
      <c r="AP64" s="1537">
        <f t="shared" si="45"/>
        <v>1000</v>
      </c>
      <c r="AQ64" s="1537">
        <f t="shared" si="46"/>
        <v>1000</v>
      </c>
      <c r="AR64" s="1537">
        <f t="shared" si="47"/>
        <v>1000</v>
      </c>
    </row>
    <row r="65" spans="1:44" s="1531" customFormat="1" ht="12" customHeight="1" x14ac:dyDescent="0.3">
      <c r="B65" s="1498"/>
      <c r="C65" s="1548" t="s">
        <v>2987</v>
      </c>
      <c r="D65" s="1549" t="s">
        <v>3024</v>
      </c>
      <c r="E65" s="1518">
        <v>5</v>
      </c>
      <c r="F65" s="1518">
        <f t="shared" si="48"/>
        <v>0</v>
      </c>
      <c r="G65" s="1532">
        <f t="shared" si="49"/>
        <v>0</v>
      </c>
      <c r="H65" s="1533">
        <f t="shared" si="50"/>
        <v>0</v>
      </c>
      <c r="I65" s="1534">
        <f t="shared" si="32"/>
        <v>0.2</v>
      </c>
      <c r="J65" s="1519">
        <v>11200000</v>
      </c>
      <c r="K65" s="1519">
        <v>10266666.666666666</v>
      </c>
      <c r="L65" s="1526"/>
      <c r="M65" s="1526"/>
      <c r="N65" s="1519">
        <f t="shared" si="33"/>
        <v>933333</v>
      </c>
      <c r="O65" s="1526"/>
      <c r="P65" s="1526"/>
      <c r="Q65" s="1519">
        <v>932333.33333333395</v>
      </c>
      <c r="R65" s="1519">
        <f t="shared" si="34"/>
        <v>11200000</v>
      </c>
      <c r="S65" s="1519">
        <f t="shared" si="35"/>
        <v>1000</v>
      </c>
      <c r="T65" s="1519">
        <f t="shared" si="19"/>
        <v>0</v>
      </c>
      <c r="U65" s="1535">
        <f t="shared" si="36"/>
        <v>0</v>
      </c>
      <c r="V65" s="1537">
        <f t="shared" si="51"/>
        <v>932333.33333333395</v>
      </c>
      <c r="W65" s="1519">
        <f t="shared" si="37"/>
        <v>0</v>
      </c>
      <c r="X65" s="1537">
        <f t="shared" si="21"/>
        <v>0</v>
      </c>
      <c r="Y65" s="1537">
        <f t="shared" si="22"/>
        <v>0</v>
      </c>
      <c r="Z65" s="1537">
        <f t="shared" si="23"/>
        <v>0</v>
      </c>
      <c r="AA65" s="1537">
        <f t="shared" si="24"/>
        <v>0</v>
      </c>
      <c r="AB65" s="1537">
        <f t="shared" si="25"/>
        <v>0</v>
      </c>
      <c r="AC65" s="1537">
        <f t="shared" si="26"/>
        <v>0</v>
      </c>
      <c r="AD65" s="1537">
        <f t="shared" si="27"/>
        <v>0</v>
      </c>
      <c r="AE65" s="1537">
        <f t="shared" si="28"/>
        <v>0</v>
      </c>
      <c r="AF65" s="1536">
        <f t="shared" si="29"/>
        <v>0</v>
      </c>
      <c r="AH65" s="1537">
        <f t="shared" si="52"/>
        <v>1000</v>
      </c>
      <c r="AI65" s="1537">
        <f t="shared" si="38"/>
        <v>1000</v>
      </c>
      <c r="AJ65" s="1537">
        <f t="shared" si="39"/>
        <v>1000</v>
      </c>
      <c r="AK65" s="1537">
        <f t="shared" si="40"/>
        <v>1000</v>
      </c>
      <c r="AL65" s="1537">
        <f t="shared" si="41"/>
        <v>1000</v>
      </c>
      <c r="AM65" s="1537">
        <f t="shared" si="42"/>
        <v>1000</v>
      </c>
      <c r="AN65" s="1537">
        <f t="shared" si="43"/>
        <v>1000</v>
      </c>
      <c r="AO65" s="1537">
        <f t="shared" si="44"/>
        <v>1000</v>
      </c>
      <c r="AP65" s="1537">
        <f t="shared" si="45"/>
        <v>1000</v>
      </c>
      <c r="AQ65" s="1537">
        <f t="shared" si="46"/>
        <v>1000</v>
      </c>
      <c r="AR65" s="1537">
        <f t="shared" si="47"/>
        <v>1000</v>
      </c>
    </row>
    <row r="66" spans="1:44" s="1531" customFormat="1" ht="12" customHeight="1" x14ac:dyDescent="0.3">
      <c r="A66" s="1531" t="s">
        <v>3796</v>
      </c>
      <c r="B66" s="1498"/>
      <c r="C66" s="1548" t="s">
        <v>2988</v>
      </c>
      <c r="D66" s="1549" t="s">
        <v>3025</v>
      </c>
      <c r="E66" s="1518">
        <v>5</v>
      </c>
      <c r="F66" s="1518">
        <f t="shared" si="48"/>
        <v>0</v>
      </c>
      <c r="G66" s="1532">
        <f t="shared" si="49"/>
        <v>0</v>
      </c>
      <c r="H66" s="1533">
        <f t="shared" si="50"/>
        <v>0</v>
      </c>
      <c r="I66" s="1534">
        <f t="shared" si="32"/>
        <v>0.2</v>
      </c>
      <c r="J66" s="1519">
        <v>4899000</v>
      </c>
      <c r="K66" s="1519">
        <v>4000850</v>
      </c>
      <c r="L66" s="1526"/>
      <c r="M66" s="1526"/>
      <c r="N66" s="1519">
        <f t="shared" si="33"/>
        <v>898150</v>
      </c>
      <c r="O66" s="1526"/>
      <c r="P66" s="1526"/>
      <c r="Q66" s="1519">
        <v>898150</v>
      </c>
      <c r="R66" s="1519">
        <f t="shared" si="34"/>
        <v>4899000</v>
      </c>
      <c r="S66" s="1519">
        <f t="shared" si="35"/>
        <v>0</v>
      </c>
      <c r="T66" s="1519">
        <f t="shared" si="19"/>
        <v>0</v>
      </c>
      <c r="U66" s="1535">
        <f t="shared" si="36"/>
        <v>0</v>
      </c>
      <c r="V66" s="1537">
        <f t="shared" si="51"/>
        <v>898150</v>
      </c>
      <c r="W66" s="1519">
        <f t="shared" si="37"/>
        <v>0</v>
      </c>
      <c r="X66" s="1537">
        <f t="shared" si="21"/>
        <v>0</v>
      </c>
      <c r="Y66" s="1537">
        <f t="shared" si="22"/>
        <v>0</v>
      </c>
      <c r="Z66" s="1537">
        <f t="shared" si="23"/>
        <v>0</v>
      </c>
      <c r="AA66" s="1537">
        <f t="shared" si="24"/>
        <v>0</v>
      </c>
      <c r="AB66" s="1537">
        <f t="shared" si="25"/>
        <v>0</v>
      </c>
      <c r="AC66" s="1537">
        <f t="shared" si="26"/>
        <v>0</v>
      </c>
      <c r="AD66" s="1537">
        <f t="shared" si="27"/>
        <v>0</v>
      </c>
      <c r="AE66" s="1537">
        <f t="shared" si="28"/>
        <v>0</v>
      </c>
      <c r="AF66" s="1536">
        <f t="shared" si="29"/>
        <v>0</v>
      </c>
      <c r="AH66" s="1537">
        <f t="shared" si="52"/>
        <v>0</v>
      </c>
      <c r="AI66" s="1537">
        <f t="shared" si="38"/>
        <v>0</v>
      </c>
      <c r="AJ66" s="1537">
        <f t="shared" si="39"/>
        <v>0</v>
      </c>
      <c r="AK66" s="1537">
        <f t="shared" si="40"/>
        <v>0</v>
      </c>
      <c r="AL66" s="1537">
        <f t="shared" si="41"/>
        <v>0</v>
      </c>
      <c r="AM66" s="1537">
        <f t="shared" si="42"/>
        <v>0</v>
      </c>
      <c r="AN66" s="1537">
        <f t="shared" si="43"/>
        <v>0</v>
      </c>
      <c r="AO66" s="1537">
        <f t="shared" si="44"/>
        <v>0</v>
      </c>
      <c r="AP66" s="1537">
        <f t="shared" si="45"/>
        <v>0</v>
      </c>
      <c r="AQ66" s="1537">
        <f t="shared" si="46"/>
        <v>0</v>
      </c>
      <c r="AR66" s="1537">
        <f t="shared" si="47"/>
        <v>0</v>
      </c>
    </row>
    <row r="67" spans="1:44" s="1531" customFormat="1" ht="12" customHeight="1" x14ac:dyDescent="0.3">
      <c r="B67" s="1498"/>
      <c r="C67" s="1548" t="s">
        <v>2989</v>
      </c>
      <c r="D67" s="1549" t="s">
        <v>3026</v>
      </c>
      <c r="E67" s="1518">
        <v>5</v>
      </c>
      <c r="F67" s="1518">
        <f t="shared" si="48"/>
        <v>0</v>
      </c>
      <c r="G67" s="1532">
        <f t="shared" si="49"/>
        <v>0</v>
      </c>
      <c r="H67" s="1533">
        <f t="shared" si="50"/>
        <v>0</v>
      </c>
      <c r="I67" s="1534">
        <f t="shared" si="32"/>
        <v>0.2</v>
      </c>
      <c r="J67" s="1519">
        <v>36654000</v>
      </c>
      <c r="K67" s="1519">
        <v>29934100</v>
      </c>
      <c r="L67" s="1526"/>
      <c r="M67" s="1526"/>
      <c r="N67" s="1519">
        <f t="shared" si="33"/>
        <v>6719900</v>
      </c>
      <c r="O67" s="1526"/>
      <c r="P67" s="1526"/>
      <c r="Q67" s="1519">
        <v>6719900</v>
      </c>
      <c r="R67" s="1519">
        <f t="shared" si="34"/>
        <v>36654000</v>
      </c>
      <c r="S67" s="1519">
        <f t="shared" si="35"/>
        <v>0</v>
      </c>
      <c r="T67" s="1519">
        <f t="shared" si="19"/>
        <v>0</v>
      </c>
      <c r="U67" s="1535">
        <f t="shared" si="36"/>
        <v>0</v>
      </c>
      <c r="V67" s="1537">
        <f t="shared" si="51"/>
        <v>6719900</v>
      </c>
      <c r="W67" s="1519">
        <f t="shared" si="37"/>
        <v>0</v>
      </c>
      <c r="X67" s="1537">
        <f t="shared" si="21"/>
        <v>0</v>
      </c>
      <c r="Y67" s="1537">
        <f t="shared" si="22"/>
        <v>0</v>
      </c>
      <c r="Z67" s="1537">
        <f t="shared" si="23"/>
        <v>0</v>
      </c>
      <c r="AA67" s="1537">
        <f t="shared" si="24"/>
        <v>0</v>
      </c>
      <c r="AB67" s="1537">
        <f t="shared" si="25"/>
        <v>0</v>
      </c>
      <c r="AC67" s="1537">
        <f t="shared" si="26"/>
        <v>0</v>
      </c>
      <c r="AD67" s="1537">
        <f t="shared" si="27"/>
        <v>0</v>
      </c>
      <c r="AE67" s="1537">
        <f t="shared" si="28"/>
        <v>0</v>
      </c>
      <c r="AF67" s="1536">
        <f t="shared" si="29"/>
        <v>0</v>
      </c>
      <c r="AH67" s="1537">
        <f t="shared" si="52"/>
        <v>0</v>
      </c>
      <c r="AI67" s="1537">
        <f t="shared" si="38"/>
        <v>0</v>
      </c>
      <c r="AJ67" s="1537">
        <f t="shared" si="39"/>
        <v>0</v>
      </c>
      <c r="AK67" s="1537">
        <f t="shared" si="40"/>
        <v>0</v>
      </c>
      <c r="AL67" s="1537">
        <f t="shared" si="41"/>
        <v>0</v>
      </c>
      <c r="AM67" s="1537">
        <f t="shared" si="42"/>
        <v>0</v>
      </c>
      <c r="AN67" s="1537">
        <f t="shared" si="43"/>
        <v>0</v>
      </c>
      <c r="AO67" s="1537">
        <f t="shared" si="44"/>
        <v>0</v>
      </c>
      <c r="AP67" s="1537">
        <f t="shared" si="45"/>
        <v>0</v>
      </c>
      <c r="AQ67" s="1537">
        <f t="shared" si="46"/>
        <v>0</v>
      </c>
      <c r="AR67" s="1537">
        <f t="shared" si="47"/>
        <v>0</v>
      </c>
    </row>
    <row r="68" spans="1:44" s="1531" customFormat="1" ht="12" customHeight="1" x14ac:dyDescent="0.3">
      <c r="B68" s="1498"/>
      <c r="C68" s="1548" t="s">
        <v>2990</v>
      </c>
      <c r="D68" s="1549" t="s">
        <v>3027</v>
      </c>
      <c r="E68" s="1518">
        <v>5</v>
      </c>
      <c r="F68" s="1518">
        <f t="shared" si="48"/>
        <v>1</v>
      </c>
      <c r="G68" s="1532">
        <f t="shared" si="49"/>
        <v>0</v>
      </c>
      <c r="H68" s="1533">
        <f t="shared" si="50"/>
        <v>0</v>
      </c>
      <c r="I68" s="1534">
        <f t="shared" si="32"/>
        <v>0.2</v>
      </c>
      <c r="J68" s="1519">
        <v>28810000</v>
      </c>
      <c r="K68" s="1519">
        <v>21127333</v>
      </c>
      <c r="L68" s="1526"/>
      <c r="M68" s="1526"/>
      <c r="N68" s="1519">
        <f t="shared" si="33"/>
        <v>7682667</v>
      </c>
      <c r="O68" s="1526"/>
      <c r="P68" s="1526"/>
      <c r="Q68" s="1519">
        <v>5281833</v>
      </c>
      <c r="R68" s="1519">
        <f t="shared" si="34"/>
        <v>28810000</v>
      </c>
      <c r="S68" s="1519">
        <f t="shared" si="35"/>
        <v>2400834</v>
      </c>
      <c r="T68" s="1519">
        <f t="shared" si="19"/>
        <v>0</v>
      </c>
      <c r="U68" s="1535">
        <f t="shared" si="36"/>
        <v>480166.66666666663</v>
      </c>
      <c r="V68" s="1537">
        <f t="shared" si="51"/>
        <v>5761999.666666667</v>
      </c>
      <c r="W68" s="1519">
        <f t="shared" si="37"/>
        <v>1919667.3333333335</v>
      </c>
      <c r="X68" s="1537">
        <f t="shared" si="21"/>
        <v>0</v>
      </c>
      <c r="Y68" s="1537">
        <f t="shared" si="22"/>
        <v>0</v>
      </c>
      <c r="Z68" s="1537">
        <f t="shared" si="23"/>
        <v>0</v>
      </c>
      <c r="AA68" s="1537">
        <f t="shared" si="24"/>
        <v>0</v>
      </c>
      <c r="AB68" s="1537">
        <f t="shared" si="25"/>
        <v>0</v>
      </c>
      <c r="AC68" s="1537">
        <f t="shared" si="26"/>
        <v>0</v>
      </c>
      <c r="AD68" s="1537">
        <f t="shared" si="27"/>
        <v>0</v>
      </c>
      <c r="AE68" s="1537">
        <f t="shared" si="28"/>
        <v>0</v>
      </c>
      <c r="AF68" s="1536">
        <f t="shared" si="29"/>
        <v>0</v>
      </c>
      <c r="AH68" s="1537">
        <f t="shared" si="52"/>
        <v>1920667.3333333335</v>
      </c>
      <c r="AI68" s="1537">
        <f t="shared" si="38"/>
        <v>1000</v>
      </c>
      <c r="AJ68" s="1537">
        <f t="shared" si="39"/>
        <v>1000</v>
      </c>
      <c r="AK68" s="1537">
        <f t="shared" si="40"/>
        <v>1000</v>
      </c>
      <c r="AL68" s="1537">
        <f t="shared" si="41"/>
        <v>1000</v>
      </c>
      <c r="AM68" s="1537">
        <f t="shared" si="42"/>
        <v>1000</v>
      </c>
      <c r="AN68" s="1537">
        <f t="shared" si="43"/>
        <v>1000</v>
      </c>
      <c r="AO68" s="1537">
        <f t="shared" si="44"/>
        <v>1000</v>
      </c>
      <c r="AP68" s="1537">
        <f t="shared" si="45"/>
        <v>1000</v>
      </c>
      <c r="AQ68" s="1537">
        <f t="shared" si="46"/>
        <v>1000</v>
      </c>
      <c r="AR68" s="1537">
        <f t="shared" si="47"/>
        <v>1000</v>
      </c>
    </row>
    <row r="69" spans="1:44" s="1531" customFormat="1" ht="12" customHeight="1" x14ac:dyDescent="0.3">
      <c r="A69" s="1531" t="s">
        <v>3796</v>
      </c>
      <c r="B69" s="1498"/>
      <c r="C69" s="1548" t="s">
        <v>2991</v>
      </c>
      <c r="D69" s="1549" t="s">
        <v>3028</v>
      </c>
      <c r="E69" s="1518">
        <v>5</v>
      </c>
      <c r="F69" s="1518">
        <f t="shared" si="48"/>
        <v>1</v>
      </c>
      <c r="G69" s="1532">
        <f t="shared" si="49"/>
        <v>0</v>
      </c>
      <c r="H69" s="1533">
        <f t="shared" si="50"/>
        <v>0</v>
      </c>
      <c r="I69" s="1534">
        <f t="shared" si="32"/>
        <v>0.2</v>
      </c>
      <c r="J69" s="1519">
        <v>523060000</v>
      </c>
      <c r="K69" s="1519">
        <v>383577333</v>
      </c>
      <c r="L69" s="1526"/>
      <c r="M69" s="1526"/>
      <c r="N69" s="1519">
        <f t="shared" si="33"/>
        <v>139482667</v>
      </c>
      <c r="O69" s="1526"/>
      <c r="P69" s="1526"/>
      <c r="Q69" s="1519">
        <v>95894333</v>
      </c>
      <c r="R69" s="1519">
        <f t="shared" si="34"/>
        <v>523060000</v>
      </c>
      <c r="S69" s="1519">
        <f t="shared" si="35"/>
        <v>43588334</v>
      </c>
      <c r="T69" s="1519">
        <f t="shared" si="19"/>
        <v>0</v>
      </c>
      <c r="U69" s="1535">
        <f t="shared" si="36"/>
        <v>8717666.666666666</v>
      </c>
      <c r="V69" s="1537">
        <f t="shared" si="51"/>
        <v>104611999.66666667</v>
      </c>
      <c r="W69" s="1519">
        <f t="shared" si="37"/>
        <v>34869667.333333336</v>
      </c>
      <c r="X69" s="1537">
        <f t="shared" si="21"/>
        <v>0</v>
      </c>
      <c r="Y69" s="1537">
        <f t="shared" si="22"/>
        <v>0</v>
      </c>
      <c r="Z69" s="1537">
        <f t="shared" si="23"/>
        <v>0</v>
      </c>
      <c r="AA69" s="1537">
        <f t="shared" si="24"/>
        <v>0</v>
      </c>
      <c r="AB69" s="1537">
        <f t="shared" si="25"/>
        <v>0</v>
      </c>
      <c r="AC69" s="1537">
        <f t="shared" si="26"/>
        <v>0</v>
      </c>
      <c r="AD69" s="1537">
        <f t="shared" si="27"/>
        <v>0</v>
      </c>
      <c r="AE69" s="1537">
        <f t="shared" si="28"/>
        <v>0</v>
      </c>
      <c r="AF69" s="1536">
        <f t="shared" si="29"/>
        <v>0</v>
      </c>
      <c r="AH69" s="1537">
        <f t="shared" si="52"/>
        <v>34870667.333333336</v>
      </c>
      <c r="AI69" s="1537">
        <f t="shared" si="38"/>
        <v>1000</v>
      </c>
      <c r="AJ69" s="1537">
        <f t="shared" si="39"/>
        <v>1000</v>
      </c>
      <c r="AK69" s="1537">
        <f t="shared" si="40"/>
        <v>1000</v>
      </c>
      <c r="AL69" s="1537">
        <f t="shared" si="41"/>
        <v>1000</v>
      </c>
      <c r="AM69" s="1537">
        <f t="shared" si="42"/>
        <v>1000</v>
      </c>
      <c r="AN69" s="1537">
        <f t="shared" si="43"/>
        <v>1000</v>
      </c>
      <c r="AO69" s="1537">
        <f t="shared" si="44"/>
        <v>1000</v>
      </c>
      <c r="AP69" s="1537">
        <f t="shared" si="45"/>
        <v>1000</v>
      </c>
      <c r="AQ69" s="1537">
        <f t="shared" si="46"/>
        <v>1000</v>
      </c>
      <c r="AR69" s="1537">
        <f t="shared" si="47"/>
        <v>1000</v>
      </c>
    </row>
    <row r="70" spans="1:44" s="1531" customFormat="1" ht="12" customHeight="1" x14ac:dyDescent="0.3">
      <c r="A70" s="1531" t="s">
        <v>3796</v>
      </c>
      <c r="B70" s="1498"/>
      <c r="C70" s="1548" t="s">
        <v>2992</v>
      </c>
      <c r="D70" s="1549" t="s">
        <v>3029</v>
      </c>
      <c r="E70" s="1518">
        <v>5</v>
      </c>
      <c r="F70" s="1518">
        <f t="shared" si="48"/>
        <v>2</v>
      </c>
      <c r="G70" s="1532">
        <f t="shared" si="49"/>
        <v>0</v>
      </c>
      <c r="H70" s="1533">
        <f t="shared" si="50"/>
        <v>0</v>
      </c>
      <c r="I70" s="1534">
        <f t="shared" si="32"/>
        <v>0.2</v>
      </c>
      <c r="J70" s="1519">
        <v>100810000</v>
      </c>
      <c r="K70" s="1519">
        <v>60486000</v>
      </c>
      <c r="L70" s="1526"/>
      <c r="M70" s="1526"/>
      <c r="N70" s="1519">
        <f t="shared" si="33"/>
        <v>40324000</v>
      </c>
      <c r="O70" s="1526"/>
      <c r="P70" s="1526"/>
      <c r="Q70" s="1519">
        <v>18481833</v>
      </c>
      <c r="R70" s="1519">
        <f t="shared" si="34"/>
        <v>100810000</v>
      </c>
      <c r="S70" s="1519">
        <f t="shared" si="35"/>
        <v>21842167</v>
      </c>
      <c r="T70" s="1519">
        <f t="shared" si="19"/>
        <v>0</v>
      </c>
      <c r="U70" s="1535">
        <f t="shared" si="36"/>
        <v>1680166.6666666665</v>
      </c>
      <c r="V70" s="1537">
        <f t="shared" si="51"/>
        <v>20161999.666666668</v>
      </c>
      <c r="W70" s="1519">
        <f t="shared" si="37"/>
        <v>20161000.333333332</v>
      </c>
      <c r="X70" s="1537">
        <f t="shared" si="21"/>
        <v>0</v>
      </c>
      <c r="Y70" s="1537">
        <f t="shared" si="22"/>
        <v>0</v>
      </c>
      <c r="Z70" s="1537">
        <f t="shared" si="23"/>
        <v>0</v>
      </c>
      <c r="AA70" s="1537">
        <f t="shared" si="24"/>
        <v>0</v>
      </c>
      <c r="AB70" s="1537">
        <f t="shared" si="25"/>
        <v>0</v>
      </c>
      <c r="AC70" s="1537">
        <f t="shared" si="26"/>
        <v>0</v>
      </c>
      <c r="AD70" s="1537">
        <f t="shared" si="27"/>
        <v>0</v>
      </c>
      <c r="AE70" s="1537">
        <f t="shared" si="28"/>
        <v>0</v>
      </c>
      <c r="AF70" s="1536">
        <f t="shared" si="29"/>
        <v>0</v>
      </c>
      <c r="AH70" s="1537">
        <f t="shared" si="52"/>
        <v>20162000.333333332</v>
      </c>
      <c r="AI70" s="1537">
        <f t="shared" si="38"/>
        <v>1000</v>
      </c>
      <c r="AJ70" s="1537">
        <f t="shared" si="39"/>
        <v>1000</v>
      </c>
      <c r="AK70" s="1537">
        <f t="shared" si="40"/>
        <v>1000</v>
      </c>
      <c r="AL70" s="1537">
        <f t="shared" si="41"/>
        <v>1000</v>
      </c>
      <c r="AM70" s="1537">
        <f t="shared" si="42"/>
        <v>1000</v>
      </c>
      <c r="AN70" s="1537">
        <f t="shared" si="43"/>
        <v>1000</v>
      </c>
      <c r="AO70" s="1537">
        <f t="shared" si="44"/>
        <v>1000</v>
      </c>
      <c r="AP70" s="1537">
        <f t="shared" si="45"/>
        <v>1000</v>
      </c>
      <c r="AQ70" s="1537">
        <f t="shared" si="46"/>
        <v>1000</v>
      </c>
      <c r="AR70" s="1537">
        <f t="shared" si="47"/>
        <v>1000</v>
      </c>
    </row>
    <row r="71" spans="1:44" s="1531" customFormat="1" ht="12" customHeight="1" x14ac:dyDescent="0.3">
      <c r="A71" s="1531" t="s">
        <v>3796</v>
      </c>
      <c r="B71" s="1498"/>
      <c r="C71" s="1548" t="s">
        <v>2993</v>
      </c>
      <c r="D71" s="1549" t="s">
        <v>3030</v>
      </c>
      <c r="E71" s="1518">
        <v>5</v>
      </c>
      <c r="F71" s="1518">
        <f t="shared" si="48"/>
        <v>2</v>
      </c>
      <c r="G71" s="1532">
        <f t="shared" si="49"/>
        <v>0</v>
      </c>
      <c r="H71" s="1533">
        <f t="shared" si="50"/>
        <v>0</v>
      </c>
      <c r="I71" s="1534">
        <f t="shared" si="32"/>
        <v>0.2</v>
      </c>
      <c r="J71" s="1519">
        <v>3000000</v>
      </c>
      <c r="K71" s="1519">
        <v>1750000</v>
      </c>
      <c r="L71" s="1526"/>
      <c r="M71" s="1526"/>
      <c r="N71" s="1519">
        <f t="shared" si="33"/>
        <v>1250000</v>
      </c>
      <c r="O71" s="1526"/>
      <c r="P71" s="1526"/>
      <c r="Q71" s="1519">
        <v>550000</v>
      </c>
      <c r="R71" s="1519">
        <f t="shared" si="34"/>
        <v>3000000</v>
      </c>
      <c r="S71" s="1519">
        <f t="shared" si="35"/>
        <v>700000</v>
      </c>
      <c r="T71" s="1519">
        <f t="shared" si="19"/>
        <v>0</v>
      </c>
      <c r="U71" s="1535">
        <f t="shared" si="36"/>
        <v>50000</v>
      </c>
      <c r="V71" s="1537">
        <f t="shared" si="51"/>
        <v>600000</v>
      </c>
      <c r="W71" s="1519">
        <f t="shared" si="37"/>
        <v>600000</v>
      </c>
      <c r="X71" s="1537">
        <f t="shared" si="21"/>
        <v>49000</v>
      </c>
      <c r="Y71" s="1537">
        <f t="shared" si="22"/>
        <v>0</v>
      </c>
      <c r="Z71" s="1537">
        <f t="shared" si="23"/>
        <v>0</v>
      </c>
      <c r="AA71" s="1537">
        <f t="shared" si="24"/>
        <v>0</v>
      </c>
      <c r="AB71" s="1537">
        <f t="shared" si="25"/>
        <v>0</v>
      </c>
      <c r="AC71" s="1537">
        <f t="shared" si="26"/>
        <v>0</v>
      </c>
      <c r="AD71" s="1537">
        <f t="shared" si="27"/>
        <v>0</v>
      </c>
      <c r="AE71" s="1537">
        <f t="shared" si="28"/>
        <v>0</v>
      </c>
      <c r="AF71" s="1536">
        <f t="shared" si="29"/>
        <v>0</v>
      </c>
      <c r="AH71" s="1537">
        <f t="shared" si="52"/>
        <v>650000</v>
      </c>
      <c r="AI71" s="1537">
        <f t="shared" si="38"/>
        <v>50000</v>
      </c>
      <c r="AJ71" s="1537">
        <f t="shared" si="39"/>
        <v>1000</v>
      </c>
      <c r="AK71" s="1537">
        <f t="shared" si="40"/>
        <v>1000</v>
      </c>
      <c r="AL71" s="1537">
        <f t="shared" si="41"/>
        <v>1000</v>
      </c>
      <c r="AM71" s="1537">
        <f t="shared" si="42"/>
        <v>1000</v>
      </c>
      <c r="AN71" s="1537">
        <f t="shared" si="43"/>
        <v>1000</v>
      </c>
      <c r="AO71" s="1537">
        <f t="shared" si="44"/>
        <v>1000</v>
      </c>
      <c r="AP71" s="1537">
        <f t="shared" si="45"/>
        <v>1000</v>
      </c>
      <c r="AQ71" s="1537">
        <f t="shared" si="46"/>
        <v>1000</v>
      </c>
      <c r="AR71" s="1537">
        <f t="shared" si="47"/>
        <v>1000</v>
      </c>
    </row>
    <row r="72" spans="1:44" s="1531" customFormat="1" ht="12" customHeight="1" x14ac:dyDescent="0.3">
      <c r="A72" s="1531" t="s">
        <v>3796</v>
      </c>
      <c r="B72" s="1498"/>
      <c r="C72" s="1548" t="s">
        <v>2994</v>
      </c>
      <c r="D72" s="1549" t="s">
        <v>3031</v>
      </c>
      <c r="E72" s="1518">
        <v>5</v>
      </c>
      <c r="F72" s="1518">
        <f t="shared" si="48"/>
        <v>2</v>
      </c>
      <c r="G72" s="1532">
        <f t="shared" si="49"/>
        <v>0</v>
      </c>
      <c r="H72" s="1533">
        <f t="shared" si="50"/>
        <v>0</v>
      </c>
      <c r="I72" s="1534">
        <f t="shared" si="32"/>
        <v>0.2</v>
      </c>
      <c r="J72" s="1519">
        <v>120000000</v>
      </c>
      <c r="K72" s="1519">
        <v>54000000</v>
      </c>
      <c r="L72" s="1526"/>
      <c r="M72" s="1526"/>
      <c r="N72" s="1519">
        <f t="shared" si="33"/>
        <v>66000000</v>
      </c>
      <c r="O72" s="1526"/>
      <c r="P72" s="1526"/>
      <c r="Q72" s="1519">
        <v>22000000</v>
      </c>
      <c r="R72" s="1519">
        <f t="shared" si="34"/>
        <v>120000000</v>
      </c>
      <c r="S72" s="1519">
        <f t="shared" si="35"/>
        <v>44000000</v>
      </c>
      <c r="T72" s="1519">
        <f t="shared" si="19"/>
        <v>0</v>
      </c>
      <c r="U72" s="1535">
        <f t="shared" si="36"/>
        <v>2000000</v>
      </c>
      <c r="V72" s="1537">
        <f t="shared" si="51"/>
        <v>24000000</v>
      </c>
      <c r="W72" s="1519">
        <f t="shared" si="37"/>
        <v>24000000</v>
      </c>
      <c r="X72" s="1537">
        <f t="shared" si="21"/>
        <v>17999000</v>
      </c>
      <c r="Y72" s="1537">
        <f t="shared" si="22"/>
        <v>0</v>
      </c>
      <c r="Z72" s="1537">
        <f t="shared" si="23"/>
        <v>0</v>
      </c>
      <c r="AA72" s="1537">
        <f t="shared" si="24"/>
        <v>0</v>
      </c>
      <c r="AB72" s="1537">
        <f t="shared" si="25"/>
        <v>0</v>
      </c>
      <c r="AC72" s="1537">
        <f t="shared" si="26"/>
        <v>0</v>
      </c>
      <c r="AD72" s="1537">
        <f t="shared" si="27"/>
        <v>0</v>
      </c>
      <c r="AE72" s="1537">
        <f t="shared" si="28"/>
        <v>0</v>
      </c>
      <c r="AF72" s="1536">
        <f t="shared" si="29"/>
        <v>0</v>
      </c>
      <c r="AH72" s="1537">
        <f t="shared" si="52"/>
        <v>42000000</v>
      </c>
      <c r="AI72" s="1537">
        <f t="shared" si="38"/>
        <v>18000000</v>
      </c>
      <c r="AJ72" s="1537">
        <f t="shared" si="39"/>
        <v>1000</v>
      </c>
      <c r="AK72" s="1537">
        <f t="shared" si="40"/>
        <v>1000</v>
      </c>
      <c r="AL72" s="1537">
        <f t="shared" si="41"/>
        <v>1000</v>
      </c>
      <c r="AM72" s="1537">
        <f t="shared" si="42"/>
        <v>1000</v>
      </c>
      <c r="AN72" s="1537">
        <f t="shared" si="43"/>
        <v>1000</v>
      </c>
      <c r="AO72" s="1537">
        <f t="shared" si="44"/>
        <v>1000</v>
      </c>
      <c r="AP72" s="1537">
        <f t="shared" si="45"/>
        <v>1000</v>
      </c>
      <c r="AQ72" s="1537">
        <f t="shared" si="46"/>
        <v>1000</v>
      </c>
      <c r="AR72" s="1537">
        <f t="shared" si="47"/>
        <v>1000</v>
      </c>
    </row>
    <row r="73" spans="1:44" s="1531" customFormat="1" ht="12" customHeight="1" x14ac:dyDescent="0.3">
      <c r="A73" s="1531" t="s">
        <v>3796</v>
      </c>
      <c r="B73" s="1498"/>
      <c r="C73" s="1548" t="s">
        <v>2995</v>
      </c>
      <c r="D73" s="1549" t="s">
        <v>3032</v>
      </c>
      <c r="E73" s="1518">
        <v>5</v>
      </c>
      <c r="F73" s="1518">
        <f t="shared" si="48"/>
        <v>3</v>
      </c>
      <c r="G73" s="1532">
        <f t="shared" si="49"/>
        <v>0</v>
      </c>
      <c r="H73" s="1533">
        <f t="shared" si="50"/>
        <v>0</v>
      </c>
      <c r="I73" s="1534">
        <f t="shared" si="32"/>
        <v>0.2</v>
      </c>
      <c r="J73" s="1519">
        <v>9000000</v>
      </c>
      <c r="K73" s="1519">
        <v>3150000</v>
      </c>
      <c r="L73" s="1526"/>
      <c r="M73" s="1526"/>
      <c r="N73" s="1519">
        <f t="shared" si="33"/>
        <v>5850000</v>
      </c>
      <c r="O73" s="1526"/>
      <c r="P73" s="1526"/>
      <c r="Q73" s="1519">
        <v>1650000</v>
      </c>
      <c r="R73" s="1519">
        <f t="shared" si="34"/>
        <v>9000000</v>
      </c>
      <c r="S73" s="1519">
        <f t="shared" si="35"/>
        <v>4200000</v>
      </c>
      <c r="T73" s="1519">
        <f t="shared" si="19"/>
        <v>0</v>
      </c>
      <c r="U73" s="1535">
        <f t="shared" si="36"/>
        <v>150000</v>
      </c>
      <c r="V73" s="1537">
        <f t="shared" si="51"/>
        <v>1800000</v>
      </c>
      <c r="W73" s="1519">
        <f t="shared" si="37"/>
        <v>1800000</v>
      </c>
      <c r="X73" s="1537">
        <f t="shared" si="21"/>
        <v>1800000</v>
      </c>
      <c r="Y73" s="1537">
        <f t="shared" si="22"/>
        <v>449000</v>
      </c>
      <c r="Z73" s="1537">
        <f t="shared" si="23"/>
        <v>0</v>
      </c>
      <c r="AA73" s="1537">
        <f t="shared" si="24"/>
        <v>0</v>
      </c>
      <c r="AB73" s="1537">
        <f t="shared" si="25"/>
        <v>0</v>
      </c>
      <c r="AC73" s="1537">
        <f t="shared" si="26"/>
        <v>0</v>
      </c>
      <c r="AD73" s="1537">
        <f t="shared" si="27"/>
        <v>0</v>
      </c>
      <c r="AE73" s="1537">
        <f t="shared" si="28"/>
        <v>0</v>
      </c>
      <c r="AF73" s="1536">
        <f t="shared" si="29"/>
        <v>0</v>
      </c>
      <c r="AH73" s="1537">
        <f t="shared" si="52"/>
        <v>4050000</v>
      </c>
      <c r="AI73" s="1537">
        <f t="shared" si="38"/>
        <v>2250000</v>
      </c>
      <c r="AJ73" s="1537">
        <f t="shared" si="39"/>
        <v>450000</v>
      </c>
      <c r="AK73" s="1537">
        <f t="shared" si="40"/>
        <v>1000</v>
      </c>
      <c r="AL73" s="1537">
        <f t="shared" si="41"/>
        <v>1000</v>
      </c>
      <c r="AM73" s="1537">
        <f t="shared" si="42"/>
        <v>1000</v>
      </c>
      <c r="AN73" s="1537">
        <f t="shared" si="43"/>
        <v>1000</v>
      </c>
      <c r="AO73" s="1537">
        <f t="shared" si="44"/>
        <v>1000</v>
      </c>
      <c r="AP73" s="1537">
        <f t="shared" si="45"/>
        <v>1000</v>
      </c>
      <c r="AQ73" s="1537">
        <f t="shared" si="46"/>
        <v>1000</v>
      </c>
      <c r="AR73" s="1537">
        <f t="shared" si="47"/>
        <v>1000</v>
      </c>
    </row>
    <row r="74" spans="1:44" s="1531" customFormat="1" ht="12" customHeight="1" x14ac:dyDescent="0.3">
      <c r="A74" s="1531" t="s">
        <v>3796</v>
      </c>
      <c r="B74" s="1526"/>
      <c r="C74" s="1548" t="s">
        <v>2996</v>
      </c>
      <c r="D74" s="1549" t="s">
        <v>3033</v>
      </c>
      <c r="E74" s="1518">
        <v>5</v>
      </c>
      <c r="F74" s="1518">
        <f t="shared" si="48"/>
        <v>3</v>
      </c>
      <c r="G74" s="1532">
        <f t="shared" si="49"/>
        <v>0</v>
      </c>
      <c r="H74" s="1533">
        <f t="shared" si="50"/>
        <v>0</v>
      </c>
      <c r="I74" s="1534">
        <f t="shared" si="32"/>
        <v>0.2</v>
      </c>
      <c r="J74" s="1519">
        <v>10700000</v>
      </c>
      <c r="K74" s="1519">
        <v>3388333</v>
      </c>
      <c r="L74" s="1526"/>
      <c r="M74" s="1526"/>
      <c r="N74" s="1519">
        <f t="shared" si="33"/>
        <v>7311667</v>
      </c>
      <c r="O74" s="1526"/>
      <c r="P74" s="1526"/>
      <c r="Q74" s="1519">
        <v>1961667</v>
      </c>
      <c r="R74" s="1519">
        <f t="shared" si="34"/>
        <v>10700000</v>
      </c>
      <c r="S74" s="1519">
        <f t="shared" si="35"/>
        <v>5350000</v>
      </c>
      <c r="T74" s="1519">
        <f t="shared" si="19"/>
        <v>0</v>
      </c>
      <c r="U74" s="1535">
        <f t="shared" si="36"/>
        <v>178333.33333333334</v>
      </c>
      <c r="V74" s="1537">
        <f t="shared" si="51"/>
        <v>2140000.3333333335</v>
      </c>
      <c r="W74" s="1519">
        <f t="shared" si="37"/>
        <v>2140000</v>
      </c>
      <c r="X74" s="1537">
        <f t="shared" si="21"/>
        <v>2140000</v>
      </c>
      <c r="Y74" s="1537">
        <f t="shared" si="22"/>
        <v>890666.66666666698</v>
      </c>
      <c r="Z74" s="1537">
        <f t="shared" si="23"/>
        <v>0</v>
      </c>
      <c r="AA74" s="1537">
        <f t="shared" si="24"/>
        <v>0</v>
      </c>
      <c r="AB74" s="1537">
        <f t="shared" si="25"/>
        <v>0</v>
      </c>
      <c r="AC74" s="1537">
        <f t="shared" si="26"/>
        <v>0</v>
      </c>
      <c r="AD74" s="1537">
        <f t="shared" si="27"/>
        <v>0</v>
      </c>
      <c r="AE74" s="1537">
        <f t="shared" si="28"/>
        <v>0</v>
      </c>
      <c r="AF74" s="1536">
        <f t="shared" si="29"/>
        <v>0</v>
      </c>
      <c r="AH74" s="1537">
        <f t="shared" si="52"/>
        <v>5171666.666666667</v>
      </c>
      <c r="AI74" s="1537">
        <f t="shared" si="38"/>
        <v>3031666.666666667</v>
      </c>
      <c r="AJ74" s="1537">
        <f t="shared" si="39"/>
        <v>891666.66666666698</v>
      </c>
      <c r="AK74" s="1537">
        <f t="shared" si="40"/>
        <v>1000</v>
      </c>
      <c r="AL74" s="1537">
        <f t="shared" si="41"/>
        <v>1000</v>
      </c>
      <c r="AM74" s="1537">
        <f t="shared" si="42"/>
        <v>1000</v>
      </c>
      <c r="AN74" s="1537">
        <f t="shared" si="43"/>
        <v>1000</v>
      </c>
      <c r="AO74" s="1537">
        <f t="shared" si="44"/>
        <v>1000</v>
      </c>
      <c r="AP74" s="1537">
        <f t="shared" si="45"/>
        <v>1000</v>
      </c>
      <c r="AQ74" s="1537">
        <f t="shared" si="46"/>
        <v>1000</v>
      </c>
      <c r="AR74" s="1537">
        <f t="shared" si="47"/>
        <v>1000</v>
      </c>
    </row>
    <row r="75" spans="1:44" s="1531" customFormat="1" ht="12" customHeight="1" x14ac:dyDescent="0.3">
      <c r="A75" s="1531" t="s">
        <v>3796</v>
      </c>
      <c r="B75" s="1526"/>
      <c r="C75" s="1548" t="s">
        <v>2997</v>
      </c>
      <c r="D75" s="1549" t="s">
        <v>3034</v>
      </c>
      <c r="E75" s="1518">
        <v>5</v>
      </c>
      <c r="F75" s="1518">
        <f t="shared" si="48"/>
        <v>4</v>
      </c>
      <c r="G75" s="1532">
        <f t="shared" si="49"/>
        <v>0</v>
      </c>
      <c r="H75" s="1533">
        <f t="shared" si="50"/>
        <v>0</v>
      </c>
      <c r="I75" s="1534">
        <f t="shared" si="32"/>
        <v>0.2</v>
      </c>
      <c r="J75" s="1519">
        <v>9320000</v>
      </c>
      <c r="K75" s="1519">
        <v>1864000</v>
      </c>
      <c r="L75" s="1526"/>
      <c r="M75" s="1526"/>
      <c r="N75" s="1519">
        <f t="shared" si="33"/>
        <v>7456000</v>
      </c>
      <c r="O75" s="1526"/>
      <c r="P75" s="1526"/>
      <c r="Q75" s="1519">
        <v>1708667</v>
      </c>
      <c r="R75" s="1519">
        <f t="shared" si="34"/>
        <v>9320000</v>
      </c>
      <c r="S75" s="1519">
        <f t="shared" si="35"/>
        <v>5747333</v>
      </c>
      <c r="T75" s="1519">
        <f t="shared" si="19"/>
        <v>0</v>
      </c>
      <c r="U75" s="1535">
        <f t="shared" si="36"/>
        <v>155333.33333333334</v>
      </c>
      <c r="V75" s="1537">
        <f t="shared" si="51"/>
        <v>1864000.3333333333</v>
      </c>
      <c r="W75" s="1519">
        <f t="shared" si="37"/>
        <v>1864000</v>
      </c>
      <c r="X75" s="1537">
        <f t="shared" si="21"/>
        <v>1864000</v>
      </c>
      <c r="Y75" s="1537">
        <f t="shared" si="22"/>
        <v>1862999.666666667</v>
      </c>
      <c r="Z75" s="1537">
        <f t="shared" si="23"/>
        <v>0</v>
      </c>
      <c r="AA75" s="1537">
        <f t="shared" si="24"/>
        <v>0</v>
      </c>
      <c r="AB75" s="1537">
        <f t="shared" si="25"/>
        <v>0</v>
      </c>
      <c r="AC75" s="1537">
        <f t="shared" si="26"/>
        <v>0</v>
      </c>
      <c r="AD75" s="1537">
        <f t="shared" si="27"/>
        <v>0</v>
      </c>
      <c r="AE75" s="1537">
        <f t="shared" si="28"/>
        <v>0</v>
      </c>
      <c r="AF75" s="1536">
        <f t="shared" si="29"/>
        <v>0</v>
      </c>
      <c r="AH75" s="1537">
        <f t="shared" si="52"/>
        <v>5591999.666666667</v>
      </c>
      <c r="AI75" s="1537">
        <f t="shared" si="38"/>
        <v>3727999.666666667</v>
      </c>
      <c r="AJ75" s="1537">
        <f t="shared" si="39"/>
        <v>1863999.666666667</v>
      </c>
      <c r="AK75" s="1537">
        <f t="shared" si="40"/>
        <v>1000</v>
      </c>
      <c r="AL75" s="1537">
        <f t="shared" si="41"/>
        <v>1000</v>
      </c>
      <c r="AM75" s="1537">
        <f t="shared" si="42"/>
        <v>1000</v>
      </c>
      <c r="AN75" s="1537">
        <f t="shared" si="43"/>
        <v>1000</v>
      </c>
      <c r="AO75" s="1537">
        <f t="shared" si="44"/>
        <v>1000</v>
      </c>
      <c r="AP75" s="1537">
        <f t="shared" si="45"/>
        <v>1000</v>
      </c>
      <c r="AQ75" s="1537">
        <f t="shared" si="46"/>
        <v>1000</v>
      </c>
      <c r="AR75" s="1537">
        <f t="shared" si="47"/>
        <v>1000</v>
      </c>
    </row>
    <row r="76" spans="1:44" s="1531" customFormat="1" ht="12" customHeight="1" x14ac:dyDescent="0.3">
      <c r="A76" s="1531" t="s">
        <v>3796</v>
      </c>
      <c r="B76" s="1526"/>
      <c r="C76" s="1548" t="s">
        <v>2998</v>
      </c>
      <c r="D76" s="1549" t="s">
        <v>3035</v>
      </c>
      <c r="E76" s="1518">
        <v>5</v>
      </c>
      <c r="F76" s="1518">
        <f t="shared" si="48"/>
        <v>4</v>
      </c>
      <c r="G76" s="1532">
        <f t="shared" si="49"/>
        <v>0</v>
      </c>
      <c r="H76" s="1533">
        <f t="shared" si="50"/>
        <v>0</v>
      </c>
      <c r="I76" s="1534">
        <f t="shared" si="32"/>
        <v>0.2</v>
      </c>
      <c r="J76" s="1519">
        <v>24736000</v>
      </c>
      <c r="K76" s="1519">
        <v>412267</v>
      </c>
      <c r="L76" s="1526"/>
      <c r="M76" s="1526"/>
      <c r="N76" s="1519">
        <f t="shared" si="33"/>
        <v>24323733</v>
      </c>
      <c r="O76" s="1526"/>
      <c r="P76" s="1526"/>
      <c r="Q76" s="1519">
        <v>4534933</v>
      </c>
      <c r="R76" s="1519">
        <f t="shared" si="34"/>
        <v>24736000</v>
      </c>
      <c r="S76" s="1519">
        <f t="shared" si="35"/>
        <v>19788800</v>
      </c>
      <c r="T76" s="1519">
        <f t="shared" si="19"/>
        <v>0</v>
      </c>
      <c r="U76" s="1535">
        <f t="shared" si="36"/>
        <v>412266.66666666669</v>
      </c>
      <c r="V76" s="1537">
        <f t="shared" si="51"/>
        <v>4947199.666666667</v>
      </c>
      <c r="W76" s="1519">
        <f t="shared" si="37"/>
        <v>4947200</v>
      </c>
      <c r="X76" s="1537">
        <f t="shared" si="21"/>
        <v>4947200</v>
      </c>
      <c r="Y76" s="1537">
        <f t="shared" si="22"/>
        <v>4947200</v>
      </c>
      <c r="Z76" s="1537">
        <f t="shared" si="23"/>
        <v>4533933.3333333321</v>
      </c>
      <c r="AA76" s="1537">
        <f t="shared" si="24"/>
        <v>0</v>
      </c>
      <c r="AB76" s="1537">
        <f t="shared" si="25"/>
        <v>0</v>
      </c>
      <c r="AC76" s="1537">
        <f t="shared" si="26"/>
        <v>0</v>
      </c>
      <c r="AD76" s="1537">
        <f t="shared" si="27"/>
        <v>0</v>
      </c>
      <c r="AE76" s="1537">
        <f t="shared" si="28"/>
        <v>0</v>
      </c>
      <c r="AF76" s="1536">
        <f t="shared" si="29"/>
        <v>0</v>
      </c>
      <c r="AH76" s="1537">
        <f t="shared" si="52"/>
        <v>19376533.333333332</v>
      </c>
      <c r="AI76" s="1537">
        <f t="shared" si="38"/>
        <v>14429333.333333332</v>
      </c>
      <c r="AJ76" s="1537">
        <f t="shared" si="39"/>
        <v>9482133.3333333321</v>
      </c>
      <c r="AK76" s="1537">
        <f t="shared" si="40"/>
        <v>4534933.3333333321</v>
      </c>
      <c r="AL76" s="1537">
        <f t="shared" si="41"/>
        <v>1000</v>
      </c>
      <c r="AM76" s="1537">
        <f t="shared" si="42"/>
        <v>1000</v>
      </c>
      <c r="AN76" s="1537">
        <f t="shared" si="43"/>
        <v>1000</v>
      </c>
      <c r="AO76" s="1537">
        <f t="shared" si="44"/>
        <v>1000</v>
      </c>
      <c r="AP76" s="1537">
        <f t="shared" si="45"/>
        <v>1000</v>
      </c>
      <c r="AQ76" s="1537">
        <f t="shared" si="46"/>
        <v>1000</v>
      </c>
      <c r="AR76" s="1537">
        <f t="shared" si="47"/>
        <v>1000</v>
      </c>
    </row>
    <row r="77" spans="1:44" s="1531" customFormat="1" ht="12" customHeight="1" x14ac:dyDescent="0.3">
      <c r="A77" s="1531" t="s">
        <v>3796</v>
      </c>
      <c r="B77" s="1526"/>
      <c r="C77" s="1548" t="s">
        <v>2999</v>
      </c>
      <c r="D77" s="1549" t="s">
        <v>3036</v>
      </c>
      <c r="E77" s="1518">
        <v>5</v>
      </c>
      <c r="F77" s="1518">
        <f t="shared" si="48"/>
        <v>5</v>
      </c>
      <c r="G77" s="1532">
        <f t="shared" si="49"/>
        <v>0</v>
      </c>
      <c r="H77" s="1533">
        <f t="shared" si="50"/>
        <v>0</v>
      </c>
      <c r="I77" s="1534">
        <f t="shared" si="32"/>
        <v>0.2</v>
      </c>
      <c r="J77" s="1519">
        <v>4500000</v>
      </c>
      <c r="K77" s="1519"/>
      <c r="L77" s="1526"/>
      <c r="M77" s="1526"/>
      <c r="N77" s="1519">
        <f t="shared" si="33"/>
        <v>4500000</v>
      </c>
      <c r="O77" s="1519"/>
      <c r="P77" s="1526"/>
      <c r="Q77" s="1519">
        <v>675000</v>
      </c>
      <c r="R77" s="1519">
        <f t="shared" si="34"/>
        <v>4500000</v>
      </c>
      <c r="S77" s="1519">
        <f t="shared" si="35"/>
        <v>3825000</v>
      </c>
      <c r="T77" s="1519">
        <f>J77-K77-L77+M77+O77-P77-Q77-S77</f>
        <v>0</v>
      </c>
      <c r="U77" s="1535">
        <f t="shared" si="36"/>
        <v>75000</v>
      </c>
      <c r="V77" s="1537">
        <f t="shared" si="51"/>
        <v>750000</v>
      </c>
      <c r="W77" s="1519">
        <f t="shared" si="37"/>
        <v>900000</v>
      </c>
      <c r="X77" s="1537">
        <f t="shared" si="21"/>
        <v>900000</v>
      </c>
      <c r="Y77" s="1537">
        <f t="shared" si="22"/>
        <v>900000</v>
      </c>
      <c r="Z77" s="1537">
        <f t="shared" si="23"/>
        <v>900000</v>
      </c>
      <c r="AA77" s="1537">
        <f t="shared" si="24"/>
        <v>149000</v>
      </c>
      <c r="AB77" s="1537">
        <f t="shared" si="25"/>
        <v>0</v>
      </c>
      <c r="AC77" s="1537">
        <f t="shared" si="26"/>
        <v>0</v>
      </c>
      <c r="AD77" s="1537">
        <f t="shared" si="27"/>
        <v>0</v>
      </c>
      <c r="AE77" s="1537">
        <f t="shared" si="28"/>
        <v>0</v>
      </c>
      <c r="AF77" s="1536">
        <f t="shared" si="29"/>
        <v>0</v>
      </c>
      <c r="AH77" s="1537">
        <f t="shared" si="52"/>
        <v>3750000</v>
      </c>
      <c r="AI77" s="1537">
        <f t="shared" si="38"/>
        <v>2850000</v>
      </c>
      <c r="AJ77" s="1537">
        <f t="shared" si="39"/>
        <v>1950000</v>
      </c>
      <c r="AK77" s="1537">
        <f t="shared" si="40"/>
        <v>1050000</v>
      </c>
      <c r="AL77" s="1537">
        <f t="shared" si="41"/>
        <v>150000</v>
      </c>
      <c r="AM77" s="1537">
        <f t="shared" si="42"/>
        <v>1000</v>
      </c>
      <c r="AN77" s="1537">
        <f t="shared" si="43"/>
        <v>1000</v>
      </c>
      <c r="AO77" s="1537">
        <f t="shared" si="44"/>
        <v>1000</v>
      </c>
      <c r="AP77" s="1537">
        <f t="shared" si="45"/>
        <v>1000</v>
      </c>
      <c r="AQ77" s="1537">
        <f t="shared" si="46"/>
        <v>1000</v>
      </c>
      <c r="AR77" s="1537">
        <f t="shared" si="47"/>
        <v>1000</v>
      </c>
    </row>
    <row r="78" spans="1:44" s="1531" customFormat="1" ht="12" customHeight="1" x14ac:dyDescent="0.3">
      <c r="A78" s="1531" t="s">
        <v>3796</v>
      </c>
      <c r="B78" s="1526"/>
      <c r="C78" s="1548" t="s">
        <v>3000</v>
      </c>
      <c r="D78" s="1549" t="s">
        <v>3037</v>
      </c>
      <c r="E78" s="1518">
        <v>5</v>
      </c>
      <c r="F78" s="1518">
        <f t="shared" si="48"/>
        <v>5</v>
      </c>
      <c r="G78" s="1532">
        <f t="shared" si="49"/>
        <v>0</v>
      </c>
      <c r="H78" s="1533">
        <f t="shared" si="50"/>
        <v>0</v>
      </c>
      <c r="I78" s="1534">
        <f t="shared" si="32"/>
        <v>0.2</v>
      </c>
      <c r="J78" s="1519">
        <v>6950000</v>
      </c>
      <c r="K78" s="1519"/>
      <c r="L78" s="1526"/>
      <c r="M78" s="1526"/>
      <c r="N78" s="1519">
        <f t="shared" si="33"/>
        <v>6950000</v>
      </c>
      <c r="O78" s="1519"/>
      <c r="P78" s="1526"/>
      <c r="Q78" s="1519">
        <v>810833</v>
      </c>
      <c r="R78" s="1519">
        <f t="shared" si="34"/>
        <v>6950000</v>
      </c>
      <c r="S78" s="1519">
        <f t="shared" si="35"/>
        <v>6139167</v>
      </c>
      <c r="T78" s="1519">
        <f>J78-K78-L78+M78+O78-P78-Q78-S78</f>
        <v>0</v>
      </c>
      <c r="U78" s="1535">
        <f t="shared" si="36"/>
        <v>115833.33333333333</v>
      </c>
      <c r="V78" s="1537">
        <f t="shared" si="51"/>
        <v>926666.33333333337</v>
      </c>
      <c r="W78" s="1519">
        <f t="shared" si="37"/>
        <v>1390000</v>
      </c>
      <c r="X78" s="1537">
        <f t="shared" si="21"/>
        <v>1390000</v>
      </c>
      <c r="Y78" s="1537">
        <f t="shared" si="22"/>
        <v>1390000</v>
      </c>
      <c r="Z78" s="1537">
        <f t="shared" si="23"/>
        <v>1390000</v>
      </c>
      <c r="AA78" s="1537">
        <f t="shared" si="24"/>
        <v>462333.66666666698</v>
      </c>
      <c r="AB78" s="1537">
        <f t="shared" si="25"/>
        <v>0</v>
      </c>
      <c r="AC78" s="1537">
        <f t="shared" si="26"/>
        <v>0</v>
      </c>
      <c r="AD78" s="1537">
        <f t="shared" si="27"/>
        <v>0</v>
      </c>
      <c r="AE78" s="1537">
        <f t="shared" si="28"/>
        <v>0</v>
      </c>
      <c r="AF78" s="1536">
        <f t="shared" si="29"/>
        <v>0</v>
      </c>
      <c r="AH78" s="1537">
        <f t="shared" si="52"/>
        <v>6023333.666666667</v>
      </c>
      <c r="AI78" s="1537">
        <f t="shared" si="38"/>
        <v>4633333.666666667</v>
      </c>
      <c r="AJ78" s="1537">
        <f t="shared" si="39"/>
        <v>3243333.666666667</v>
      </c>
      <c r="AK78" s="1537">
        <f t="shared" si="40"/>
        <v>1853333.666666667</v>
      </c>
      <c r="AL78" s="1537">
        <f t="shared" si="41"/>
        <v>463333.66666666698</v>
      </c>
      <c r="AM78" s="1537">
        <f t="shared" si="42"/>
        <v>1000</v>
      </c>
      <c r="AN78" s="1537">
        <f t="shared" si="43"/>
        <v>1000</v>
      </c>
      <c r="AO78" s="1537">
        <f t="shared" si="44"/>
        <v>1000</v>
      </c>
      <c r="AP78" s="1537">
        <f t="shared" si="45"/>
        <v>1000</v>
      </c>
      <c r="AQ78" s="1537">
        <f t="shared" si="46"/>
        <v>1000</v>
      </c>
      <c r="AR78" s="1537">
        <f t="shared" si="47"/>
        <v>1000</v>
      </c>
    </row>
    <row r="79" spans="1:44" s="1531" customFormat="1" ht="12" customHeight="1" x14ac:dyDescent="0.3">
      <c r="A79" s="1531" t="s">
        <v>3796</v>
      </c>
      <c r="B79" s="1526"/>
      <c r="C79" s="1548" t="s">
        <v>3001</v>
      </c>
      <c r="D79" s="1549" t="s">
        <v>3038</v>
      </c>
      <c r="E79" s="1518">
        <v>5</v>
      </c>
      <c r="F79" s="1518">
        <f t="shared" si="48"/>
        <v>5</v>
      </c>
      <c r="G79" s="1532">
        <f t="shared" si="49"/>
        <v>0</v>
      </c>
      <c r="H79" s="1533">
        <f t="shared" si="50"/>
        <v>0</v>
      </c>
      <c r="I79" s="1534">
        <f t="shared" si="32"/>
        <v>0.2</v>
      </c>
      <c r="J79" s="1519">
        <v>2240000</v>
      </c>
      <c r="K79" s="1519"/>
      <c r="L79" s="1526"/>
      <c r="M79" s="1526"/>
      <c r="N79" s="1519">
        <f t="shared" si="33"/>
        <v>2240000</v>
      </c>
      <c r="O79" s="1519"/>
      <c r="P79" s="1526"/>
      <c r="Q79" s="1519">
        <v>298667</v>
      </c>
      <c r="R79" s="1519">
        <f t="shared" si="34"/>
        <v>2240000</v>
      </c>
      <c r="S79" s="1519">
        <f t="shared" si="35"/>
        <v>1941333</v>
      </c>
      <c r="T79" s="1519">
        <f>J79-K79-L79+M79+O79-P79-Q79-S79</f>
        <v>0</v>
      </c>
      <c r="U79" s="1535">
        <f t="shared" si="36"/>
        <v>37333.333333333336</v>
      </c>
      <c r="V79" s="1537">
        <f t="shared" si="51"/>
        <v>336000.33333333331</v>
      </c>
      <c r="W79" s="1519">
        <f t="shared" si="37"/>
        <v>448000</v>
      </c>
      <c r="X79" s="1537">
        <f t="shared" si="21"/>
        <v>448000</v>
      </c>
      <c r="Y79" s="1537">
        <f t="shared" si="22"/>
        <v>448000</v>
      </c>
      <c r="Z79" s="1537">
        <f t="shared" si="23"/>
        <v>448000</v>
      </c>
      <c r="AA79" s="1537">
        <f t="shared" si="24"/>
        <v>110999.66666666674</v>
      </c>
      <c r="AB79" s="1537">
        <f t="shared" si="25"/>
        <v>0</v>
      </c>
      <c r="AC79" s="1537">
        <f t="shared" si="26"/>
        <v>0</v>
      </c>
      <c r="AD79" s="1537">
        <f t="shared" si="27"/>
        <v>0</v>
      </c>
      <c r="AE79" s="1537">
        <f t="shared" si="28"/>
        <v>0</v>
      </c>
      <c r="AF79" s="1536">
        <f t="shared" si="29"/>
        <v>0</v>
      </c>
      <c r="AH79" s="1537">
        <f t="shared" si="52"/>
        <v>1903999.6666666667</v>
      </c>
      <c r="AI79" s="1537">
        <f t="shared" si="38"/>
        <v>1455999.6666666667</v>
      </c>
      <c r="AJ79" s="1537">
        <f t="shared" si="39"/>
        <v>1007999.6666666667</v>
      </c>
      <c r="AK79" s="1537">
        <f t="shared" si="40"/>
        <v>559999.66666666674</v>
      </c>
      <c r="AL79" s="1537">
        <f t="shared" si="41"/>
        <v>111999.66666666674</v>
      </c>
      <c r="AM79" s="1537">
        <f t="shared" si="42"/>
        <v>1000</v>
      </c>
      <c r="AN79" s="1537">
        <f t="shared" si="43"/>
        <v>1000</v>
      </c>
      <c r="AO79" s="1537">
        <f t="shared" si="44"/>
        <v>1000</v>
      </c>
      <c r="AP79" s="1537">
        <f t="shared" si="45"/>
        <v>1000</v>
      </c>
      <c r="AQ79" s="1537">
        <f t="shared" si="46"/>
        <v>1000</v>
      </c>
      <c r="AR79" s="1537">
        <f t="shared" si="47"/>
        <v>1000</v>
      </c>
    </row>
    <row r="80" spans="1:44" s="1531" customFormat="1" ht="12" customHeight="1" x14ac:dyDescent="0.3">
      <c r="A80" s="1531" t="s">
        <v>3796</v>
      </c>
      <c r="B80" s="1526"/>
      <c r="C80" s="1548" t="s">
        <v>3002</v>
      </c>
      <c r="D80" s="1549" t="s">
        <v>3039</v>
      </c>
      <c r="E80" s="1518">
        <v>5</v>
      </c>
      <c r="F80" s="1518">
        <f t="shared" si="48"/>
        <v>5</v>
      </c>
      <c r="G80" s="1532">
        <f t="shared" si="49"/>
        <v>0</v>
      </c>
      <c r="H80" s="1533">
        <f t="shared" si="50"/>
        <v>0</v>
      </c>
      <c r="I80" s="1534">
        <f t="shared" si="32"/>
        <v>0.2</v>
      </c>
      <c r="J80" s="1519">
        <v>3050000</v>
      </c>
      <c r="K80" s="1519"/>
      <c r="L80" s="1526"/>
      <c r="M80" s="1526"/>
      <c r="N80" s="1519">
        <f t="shared" si="33"/>
        <v>3050000</v>
      </c>
      <c r="O80" s="1519"/>
      <c r="P80" s="1526"/>
      <c r="Q80" s="1519">
        <v>305000</v>
      </c>
      <c r="R80" s="1519">
        <f t="shared" si="34"/>
        <v>3050000</v>
      </c>
      <c r="S80" s="1519">
        <f t="shared" si="35"/>
        <v>2745000</v>
      </c>
      <c r="T80" s="1519">
        <f>J80-K80-L80+M80+O80-P80-Q80-S80</f>
        <v>0</v>
      </c>
      <c r="U80" s="1535">
        <f t="shared" si="36"/>
        <v>50833.333333333336</v>
      </c>
      <c r="V80" s="1537">
        <f t="shared" si="51"/>
        <v>355833.33333333331</v>
      </c>
      <c r="W80" s="1519">
        <f t="shared" si="37"/>
        <v>610000</v>
      </c>
      <c r="X80" s="1537">
        <f t="shared" si="21"/>
        <v>610000</v>
      </c>
      <c r="Y80" s="1537">
        <f t="shared" si="22"/>
        <v>610000</v>
      </c>
      <c r="Z80" s="1537">
        <f t="shared" si="23"/>
        <v>610000</v>
      </c>
      <c r="AA80" s="1537">
        <f t="shared" si="24"/>
        <v>253166.66666666651</v>
      </c>
      <c r="AB80" s="1537">
        <f t="shared" si="25"/>
        <v>0</v>
      </c>
      <c r="AC80" s="1537">
        <f t="shared" si="26"/>
        <v>0</v>
      </c>
      <c r="AD80" s="1537">
        <f t="shared" si="27"/>
        <v>0</v>
      </c>
      <c r="AE80" s="1537">
        <f t="shared" si="28"/>
        <v>0</v>
      </c>
      <c r="AF80" s="1536">
        <f t="shared" si="29"/>
        <v>0</v>
      </c>
      <c r="AH80" s="1537">
        <f t="shared" si="52"/>
        <v>2694166.6666666665</v>
      </c>
      <c r="AI80" s="1537">
        <f t="shared" si="38"/>
        <v>2084166.6666666665</v>
      </c>
      <c r="AJ80" s="1537">
        <f t="shared" si="39"/>
        <v>1474166.6666666665</v>
      </c>
      <c r="AK80" s="1537">
        <f t="shared" si="40"/>
        <v>864166.66666666651</v>
      </c>
      <c r="AL80" s="1537">
        <f t="shared" si="41"/>
        <v>254166.66666666651</v>
      </c>
      <c r="AM80" s="1537">
        <f t="shared" si="42"/>
        <v>1000</v>
      </c>
      <c r="AN80" s="1537">
        <f t="shared" si="43"/>
        <v>1000</v>
      </c>
      <c r="AO80" s="1537">
        <f t="shared" si="44"/>
        <v>1000</v>
      </c>
      <c r="AP80" s="1537">
        <f t="shared" si="45"/>
        <v>1000</v>
      </c>
      <c r="AQ80" s="1537">
        <f t="shared" si="46"/>
        <v>1000</v>
      </c>
      <c r="AR80" s="1537">
        <f t="shared" si="47"/>
        <v>1000</v>
      </c>
    </row>
    <row r="81" spans="1:44" s="1531" customFormat="1" ht="12" customHeight="1" x14ac:dyDescent="0.3">
      <c r="A81" s="1531" t="s">
        <v>3796</v>
      </c>
      <c r="B81" s="1526"/>
      <c r="C81" s="1548" t="s">
        <v>3003</v>
      </c>
      <c r="D81" s="1549" t="s">
        <v>3040</v>
      </c>
      <c r="E81" s="1518">
        <v>5</v>
      </c>
      <c r="F81" s="1518">
        <f t="shared" si="48"/>
        <v>5</v>
      </c>
      <c r="G81" s="1532">
        <f t="shared" si="49"/>
        <v>0</v>
      </c>
      <c r="H81" s="1533">
        <f t="shared" si="50"/>
        <v>0</v>
      </c>
      <c r="I81" s="1534">
        <f t="shared" si="32"/>
        <v>0.2</v>
      </c>
      <c r="J81" s="1519">
        <v>8400000</v>
      </c>
      <c r="K81" s="1519"/>
      <c r="L81" s="1526"/>
      <c r="M81" s="1526"/>
      <c r="N81" s="1519">
        <f t="shared" si="33"/>
        <v>8400000</v>
      </c>
      <c r="O81" s="1519"/>
      <c r="P81" s="1526"/>
      <c r="Q81" s="1519">
        <v>560000</v>
      </c>
      <c r="R81" s="1519">
        <f t="shared" si="34"/>
        <v>8400000</v>
      </c>
      <c r="S81" s="1519">
        <f t="shared" si="35"/>
        <v>7840000</v>
      </c>
      <c r="T81" s="1519">
        <f>J81-K81-L81+M81+O81-P81-Q81-S81</f>
        <v>0</v>
      </c>
      <c r="U81" s="1535">
        <f t="shared" si="36"/>
        <v>140000</v>
      </c>
      <c r="V81" s="1537">
        <f t="shared" si="51"/>
        <v>700000</v>
      </c>
      <c r="W81" s="1519">
        <f t="shared" si="37"/>
        <v>1680000</v>
      </c>
      <c r="X81" s="1537">
        <f t="shared" si="21"/>
        <v>1680000</v>
      </c>
      <c r="Y81" s="1537">
        <f t="shared" si="22"/>
        <v>1680000</v>
      </c>
      <c r="Z81" s="1537">
        <f t="shared" si="23"/>
        <v>1680000</v>
      </c>
      <c r="AA81" s="1537">
        <f t="shared" si="24"/>
        <v>979000</v>
      </c>
      <c r="AB81" s="1537">
        <f t="shared" si="25"/>
        <v>0</v>
      </c>
      <c r="AC81" s="1537">
        <f t="shared" si="26"/>
        <v>0</v>
      </c>
      <c r="AD81" s="1537">
        <f t="shared" si="27"/>
        <v>0</v>
      </c>
      <c r="AE81" s="1537">
        <f t="shared" si="28"/>
        <v>0</v>
      </c>
      <c r="AF81" s="1536">
        <f t="shared" si="29"/>
        <v>0</v>
      </c>
      <c r="AH81" s="1537">
        <f t="shared" si="52"/>
        <v>7700000</v>
      </c>
      <c r="AI81" s="1537">
        <f t="shared" si="38"/>
        <v>6020000</v>
      </c>
      <c r="AJ81" s="1537">
        <f t="shared" si="39"/>
        <v>4340000</v>
      </c>
      <c r="AK81" s="1537">
        <f t="shared" si="40"/>
        <v>2660000</v>
      </c>
      <c r="AL81" s="1537">
        <f t="shared" si="41"/>
        <v>980000</v>
      </c>
      <c r="AM81" s="1537">
        <f t="shared" si="42"/>
        <v>1000</v>
      </c>
      <c r="AN81" s="1537">
        <f t="shared" si="43"/>
        <v>1000</v>
      </c>
      <c r="AO81" s="1537">
        <f t="shared" si="44"/>
        <v>1000</v>
      </c>
      <c r="AP81" s="1537">
        <f t="shared" si="45"/>
        <v>1000</v>
      </c>
      <c r="AQ81" s="1537">
        <f t="shared" si="46"/>
        <v>1000</v>
      </c>
      <c r="AR81" s="1537">
        <f t="shared" si="47"/>
        <v>1000</v>
      </c>
    </row>
    <row r="82" spans="1:44" s="1541" customFormat="1" x14ac:dyDescent="0.3">
      <c r="B82" s="1541" t="s">
        <v>3046</v>
      </c>
      <c r="D82" s="1542"/>
      <c r="E82" s="1543"/>
      <c r="F82" s="1543"/>
      <c r="G82" s="1543"/>
      <c r="H82" s="1543"/>
      <c r="Q82" s="1544">
        <f>SUM(Q25:Q81)</f>
        <v>177752975.33333334</v>
      </c>
      <c r="R82" s="1544"/>
      <c r="U82" s="1569">
        <f t="shared" ref="U82:AF82" si="53">SUM(U25:U81)</f>
        <v>14242933.333333334</v>
      </c>
      <c r="V82" s="1551">
        <f t="shared" si="53"/>
        <v>191995908.66666672</v>
      </c>
      <c r="W82" s="1545">
        <f t="shared" si="53"/>
        <v>97329535</v>
      </c>
      <c r="X82" s="1545">
        <f t="shared" si="53"/>
        <v>33827200</v>
      </c>
      <c r="Y82" s="1545">
        <f t="shared" si="53"/>
        <v>13177866.333333334</v>
      </c>
      <c r="Z82" s="1545">
        <f t="shared" si="53"/>
        <v>9561933.3333333321</v>
      </c>
      <c r="AA82" s="1545">
        <f t="shared" si="53"/>
        <v>1954500.0000000002</v>
      </c>
      <c r="AB82" s="1545">
        <f t="shared" si="53"/>
        <v>0</v>
      </c>
      <c r="AC82" s="1545">
        <f t="shared" si="53"/>
        <v>0</v>
      </c>
      <c r="AD82" s="1545">
        <f t="shared" si="53"/>
        <v>0</v>
      </c>
      <c r="AE82" s="1546">
        <f t="shared" si="53"/>
        <v>0</v>
      </c>
      <c r="AF82" s="1547">
        <f t="shared" si="53"/>
        <v>0</v>
      </c>
      <c r="AH82" s="1545">
        <f t="shared" ref="AH82:AR82" si="54">SUM(AH25:AH81)</f>
        <v>155906034.66666666</v>
      </c>
      <c r="AI82" s="1545">
        <f t="shared" si="54"/>
        <v>58576499.666666664</v>
      </c>
      <c r="AJ82" s="1545">
        <f t="shared" si="54"/>
        <v>24749299.666666668</v>
      </c>
      <c r="AK82" s="1545">
        <f t="shared" si="54"/>
        <v>11571433.333333332</v>
      </c>
      <c r="AL82" s="1545">
        <f t="shared" si="54"/>
        <v>2009500.0000000002</v>
      </c>
      <c r="AM82" s="1545">
        <f t="shared" si="54"/>
        <v>55000</v>
      </c>
      <c r="AN82" s="1545">
        <f t="shared" si="54"/>
        <v>55000</v>
      </c>
      <c r="AO82" s="1545">
        <f t="shared" si="54"/>
        <v>55000</v>
      </c>
      <c r="AP82" s="1545">
        <f t="shared" si="54"/>
        <v>55000</v>
      </c>
      <c r="AQ82" s="1545">
        <f t="shared" si="54"/>
        <v>55000</v>
      </c>
      <c r="AR82" s="1545">
        <f t="shared" si="54"/>
        <v>55000</v>
      </c>
    </row>
    <row r="83" spans="1:44" s="1555" customFormat="1" x14ac:dyDescent="0.3">
      <c r="D83" s="1507"/>
      <c r="E83" s="1556"/>
      <c r="F83" s="1556"/>
      <c r="G83" s="1556"/>
      <c r="H83" s="1556"/>
      <c r="Q83" s="1557"/>
      <c r="R83" s="1557"/>
      <c r="U83" s="1558"/>
      <c r="V83" s="1559"/>
      <c r="W83" s="1560"/>
      <c r="X83" s="1560"/>
      <c r="Y83" s="1560"/>
      <c r="Z83" s="1560"/>
      <c r="AA83" s="1560"/>
      <c r="AB83" s="1560"/>
      <c r="AC83" s="1560"/>
      <c r="AD83" s="1560"/>
      <c r="AE83" s="1131"/>
      <c r="AF83" s="1561"/>
      <c r="AH83" s="1560"/>
      <c r="AI83" s="1560"/>
      <c r="AJ83" s="1560"/>
      <c r="AK83" s="1560"/>
      <c r="AL83" s="1560"/>
      <c r="AM83" s="1560"/>
      <c r="AN83" s="1560"/>
      <c r="AO83" s="1560"/>
      <c r="AP83" s="1560"/>
      <c r="AQ83" s="1560"/>
      <c r="AR83" s="1560"/>
    </row>
    <row r="84" spans="1:44" s="1555" customFormat="1" x14ac:dyDescent="0.3">
      <c r="B84" s="1498" t="s">
        <v>2067</v>
      </c>
      <c r="C84" s="1555" t="s">
        <v>3047</v>
      </c>
      <c r="D84" s="1549" t="s">
        <v>3053</v>
      </c>
      <c r="E84" s="1556">
        <v>5</v>
      </c>
      <c r="F84" s="1518">
        <f t="shared" ref="F84:F89" si="55">E84-(YEAR($E$4)-YEAR(D84))</f>
        <v>3</v>
      </c>
      <c r="G84" s="1532">
        <f t="shared" ref="G84:G89" si="56">IF(YEAR(D84)=YEAR($E$4),IF($E$2=$E$4,0,IF(D84&lt;$E$4,$E$2-$E$4,$E$2-D84)),$E$2-$E$4)</f>
        <v>0</v>
      </c>
      <c r="H84" s="1533">
        <f t="shared" ref="H84:H89" si="57">IF(YEAR(D84)=YEAR($E$4),G84/365,IF($E$2=$E$4,G84/365,($E$2-$E$4)/365))</f>
        <v>0</v>
      </c>
      <c r="I84" s="1534">
        <f t="shared" ref="I84:I89" si="58">1/E84</f>
        <v>0.2</v>
      </c>
      <c r="J84" s="1519">
        <v>38490360</v>
      </c>
      <c r="K84" s="1519">
        <v>15396144</v>
      </c>
      <c r="N84" s="1519">
        <f t="shared" ref="N84:N89" si="59">ROUND(J84-K84-L84+M84,)</f>
        <v>23094216</v>
      </c>
      <c r="Q84" s="1557">
        <v>7056566</v>
      </c>
      <c r="R84" s="1519">
        <f t="shared" ref="R84:R89" si="60">J84+O84-P84</f>
        <v>38490360</v>
      </c>
      <c r="S84" s="1519">
        <f t="shared" ref="S84:S89" si="61">ROUND(N84+O84-P84-Q84,)</f>
        <v>16037650</v>
      </c>
      <c r="T84" s="1519">
        <f t="shared" ref="T84:T89" si="62">J84-K84-L84+M84+O84-P84-Q84-S84</f>
        <v>0</v>
      </c>
      <c r="U84" s="1535">
        <f t="shared" ref="U84:U89" si="63">IF(S84&gt;1000,IF(S84-R84*(1/12)*I84&gt;1000,R84*(1/12)*I84,S84-1000),)</f>
        <v>641506</v>
      </c>
      <c r="V84" s="1537">
        <f t="shared" ref="V84:V89" si="64">Q84+U84</f>
        <v>7698072</v>
      </c>
      <c r="W84" s="1519">
        <f t="shared" ref="W84:W89" si="65">IF(AH84&gt;1000,IF(AH84-$I84*$R84&gt;1000,$I84*$R84,AH84-1000),)</f>
        <v>7698072</v>
      </c>
      <c r="X84" s="1537">
        <f t="shared" ref="X84:X89" si="66">IF(AI84&gt;1000,IF(AI84-$I84*$R84&gt;1000,$I84*$R84,AI84-1000),)</f>
        <v>7697072</v>
      </c>
      <c r="Y84" s="1537">
        <f t="shared" ref="Y84:Y89" si="67">IF(AJ84&gt;1000,IF(AJ84-$I84*$R84&gt;1000,$I84*$R84,AJ84-1000),)</f>
        <v>0</v>
      </c>
      <c r="Z84" s="1537">
        <f t="shared" ref="Z84:Z89" si="68">IF(AK84&gt;1000,IF(AK84-$I84*$R84&gt;1000,$I84*$R84,AK84-1000),)</f>
        <v>0</v>
      </c>
      <c r="AA84" s="1537">
        <f t="shared" ref="AA84:AA89" si="69">IF(AL84&gt;1000,IF(AL84-$I84*$R84&gt;1000,$I84*$R84,AL84-1000),)</f>
        <v>0</v>
      </c>
      <c r="AB84" s="1537">
        <f t="shared" ref="AB84:AB89" si="70">IF(AM84&gt;1000,IF(AM84-$I84*$R84&gt;1000,$I84*$R84,AM84-1000),)</f>
        <v>0</v>
      </c>
      <c r="AC84" s="1537">
        <f t="shared" ref="AC84:AC89" si="71">IF(AN84&gt;1000,IF(AN84-$I84*$R84&gt;1000,$I84*$R84,AN84-1000),)</f>
        <v>0</v>
      </c>
      <c r="AD84" s="1537">
        <f t="shared" ref="AD84:AD89" si="72">IF(AO84&gt;1000,IF(AO84-$I84*$R84&gt;1000,$I84*$R84,AO84-1000),)</f>
        <v>0</v>
      </c>
      <c r="AE84" s="1537">
        <f t="shared" ref="AE84:AE89" si="73">IF(AP84&gt;1000,IF(AP84-$I84*$R84&gt;1000,$I84*$R84,AP84-1000),)</f>
        <v>0</v>
      </c>
      <c r="AF84" s="1536">
        <f t="shared" ref="AF84:AF89" si="74">IF(AQ84&gt;1000,IF(AQ84-$I84*$R84&gt;1000,$I84*$R84,AQ84-1000),)</f>
        <v>0</v>
      </c>
      <c r="AH84" s="1537">
        <f t="shared" ref="AH84:AH89" si="75">S84-U84</f>
        <v>15396144</v>
      </c>
      <c r="AI84" s="1537">
        <f t="shared" ref="AI84:AI89" si="76">AH84-W84</f>
        <v>7698072</v>
      </c>
      <c r="AJ84" s="1537">
        <f t="shared" ref="AJ84:AJ89" si="77">AI84-X84</f>
        <v>1000</v>
      </c>
      <c r="AK84" s="1537">
        <f t="shared" ref="AK84:AK89" si="78">AJ84-Y84</f>
        <v>1000</v>
      </c>
      <c r="AL84" s="1537">
        <f t="shared" ref="AL84:AL89" si="79">AK84-Z84</f>
        <v>1000</v>
      </c>
      <c r="AM84" s="1537">
        <f t="shared" ref="AM84:AM89" si="80">AL84-AA84</f>
        <v>1000</v>
      </c>
      <c r="AN84" s="1537">
        <f t="shared" ref="AN84:AN89" si="81">AM84-AB84</f>
        <v>1000</v>
      </c>
      <c r="AO84" s="1537">
        <f t="shared" ref="AO84:AO89" si="82">AN84-AC84</f>
        <v>1000</v>
      </c>
      <c r="AP84" s="1537">
        <f t="shared" ref="AP84:AP89" si="83">AO84-AD84</f>
        <v>1000</v>
      </c>
      <c r="AQ84" s="1537">
        <f t="shared" ref="AQ84:AQ89" si="84">AP84-AE84</f>
        <v>1000</v>
      </c>
      <c r="AR84" s="1537">
        <f t="shared" ref="AR84:AR89" si="85">AQ84-AF84</f>
        <v>1000</v>
      </c>
    </row>
    <row r="85" spans="1:44" s="1555" customFormat="1" x14ac:dyDescent="0.3">
      <c r="C85" s="1555" t="s">
        <v>3048</v>
      </c>
      <c r="D85" s="1549" t="s">
        <v>3053</v>
      </c>
      <c r="E85" s="1556">
        <v>5</v>
      </c>
      <c r="F85" s="1518">
        <f t="shared" si="55"/>
        <v>3</v>
      </c>
      <c r="G85" s="1532">
        <f t="shared" si="56"/>
        <v>0</v>
      </c>
      <c r="H85" s="1533">
        <f t="shared" si="57"/>
        <v>0</v>
      </c>
      <c r="I85" s="1534">
        <f t="shared" si="58"/>
        <v>0.2</v>
      </c>
      <c r="J85" s="1519">
        <v>38490360</v>
      </c>
      <c r="K85" s="1519">
        <v>15396144</v>
      </c>
      <c r="N85" s="1519">
        <f t="shared" si="59"/>
        <v>23094216</v>
      </c>
      <c r="Q85" s="1557">
        <v>7056566</v>
      </c>
      <c r="R85" s="1519">
        <f t="shared" si="60"/>
        <v>38490360</v>
      </c>
      <c r="S85" s="1519">
        <f t="shared" si="61"/>
        <v>16037650</v>
      </c>
      <c r="T85" s="1519">
        <f t="shared" si="62"/>
        <v>0</v>
      </c>
      <c r="U85" s="1535">
        <f t="shared" si="63"/>
        <v>641506</v>
      </c>
      <c r="V85" s="1537">
        <f t="shared" si="64"/>
        <v>7698072</v>
      </c>
      <c r="W85" s="1519">
        <f t="shared" si="65"/>
        <v>7698072</v>
      </c>
      <c r="X85" s="1537">
        <f t="shared" si="66"/>
        <v>7697072</v>
      </c>
      <c r="Y85" s="1537">
        <f t="shared" si="67"/>
        <v>0</v>
      </c>
      <c r="Z85" s="1537">
        <f t="shared" si="68"/>
        <v>0</v>
      </c>
      <c r="AA85" s="1537">
        <f t="shared" si="69"/>
        <v>0</v>
      </c>
      <c r="AB85" s="1537">
        <f t="shared" si="70"/>
        <v>0</v>
      </c>
      <c r="AC85" s="1537">
        <f t="shared" si="71"/>
        <v>0</v>
      </c>
      <c r="AD85" s="1537">
        <f t="shared" si="72"/>
        <v>0</v>
      </c>
      <c r="AE85" s="1537">
        <f t="shared" si="73"/>
        <v>0</v>
      </c>
      <c r="AF85" s="1536">
        <f t="shared" si="74"/>
        <v>0</v>
      </c>
      <c r="AH85" s="1537">
        <f t="shared" si="75"/>
        <v>15396144</v>
      </c>
      <c r="AI85" s="1537">
        <f t="shared" si="76"/>
        <v>7698072</v>
      </c>
      <c r="AJ85" s="1537">
        <f t="shared" si="77"/>
        <v>1000</v>
      </c>
      <c r="AK85" s="1537">
        <f t="shared" si="78"/>
        <v>1000</v>
      </c>
      <c r="AL85" s="1537">
        <f t="shared" si="79"/>
        <v>1000</v>
      </c>
      <c r="AM85" s="1537">
        <f t="shared" si="80"/>
        <v>1000</v>
      </c>
      <c r="AN85" s="1537">
        <f t="shared" si="81"/>
        <v>1000</v>
      </c>
      <c r="AO85" s="1537">
        <f t="shared" si="82"/>
        <v>1000</v>
      </c>
      <c r="AP85" s="1537">
        <f t="shared" si="83"/>
        <v>1000</v>
      </c>
      <c r="AQ85" s="1537">
        <f t="shared" si="84"/>
        <v>1000</v>
      </c>
      <c r="AR85" s="1537">
        <f t="shared" si="85"/>
        <v>1000</v>
      </c>
    </row>
    <row r="86" spans="1:44" s="1555" customFormat="1" x14ac:dyDescent="0.3">
      <c r="C86" s="1555" t="s">
        <v>3049</v>
      </c>
      <c r="D86" s="1549" t="s">
        <v>3054</v>
      </c>
      <c r="E86" s="1556">
        <v>5</v>
      </c>
      <c r="F86" s="1518">
        <f t="shared" si="55"/>
        <v>3</v>
      </c>
      <c r="G86" s="1532">
        <f t="shared" si="56"/>
        <v>0</v>
      </c>
      <c r="H86" s="1533">
        <f t="shared" si="57"/>
        <v>0</v>
      </c>
      <c r="I86" s="1534">
        <f t="shared" si="58"/>
        <v>0.2</v>
      </c>
      <c r="J86" s="1519">
        <v>38449750</v>
      </c>
      <c r="K86" s="1519">
        <v>14739071</v>
      </c>
      <c r="N86" s="1519">
        <f t="shared" si="59"/>
        <v>23710679</v>
      </c>
      <c r="Q86" s="1557">
        <v>7049121</v>
      </c>
      <c r="R86" s="1519">
        <f t="shared" si="60"/>
        <v>38449750</v>
      </c>
      <c r="S86" s="1519">
        <f t="shared" si="61"/>
        <v>16661558</v>
      </c>
      <c r="T86" s="1519">
        <f t="shared" si="62"/>
        <v>0</v>
      </c>
      <c r="U86" s="1535">
        <f t="shared" si="63"/>
        <v>640829.16666666663</v>
      </c>
      <c r="V86" s="1537">
        <f t="shared" si="64"/>
        <v>7689950.166666667</v>
      </c>
      <c r="W86" s="1519">
        <f t="shared" si="65"/>
        <v>7689950</v>
      </c>
      <c r="X86" s="1537">
        <f t="shared" si="66"/>
        <v>7689950</v>
      </c>
      <c r="Y86" s="1537">
        <f t="shared" si="67"/>
        <v>639828.83333333395</v>
      </c>
      <c r="Z86" s="1537">
        <f t="shared" si="68"/>
        <v>0</v>
      </c>
      <c r="AA86" s="1537">
        <f t="shared" si="69"/>
        <v>0</v>
      </c>
      <c r="AB86" s="1537">
        <f t="shared" si="70"/>
        <v>0</v>
      </c>
      <c r="AC86" s="1537">
        <f t="shared" si="71"/>
        <v>0</v>
      </c>
      <c r="AD86" s="1537">
        <f t="shared" si="72"/>
        <v>0</v>
      </c>
      <c r="AE86" s="1537">
        <f t="shared" si="73"/>
        <v>0</v>
      </c>
      <c r="AF86" s="1536">
        <f t="shared" si="74"/>
        <v>0</v>
      </c>
      <c r="AH86" s="1537">
        <f t="shared" si="75"/>
        <v>16020728.833333334</v>
      </c>
      <c r="AI86" s="1537">
        <f t="shared" si="76"/>
        <v>8330778.833333334</v>
      </c>
      <c r="AJ86" s="1537">
        <f t="shared" si="77"/>
        <v>640828.83333333395</v>
      </c>
      <c r="AK86" s="1537">
        <f t="shared" si="78"/>
        <v>1000</v>
      </c>
      <c r="AL86" s="1537">
        <f t="shared" si="79"/>
        <v>1000</v>
      </c>
      <c r="AM86" s="1537">
        <f t="shared" si="80"/>
        <v>1000</v>
      </c>
      <c r="AN86" s="1537">
        <f t="shared" si="81"/>
        <v>1000</v>
      </c>
      <c r="AO86" s="1537">
        <f t="shared" si="82"/>
        <v>1000</v>
      </c>
      <c r="AP86" s="1537">
        <f t="shared" si="83"/>
        <v>1000</v>
      </c>
      <c r="AQ86" s="1537">
        <f t="shared" si="84"/>
        <v>1000</v>
      </c>
      <c r="AR86" s="1537">
        <f t="shared" si="85"/>
        <v>1000</v>
      </c>
    </row>
    <row r="87" spans="1:44" s="1555" customFormat="1" x14ac:dyDescent="0.3">
      <c r="C87" s="1555" t="s">
        <v>3050</v>
      </c>
      <c r="D87" s="1549" t="s">
        <v>3055</v>
      </c>
      <c r="E87" s="1556">
        <v>5</v>
      </c>
      <c r="F87" s="1518">
        <f t="shared" si="55"/>
        <v>3</v>
      </c>
      <c r="G87" s="1532">
        <f t="shared" si="56"/>
        <v>0</v>
      </c>
      <c r="H87" s="1533">
        <f t="shared" si="57"/>
        <v>0</v>
      </c>
      <c r="I87" s="1534">
        <f t="shared" si="58"/>
        <v>0.2</v>
      </c>
      <c r="J87" s="1519">
        <v>115688000</v>
      </c>
      <c r="K87" s="1519">
        <v>25065733</v>
      </c>
      <c r="N87" s="1519">
        <f t="shared" si="59"/>
        <v>90622267</v>
      </c>
      <c r="Q87" s="1557">
        <v>21209467</v>
      </c>
      <c r="R87" s="1519">
        <f t="shared" si="60"/>
        <v>115688000</v>
      </c>
      <c r="S87" s="1519">
        <f t="shared" si="61"/>
        <v>69412800</v>
      </c>
      <c r="T87" s="1519">
        <f t="shared" si="62"/>
        <v>0</v>
      </c>
      <c r="U87" s="1535">
        <f t="shared" si="63"/>
        <v>1928133.3333333333</v>
      </c>
      <c r="V87" s="1537">
        <f t="shared" si="64"/>
        <v>23137600.333333332</v>
      </c>
      <c r="W87" s="1519">
        <f t="shared" si="65"/>
        <v>23137600</v>
      </c>
      <c r="X87" s="1537">
        <f t="shared" si="66"/>
        <v>23137600</v>
      </c>
      <c r="Y87" s="1537">
        <f t="shared" si="67"/>
        <v>21208466.666666672</v>
      </c>
      <c r="Z87" s="1537">
        <f t="shared" si="68"/>
        <v>0</v>
      </c>
      <c r="AA87" s="1537">
        <f t="shared" si="69"/>
        <v>0</v>
      </c>
      <c r="AB87" s="1537">
        <f t="shared" si="70"/>
        <v>0</v>
      </c>
      <c r="AC87" s="1537">
        <f t="shared" si="71"/>
        <v>0</v>
      </c>
      <c r="AD87" s="1537">
        <f t="shared" si="72"/>
        <v>0</v>
      </c>
      <c r="AE87" s="1537">
        <f t="shared" si="73"/>
        <v>0</v>
      </c>
      <c r="AF87" s="1536">
        <f t="shared" si="74"/>
        <v>0</v>
      </c>
      <c r="AH87" s="1537">
        <f t="shared" si="75"/>
        <v>67484666.666666672</v>
      </c>
      <c r="AI87" s="1537">
        <f t="shared" si="76"/>
        <v>44347066.666666672</v>
      </c>
      <c r="AJ87" s="1537">
        <f t="shared" si="77"/>
        <v>21209466.666666672</v>
      </c>
      <c r="AK87" s="1537">
        <f t="shared" si="78"/>
        <v>1000</v>
      </c>
      <c r="AL87" s="1537">
        <f t="shared" si="79"/>
        <v>1000</v>
      </c>
      <c r="AM87" s="1537">
        <f t="shared" si="80"/>
        <v>1000</v>
      </c>
      <c r="AN87" s="1537">
        <f t="shared" si="81"/>
        <v>1000</v>
      </c>
      <c r="AO87" s="1537">
        <f t="shared" si="82"/>
        <v>1000</v>
      </c>
      <c r="AP87" s="1537">
        <f t="shared" si="83"/>
        <v>1000</v>
      </c>
      <c r="AQ87" s="1537">
        <f t="shared" si="84"/>
        <v>1000</v>
      </c>
      <c r="AR87" s="1537">
        <f t="shared" si="85"/>
        <v>1000</v>
      </c>
    </row>
    <row r="88" spans="1:44" s="1555" customFormat="1" x14ac:dyDescent="0.3">
      <c r="C88" s="1555" t="s">
        <v>3051</v>
      </c>
      <c r="D88" s="1549" t="s">
        <v>3056</v>
      </c>
      <c r="E88" s="1556">
        <v>5</v>
      </c>
      <c r="F88" s="1518">
        <f t="shared" si="55"/>
        <v>4</v>
      </c>
      <c r="G88" s="1532">
        <f t="shared" si="56"/>
        <v>0</v>
      </c>
      <c r="H88" s="1533">
        <f t="shared" si="57"/>
        <v>0</v>
      </c>
      <c r="I88" s="1534">
        <f t="shared" si="58"/>
        <v>0.2</v>
      </c>
      <c r="J88" s="1519">
        <v>70139800</v>
      </c>
      <c r="K88" s="1519">
        <v>11689967</v>
      </c>
      <c r="N88" s="1519">
        <f t="shared" si="59"/>
        <v>58449833</v>
      </c>
      <c r="Q88" s="1557">
        <v>12858963</v>
      </c>
      <c r="R88" s="1519">
        <f t="shared" si="60"/>
        <v>70139800</v>
      </c>
      <c r="S88" s="1519">
        <f t="shared" si="61"/>
        <v>45590870</v>
      </c>
      <c r="T88" s="1519">
        <f t="shared" si="62"/>
        <v>0</v>
      </c>
      <c r="U88" s="1535">
        <f t="shared" si="63"/>
        <v>1168996.6666666667</v>
      </c>
      <c r="V88" s="1537">
        <f t="shared" si="64"/>
        <v>14027959.666666666</v>
      </c>
      <c r="W88" s="1519">
        <f t="shared" si="65"/>
        <v>14027960</v>
      </c>
      <c r="X88" s="1537">
        <f t="shared" si="66"/>
        <v>14027960</v>
      </c>
      <c r="Y88" s="1537">
        <f t="shared" si="67"/>
        <v>14027960</v>
      </c>
      <c r="Z88" s="1537">
        <f t="shared" si="68"/>
        <v>2336993.3333333358</v>
      </c>
      <c r="AA88" s="1537">
        <f t="shared" si="69"/>
        <v>0</v>
      </c>
      <c r="AB88" s="1537">
        <f t="shared" si="70"/>
        <v>0</v>
      </c>
      <c r="AC88" s="1537">
        <f t="shared" si="71"/>
        <v>0</v>
      </c>
      <c r="AD88" s="1537">
        <f t="shared" si="72"/>
        <v>0</v>
      </c>
      <c r="AE88" s="1537">
        <f t="shared" si="73"/>
        <v>0</v>
      </c>
      <c r="AF88" s="1536">
        <f t="shared" si="74"/>
        <v>0</v>
      </c>
      <c r="AH88" s="1537">
        <f t="shared" si="75"/>
        <v>44421873.333333336</v>
      </c>
      <c r="AI88" s="1537">
        <f t="shared" si="76"/>
        <v>30393913.333333336</v>
      </c>
      <c r="AJ88" s="1537">
        <f t="shared" si="77"/>
        <v>16365953.333333336</v>
      </c>
      <c r="AK88" s="1537">
        <f t="shared" si="78"/>
        <v>2337993.3333333358</v>
      </c>
      <c r="AL88" s="1537">
        <f t="shared" si="79"/>
        <v>1000</v>
      </c>
      <c r="AM88" s="1537">
        <f t="shared" si="80"/>
        <v>1000</v>
      </c>
      <c r="AN88" s="1537">
        <f t="shared" si="81"/>
        <v>1000</v>
      </c>
      <c r="AO88" s="1537">
        <f t="shared" si="82"/>
        <v>1000</v>
      </c>
      <c r="AP88" s="1537">
        <f t="shared" si="83"/>
        <v>1000</v>
      </c>
      <c r="AQ88" s="1537">
        <f t="shared" si="84"/>
        <v>1000</v>
      </c>
      <c r="AR88" s="1537">
        <f t="shared" si="85"/>
        <v>1000</v>
      </c>
    </row>
    <row r="89" spans="1:44" s="1555" customFormat="1" x14ac:dyDescent="0.3">
      <c r="C89" s="1555" t="s">
        <v>3052</v>
      </c>
      <c r="D89" s="1549" t="s">
        <v>3057</v>
      </c>
      <c r="E89" s="1556">
        <v>5</v>
      </c>
      <c r="F89" s="1518">
        <f t="shared" si="55"/>
        <v>5</v>
      </c>
      <c r="G89" s="1532">
        <f t="shared" si="56"/>
        <v>0</v>
      </c>
      <c r="H89" s="1533">
        <f t="shared" si="57"/>
        <v>0</v>
      </c>
      <c r="I89" s="1534">
        <f t="shared" si="58"/>
        <v>0.2</v>
      </c>
      <c r="J89" s="1519">
        <v>87380000</v>
      </c>
      <c r="K89" s="1519">
        <v>11689967</v>
      </c>
      <c r="N89" s="1519">
        <f t="shared" si="59"/>
        <v>75690033</v>
      </c>
      <c r="Q89" s="1557">
        <v>16019667</v>
      </c>
      <c r="R89" s="1519">
        <f t="shared" si="60"/>
        <v>87380000</v>
      </c>
      <c r="S89" s="1519">
        <f t="shared" si="61"/>
        <v>59670366</v>
      </c>
      <c r="T89" s="1519">
        <f t="shared" si="62"/>
        <v>0</v>
      </c>
      <c r="U89" s="1535">
        <f t="shared" si="63"/>
        <v>1456333.3333333333</v>
      </c>
      <c r="V89" s="1537">
        <f t="shared" si="64"/>
        <v>17476000.333333332</v>
      </c>
      <c r="W89" s="1519">
        <f t="shared" si="65"/>
        <v>17476000</v>
      </c>
      <c r="X89" s="1537">
        <f t="shared" si="66"/>
        <v>17476000</v>
      </c>
      <c r="Y89" s="1537">
        <f t="shared" si="67"/>
        <v>17476000</v>
      </c>
      <c r="Z89" s="1537">
        <f t="shared" si="68"/>
        <v>5785032.6666666642</v>
      </c>
      <c r="AA89" s="1537">
        <f t="shared" si="69"/>
        <v>0</v>
      </c>
      <c r="AB89" s="1537">
        <f t="shared" si="70"/>
        <v>0</v>
      </c>
      <c r="AC89" s="1537">
        <f t="shared" si="71"/>
        <v>0</v>
      </c>
      <c r="AD89" s="1537">
        <f t="shared" si="72"/>
        <v>0</v>
      </c>
      <c r="AE89" s="1537">
        <f t="shared" si="73"/>
        <v>0</v>
      </c>
      <c r="AF89" s="1536">
        <f t="shared" si="74"/>
        <v>0</v>
      </c>
      <c r="AH89" s="1537">
        <f t="shared" si="75"/>
        <v>58214032.666666664</v>
      </c>
      <c r="AI89" s="1537">
        <f t="shared" si="76"/>
        <v>40738032.666666664</v>
      </c>
      <c r="AJ89" s="1537">
        <f t="shared" si="77"/>
        <v>23262032.666666664</v>
      </c>
      <c r="AK89" s="1537">
        <f t="shared" si="78"/>
        <v>5786032.6666666642</v>
      </c>
      <c r="AL89" s="1537">
        <f t="shared" si="79"/>
        <v>1000</v>
      </c>
      <c r="AM89" s="1537">
        <f t="shared" si="80"/>
        <v>1000</v>
      </c>
      <c r="AN89" s="1537">
        <f t="shared" si="81"/>
        <v>1000</v>
      </c>
      <c r="AO89" s="1537">
        <f t="shared" si="82"/>
        <v>1000</v>
      </c>
      <c r="AP89" s="1537">
        <f t="shared" si="83"/>
        <v>1000</v>
      </c>
      <c r="AQ89" s="1537">
        <f t="shared" si="84"/>
        <v>1000</v>
      </c>
      <c r="AR89" s="1537">
        <f t="shared" si="85"/>
        <v>1000</v>
      </c>
    </row>
    <row r="90" spans="1:44" s="1541" customFormat="1" x14ac:dyDescent="0.3">
      <c r="B90" s="1541" t="s">
        <v>2923</v>
      </c>
      <c r="D90" s="1542"/>
      <c r="E90" s="1543"/>
      <c r="F90" s="1543"/>
      <c r="G90" s="1543"/>
      <c r="H90" s="1543"/>
      <c r="Q90" s="1544">
        <f>SUM(Q84:Q89)</f>
        <v>71250350</v>
      </c>
      <c r="R90" s="1544"/>
      <c r="U90" s="1569">
        <f>SUM(U84:U89)</f>
        <v>6477304.5</v>
      </c>
      <c r="V90" s="1544">
        <f>SUM(V84:V89)</f>
        <v>77727654.5</v>
      </c>
      <c r="W90" s="1544">
        <f>SUM(W84:W89)</f>
        <v>77727654</v>
      </c>
      <c r="X90" s="1544">
        <f>SUM(X84:X89)</f>
        <v>77725654</v>
      </c>
      <c r="Y90" s="1544">
        <f>SUM(Y84:Y89)</f>
        <v>53352255.500000007</v>
      </c>
      <c r="Z90" s="1544">
        <f t="shared" ref="Z90:AF90" si="86">SUM(Z84:Z89)</f>
        <v>8122026</v>
      </c>
      <c r="AA90" s="1545">
        <f t="shared" si="86"/>
        <v>0</v>
      </c>
      <c r="AB90" s="1545">
        <f t="shared" si="86"/>
        <v>0</v>
      </c>
      <c r="AC90" s="1545">
        <f t="shared" si="86"/>
        <v>0</v>
      </c>
      <c r="AD90" s="1545">
        <f t="shared" si="86"/>
        <v>0</v>
      </c>
      <c r="AE90" s="1546">
        <f t="shared" si="86"/>
        <v>0</v>
      </c>
      <c r="AF90" s="1547">
        <f t="shared" si="86"/>
        <v>0</v>
      </c>
      <c r="AH90" s="1545">
        <f t="shared" ref="AH90" si="87">SUM(AH84:AH89)</f>
        <v>216933589.5</v>
      </c>
      <c r="AI90" s="1545">
        <f t="shared" ref="AI90" si="88">SUM(AI84:AI89)</f>
        <v>139205935.5</v>
      </c>
      <c r="AJ90" s="1545">
        <f t="shared" ref="AJ90" si="89">SUM(AJ84:AJ89)</f>
        <v>61480281.500000007</v>
      </c>
      <c r="AK90" s="1545">
        <f t="shared" ref="AK90" si="90">SUM(AK84:AK89)</f>
        <v>8128026</v>
      </c>
      <c r="AL90" s="1545">
        <f t="shared" ref="AL90" si="91">SUM(AL84:AL89)</f>
        <v>6000</v>
      </c>
      <c r="AM90" s="1545">
        <f t="shared" ref="AM90" si="92">SUM(AM84:AM89)</f>
        <v>6000</v>
      </c>
      <c r="AN90" s="1545">
        <f t="shared" ref="AN90" si="93">SUM(AN84:AN89)</f>
        <v>6000</v>
      </c>
      <c r="AO90" s="1545">
        <f t="shared" ref="AO90" si="94">SUM(AO84:AO89)</f>
        <v>6000</v>
      </c>
      <c r="AP90" s="1545">
        <f t="shared" ref="AP90" si="95">SUM(AP84:AP89)</f>
        <v>6000</v>
      </c>
      <c r="AQ90" s="1545">
        <f t="shared" ref="AQ90" si="96">SUM(AQ84:AQ89)</f>
        <v>6000</v>
      </c>
      <c r="AR90" s="1545">
        <f t="shared" ref="AR90" si="97">SUM(AR84:AR89)</f>
        <v>6000</v>
      </c>
    </row>
    <row r="91" spans="1:44" s="1555" customFormat="1" x14ac:dyDescent="0.3">
      <c r="D91" s="1507"/>
      <c r="E91" s="1556"/>
      <c r="F91" s="1556"/>
      <c r="G91" s="1556"/>
      <c r="H91" s="1556"/>
      <c r="Q91" s="1557"/>
      <c r="R91" s="1557"/>
      <c r="U91" s="1558"/>
      <c r="V91" s="1559"/>
      <c r="W91" s="1560"/>
      <c r="X91" s="1560"/>
      <c r="Y91" s="1560"/>
      <c r="Z91" s="1560"/>
      <c r="AA91" s="1560"/>
      <c r="AB91" s="1560"/>
      <c r="AC91" s="1560"/>
      <c r="AD91" s="1560"/>
      <c r="AE91" s="1131"/>
      <c r="AF91" s="1561"/>
      <c r="AH91" s="1560"/>
      <c r="AI91" s="1560"/>
      <c r="AJ91" s="1560"/>
      <c r="AK91" s="1560"/>
      <c r="AL91" s="1560"/>
      <c r="AM91" s="1560"/>
      <c r="AN91" s="1560"/>
      <c r="AO91" s="1560"/>
      <c r="AP91" s="1560"/>
      <c r="AQ91" s="1560"/>
      <c r="AR91" s="1560"/>
    </row>
    <row r="92" spans="1:44" s="1555" customFormat="1" x14ac:dyDescent="0.3">
      <c r="B92" s="1498" t="s">
        <v>3058</v>
      </c>
      <c r="C92" s="1565" t="s">
        <v>3059</v>
      </c>
      <c r="D92" s="1562" t="s">
        <v>3298</v>
      </c>
      <c r="E92" s="1556">
        <v>5</v>
      </c>
      <c r="F92" s="1518">
        <f t="shared" ref="F92:F155" si="98">E92-(YEAR($E$4)-YEAR(D92))</f>
        <v>-2</v>
      </c>
      <c r="G92" s="1532">
        <f t="shared" ref="G92:G155" si="99">IF(YEAR(D92)=YEAR($E$4),IF($E$2=$E$4,0,IF(D92&lt;$E$4,$E$2-$E$4,$E$2-D92)),$E$2-$E$4)</f>
        <v>0</v>
      </c>
      <c r="H92" s="1533">
        <f t="shared" ref="H92:H155" si="100">IF(YEAR(D92)=YEAR($E$4),G92/365,IF($E$2=$E$4,G92/365,($E$2-$E$4)/365))</f>
        <v>0</v>
      </c>
      <c r="I92" s="1534">
        <f t="shared" ref="I92:I155" si="101">1/E92</f>
        <v>0.2</v>
      </c>
      <c r="J92" s="1519">
        <v>1300000</v>
      </c>
      <c r="K92" s="1519">
        <v>1299000</v>
      </c>
      <c r="N92" s="1519">
        <f t="shared" ref="N92:N155" si="102">ROUND(J92-K92-L92+M92,)</f>
        <v>1000</v>
      </c>
      <c r="Q92" s="1557">
        <v>0</v>
      </c>
      <c r="R92" s="1519">
        <f t="shared" ref="R92:R155" si="103">J92+O92-P92</f>
        <v>1300000</v>
      </c>
      <c r="S92" s="1519">
        <f t="shared" ref="S92:S155" si="104">ROUND(N92+O92-P92-Q92,)</f>
        <v>1000</v>
      </c>
      <c r="T92" s="1519">
        <f t="shared" ref="T92:T155" si="105">J92-K92-L92+M92+O92-P92-Q92-S92</f>
        <v>0</v>
      </c>
      <c r="U92" s="1535">
        <f t="shared" ref="U92:U155" si="106">IF(S92&gt;1000,IF(S92-R92*(1/12)*I92&gt;1000,R92*(1/12)*I92,S92-1000),)</f>
        <v>0</v>
      </c>
      <c r="V92" s="1537">
        <f t="shared" ref="V92:V155" si="107">Q92+U92</f>
        <v>0</v>
      </c>
      <c r="W92" s="1519">
        <f t="shared" ref="W92:W155" si="108">IF(AH92&gt;1000,IF(AH92-$I92*$R92&gt;1000,$I92*$R92,AH92-1000),)</f>
        <v>0</v>
      </c>
      <c r="X92" s="1537">
        <f t="shared" ref="X92:X155" si="109">IF(AI92&gt;1000,IF(AI92-$I92*$R92&gt;1000,$I92*$R92,AI92-1000),)</f>
        <v>0</v>
      </c>
      <c r="Y92" s="1537">
        <f t="shared" ref="Y92:Y155" si="110">IF(AJ92&gt;1000,IF(AJ92-$I92*$R92&gt;1000,$I92*$R92,AJ92-1000),)</f>
        <v>0</v>
      </c>
      <c r="Z92" s="1537">
        <f t="shared" ref="Z92:Z155" si="111">IF(AK92&gt;1000,IF(AK92-$I92*$R92&gt;1000,$I92*$R92,AK92-1000),)</f>
        <v>0</v>
      </c>
      <c r="AA92" s="1537">
        <f t="shared" ref="AA92:AA155" si="112">IF(AL92&gt;1000,IF(AL92-$I92*$R92&gt;1000,$I92*$R92,AL92-1000),)</f>
        <v>0</v>
      </c>
      <c r="AB92" s="1537">
        <f t="shared" ref="AB92:AB155" si="113">IF(AM92&gt;1000,IF(AM92-$I92*$R92&gt;1000,$I92*$R92,AM92-1000),)</f>
        <v>0</v>
      </c>
      <c r="AC92" s="1537">
        <f t="shared" ref="AC92:AC155" si="114">IF(AN92&gt;1000,IF(AN92-$I92*$R92&gt;1000,$I92*$R92,AN92-1000),)</f>
        <v>0</v>
      </c>
      <c r="AD92" s="1537">
        <f t="shared" ref="AD92:AD155" si="115">IF(AO92&gt;1000,IF(AO92-$I92*$R92&gt;1000,$I92*$R92,AO92-1000),)</f>
        <v>0</v>
      </c>
      <c r="AE92" s="1537">
        <f t="shared" ref="AE92:AE155" si="116">IF(AP92&gt;1000,IF(AP92-$I92*$R92&gt;1000,$I92*$R92,AP92-1000),)</f>
        <v>0</v>
      </c>
      <c r="AF92" s="1536">
        <f t="shared" ref="AF92:AF155" si="117">IF(AQ92&gt;1000,IF(AQ92-$I92*$R92&gt;1000,$I92*$R92,AQ92-1000),)</f>
        <v>0</v>
      </c>
      <c r="AH92" s="1537">
        <f t="shared" ref="AH92:AH155" si="118">S92-U92</f>
        <v>1000</v>
      </c>
      <c r="AI92" s="1537">
        <f t="shared" ref="AI92:AI155" si="119">AH92-W92</f>
        <v>1000</v>
      </c>
      <c r="AJ92" s="1537">
        <f t="shared" ref="AJ92:AJ155" si="120">AI92-X92</f>
        <v>1000</v>
      </c>
      <c r="AK92" s="1537">
        <f t="shared" ref="AK92:AK155" si="121">AJ92-Y92</f>
        <v>1000</v>
      </c>
      <c r="AL92" s="1537">
        <f t="shared" ref="AL92:AL155" si="122">AK92-Z92</f>
        <v>1000</v>
      </c>
      <c r="AM92" s="1537">
        <f t="shared" ref="AM92:AM155" si="123">AL92-AA92</f>
        <v>1000</v>
      </c>
      <c r="AN92" s="1537">
        <f t="shared" ref="AN92:AN155" si="124">AM92-AB92</f>
        <v>1000</v>
      </c>
      <c r="AO92" s="1537">
        <f t="shared" ref="AO92:AO155" si="125">AN92-AC92</f>
        <v>1000</v>
      </c>
      <c r="AP92" s="1537">
        <f t="shared" ref="AP92:AP155" si="126">AO92-AD92</f>
        <v>1000</v>
      </c>
      <c r="AQ92" s="1537">
        <f t="shared" ref="AQ92:AQ155" si="127">AP92-AE92</f>
        <v>1000</v>
      </c>
      <c r="AR92" s="1537">
        <f t="shared" ref="AR92:AR155" si="128">AQ92-AF92</f>
        <v>1000</v>
      </c>
    </row>
    <row r="93" spans="1:44" s="1555" customFormat="1" x14ac:dyDescent="0.3">
      <c r="C93" s="1565" t="s">
        <v>3060</v>
      </c>
      <c r="D93" s="1562" t="s">
        <v>3299</v>
      </c>
      <c r="E93" s="1556">
        <v>5</v>
      </c>
      <c r="F93" s="1518">
        <f t="shared" si="98"/>
        <v>-2</v>
      </c>
      <c r="G93" s="1532">
        <f t="shared" si="99"/>
        <v>0</v>
      </c>
      <c r="H93" s="1533">
        <f t="shared" si="100"/>
        <v>0</v>
      </c>
      <c r="I93" s="1534">
        <f t="shared" si="101"/>
        <v>0.2</v>
      </c>
      <c r="J93" s="1519">
        <v>16090000</v>
      </c>
      <c r="K93" s="1519">
        <v>16089000</v>
      </c>
      <c r="N93" s="1519">
        <f t="shared" si="102"/>
        <v>1000</v>
      </c>
      <c r="Q93" s="1557">
        <v>0</v>
      </c>
      <c r="R93" s="1519">
        <f t="shared" si="103"/>
        <v>16090000</v>
      </c>
      <c r="S93" s="1519">
        <f t="shared" si="104"/>
        <v>1000</v>
      </c>
      <c r="T93" s="1519">
        <f t="shared" si="105"/>
        <v>0</v>
      </c>
      <c r="U93" s="1535">
        <f t="shared" si="106"/>
        <v>0</v>
      </c>
      <c r="V93" s="1537">
        <f t="shared" si="107"/>
        <v>0</v>
      </c>
      <c r="W93" s="1519">
        <f t="shared" si="108"/>
        <v>0</v>
      </c>
      <c r="X93" s="1537">
        <f t="shared" si="109"/>
        <v>0</v>
      </c>
      <c r="Y93" s="1537">
        <f t="shared" si="110"/>
        <v>0</v>
      </c>
      <c r="Z93" s="1537">
        <f t="shared" si="111"/>
        <v>0</v>
      </c>
      <c r="AA93" s="1537">
        <f t="shared" si="112"/>
        <v>0</v>
      </c>
      <c r="AB93" s="1537">
        <f t="shared" si="113"/>
        <v>0</v>
      </c>
      <c r="AC93" s="1537">
        <f t="shared" si="114"/>
        <v>0</v>
      </c>
      <c r="AD93" s="1537">
        <f t="shared" si="115"/>
        <v>0</v>
      </c>
      <c r="AE93" s="1537">
        <f t="shared" si="116"/>
        <v>0</v>
      </c>
      <c r="AF93" s="1536">
        <f t="shared" si="117"/>
        <v>0</v>
      </c>
      <c r="AH93" s="1537">
        <f t="shared" si="118"/>
        <v>1000</v>
      </c>
      <c r="AI93" s="1537">
        <f t="shared" si="119"/>
        <v>1000</v>
      </c>
      <c r="AJ93" s="1537">
        <f t="shared" si="120"/>
        <v>1000</v>
      </c>
      <c r="AK93" s="1537">
        <f t="shared" si="121"/>
        <v>1000</v>
      </c>
      <c r="AL93" s="1537">
        <f t="shared" si="122"/>
        <v>1000</v>
      </c>
      <c r="AM93" s="1537">
        <f t="shared" si="123"/>
        <v>1000</v>
      </c>
      <c r="AN93" s="1537">
        <f t="shared" si="124"/>
        <v>1000</v>
      </c>
      <c r="AO93" s="1537">
        <f t="shared" si="125"/>
        <v>1000</v>
      </c>
      <c r="AP93" s="1537">
        <f t="shared" si="126"/>
        <v>1000</v>
      </c>
      <c r="AQ93" s="1537">
        <f t="shared" si="127"/>
        <v>1000</v>
      </c>
      <c r="AR93" s="1537">
        <f t="shared" si="128"/>
        <v>1000</v>
      </c>
    </row>
    <row r="94" spans="1:44" s="1555" customFormat="1" x14ac:dyDescent="0.3">
      <c r="C94" s="1565" t="s">
        <v>3061</v>
      </c>
      <c r="D94" s="1562" t="s">
        <v>3300</v>
      </c>
      <c r="E94" s="1556">
        <v>5</v>
      </c>
      <c r="F94" s="1518">
        <f t="shared" si="98"/>
        <v>-2</v>
      </c>
      <c r="G94" s="1532">
        <f t="shared" si="99"/>
        <v>0</v>
      </c>
      <c r="H94" s="1533">
        <f t="shared" si="100"/>
        <v>0</v>
      </c>
      <c r="I94" s="1534">
        <f t="shared" si="101"/>
        <v>0.2</v>
      </c>
      <c r="J94" s="1519">
        <v>1470000</v>
      </c>
      <c r="K94" s="1519">
        <v>1469000</v>
      </c>
      <c r="N94" s="1519">
        <f t="shared" si="102"/>
        <v>1000</v>
      </c>
      <c r="Q94" s="1557">
        <v>0</v>
      </c>
      <c r="R94" s="1519">
        <f t="shared" si="103"/>
        <v>1470000</v>
      </c>
      <c r="S94" s="1519">
        <f t="shared" si="104"/>
        <v>1000</v>
      </c>
      <c r="T94" s="1519">
        <f t="shared" si="105"/>
        <v>0</v>
      </c>
      <c r="U94" s="1535">
        <f t="shared" si="106"/>
        <v>0</v>
      </c>
      <c r="V94" s="1537">
        <f t="shared" si="107"/>
        <v>0</v>
      </c>
      <c r="W94" s="1519">
        <f t="shared" si="108"/>
        <v>0</v>
      </c>
      <c r="X94" s="1537">
        <f t="shared" si="109"/>
        <v>0</v>
      </c>
      <c r="Y94" s="1537">
        <f t="shared" si="110"/>
        <v>0</v>
      </c>
      <c r="Z94" s="1537">
        <f t="shared" si="111"/>
        <v>0</v>
      </c>
      <c r="AA94" s="1537">
        <f t="shared" si="112"/>
        <v>0</v>
      </c>
      <c r="AB94" s="1537">
        <f t="shared" si="113"/>
        <v>0</v>
      </c>
      <c r="AC94" s="1537">
        <f t="shared" si="114"/>
        <v>0</v>
      </c>
      <c r="AD94" s="1537">
        <f t="shared" si="115"/>
        <v>0</v>
      </c>
      <c r="AE94" s="1537">
        <f t="shared" si="116"/>
        <v>0</v>
      </c>
      <c r="AF94" s="1536">
        <f t="shared" si="117"/>
        <v>0</v>
      </c>
      <c r="AH94" s="1537">
        <f t="shared" si="118"/>
        <v>1000</v>
      </c>
      <c r="AI94" s="1537">
        <f t="shared" si="119"/>
        <v>1000</v>
      </c>
      <c r="AJ94" s="1537">
        <f t="shared" si="120"/>
        <v>1000</v>
      </c>
      <c r="AK94" s="1537">
        <f t="shared" si="121"/>
        <v>1000</v>
      </c>
      <c r="AL94" s="1537">
        <f t="shared" si="122"/>
        <v>1000</v>
      </c>
      <c r="AM94" s="1537">
        <f t="shared" si="123"/>
        <v>1000</v>
      </c>
      <c r="AN94" s="1537">
        <f t="shared" si="124"/>
        <v>1000</v>
      </c>
      <c r="AO94" s="1537">
        <f t="shared" si="125"/>
        <v>1000</v>
      </c>
      <c r="AP94" s="1537">
        <f t="shared" si="126"/>
        <v>1000</v>
      </c>
      <c r="AQ94" s="1537">
        <f t="shared" si="127"/>
        <v>1000</v>
      </c>
      <c r="AR94" s="1537">
        <f t="shared" si="128"/>
        <v>1000</v>
      </c>
    </row>
    <row r="95" spans="1:44" s="1555" customFormat="1" x14ac:dyDescent="0.3">
      <c r="C95" s="1565" t="s">
        <v>3062</v>
      </c>
      <c r="D95" s="1562" t="s">
        <v>3301</v>
      </c>
      <c r="E95" s="1556">
        <v>5</v>
      </c>
      <c r="F95" s="1518">
        <f t="shared" si="98"/>
        <v>-1</v>
      </c>
      <c r="G95" s="1532">
        <f t="shared" si="99"/>
        <v>0</v>
      </c>
      <c r="H95" s="1533">
        <f t="shared" si="100"/>
        <v>0</v>
      </c>
      <c r="I95" s="1534">
        <f t="shared" si="101"/>
        <v>0.2</v>
      </c>
      <c r="J95" s="1519">
        <v>1254545</v>
      </c>
      <c r="K95" s="1519">
        <v>1253545</v>
      </c>
      <c r="N95" s="1519">
        <f t="shared" si="102"/>
        <v>1000</v>
      </c>
      <c r="Q95" s="1557">
        <v>0</v>
      </c>
      <c r="R95" s="1519">
        <f t="shared" si="103"/>
        <v>1254545</v>
      </c>
      <c r="S95" s="1519">
        <f t="shared" si="104"/>
        <v>1000</v>
      </c>
      <c r="T95" s="1519">
        <f t="shared" si="105"/>
        <v>0</v>
      </c>
      <c r="U95" s="1535">
        <f t="shared" si="106"/>
        <v>0</v>
      </c>
      <c r="V95" s="1537">
        <f t="shared" si="107"/>
        <v>0</v>
      </c>
      <c r="W95" s="1519">
        <f t="shared" si="108"/>
        <v>0</v>
      </c>
      <c r="X95" s="1537">
        <f t="shared" si="109"/>
        <v>0</v>
      </c>
      <c r="Y95" s="1537">
        <f t="shared" si="110"/>
        <v>0</v>
      </c>
      <c r="Z95" s="1537">
        <f t="shared" si="111"/>
        <v>0</v>
      </c>
      <c r="AA95" s="1537">
        <f t="shared" si="112"/>
        <v>0</v>
      </c>
      <c r="AB95" s="1537">
        <f t="shared" si="113"/>
        <v>0</v>
      </c>
      <c r="AC95" s="1537">
        <f t="shared" si="114"/>
        <v>0</v>
      </c>
      <c r="AD95" s="1537">
        <f t="shared" si="115"/>
        <v>0</v>
      </c>
      <c r="AE95" s="1537">
        <f t="shared" si="116"/>
        <v>0</v>
      </c>
      <c r="AF95" s="1536">
        <f t="shared" si="117"/>
        <v>0</v>
      </c>
      <c r="AH95" s="1537">
        <f t="shared" si="118"/>
        <v>1000</v>
      </c>
      <c r="AI95" s="1537">
        <f t="shared" si="119"/>
        <v>1000</v>
      </c>
      <c r="AJ95" s="1537">
        <f t="shared" si="120"/>
        <v>1000</v>
      </c>
      <c r="AK95" s="1537">
        <f t="shared" si="121"/>
        <v>1000</v>
      </c>
      <c r="AL95" s="1537">
        <f t="shared" si="122"/>
        <v>1000</v>
      </c>
      <c r="AM95" s="1537">
        <f t="shared" si="123"/>
        <v>1000</v>
      </c>
      <c r="AN95" s="1537">
        <f t="shared" si="124"/>
        <v>1000</v>
      </c>
      <c r="AO95" s="1537">
        <f t="shared" si="125"/>
        <v>1000</v>
      </c>
      <c r="AP95" s="1537">
        <f t="shared" si="126"/>
        <v>1000</v>
      </c>
      <c r="AQ95" s="1537">
        <f t="shared" si="127"/>
        <v>1000</v>
      </c>
      <c r="AR95" s="1537">
        <f t="shared" si="128"/>
        <v>1000</v>
      </c>
    </row>
    <row r="96" spans="1:44" s="1555" customFormat="1" x14ac:dyDescent="0.3">
      <c r="C96" s="1565" t="s">
        <v>3063</v>
      </c>
      <c r="D96" s="1562" t="s">
        <v>3302</v>
      </c>
      <c r="E96" s="1556">
        <v>5</v>
      </c>
      <c r="F96" s="1518">
        <f t="shared" si="98"/>
        <v>-1</v>
      </c>
      <c r="G96" s="1532">
        <f t="shared" si="99"/>
        <v>0</v>
      </c>
      <c r="H96" s="1533">
        <f t="shared" si="100"/>
        <v>0</v>
      </c>
      <c r="I96" s="1534">
        <f t="shared" si="101"/>
        <v>0.2</v>
      </c>
      <c r="J96" s="1519">
        <v>1881000</v>
      </c>
      <c r="K96" s="1519">
        <v>1880000</v>
      </c>
      <c r="N96" s="1519">
        <f t="shared" si="102"/>
        <v>1000</v>
      </c>
      <c r="Q96" s="1557">
        <v>0</v>
      </c>
      <c r="R96" s="1519">
        <f t="shared" si="103"/>
        <v>1881000</v>
      </c>
      <c r="S96" s="1519">
        <f t="shared" si="104"/>
        <v>1000</v>
      </c>
      <c r="T96" s="1519">
        <f t="shared" si="105"/>
        <v>0</v>
      </c>
      <c r="U96" s="1535">
        <f t="shared" si="106"/>
        <v>0</v>
      </c>
      <c r="V96" s="1537">
        <f t="shared" si="107"/>
        <v>0</v>
      </c>
      <c r="W96" s="1519">
        <f t="shared" si="108"/>
        <v>0</v>
      </c>
      <c r="X96" s="1537">
        <f t="shared" si="109"/>
        <v>0</v>
      </c>
      <c r="Y96" s="1537">
        <f t="shared" si="110"/>
        <v>0</v>
      </c>
      <c r="Z96" s="1537">
        <f t="shared" si="111"/>
        <v>0</v>
      </c>
      <c r="AA96" s="1537">
        <f t="shared" si="112"/>
        <v>0</v>
      </c>
      <c r="AB96" s="1537">
        <f t="shared" si="113"/>
        <v>0</v>
      </c>
      <c r="AC96" s="1537">
        <f t="shared" si="114"/>
        <v>0</v>
      </c>
      <c r="AD96" s="1537">
        <f t="shared" si="115"/>
        <v>0</v>
      </c>
      <c r="AE96" s="1537">
        <f t="shared" si="116"/>
        <v>0</v>
      </c>
      <c r="AF96" s="1536">
        <f t="shared" si="117"/>
        <v>0</v>
      </c>
      <c r="AH96" s="1537">
        <f t="shared" si="118"/>
        <v>1000</v>
      </c>
      <c r="AI96" s="1537">
        <f t="shared" si="119"/>
        <v>1000</v>
      </c>
      <c r="AJ96" s="1537">
        <f t="shared" si="120"/>
        <v>1000</v>
      </c>
      <c r="AK96" s="1537">
        <f t="shared" si="121"/>
        <v>1000</v>
      </c>
      <c r="AL96" s="1537">
        <f t="shared" si="122"/>
        <v>1000</v>
      </c>
      <c r="AM96" s="1537">
        <f t="shared" si="123"/>
        <v>1000</v>
      </c>
      <c r="AN96" s="1537">
        <f t="shared" si="124"/>
        <v>1000</v>
      </c>
      <c r="AO96" s="1537">
        <f t="shared" si="125"/>
        <v>1000</v>
      </c>
      <c r="AP96" s="1537">
        <f t="shared" si="126"/>
        <v>1000</v>
      </c>
      <c r="AQ96" s="1537">
        <f t="shared" si="127"/>
        <v>1000</v>
      </c>
      <c r="AR96" s="1537">
        <f t="shared" si="128"/>
        <v>1000</v>
      </c>
    </row>
    <row r="97" spans="3:44" s="1555" customFormat="1" x14ac:dyDescent="0.3">
      <c r="C97" s="1565" t="s">
        <v>3062</v>
      </c>
      <c r="D97" s="1562" t="s">
        <v>3303</v>
      </c>
      <c r="E97" s="1556">
        <v>5</v>
      </c>
      <c r="F97" s="1518">
        <f t="shared" si="98"/>
        <v>-1</v>
      </c>
      <c r="G97" s="1532">
        <f t="shared" si="99"/>
        <v>0</v>
      </c>
      <c r="H97" s="1533">
        <f t="shared" si="100"/>
        <v>0</v>
      </c>
      <c r="I97" s="1534">
        <f t="shared" si="101"/>
        <v>0.2</v>
      </c>
      <c r="J97" s="1519">
        <v>1254545</v>
      </c>
      <c r="K97" s="1519">
        <v>1253545</v>
      </c>
      <c r="N97" s="1519">
        <f t="shared" si="102"/>
        <v>1000</v>
      </c>
      <c r="Q97" s="1557">
        <v>0</v>
      </c>
      <c r="R97" s="1519">
        <f t="shared" si="103"/>
        <v>1254545</v>
      </c>
      <c r="S97" s="1519">
        <f t="shared" si="104"/>
        <v>1000</v>
      </c>
      <c r="T97" s="1519">
        <f t="shared" si="105"/>
        <v>0</v>
      </c>
      <c r="U97" s="1535">
        <f t="shared" si="106"/>
        <v>0</v>
      </c>
      <c r="V97" s="1537">
        <f t="shared" si="107"/>
        <v>0</v>
      </c>
      <c r="W97" s="1519">
        <f t="shared" si="108"/>
        <v>0</v>
      </c>
      <c r="X97" s="1537">
        <f t="shared" si="109"/>
        <v>0</v>
      </c>
      <c r="Y97" s="1537">
        <f t="shared" si="110"/>
        <v>0</v>
      </c>
      <c r="Z97" s="1537">
        <f t="shared" si="111"/>
        <v>0</v>
      </c>
      <c r="AA97" s="1537">
        <f t="shared" si="112"/>
        <v>0</v>
      </c>
      <c r="AB97" s="1537">
        <f t="shared" si="113"/>
        <v>0</v>
      </c>
      <c r="AC97" s="1537">
        <f t="shared" si="114"/>
        <v>0</v>
      </c>
      <c r="AD97" s="1537">
        <f t="shared" si="115"/>
        <v>0</v>
      </c>
      <c r="AE97" s="1537">
        <f t="shared" si="116"/>
        <v>0</v>
      </c>
      <c r="AF97" s="1536">
        <f t="shared" si="117"/>
        <v>0</v>
      </c>
      <c r="AH97" s="1537">
        <f t="shared" si="118"/>
        <v>1000</v>
      </c>
      <c r="AI97" s="1537">
        <f t="shared" si="119"/>
        <v>1000</v>
      </c>
      <c r="AJ97" s="1537">
        <f t="shared" si="120"/>
        <v>1000</v>
      </c>
      <c r="AK97" s="1537">
        <f t="shared" si="121"/>
        <v>1000</v>
      </c>
      <c r="AL97" s="1537">
        <f t="shared" si="122"/>
        <v>1000</v>
      </c>
      <c r="AM97" s="1537">
        <f t="shared" si="123"/>
        <v>1000</v>
      </c>
      <c r="AN97" s="1537">
        <f t="shared" si="124"/>
        <v>1000</v>
      </c>
      <c r="AO97" s="1537">
        <f t="shared" si="125"/>
        <v>1000</v>
      </c>
      <c r="AP97" s="1537">
        <f t="shared" si="126"/>
        <v>1000</v>
      </c>
      <c r="AQ97" s="1537">
        <f t="shared" si="127"/>
        <v>1000</v>
      </c>
      <c r="AR97" s="1537">
        <f t="shared" si="128"/>
        <v>1000</v>
      </c>
    </row>
    <row r="98" spans="3:44" s="1555" customFormat="1" x14ac:dyDescent="0.3">
      <c r="C98" s="1565" t="s">
        <v>3064</v>
      </c>
      <c r="D98" s="1562" t="s">
        <v>3304</v>
      </c>
      <c r="E98" s="1556">
        <v>5</v>
      </c>
      <c r="F98" s="1518">
        <f t="shared" si="98"/>
        <v>-1</v>
      </c>
      <c r="G98" s="1532">
        <f t="shared" si="99"/>
        <v>0</v>
      </c>
      <c r="H98" s="1533">
        <f t="shared" si="100"/>
        <v>0</v>
      </c>
      <c r="I98" s="1534">
        <f t="shared" si="101"/>
        <v>0.2</v>
      </c>
      <c r="J98" s="1519">
        <v>11600000</v>
      </c>
      <c r="K98" s="1519">
        <v>11599000</v>
      </c>
      <c r="N98" s="1519">
        <f t="shared" si="102"/>
        <v>1000</v>
      </c>
      <c r="Q98" s="1557">
        <v>0</v>
      </c>
      <c r="R98" s="1519">
        <f t="shared" si="103"/>
        <v>11600000</v>
      </c>
      <c r="S98" s="1519">
        <f t="shared" si="104"/>
        <v>1000</v>
      </c>
      <c r="T98" s="1519">
        <f t="shared" si="105"/>
        <v>0</v>
      </c>
      <c r="U98" s="1535">
        <f t="shared" si="106"/>
        <v>0</v>
      </c>
      <c r="V98" s="1537">
        <f t="shared" si="107"/>
        <v>0</v>
      </c>
      <c r="W98" s="1519">
        <f t="shared" si="108"/>
        <v>0</v>
      </c>
      <c r="X98" s="1537">
        <f t="shared" si="109"/>
        <v>0</v>
      </c>
      <c r="Y98" s="1537">
        <f t="shared" si="110"/>
        <v>0</v>
      </c>
      <c r="Z98" s="1537">
        <f t="shared" si="111"/>
        <v>0</v>
      </c>
      <c r="AA98" s="1537">
        <f t="shared" si="112"/>
        <v>0</v>
      </c>
      <c r="AB98" s="1537">
        <f t="shared" si="113"/>
        <v>0</v>
      </c>
      <c r="AC98" s="1537">
        <f t="shared" si="114"/>
        <v>0</v>
      </c>
      <c r="AD98" s="1537">
        <f t="shared" si="115"/>
        <v>0</v>
      </c>
      <c r="AE98" s="1537">
        <f t="shared" si="116"/>
        <v>0</v>
      </c>
      <c r="AF98" s="1536">
        <f t="shared" si="117"/>
        <v>0</v>
      </c>
      <c r="AH98" s="1537">
        <f t="shared" si="118"/>
        <v>1000</v>
      </c>
      <c r="AI98" s="1537">
        <f t="shared" si="119"/>
        <v>1000</v>
      </c>
      <c r="AJ98" s="1537">
        <f t="shared" si="120"/>
        <v>1000</v>
      </c>
      <c r="AK98" s="1537">
        <f t="shared" si="121"/>
        <v>1000</v>
      </c>
      <c r="AL98" s="1537">
        <f t="shared" si="122"/>
        <v>1000</v>
      </c>
      <c r="AM98" s="1537">
        <f t="shared" si="123"/>
        <v>1000</v>
      </c>
      <c r="AN98" s="1537">
        <f t="shared" si="124"/>
        <v>1000</v>
      </c>
      <c r="AO98" s="1537">
        <f t="shared" si="125"/>
        <v>1000</v>
      </c>
      <c r="AP98" s="1537">
        <f t="shared" si="126"/>
        <v>1000</v>
      </c>
      <c r="AQ98" s="1537">
        <f t="shared" si="127"/>
        <v>1000</v>
      </c>
      <c r="AR98" s="1537">
        <f t="shared" si="128"/>
        <v>1000</v>
      </c>
    </row>
    <row r="99" spans="3:44" s="1555" customFormat="1" x14ac:dyDescent="0.3">
      <c r="C99" s="1565" t="s">
        <v>3065</v>
      </c>
      <c r="D99" s="1562" t="s">
        <v>3305</v>
      </c>
      <c r="E99" s="1556">
        <v>5</v>
      </c>
      <c r="F99" s="1518">
        <f t="shared" si="98"/>
        <v>-1</v>
      </c>
      <c r="G99" s="1532">
        <f t="shared" si="99"/>
        <v>0</v>
      </c>
      <c r="H99" s="1533">
        <f t="shared" si="100"/>
        <v>0</v>
      </c>
      <c r="I99" s="1534">
        <f t="shared" si="101"/>
        <v>0.2</v>
      </c>
      <c r="J99" s="1519">
        <v>5940000</v>
      </c>
      <c r="K99" s="1519">
        <v>5939000</v>
      </c>
      <c r="N99" s="1519">
        <f t="shared" si="102"/>
        <v>1000</v>
      </c>
      <c r="Q99" s="1557">
        <v>0</v>
      </c>
      <c r="R99" s="1519">
        <f t="shared" si="103"/>
        <v>5940000</v>
      </c>
      <c r="S99" s="1519">
        <f t="shared" si="104"/>
        <v>1000</v>
      </c>
      <c r="T99" s="1519">
        <f t="shared" si="105"/>
        <v>0</v>
      </c>
      <c r="U99" s="1535">
        <f t="shared" si="106"/>
        <v>0</v>
      </c>
      <c r="V99" s="1537">
        <f t="shared" si="107"/>
        <v>0</v>
      </c>
      <c r="W99" s="1519">
        <f t="shared" si="108"/>
        <v>0</v>
      </c>
      <c r="X99" s="1537">
        <f t="shared" si="109"/>
        <v>0</v>
      </c>
      <c r="Y99" s="1537">
        <f t="shared" si="110"/>
        <v>0</v>
      </c>
      <c r="Z99" s="1537">
        <f t="shared" si="111"/>
        <v>0</v>
      </c>
      <c r="AA99" s="1537">
        <f t="shared" si="112"/>
        <v>0</v>
      </c>
      <c r="AB99" s="1537">
        <f t="shared" si="113"/>
        <v>0</v>
      </c>
      <c r="AC99" s="1537">
        <f t="shared" si="114"/>
        <v>0</v>
      </c>
      <c r="AD99" s="1537">
        <f t="shared" si="115"/>
        <v>0</v>
      </c>
      <c r="AE99" s="1537">
        <f t="shared" si="116"/>
        <v>0</v>
      </c>
      <c r="AF99" s="1536">
        <f t="shared" si="117"/>
        <v>0</v>
      </c>
      <c r="AH99" s="1537">
        <f t="shared" si="118"/>
        <v>1000</v>
      </c>
      <c r="AI99" s="1537">
        <f t="shared" si="119"/>
        <v>1000</v>
      </c>
      <c r="AJ99" s="1537">
        <f t="shared" si="120"/>
        <v>1000</v>
      </c>
      <c r="AK99" s="1537">
        <f t="shared" si="121"/>
        <v>1000</v>
      </c>
      <c r="AL99" s="1537">
        <f t="shared" si="122"/>
        <v>1000</v>
      </c>
      <c r="AM99" s="1537">
        <f t="shared" si="123"/>
        <v>1000</v>
      </c>
      <c r="AN99" s="1537">
        <f t="shared" si="124"/>
        <v>1000</v>
      </c>
      <c r="AO99" s="1537">
        <f t="shared" si="125"/>
        <v>1000</v>
      </c>
      <c r="AP99" s="1537">
        <f t="shared" si="126"/>
        <v>1000</v>
      </c>
      <c r="AQ99" s="1537">
        <f t="shared" si="127"/>
        <v>1000</v>
      </c>
      <c r="AR99" s="1537">
        <f t="shared" si="128"/>
        <v>1000</v>
      </c>
    </row>
    <row r="100" spans="3:44" s="1555" customFormat="1" x14ac:dyDescent="0.3">
      <c r="C100" s="1565" t="s">
        <v>3066</v>
      </c>
      <c r="D100" s="1562" t="s">
        <v>3306</v>
      </c>
      <c r="E100" s="1556">
        <v>5</v>
      </c>
      <c r="F100" s="1518">
        <f t="shared" si="98"/>
        <v>0</v>
      </c>
      <c r="G100" s="1532">
        <f t="shared" si="99"/>
        <v>0</v>
      </c>
      <c r="H100" s="1533">
        <f t="shared" si="100"/>
        <v>0</v>
      </c>
      <c r="I100" s="1534">
        <f t="shared" si="101"/>
        <v>0.2</v>
      </c>
      <c r="J100" s="1519">
        <v>10060000</v>
      </c>
      <c r="K100" s="1519">
        <v>10059000</v>
      </c>
      <c r="N100" s="1519">
        <f t="shared" si="102"/>
        <v>1000</v>
      </c>
      <c r="Q100" s="1557">
        <v>0</v>
      </c>
      <c r="R100" s="1519">
        <f t="shared" si="103"/>
        <v>10060000</v>
      </c>
      <c r="S100" s="1519">
        <f t="shared" si="104"/>
        <v>1000</v>
      </c>
      <c r="T100" s="1519">
        <f t="shared" si="105"/>
        <v>0</v>
      </c>
      <c r="U100" s="1535">
        <f t="shared" si="106"/>
        <v>0</v>
      </c>
      <c r="V100" s="1537">
        <f t="shared" si="107"/>
        <v>0</v>
      </c>
      <c r="W100" s="1519">
        <f t="shared" si="108"/>
        <v>0</v>
      </c>
      <c r="X100" s="1537">
        <f t="shared" si="109"/>
        <v>0</v>
      </c>
      <c r="Y100" s="1537">
        <f t="shared" si="110"/>
        <v>0</v>
      </c>
      <c r="Z100" s="1537">
        <f t="shared" si="111"/>
        <v>0</v>
      </c>
      <c r="AA100" s="1537">
        <f t="shared" si="112"/>
        <v>0</v>
      </c>
      <c r="AB100" s="1537">
        <f t="shared" si="113"/>
        <v>0</v>
      </c>
      <c r="AC100" s="1537">
        <f t="shared" si="114"/>
        <v>0</v>
      </c>
      <c r="AD100" s="1537">
        <f t="shared" si="115"/>
        <v>0</v>
      </c>
      <c r="AE100" s="1537">
        <f t="shared" si="116"/>
        <v>0</v>
      </c>
      <c r="AF100" s="1536">
        <f t="shared" si="117"/>
        <v>0</v>
      </c>
      <c r="AH100" s="1537">
        <f t="shared" si="118"/>
        <v>1000</v>
      </c>
      <c r="AI100" s="1537">
        <f t="shared" si="119"/>
        <v>1000</v>
      </c>
      <c r="AJ100" s="1537">
        <f t="shared" si="120"/>
        <v>1000</v>
      </c>
      <c r="AK100" s="1537">
        <f t="shared" si="121"/>
        <v>1000</v>
      </c>
      <c r="AL100" s="1537">
        <f t="shared" si="122"/>
        <v>1000</v>
      </c>
      <c r="AM100" s="1537">
        <f t="shared" si="123"/>
        <v>1000</v>
      </c>
      <c r="AN100" s="1537">
        <f t="shared" si="124"/>
        <v>1000</v>
      </c>
      <c r="AO100" s="1537">
        <f t="shared" si="125"/>
        <v>1000</v>
      </c>
      <c r="AP100" s="1537">
        <f t="shared" si="126"/>
        <v>1000</v>
      </c>
      <c r="AQ100" s="1537">
        <f t="shared" si="127"/>
        <v>1000</v>
      </c>
      <c r="AR100" s="1537">
        <f t="shared" si="128"/>
        <v>1000</v>
      </c>
    </row>
    <row r="101" spans="3:44" s="1555" customFormat="1" x14ac:dyDescent="0.3">
      <c r="C101" s="1565" t="s">
        <v>3067</v>
      </c>
      <c r="D101" s="1562" t="s">
        <v>3307</v>
      </c>
      <c r="E101" s="1556">
        <v>5</v>
      </c>
      <c r="F101" s="1518">
        <f t="shared" si="98"/>
        <v>0</v>
      </c>
      <c r="G101" s="1532">
        <f t="shared" si="99"/>
        <v>0</v>
      </c>
      <c r="H101" s="1533">
        <f t="shared" si="100"/>
        <v>0</v>
      </c>
      <c r="I101" s="1534">
        <f t="shared" si="101"/>
        <v>0.2</v>
      </c>
      <c r="J101" s="1519">
        <v>2127273</v>
      </c>
      <c r="K101" s="1519">
        <v>2091820.0499999998</v>
      </c>
      <c r="N101" s="1519">
        <f t="shared" si="102"/>
        <v>35453</v>
      </c>
      <c r="Q101" s="1557">
        <v>34452.950000000186</v>
      </c>
      <c r="R101" s="1519">
        <f t="shared" si="103"/>
        <v>2127273</v>
      </c>
      <c r="S101" s="1519">
        <f t="shared" si="104"/>
        <v>1000</v>
      </c>
      <c r="T101" s="1519">
        <f t="shared" si="105"/>
        <v>0</v>
      </c>
      <c r="U101" s="1535">
        <f t="shared" si="106"/>
        <v>0</v>
      </c>
      <c r="V101" s="1537">
        <f t="shared" si="107"/>
        <v>34452.950000000186</v>
      </c>
      <c r="W101" s="1519">
        <f t="shared" si="108"/>
        <v>0</v>
      </c>
      <c r="X101" s="1537">
        <f t="shared" si="109"/>
        <v>0</v>
      </c>
      <c r="Y101" s="1537">
        <f t="shared" si="110"/>
        <v>0</v>
      </c>
      <c r="Z101" s="1537">
        <f t="shared" si="111"/>
        <v>0</v>
      </c>
      <c r="AA101" s="1537">
        <f t="shared" si="112"/>
        <v>0</v>
      </c>
      <c r="AB101" s="1537">
        <f t="shared" si="113"/>
        <v>0</v>
      </c>
      <c r="AC101" s="1537">
        <f t="shared" si="114"/>
        <v>0</v>
      </c>
      <c r="AD101" s="1537">
        <f t="shared" si="115"/>
        <v>0</v>
      </c>
      <c r="AE101" s="1537">
        <f t="shared" si="116"/>
        <v>0</v>
      </c>
      <c r="AF101" s="1536">
        <f t="shared" si="117"/>
        <v>0</v>
      </c>
      <c r="AH101" s="1537">
        <f t="shared" si="118"/>
        <v>1000</v>
      </c>
      <c r="AI101" s="1537">
        <f t="shared" si="119"/>
        <v>1000</v>
      </c>
      <c r="AJ101" s="1537">
        <f t="shared" si="120"/>
        <v>1000</v>
      </c>
      <c r="AK101" s="1537">
        <f t="shared" si="121"/>
        <v>1000</v>
      </c>
      <c r="AL101" s="1537">
        <f t="shared" si="122"/>
        <v>1000</v>
      </c>
      <c r="AM101" s="1537">
        <f t="shared" si="123"/>
        <v>1000</v>
      </c>
      <c r="AN101" s="1537">
        <f t="shared" si="124"/>
        <v>1000</v>
      </c>
      <c r="AO101" s="1537">
        <f t="shared" si="125"/>
        <v>1000</v>
      </c>
      <c r="AP101" s="1537">
        <f t="shared" si="126"/>
        <v>1000</v>
      </c>
      <c r="AQ101" s="1537">
        <f t="shared" si="127"/>
        <v>1000</v>
      </c>
      <c r="AR101" s="1537">
        <f t="shared" si="128"/>
        <v>1000</v>
      </c>
    </row>
    <row r="102" spans="3:44" s="1555" customFormat="1" x14ac:dyDescent="0.3">
      <c r="C102" s="1565" t="s">
        <v>3068</v>
      </c>
      <c r="D102" s="1562" t="s">
        <v>3308</v>
      </c>
      <c r="E102" s="1556">
        <v>5</v>
      </c>
      <c r="F102" s="1518">
        <f t="shared" si="98"/>
        <v>0</v>
      </c>
      <c r="G102" s="1532">
        <f t="shared" si="99"/>
        <v>0</v>
      </c>
      <c r="H102" s="1533">
        <f t="shared" si="100"/>
        <v>0</v>
      </c>
      <c r="I102" s="1534">
        <f t="shared" si="101"/>
        <v>0.2</v>
      </c>
      <c r="J102" s="1519">
        <v>2000000</v>
      </c>
      <c r="K102" s="1519">
        <v>1933333.3333333335</v>
      </c>
      <c r="N102" s="1519">
        <f t="shared" si="102"/>
        <v>66667</v>
      </c>
      <c r="Q102" s="1557">
        <v>65666.666666666511</v>
      </c>
      <c r="R102" s="1519">
        <f t="shared" si="103"/>
        <v>2000000</v>
      </c>
      <c r="S102" s="1519">
        <f t="shared" si="104"/>
        <v>1000</v>
      </c>
      <c r="T102" s="1519">
        <f t="shared" si="105"/>
        <v>0</v>
      </c>
      <c r="U102" s="1535">
        <f t="shared" si="106"/>
        <v>0</v>
      </c>
      <c r="V102" s="1537">
        <f t="shared" si="107"/>
        <v>65666.666666666511</v>
      </c>
      <c r="W102" s="1519">
        <f t="shared" si="108"/>
        <v>0</v>
      </c>
      <c r="X102" s="1537">
        <f t="shared" si="109"/>
        <v>0</v>
      </c>
      <c r="Y102" s="1537">
        <f t="shared" si="110"/>
        <v>0</v>
      </c>
      <c r="Z102" s="1537">
        <f t="shared" si="111"/>
        <v>0</v>
      </c>
      <c r="AA102" s="1537">
        <f t="shared" si="112"/>
        <v>0</v>
      </c>
      <c r="AB102" s="1537">
        <f t="shared" si="113"/>
        <v>0</v>
      </c>
      <c r="AC102" s="1537">
        <f t="shared" si="114"/>
        <v>0</v>
      </c>
      <c r="AD102" s="1537">
        <f t="shared" si="115"/>
        <v>0</v>
      </c>
      <c r="AE102" s="1537">
        <f t="shared" si="116"/>
        <v>0</v>
      </c>
      <c r="AF102" s="1536">
        <f t="shared" si="117"/>
        <v>0</v>
      </c>
      <c r="AH102" s="1537">
        <f t="shared" si="118"/>
        <v>1000</v>
      </c>
      <c r="AI102" s="1537">
        <f t="shared" si="119"/>
        <v>1000</v>
      </c>
      <c r="AJ102" s="1537">
        <f t="shared" si="120"/>
        <v>1000</v>
      </c>
      <c r="AK102" s="1537">
        <f t="shared" si="121"/>
        <v>1000</v>
      </c>
      <c r="AL102" s="1537">
        <f t="shared" si="122"/>
        <v>1000</v>
      </c>
      <c r="AM102" s="1537">
        <f t="shared" si="123"/>
        <v>1000</v>
      </c>
      <c r="AN102" s="1537">
        <f t="shared" si="124"/>
        <v>1000</v>
      </c>
      <c r="AO102" s="1537">
        <f t="shared" si="125"/>
        <v>1000</v>
      </c>
      <c r="AP102" s="1537">
        <f t="shared" si="126"/>
        <v>1000</v>
      </c>
      <c r="AQ102" s="1537">
        <f t="shared" si="127"/>
        <v>1000</v>
      </c>
      <c r="AR102" s="1537">
        <f t="shared" si="128"/>
        <v>1000</v>
      </c>
    </row>
    <row r="103" spans="3:44" s="1555" customFormat="1" x14ac:dyDescent="0.3">
      <c r="C103" s="1565" t="s">
        <v>3069</v>
      </c>
      <c r="D103" s="1562" t="s">
        <v>3309</v>
      </c>
      <c r="E103" s="1556">
        <v>5</v>
      </c>
      <c r="F103" s="1518">
        <f t="shared" si="98"/>
        <v>0</v>
      </c>
      <c r="G103" s="1532">
        <f t="shared" si="99"/>
        <v>0</v>
      </c>
      <c r="H103" s="1533">
        <f t="shared" si="100"/>
        <v>0</v>
      </c>
      <c r="I103" s="1534">
        <f t="shared" si="101"/>
        <v>0.2</v>
      </c>
      <c r="J103" s="1519">
        <v>5920000</v>
      </c>
      <c r="K103" s="1519">
        <v>5624000</v>
      </c>
      <c r="N103" s="1519">
        <f t="shared" si="102"/>
        <v>296000</v>
      </c>
      <c r="Q103" s="1557">
        <v>295000</v>
      </c>
      <c r="R103" s="1519">
        <f t="shared" si="103"/>
        <v>5920000</v>
      </c>
      <c r="S103" s="1519">
        <f t="shared" si="104"/>
        <v>1000</v>
      </c>
      <c r="T103" s="1519">
        <f t="shared" si="105"/>
        <v>0</v>
      </c>
      <c r="U103" s="1535">
        <f t="shared" si="106"/>
        <v>0</v>
      </c>
      <c r="V103" s="1537">
        <f t="shared" si="107"/>
        <v>295000</v>
      </c>
      <c r="W103" s="1519">
        <f t="shared" si="108"/>
        <v>0</v>
      </c>
      <c r="X103" s="1537">
        <f t="shared" si="109"/>
        <v>0</v>
      </c>
      <c r="Y103" s="1537">
        <f t="shared" si="110"/>
        <v>0</v>
      </c>
      <c r="Z103" s="1537">
        <f t="shared" si="111"/>
        <v>0</v>
      </c>
      <c r="AA103" s="1537">
        <f t="shared" si="112"/>
        <v>0</v>
      </c>
      <c r="AB103" s="1537">
        <f t="shared" si="113"/>
        <v>0</v>
      </c>
      <c r="AC103" s="1537">
        <f t="shared" si="114"/>
        <v>0</v>
      </c>
      <c r="AD103" s="1537">
        <f t="shared" si="115"/>
        <v>0</v>
      </c>
      <c r="AE103" s="1537">
        <f t="shared" si="116"/>
        <v>0</v>
      </c>
      <c r="AF103" s="1536">
        <f t="shared" si="117"/>
        <v>0</v>
      </c>
      <c r="AH103" s="1537">
        <f t="shared" si="118"/>
        <v>1000</v>
      </c>
      <c r="AI103" s="1537">
        <f t="shared" si="119"/>
        <v>1000</v>
      </c>
      <c r="AJ103" s="1537">
        <f t="shared" si="120"/>
        <v>1000</v>
      </c>
      <c r="AK103" s="1537">
        <f t="shared" si="121"/>
        <v>1000</v>
      </c>
      <c r="AL103" s="1537">
        <f t="shared" si="122"/>
        <v>1000</v>
      </c>
      <c r="AM103" s="1537">
        <f t="shared" si="123"/>
        <v>1000</v>
      </c>
      <c r="AN103" s="1537">
        <f t="shared" si="124"/>
        <v>1000</v>
      </c>
      <c r="AO103" s="1537">
        <f t="shared" si="125"/>
        <v>1000</v>
      </c>
      <c r="AP103" s="1537">
        <f t="shared" si="126"/>
        <v>1000</v>
      </c>
      <c r="AQ103" s="1537">
        <f t="shared" si="127"/>
        <v>1000</v>
      </c>
      <c r="AR103" s="1537">
        <f t="shared" si="128"/>
        <v>1000</v>
      </c>
    </row>
    <row r="104" spans="3:44" s="1555" customFormat="1" x14ac:dyDescent="0.3">
      <c r="C104" s="1565" t="s">
        <v>3070</v>
      </c>
      <c r="D104" s="1562" t="s">
        <v>3310</v>
      </c>
      <c r="E104" s="1556">
        <v>5</v>
      </c>
      <c r="F104" s="1518">
        <f t="shared" si="98"/>
        <v>0</v>
      </c>
      <c r="G104" s="1532">
        <f t="shared" si="99"/>
        <v>0</v>
      </c>
      <c r="H104" s="1533">
        <f t="shared" si="100"/>
        <v>0</v>
      </c>
      <c r="I104" s="1534">
        <f t="shared" si="101"/>
        <v>0.2</v>
      </c>
      <c r="J104" s="1519">
        <v>6180000</v>
      </c>
      <c r="K104" s="1519">
        <v>5871000</v>
      </c>
      <c r="N104" s="1519">
        <f t="shared" si="102"/>
        <v>309000</v>
      </c>
      <c r="Q104" s="1557">
        <v>308000</v>
      </c>
      <c r="R104" s="1519">
        <f t="shared" si="103"/>
        <v>6180000</v>
      </c>
      <c r="S104" s="1519">
        <f t="shared" si="104"/>
        <v>1000</v>
      </c>
      <c r="T104" s="1519">
        <f t="shared" si="105"/>
        <v>0</v>
      </c>
      <c r="U104" s="1535">
        <f t="shared" si="106"/>
        <v>0</v>
      </c>
      <c r="V104" s="1537">
        <f t="shared" si="107"/>
        <v>308000</v>
      </c>
      <c r="W104" s="1519">
        <f t="shared" si="108"/>
        <v>0</v>
      </c>
      <c r="X104" s="1537">
        <f t="shared" si="109"/>
        <v>0</v>
      </c>
      <c r="Y104" s="1537">
        <f t="shared" si="110"/>
        <v>0</v>
      </c>
      <c r="Z104" s="1537">
        <f t="shared" si="111"/>
        <v>0</v>
      </c>
      <c r="AA104" s="1537">
        <f t="shared" si="112"/>
        <v>0</v>
      </c>
      <c r="AB104" s="1537">
        <f t="shared" si="113"/>
        <v>0</v>
      </c>
      <c r="AC104" s="1537">
        <f t="shared" si="114"/>
        <v>0</v>
      </c>
      <c r="AD104" s="1537">
        <f t="shared" si="115"/>
        <v>0</v>
      </c>
      <c r="AE104" s="1537">
        <f t="shared" si="116"/>
        <v>0</v>
      </c>
      <c r="AF104" s="1536">
        <f t="shared" si="117"/>
        <v>0</v>
      </c>
      <c r="AH104" s="1537">
        <f t="shared" si="118"/>
        <v>1000</v>
      </c>
      <c r="AI104" s="1537">
        <f t="shared" si="119"/>
        <v>1000</v>
      </c>
      <c r="AJ104" s="1537">
        <f t="shared" si="120"/>
        <v>1000</v>
      </c>
      <c r="AK104" s="1537">
        <f t="shared" si="121"/>
        <v>1000</v>
      </c>
      <c r="AL104" s="1537">
        <f t="shared" si="122"/>
        <v>1000</v>
      </c>
      <c r="AM104" s="1537">
        <f t="shared" si="123"/>
        <v>1000</v>
      </c>
      <c r="AN104" s="1537">
        <f t="shared" si="124"/>
        <v>1000</v>
      </c>
      <c r="AO104" s="1537">
        <f t="shared" si="125"/>
        <v>1000</v>
      </c>
      <c r="AP104" s="1537">
        <f t="shared" si="126"/>
        <v>1000</v>
      </c>
      <c r="AQ104" s="1537">
        <f t="shared" si="127"/>
        <v>1000</v>
      </c>
      <c r="AR104" s="1537">
        <f t="shared" si="128"/>
        <v>1000</v>
      </c>
    </row>
    <row r="105" spans="3:44" s="1555" customFormat="1" x14ac:dyDescent="0.3">
      <c r="C105" s="1565" t="s">
        <v>3071</v>
      </c>
      <c r="D105" s="1562" t="s">
        <v>3311</v>
      </c>
      <c r="E105" s="1556">
        <v>5</v>
      </c>
      <c r="F105" s="1518">
        <f t="shared" si="98"/>
        <v>0</v>
      </c>
      <c r="G105" s="1532">
        <f t="shared" si="99"/>
        <v>0</v>
      </c>
      <c r="H105" s="1533">
        <f t="shared" si="100"/>
        <v>0</v>
      </c>
      <c r="I105" s="1534">
        <f t="shared" si="101"/>
        <v>0.2</v>
      </c>
      <c r="J105" s="1519">
        <v>2552000</v>
      </c>
      <c r="K105" s="1519">
        <v>2424400</v>
      </c>
      <c r="N105" s="1519">
        <f t="shared" si="102"/>
        <v>127600</v>
      </c>
      <c r="Q105" s="1557">
        <v>126600</v>
      </c>
      <c r="R105" s="1519">
        <f t="shared" si="103"/>
        <v>2552000</v>
      </c>
      <c r="S105" s="1519">
        <f t="shared" si="104"/>
        <v>1000</v>
      </c>
      <c r="T105" s="1519">
        <f t="shared" si="105"/>
        <v>0</v>
      </c>
      <c r="U105" s="1535">
        <f t="shared" si="106"/>
        <v>0</v>
      </c>
      <c r="V105" s="1537">
        <f t="shared" si="107"/>
        <v>126600</v>
      </c>
      <c r="W105" s="1519">
        <f t="shared" si="108"/>
        <v>0</v>
      </c>
      <c r="X105" s="1537">
        <f t="shared" si="109"/>
        <v>0</v>
      </c>
      <c r="Y105" s="1537">
        <f t="shared" si="110"/>
        <v>0</v>
      </c>
      <c r="Z105" s="1537">
        <f t="shared" si="111"/>
        <v>0</v>
      </c>
      <c r="AA105" s="1537">
        <f t="shared" si="112"/>
        <v>0</v>
      </c>
      <c r="AB105" s="1537">
        <f t="shared" si="113"/>
        <v>0</v>
      </c>
      <c r="AC105" s="1537">
        <f t="shared" si="114"/>
        <v>0</v>
      </c>
      <c r="AD105" s="1537">
        <f t="shared" si="115"/>
        <v>0</v>
      </c>
      <c r="AE105" s="1537">
        <f t="shared" si="116"/>
        <v>0</v>
      </c>
      <c r="AF105" s="1536">
        <f t="shared" si="117"/>
        <v>0</v>
      </c>
      <c r="AH105" s="1537">
        <f t="shared" si="118"/>
        <v>1000</v>
      </c>
      <c r="AI105" s="1537">
        <f t="shared" si="119"/>
        <v>1000</v>
      </c>
      <c r="AJ105" s="1537">
        <f t="shared" si="120"/>
        <v>1000</v>
      </c>
      <c r="AK105" s="1537">
        <f t="shared" si="121"/>
        <v>1000</v>
      </c>
      <c r="AL105" s="1537">
        <f t="shared" si="122"/>
        <v>1000</v>
      </c>
      <c r="AM105" s="1537">
        <f t="shared" si="123"/>
        <v>1000</v>
      </c>
      <c r="AN105" s="1537">
        <f t="shared" si="124"/>
        <v>1000</v>
      </c>
      <c r="AO105" s="1537">
        <f t="shared" si="125"/>
        <v>1000</v>
      </c>
      <c r="AP105" s="1537">
        <f t="shared" si="126"/>
        <v>1000</v>
      </c>
      <c r="AQ105" s="1537">
        <f t="shared" si="127"/>
        <v>1000</v>
      </c>
      <c r="AR105" s="1537">
        <f t="shared" si="128"/>
        <v>1000</v>
      </c>
    </row>
    <row r="106" spans="3:44" s="1555" customFormat="1" x14ac:dyDescent="0.3">
      <c r="C106" s="1565" t="s">
        <v>3072</v>
      </c>
      <c r="D106" s="1562" t="s">
        <v>3312</v>
      </c>
      <c r="E106" s="1556">
        <v>5</v>
      </c>
      <c r="F106" s="1518">
        <f t="shared" si="98"/>
        <v>0</v>
      </c>
      <c r="G106" s="1532">
        <f t="shared" si="99"/>
        <v>0</v>
      </c>
      <c r="H106" s="1533">
        <f t="shared" si="100"/>
        <v>0</v>
      </c>
      <c r="I106" s="1534">
        <f t="shared" si="101"/>
        <v>0.2</v>
      </c>
      <c r="J106" s="1519">
        <v>8584198</v>
      </c>
      <c r="K106" s="1519">
        <v>8011919.7333333334</v>
      </c>
      <c r="N106" s="1519">
        <f t="shared" si="102"/>
        <v>572278</v>
      </c>
      <c r="Q106" s="1557">
        <v>571278</v>
      </c>
      <c r="R106" s="1519">
        <f t="shared" si="103"/>
        <v>8584198</v>
      </c>
      <c r="S106" s="1519">
        <f t="shared" si="104"/>
        <v>1000</v>
      </c>
      <c r="T106" s="1519">
        <f t="shared" si="105"/>
        <v>0.2666666666045785</v>
      </c>
      <c r="U106" s="1535">
        <f t="shared" si="106"/>
        <v>0</v>
      </c>
      <c r="V106" s="1537">
        <f t="shared" si="107"/>
        <v>571278</v>
      </c>
      <c r="W106" s="1519">
        <f t="shared" si="108"/>
        <v>0</v>
      </c>
      <c r="X106" s="1537">
        <f t="shared" si="109"/>
        <v>0</v>
      </c>
      <c r="Y106" s="1537">
        <f t="shared" si="110"/>
        <v>0</v>
      </c>
      <c r="Z106" s="1537">
        <f t="shared" si="111"/>
        <v>0</v>
      </c>
      <c r="AA106" s="1537">
        <f t="shared" si="112"/>
        <v>0</v>
      </c>
      <c r="AB106" s="1537">
        <f t="shared" si="113"/>
        <v>0</v>
      </c>
      <c r="AC106" s="1537">
        <f t="shared" si="114"/>
        <v>0</v>
      </c>
      <c r="AD106" s="1537">
        <f t="shared" si="115"/>
        <v>0</v>
      </c>
      <c r="AE106" s="1537">
        <f t="shared" si="116"/>
        <v>0</v>
      </c>
      <c r="AF106" s="1536">
        <f t="shared" si="117"/>
        <v>0</v>
      </c>
      <c r="AH106" s="1537">
        <f t="shared" si="118"/>
        <v>1000</v>
      </c>
      <c r="AI106" s="1537">
        <f t="shared" si="119"/>
        <v>1000</v>
      </c>
      <c r="AJ106" s="1537">
        <f t="shared" si="120"/>
        <v>1000</v>
      </c>
      <c r="AK106" s="1537">
        <f t="shared" si="121"/>
        <v>1000</v>
      </c>
      <c r="AL106" s="1537">
        <f t="shared" si="122"/>
        <v>1000</v>
      </c>
      <c r="AM106" s="1537">
        <f t="shared" si="123"/>
        <v>1000</v>
      </c>
      <c r="AN106" s="1537">
        <f t="shared" si="124"/>
        <v>1000</v>
      </c>
      <c r="AO106" s="1537">
        <f t="shared" si="125"/>
        <v>1000</v>
      </c>
      <c r="AP106" s="1537">
        <f t="shared" si="126"/>
        <v>1000</v>
      </c>
      <c r="AQ106" s="1537">
        <f t="shared" si="127"/>
        <v>1000</v>
      </c>
      <c r="AR106" s="1537">
        <f t="shared" si="128"/>
        <v>1000</v>
      </c>
    </row>
    <row r="107" spans="3:44" s="1555" customFormat="1" x14ac:dyDescent="0.3">
      <c r="C107" s="1565" t="s">
        <v>3073</v>
      </c>
      <c r="D107" s="1562" t="s">
        <v>3313</v>
      </c>
      <c r="E107" s="1556">
        <v>5</v>
      </c>
      <c r="F107" s="1518">
        <f t="shared" si="98"/>
        <v>0</v>
      </c>
      <c r="G107" s="1532">
        <f t="shared" si="99"/>
        <v>0</v>
      </c>
      <c r="H107" s="1533">
        <f t="shared" si="100"/>
        <v>0</v>
      </c>
      <c r="I107" s="1534">
        <f t="shared" si="101"/>
        <v>0.2</v>
      </c>
      <c r="J107" s="1519">
        <v>1400000</v>
      </c>
      <c r="K107" s="1519">
        <v>1306666.6666666665</v>
      </c>
      <c r="N107" s="1519">
        <f t="shared" si="102"/>
        <v>93333</v>
      </c>
      <c r="Q107" s="1557">
        <v>92333</v>
      </c>
      <c r="R107" s="1519">
        <f t="shared" si="103"/>
        <v>1400000</v>
      </c>
      <c r="S107" s="1519">
        <f t="shared" si="104"/>
        <v>1000</v>
      </c>
      <c r="T107" s="1519">
        <f t="shared" si="105"/>
        <v>0.33333333348855376</v>
      </c>
      <c r="U107" s="1535">
        <f t="shared" si="106"/>
        <v>0</v>
      </c>
      <c r="V107" s="1537">
        <f t="shared" si="107"/>
        <v>92333</v>
      </c>
      <c r="W107" s="1519">
        <f t="shared" si="108"/>
        <v>0</v>
      </c>
      <c r="X107" s="1537">
        <f t="shared" si="109"/>
        <v>0</v>
      </c>
      <c r="Y107" s="1537">
        <f t="shared" si="110"/>
        <v>0</v>
      </c>
      <c r="Z107" s="1537">
        <f t="shared" si="111"/>
        <v>0</v>
      </c>
      <c r="AA107" s="1537">
        <f t="shared" si="112"/>
        <v>0</v>
      </c>
      <c r="AB107" s="1537">
        <f t="shared" si="113"/>
        <v>0</v>
      </c>
      <c r="AC107" s="1537">
        <f t="shared" si="114"/>
        <v>0</v>
      </c>
      <c r="AD107" s="1537">
        <f t="shared" si="115"/>
        <v>0</v>
      </c>
      <c r="AE107" s="1537">
        <f t="shared" si="116"/>
        <v>0</v>
      </c>
      <c r="AF107" s="1536">
        <f t="shared" si="117"/>
        <v>0</v>
      </c>
      <c r="AH107" s="1537">
        <f t="shared" si="118"/>
        <v>1000</v>
      </c>
      <c r="AI107" s="1537">
        <f t="shared" si="119"/>
        <v>1000</v>
      </c>
      <c r="AJ107" s="1537">
        <f t="shared" si="120"/>
        <v>1000</v>
      </c>
      <c r="AK107" s="1537">
        <f t="shared" si="121"/>
        <v>1000</v>
      </c>
      <c r="AL107" s="1537">
        <f t="shared" si="122"/>
        <v>1000</v>
      </c>
      <c r="AM107" s="1537">
        <f t="shared" si="123"/>
        <v>1000</v>
      </c>
      <c r="AN107" s="1537">
        <f t="shared" si="124"/>
        <v>1000</v>
      </c>
      <c r="AO107" s="1537">
        <f t="shared" si="125"/>
        <v>1000</v>
      </c>
      <c r="AP107" s="1537">
        <f t="shared" si="126"/>
        <v>1000</v>
      </c>
      <c r="AQ107" s="1537">
        <f t="shared" si="127"/>
        <v>1000</v>
      </c>
      <c r="AR107" s="1537">
        <f t="shared" si="128"/>
        <v>1000</v>
      </c>
    </row>
    <row r="108" spans="3:44" s="1555" customFormat="1" x14ac:dyDescent="0.3">
      <c r="C108" s="1565" t="s">
        <v>3074</v>
      </c>
      <c r="D108" s="1562" t="s">
        <v>3314</v>
      </c>
      <c r="E108" s="1556">
        <v>5</v>
      </c>
      <c r="F108" s="1518">
        <f t="shared" si="98"/>
        <v>0</v>
      </c>
      <c r="G108" s="1532">
        <f t="shared" si="99"/>
        <v>0</v>
      </c>
      <c r="H108" s="1533">
        <f t="shared" si="100"/>
        <v>0</v>
      </c>
      <c r="I108" s="1534">
        <f t="shared" si="101"/>
        <v>0.2</v>
      </c>
      <c r="J108" s="1519">
        <v>2800000</v>
      </c>
      <c r="K108" s="1519">
        <v>2566666.6666666665</v>
      </c>
      <c r="N108" s="1519">
        <f t="shared" si="102"/>
        <v>233333</v>
      </c>
      <c r="Q108" s="1557">
        <v>232333.33333333349</v>
      </c>
      <c r="R108" s="1519">
        <f t="shared" si="103"/>
        <v>2800000</v>
      </c>
      <c r="S108" s="1519">
        <f t="shared" si="104"/>
        <v>1000</v>
      </c>
      <c r="T108" s="1519">
        <f t="shared" si="105"/>
        <v>0</v>
      </c>
      <c r="U108" s="1535">
        <f t="shared" si="106"/>
        <v>0</v>
      </c>
      <c r="V108" s="1537">
        <f t="shared" si="107"/>
        <v>232333.33333333349</v>
      </c>
      <c r="W108" s="1519">
        <f t="shared" si="108"/>
        <v>0</v>
      </c>
      <c r="X108" s="1537">
        <f t="shared" si="109"/>
        <v>0</v>
      </c>
      <c r="Y108" s="1537">
        <f t="shared" si="110"/>
        <v>0</v>
      </c>
      <c r="Z108" s="1537">
        <f t="shared" si="111"/>
        <v>0</v>
      </c>
      <c r="AA108" s="1537">
        <f t="shared" si="112"/>
        <v>0</v>
      </c>
      <c r="AB108" s="1537">
        <f t="shared" si="113"/>
        <v>0</v>
      </c>
      <c r="AC108" s="1537">
        <f t="shared" si="114"/>
        <v>0</v>
      </c>
      <c r="AD108" s="1537">
        <f t="shared" si="115"/>
        <v>0</v>
      </c>
      <c r="AE108" s="1537">
        <f t="shared" si="116"/>
        <v>0</v>
      </c>
      <c r="AF108" s="1536">
        <f t="shared" si="117"/>
        <v>0</v>
      </c>
      <c r="AH108" s="1537">
        <f t="shared" si="118"/>
        <v>1000</v>
      </c>
      <c r="AI108" s="1537">
        <f t="shared" si="119"/>
        <v>1000</v>
      </c>
      <c r="AJ108" s="1537">
        <f t="shared" si="120"/>
        <v>1000</v>
      </c>
      <c r="AK108" s="1537">
        <f t="shared" si="121"/>
        <v>1000</v>
      </c>
      <c r="AL108" s="1537">
        <f t="shared" si="122"/>
        <v>1000</v>
      </c>
      <c r="AM108" s="1537">
        <f t="shared" si="123"/>
        <v>1000</v>
      </c>
      <c r="AN108" s="1537">
        <f t="shared" si="124"/>
        <v>1000</v>
      </c>
      <c r="AO108" s="1537">
        <f t="shared" si="125"/>
        <v>1000</v>
      </c>
      <c r="AP108" s="1537">
        <f t="shared" si="126"/>
        <v>1000</v>
      </c>
      <c r="AQ108" s="1537">
        <f t="shared" si="127"/>
        <v>1000</v>
      </c>
      <c r="AR108" s="1537">
        <f t="shared" si="128"/>
        <v>1000</v>
      </c>
    </row>
    <row r="109" spans="3:44" s="1555" customFormat="1" x14ac:dyDescent="0.3">
      <c r="C109" s="1565" t="s">
        <v>3075</v>
      </c>
      <c r="D109" s="1562" t="s">
        <v>3024</v>
      </c>
      <c r="E109" s="1556">
        <v>5</v>
      </c>
      <c r="F109" s="1518">
        <f t="shared" si="98"/>
        <v>0</v>
      </c>
      <c r="G109" s="1532">
        <f t="shared" si="99"/>
        <v>0</v>
      </c>
      <c r="H109" s="1533">
        <f t="shared" si="100"/>
        <v>0</v>
      </c>
      <c r="I109" s="1534">
        <f t="shared" si="101"/>
        <v>0.2</v>
      </c>
      <c r="J109" s="1519">
        <v>4200000</v>
      </c>
      <c r="K109" s="1519">
        <v>3850000</v>
      </c>
      <c r="N109" s="1519">
        <f t="shared" si="102"/>
        <v>350000</v>
      </c>
      <c r="Q109" s="1557">
        <v>349000</v>
      </c>
      <c r="R109" s="1519">
        <f t="shared" si="103"/>
        <v>4200000</v>
      </c>
      <c r="S109" s="1519">
        <f t="shared" si="104"/>
        <v>1000</v>
      </c>
      <c r="T109" s="1519">
        <f t="shared" si="105"/>
        <v>0</v>
      </c>
      <c r="U109" s="1535">
        <f t="shared" si="106"/>
        <v>0</v>
      </c>
      <c r="V109" s="1537">
        <f t="shared" si="107"/>
        <v>349000</v>
      </c>
      <c r="W109" s="1519">
        <f t="shared" si="108"/>
        <v>0</v>
      </c>
      <c r="X109" s="1537">
        <f t="shared" si="109"/>
        <v>0</v>
      </c>
      <c r="Y109" s="1537">
        <f t="shared" si="110"/>
        <v>0</v>
      </c>
      <c r="Z109" s="1537">
        <f t="shared" si="111"/>
        <v>0</v>
      </c>
      <c r="AA109" s="1537">
        <f t="shared" si="112"/>
        <v>0</v>
      </c>
      <c r="AB109" s="1537">
        <f t="shared" si="113"/>
        <v>0</v>
      </c>
      <c r="AC109" s="1537">
        <f t="shared" si="114"/>
        <v>0</v>
      </c>
      <c r="AD109" s="1537">
        <f t="shared" si="115"/>
        <v>0</v>
      </c>
      <c r="AE109" s="1537">
        <f t="shared" si="116"/>
        <v>0</v>
      </c>
      <c r="AF109" s="1536">
        <f t="shared" si="117"/>
        <v>0</v>
      </c>
      <c r="AH109" s="1537">
        <f t="shared" si="118"/>
        <v>1000</v>
      </c>
      <c r="AI109" s="1537">
        <f t="shared" si="119"/>
        <v>1000</v>
      </c>
      <c r="AJ109" s="1537">
        <f t="shared" si="120"/>
        <v>1000</v>
      </c>
      <c r="AK109" s="1537">
        <f t="shared" si="121"/>
        <v>1000</v>
      </c>
      <c r="AL109" s="1537">
        <f t="shared" si="122"/>
        <v>1000</v>
      </c>
      <c r="AM109" s="1537">
        <f t="shared" si="123"/>
        <v>1000</v>
      </c>
      <c r="AN109" s="1537">
        <f t="shared" si="124"/>
        <v>1000</v>
      </c>
      <c r="AO109" s="1537">
        <f t="shared" si="125"/>
        <v>1000</v>
      </c>
      <c r="AP109" s="1537">
        <f t="shared" si="126"/>
        <v>1000</v>
      </c>
      <c r="AQ109" s="1537">
        <f t="shared" si="127"/>
        <v>1000</v>
      </c>
      <c r="AR109" s="1537">
        <f t="shared" si="128"/>
        <v>1000</v>
      </c>
    </row>
    <row r="110" spans="3:44" s="1555" customFormat="1" x14ac:dyDescent="0.3">
      <c r="C110" s="1565" t="s">
        <v>3076</v>
      </c>
      <c r="D110" s="1562" t="s">
        <v>3024</v>
      </c>
      <c r="E110" s="1556">
        <v>5</v>
      </c>
      <c r="F110" s="1518">
        <f t="shared" si="98"/>
        <v>0</v>
      </c>
      <c r="G110" s="1532">
        <f t="shared" si="99"/>
        <v>0</v>
      </c>
      <c r="H110" s="1533">
        <f t="shared" si="100"/>
        <v>0</v>
      </c>
      <c r="I110" s="1534">
        <f t="shared" si="101"/>
        <v>0.2</v>
      </c>
      <c r="J110" s="1519">
        <v>2600000</v>
      </c>
      <c r="K110" s="1519">
        <v>2383333.3333333335</v>
      </c>
      <c r="N110" s="1519">
        <f t="shared" si="102"/>
        <v>216667</v>
      </c>
      <c r="Q110" s="1557">
        <v>215666.66666666651</v>
      </c>
      <c r="R110" s="1519">
        <f t="shared" si="103"/>
        <v>2600000</v>
      </c>
      <c r="S110" s="1519">
        <f t="shared" si="104"/>
        <v>1000</v>
      </c>
      <c r="T110" s="1519">
        <f t="shared" si="105"/>
        <v>0</v>
      </c>
      <c r="U110" s="1535">
        <f t="shared" si="106"/>
        <v>0</v>
      </c>
      <c r="V110" s="1537">
        <f t="shared" si="107"/>
        <v>215666.66666666651</v>
      </c>
      <c r="W110" s="1519">
        <f t="shared" si="108"/>
        <v>0</v>
      </c>
      <c r="X110" s="1537">
        <f t="shared" si="109"/>
        <v>0</v>
      </c>
      <c r="Y110" s="1537">
        <f t="shared" si="110"/>
        <v>0</v>
      </c>
      <c r="Z110" s="1537">
        <f t="shared" si="111"/>
        <v>0</v>
      </c>
      <c r="AA110" s="1537">
        <f t="shared" si="112"/>
        <v>0</v>
      </c>
      <c r="AB110" s="1537">
        <f t="shared" si="113"/>
        <v>0</v>
      </c>
      <c r="AC110" s="1537">
        <f t="shared" si="114"/>
        <v>0</v>
      </c>
      <c r="AD110" s="1537">
        <f t="shared" si="115"/>
        <v>0</v>
      </c>
      <c r="AE110" s="1537">
        <f t="shared" si="116"/>
        <v>0</v>
      </c>
      <c r="AF110" s="1536">
        <f t="shared" si="117"/>
        <v>0</v>
      </c>
      <c r="AH110" s="1537">
        <f t="shared" si="118"/>
        <v>1000</v>
      </c>
      <c r="AI110" s="1537">
        <f t="shared" si="119"/>
        <v>1000</v>
      </c>
      <c r="AJ110" s="1537">
        <f t="shared" si="120"/>
        <v>1000</v>
      </c>
      <c r="AK110" s="1537">
        <f t="shared" si="121"/>
        <v>1000</v>
      </c>
      <c r="AL110" s="1537">
        <f t="shared" si="122"/>
        <v>1000</v>
      </c>
      <c r="AM110" s="1537">
        <f t="shared" si="123"/>
        <v>1000</v>
      </c>
      <c r="AN110" s="1537">
        <f t="shared" si="124"/>
        <v>1000</v>
      </c>
      <c r="AO110" s="1537">
        <f t="shared" si="125"/>
        <v>1000</v>
      </c>
      <c r="AP110" s="1537">
        <f t="shared" si="126"/>
        <v>1000</v>
      </c>
      <c r="AQ110" s="1537">
        <f t="shared" si="127"/>
        <v>1000</v>
      </c>
      <c r="AR110" s="1537">
        <f t="shared" si="128"/>
        <v>1000</v>
      </c>
    </row>
    <row r="111" spans="3:44" s="1555" customFormat="1" x14ac:dyDescent="0.3">
      <c r="C111" s="1565" t="s">
        <v>3077</v>
      </c>
      <c r="D111" s="1562" t="s">
        <v>3315</v>
      </c>
      <c r="E111" s="1556">
        <v>5</v>
      </c>
      <c r="F111" s="1518">
        <f t="shared" si="98"/>
        <v>0</v>
      </c>
      <c r="G111" s="1532">
        <f t="shared" si="99"/>
        <v>0</v>
      </c>
      <c r="H111" s="1533">
        <f t="shared" si="100"/>
        <v>0</v>
      </c>
      <c r="I111" s="1534">
        <f t="shared" si="101"/>
        <v>0.2</v>
      </c>
      <c r="J111" s="1519">
        <v>1300000</v>
      </c>
      <c r="K111" s="1519">
        <v>1191666.6666666667</v>
      </c>
      <c r="N111" s="1519">
        <f t="shared" si="102"/>
        <v>108333</v>
      </c>
      <c r="Q111" s="1557">
        <v>107333.33333333326</v>
      </c>
      <c r="R111" s="1519">
        <f t="shared" si="103"/>
        <v>1300000</v>
      </c>
      <c r="S111" s="1519">
        <f t="shared" si="104"/>
        <v>1000</v>
      </c>
      <c r="T111" s="1519">
        <f t="shared" si="105"/>
        <v>0</v>
      </c>
      <c r="U111" s="1535">
        <f t="shared" si="106"/>
        <v>0</v>
      </c>
      <c r="V111" s="1537">
        <f t="shared" si="107"/>
        <v>107333.33333333326</v>
      </c>
      <c r="W111" s="1519">
        <f t="shared" si="108"/>
        <v>0</v>
      </c>
      <c r="X111" s="1537">
        <f t="shared" si="109"/>
        <v>0</v>
      </c>
      <c r="Y111" s="1537">
        <f t="shared" si="110"/>
        <v>0</v>
      </c>
      <c r="Z111" s="1537">
        <f t="shared" si="111"/>
        <v>0</v>
      </c>
      <c r="AA111" s="1537">
        <f t="shared" si="112"/>
        <v>0</v>
      </c>
      <c r="AB111" s="1537">
        <f t="shared" si="113"/>
        <v>0</v>
      </c>
      <c r="AC111" s="1537">
        <f t="shared" si="114"/>
        <v>0</v>
      </c>
      <c r="AD111" s="1537">
        <f t="shared" si="115"/>
        <v>0</v>
      </c>
      <c r="AE111" s="1537">
        <f t="shared" si="116"/>
        <v>0</v>
      </c>
      <c r="AF111" s="1536">
        <f t="shared" si="117"/>
        <v>0</v>
      </c>
      <c r="AH111" s="1537">
        <f t="shared" si="118"/>
        <v>1000</v>
      </c>
      <c r="AI111" s="1537">
        <f t="shared" si="119"/>
        <v>1000</v>
      </c>
      <c r="AJ111" s="1537">
        <f t="shared" si="120"/>
        <v>1000</v>
      </c>
      <c r="AK111" s="1537">
        <f t="shared" si="121"/>
        <v>1000</v>
      </c>
      <c r="AL111" s="1537">
        <f t="shared" si="122"/>
        <v>1000</v>
      </c>
      <c r="AM111" s="1537">
        <f t="shared" si="123"/>
        <v>1000</v>
      </c>
      <c r="AN111" s="1537">
        <f t="shared" si="124"/>
        <v>1000</v>
      </c>
      <c r="AO111" s="1537">
        <f t="shared" si="125"/>
        <v>1000</v>
      </c>
      <c r="AP111" s="1537">
        <f t="shared" si="126"/>
        <v>1000</v>
      </c>
      <c r="AQ111" s="1537">
        <f t="shared" si="127"/>
        <v>1000</v>
      </c>
      <c r="AR111" s="1537">
        <f t="shared" si="128"/>
        <v>1000</v>
      </c>
    </row>
    <row r="112" spans="3:44" s="1555" customFormat="1" x14ac:dyDescent="0.3">
      <c r="C112" s="1565" t="s">
        <v>3078</v>
      </c>
      <c r="D112" s="1562" t="s">
        <v>3316</v>
      </c>
      <c r="E112" s="1556">
        <v>5</v>
      </c>
      <c r="F112" s="1518">
        <f t="shared" si="98"/>
        <v>0</v>
      </c>
      <c r="G112" s="1532">
        <f t="shared" si="99"/>
        <v>0</v>
      </c>
      <c r="H112" s="1533">
        <f t="shared" si="100"/>
        <v>0</v>
      </c>
      <c r="I112" s="1534">
        <f t="shared" si="101"/>
        <v>0.2</v>
      </c>
      <c r="J112" s="1519">
        <v>9800000</v>
      </c>
      <c r="K112" s="1519">
        <v>8820000</v>
      </c>
      <c r="N112" s="1519">
        <f t="shared" si="102"/>
        <v>980000</v>
      </c>
      <c r="Q112" s="1557">
        <v>979000</v>
      </c>
      <c r="R112" s="1519">
        <f t="shared" si="103"/>
        <v>9800000</v>
      </c>
      <c r="S112" s="1519">
        <f t="shared" si="104"/>
        <v>1000</v>
      </c>
      <c r="T112" s="1519">
        <f t="shared" si="105"/>
        <v>0</v>
      </c>
      <c r="U112" s="1535">
        <f t="shared" si="106"/>
        <v>0</v>
      </c>
      <c r="V112" s="1537">
        <f t="shared" si="107"/>
        <v>979000</v>
      </c>
      <c r="W112" s="1519">
        <f t="shared" si="108"/>
        <v>0</v>
      </c>
      <c r="X112" s="1537">
        <f t="shared" si="109"/>
        <v>0</v>
      </c>
      <c r="Y112" s="1537">
        <f t="shared" si="110"/>
        <v>0</v>
      </c>
      <c r="Z112" s="1537">
        <f t="shared" si="111"/>
        <v>0</v>
      </c>
      <c r="AA112" s="1537">
        <f t="shared" si="112"/>
        <v>0</v>
      </c>
      <c r="AB112" s="1537">
        <f t="shared" si="113"/>
        <v>0</v>
      </c>
      <c r="AC112" s="1537">
        <f t="shared" si="114"/>
        <v>0</v>
      </c>
      <c r="AD112" s="1537">
        <f t="shared" si="115"/>
        <v>0</v>
      </c>
      <c r="AE112" s="1537">
        <f t="shared" si="116"/>
        <v>0</v>
      </c>
      <c r="AF112" s="1536">
        <f t="shared" si="117"/>
        <v>0</v>
      </c>
      <c r="AH112" s="1537">
        <f t="shared" si="118"/>
        <v>1000</v>
      </c>
      <c r="AI112" s="1537">
        <f t="shared" si="119"/>
        <v>1000</v>
      </c>
      <c r="AJ112" s="1537">
        <f t="shared" si="120"/>
        <v>1000</v>
      </c>
      <c r="AK112" s="1537">
        <f t="shared" si="121"/>
        <v>1000</v>
      </c>
      <c r="AL112" s="1537">
        <f t="shared" si="122"/>
        <v>1000</v>
      </c>
      <c r="AM112" s="1537">
        <f t="shared" si="123"/>
        <v>1000</v>
      </c>
      <c r="AN112" s="1537">
        <f t="shared" si="124"/>
        <v>1000</v>
      </c>
      <c r="AO112" s="1537">
        <f t="shared" si="125"/>
        <v>1000</v>
      </c>
      <c r="AP112" s="1537">
        <f t="shared" si="126"/>
        <v>1000</v>
      </c>
      <c r="AQ112" s="1537">
        <f t="shared" si="127"/>
        <v>1000</v>
      </c>
      <c r="AR112" s="1537">
        <f t="shared" si="128"/>
        <v>1000</v>
      </c>
    </row>
    <row r="113" spans="2:44" s="1555" customFormat="1" x14ac:dyDescent="0.3">
      <c r="C113" s="1565" t="s">
        <v>3079</v>
      </c>
      <c r="D113" s="1562" t="s">
        <v>3317</v>
      </c>
      <c r="E113" s="1556">
        <v>5</v>
      </c>
      <c r="F113" s="1518">
        <f t="shared" si="98"/>
        <v>0</v>
      </c>
      <c r="G113" s="1532">
        <f t="shared" si="99"/>
        <v>0</v>
      </c>
      <c r="H113" s="1533">
        <f t="shared" si="100"/>
        <v>0</v>
      </c>
      <c r="I113" s="1534">
        <f t="shared" si="101"/>
        <v>0.2</v>
      </c>
      <c r="J113" s="1519">
        <v>1400000</v>
      </c>
      <c r="K113" s="1519">
        <v>1260000</v>
      </c>
      <c r="N113" s="1519">
        <f t="shared" si="102"/>
        <v>140000</v>
      </c>
      <c r="Q113" s="1557">
        <v>139000</v>
      </c>
      <c r="R113" s="1519">
        <f t="shared" si="103"/>
        <v>1400000</v>
      </c>
      <c r="S113" s="1519">
        <f t="shared" si="104"/>
        <v>1000</v>
      </c>
      <c r="T113" s="1519">
        <f t="shared" si="105"/>
        <v>0</v>
      </c>
      <c r="U113" s="1535">
        <f t="shared" si="106"/>
        <v>0</v>
      </c>
      <c r="V113" s="1537">
        <f t="shared" si="107"/>
        <v>139000</v>
      </c>
      <c r="W113" s="1519">
        <f t="shared" si="108"/>
        <v>0</v>
      </c>
      <c r="X113" s="1537">
        <f t="shared" si="109"/>
        <v>0</v>
      </c>
      <c r="Y113" s="1537">
        <f t="shared" si="110"/>
        <v>0</v>
      </c>
      <c r="Z113" s="1537">
        <f t="shared" si="111"/>
        <v>0</v>
      </c>
      <c r="AA113" s="1537">
        <f t="shared" si="112"/>
        <v>0</v>
      </c>
      <c r="AB113" s="1537">
        <f t="shared" si="113"/>
        <v>0</v>
      </c>
      <c r="AC113" s="1537">
        <f t="shared" si="114"/>
        <v>0</v>
      </c>
      <c r="AD113" s="1537">
        <f t="shared" si="115"/>
        <v>0</v>
      </c>
      <c r="AE113" s="1537">
        <f t="shared" si="116"/>
        <v>0</v>
      </c>
      <c r="AF113" s="1536">
        <f t="shared" si="117"/>
        <v>0</v>
      </c>
      <c r="AH113" s="1537">
        <f t="shared" si="118"/>
        <v>1000</v>
      </c>
      <c r="AI113" s="1537">
        <f t="shared" si="119"/>
        <v>1000</v>
      </c>
      <c r="AJ113" s="1537">
        <f t="shared" si="120"/>
        <v>1000</v>
      </c>
      <c r="AK113" s="1537">
        <f t="shared" si="121"/>
        <v>1000</v>
      </c>
      <c r="AL113" s="1537">
        <f t="shared" si="122"/>
        <v>1000</v>
      </c>
      <c r="AM113" s="1537">
        <f t="shared" si="123"/>
        <v>1000</v>
      </c>
      <c r="AN113" s="1537">
        <f t="shared" si="124"/>
        <v>1000</v>
      </c>
      <c r="AO113" s="1537">
        <f t="shared" si="125"/>
        <v>1000</v>
      </c>
      <c r="AP113" s="1537">
        <f t="shared" si="126"/>
        <v>1000</v>
      </c>
      <c r="AQ113" s="1537">
        <f t="shared" si="127"/>
        <v>1000</v>
      </c>
      <c r="AR113" s="1537">
        <f t="shared" si="128"/>
        <v>1000</v>
      </c>
    </row>
    <row r="114" spans="2:44" s="1555" customFormat="1" x14ac:dyDescent="0.3">
      <c r="C114" s="1565" t="s">
        <v>3080</v>
      </c>
      <c r="D114" s="1562" t="s">
        <v>3318</v>
      </c>
      <c r="E114" s="1556">
        <v>5</v>
      </c>
      <c r="F114" s="1518">
        <f t="shared" si="98"/>
        <v>0</v>
      </c>
      <c r="G114" s="1532">
        <f t="shared" si="99"/>
        <v>0</v>
      </c>
      <c r="H114" s="1533">
        <f t="shared" si="100"/>
        <v>0</v>
      </c>
      <c r="I114" s="1534">
        <f t="shared" si="101"/>
        <v>0.2</v>
      </c>
      <c r="J114" s="1519">
        <v>7000000</v>
      </c>
      <c r="K114" s="1519">
        <v>6300000</v>
      </c>
      <c r="N114" s="1519">
        <f t="shared" si="102"/>
        <v>700000</v>
      </c>
      <c r="Q114" s="1557">
        <v>699000</v>
      </c>
      <c r="R114" s="1519">
        <f t="shared" si="103"/>
        <v>7000000</v>
      </c>
      <c r="S114" s="1519">
        <f t="shared" si="104"/>
        <v>1000</v>
      </c>
      <c r="T114" s="1519">
        <f t="shared" si="105"/>
        <v>0</v>
      </c>
      <c r="U114" s="1535">
        <f t="shared" si="106"/>
        <v>0</v>
      </c>
      <c r="V114" s="1537">
        <f t="shared" si="107"/>
        <v>699000</v>
      </c>
      <c r="W114" s="1519">
        <f t="shared" si="108"/>
        <v>0</v>
      </c>
      <c r="X114" s="1537">
        <f t="shared" si="109"/>
        <v>0</v>
      </c>
      <c r="Y114" s="1537">
        <f t="shared" si="110"/>
        <v>0</v>
      </c>
      <c r="Z114" s="1537">
        <f t="shared" si="111"/>
        <v>0</v>
      </c>
      <c r="AA114" s="1537">
        <f t="shared" si="112"/>
        <v>0</v>
      </c>
      <c r="AB114" s="1537">
        <f t="shared" si="113"/>
        <v>0</v>
      </c>
      <c r="AC114" s="1537">
        <f t="shared" si="114"/>
        <v>0</v>
      </c>
      <c r="AD114" s="1537">
        <f t="shared" si="115"/>
        <v>0</v>
      </c>
      <c r="AE114" s="1537">
        <f t="shared" si="116"/>
        <v>0</v>
      </c>
      <c r="AF114" s="1536">
        <f t="shared" si="117"/>
        <v>0</v>
      </c>
      <c r="AH114" s="1537">
        <f t="shared" si="118"/>
        <v>1000</v>
      </c>
      <c r="AI114" s="1537">
        <f t="shared" si="119"/>
        <v>1000</v>
      </c>
      <c r="AJ114" s="1537">
        <f t="shared" si="120"/>
        <v>1000</v>
      </c>
      <c r="AK114" s="1537">
        <f t="shared" si="121"/>
        <v>1000</v>
      </c>
      <c r="AL114" s="1537">
        <f t="shared" si="122"/>
        <v>1000</v>
      </c>
      <c r="AM114" s="1537">
        <f t="shared" si="123"/>
        <v>1000</v>
      </c>
      <c r="AN114" s="1537">
        <f t="shared" si="124"/>
        <v>1000</v>
      </c>
      <c r="AO114" s="1537">
        <f t="shared" si="125"/>
        <v>1000</v>
      </c>
      <c r="AP114" s="1537">
        <f t="shared" si="126"/>
        <v>1000</v>
      </c>
      <c r="AQ114" s="1537">
        <f t="shared" si="127"/>
        <v>1000</v>
      </c>
      <c r="AR114" s="1537">
        <f t="shared" si="128"/>
        <v>1000</v>
      </c>
    </row>
    <row r="115" spans="2:44" s="1555" customFormat="1" x14ac:dyDescent="0.3">
      <c r="C115" s="1565" t="s">
        <v>3081</v>
      </c>
      <c r="D115" s="1562" t="s">
        <v>3319</v>
      </c>
      <c r="E115" s="1556">
        <v>5</v>
      </c>
      <c r="F115" s="1518">
        <f t="shared" si="98"/>
        <v>0</v>
      </c>
      <c r="G115" s="1532">
        <f t="shared" si="99"/>
        <v>0</v>
      </c>
      <c r="H115" s="1533">
        <f t="shared" si="100"/>
        <v>0</v>
      </c>
      <c r="I115" s="1534">
        <f t="shared" si="101"/>
        <v>0.2</v>
      </c>
      <c r="J115" s="1519">
        <v>1492000</v>
      </c>
      <c r="K115" s="1519">
        <v>1317933.3333333335</v>
      </c>
      <c r="N115" s="1519">
        <f t="shared" si="102"/>
        <v>174067</v>
      </c>
      <c r="Q115" s="1557">
        <v>173066.66666666651</v>
      </c>
      <c r="R115" s="1519">
        <f t="shared" si="103"/>
        <v>1492000</v>
      </c>
      <c r="S115" s="1519">
        <f t="shared" si="104"/>
        <v>1000</v>
      </c>
      <c r="T115" s="1519">
        <f t="shared" si="105"/>
        <v>0</v>
      </c>
      <c r="U115" s="1535">
        <f t="shared" si="106"/>
        <v>0</v>
      </c>
      <c r="V115" s="1537">
        <f t="shared" si="107"/>
        <v>173066.66666666651</v>
      </c>
      <c r="W115" s="1519">
        <f t="shared" si="108"/>
        <v>0</v>
      </c>
      <c r="X115" s="1537">
        <f t="shared" si="109"/>
        <v>0</v>
      </c>
      <c r="Y115" s="1537">
        <f t="shared" si="110"/>
        <v>0</v>
      </c>
      <c r="Z115" s="1537">
        <f t="shared" si="111"/>
        <v>0</v>
      </c>
      <c r="AA115" s="1537">
        <f t="shared" si="112"/>
        <v>0</v>
      </c>
      <c r="AB115" s="1537">
        <f t="shared" si="113"/>
        <v>0</v>
      </c>
      <c r="AC115" s="1537">
        <f t="shared" si="114"/>
        <v>0</v>
      </c>
      <c r="AD115" s="1537">
        <f t="shared" si="115"/>
        <v>0</v>
      </c>
      <c r="AE115" s="1537">
        <f t="shared" si="116"/>
        <v>0</v>
      </c>
      <c r="AF115" s="1536">
        <f t="shared" si="117"/>
        <v>0</v>
      </c>
      <c r="AH115" s="1537">
        <f t="shared" si="118"/>
        <v>1000</v>
      </c>
      <c r="AI115" s="1537">
        <f t="shared" si="119"/>
        <v>1000</v>
      </c>
      <c r="AJ115" s="1537">
        <f t="shared" si="120"/>
        <v>1000</v>
      </c>
      <c r="AK115" s="1537">
        <f t="shared" si="121"/>
        <v>1000</v>
      </c>
      <c r="AL115" s="1537">
        <f t="shared" si="122"/>
        <v>1000</v>
      </c>
      <c r="AM115" s="1537">
        <f t="shared" si="123"/>
        <v>1000</v>
      </c>
      <c r="AN115" s="1537">
        <f t="shared" si="124"/>
        <v>1000</v>
      </c>
      <c r="AO115" s="1537">
        <f t="shared" si="125"/>
        <v>1000</v>
      </c>
      <c r="AP115" s="1537">
        <f t="shared" si="126"/>
        <v>1000</v>
      </c>
      <c r="AQ115" s="1537">
        <f t="shared" si="127"/>
        <v>1000</v>
      </c>
      <c r="AR115" s="1537">
        <f t="shared" si="128"/>
        <v>1000</v>
      </c>
    </row>
    <row r="116" spans="2:44" s="1555" customFormat="1" x14ac:dyDescent="0.3">
      <c r="C116" s="1565" t="s">
        <v>3082</v>
      </c>
      <c r="D116" s="1562" t="s">
        <v>3320</v>
      </c>
      <c r="E116" s="1556">
        <v>5</v>
      </c>
      <c r="F116" s="1518">
        <f t="shared" si="98"/>
        <v>0</v>
      </c>
      <c r="G116" s="1532">
        <f t="shared" si="99"/>
        <v>0</v>
      </c>
      <c r="H116" s="1533">
        <f t="shared" si="100"/>
        <v>0</v>
      </c>
      <c r="I116" s="1534">
        <f t="shared" si="101"/>
        <v>0.2</v>
      </c>
      <c r="J116" s="1519">
        <v>2600000</v>
      </c>
      <c r="K116" s="1519">
        <v>2296666.666666667</v>
      </c>
      <c r="N116" s="1519">
        <f t="shared" si="102"/>
        <v>303333</v>
      </c>
      <c r="Q116" s="1557">
        <v>302333.33333333302</v>
      </c>
      <c r="R116" s="1519">
        <f t="shared" si="103"/>
        <v>2600000</v>
      </c>
      <c r="S116" s="1519">
        <f t="shared" si="104"/>
        <v>1000</v>
      </c>
      <c r="T116" s="1519">
        <f t="shared" si="105"/>
        <v>0</v>
      </c>
      <c r="U116" s="1535">
        <f t="shared" si="106"/>
        <v>0</v>
      </c>
      <c r="V116" s="1537">
        <f t="shared" si="107"/>
        <v>302333.33333333302</v>
      </c>
      <c r="W116" s="1519">
        <f t="shared" si="108"/>
        <v>0</v>
      </c>
      <c r="X116" s="1537">
        <f t="shared" si="109"/>
        <v>0</v>
      </c>
      <c r="Y116" s="1537">
        <f t="shared" si="110"/>
        <v>0</v>
      </c>
      <c r="Z116" s="1537">
        <f t="shared" si="111"/>
        <v>0</v>
      </c>
      <c r="AA116" s="1537">
        <f t="shared" si="112"/>
        <v>0</v>
      </c>
      <c r="AB116" s="1537">
        <f t="shared" si="113"/>
        <v>0</v>
      </c>
      <c r="AC116" s="1537">
        <f t="shared" si="114"/>
        <v>0</v>
      </c>
      <c r="AD116" s="1537">
        <f t="shared" si="115"/>
        <v>0</v>
      </c>
      <c r="AE116" s="1537">
        <f t="shared" si="116"/>
        <v>0</v>
      </c>
      <c r="AF116" s="1536">
        <f t="shared" si="117"/>
        <v>0</v>
      </c>
      <c r="AH116" s="1537">
        <f t="shared" si="118"/>
        <v>1000</v>
      </c>
      <c r="AI116" s="1537">
        <f t="shared" si="119"/>
        <v>1000</v>
      </c>
      <c r="AJ116" s="1537">
        <f t="shared" si="120"/>
        <v>1000</v>
      </c>
      <c r="AK116" s="1537">
        <f t="shared" si="121"/>
        <v>1000</v>
      </c>
      <c r="AL116" s="1537">
        <f t="shared" si="122"/>
        <v>1000</v>
      </c>
      <c r="AM116" s="1537">
        <f t="shared" si="123"/>
        <v>1000</v>
      </c>
      <c r="AN116" s="1537">
        <f t="shared" si="124"/>
        <v>1000</v>
      </c>
      <c r="AO116" s="1537">
        <f t="shared" si="125"/>
        <v>1000</v>
      </c>
      <c r="AP116" s="1537">
        <f t="shared" si="126"/>
        <v>1000</v>
      </c>
      <c r="AQ116" s="1537">
        <f t="shared" si="127"/>
        <v>1000</v>
      </c>
      <c r="AR116" s="1537">
        <f t="shared" si="128"/>
        <v>1000</v>
      </c>
    </row>
    <row r="117" spans="2:44" s="1555" customFormat="1" x14ac:dyDescent="0.3">
      <c r="C117" s="1565" t="s">
        <v>3074</v>
      </c>
      <c r="D117" s="1562" t="s">
        <v>3320</v>
      </c>
      <c r="E117" s="1556">
        <v>5</v>
      </c>
      <c r="F117" s="1518">
        <f t="shared" si="98"/>
        <v>0</v>
      </c>
      <c r="G117" s="1532">
        <f t="shared" si="99"/>
        <v>0</v>
      </c>
      <c r="H117" s="1533">
        <f t="shared" si="100"/>
        <v>0</v>
      </c>
      <c r="I117" s="1534">
        <f t="shared" si="101"/>
        <v>0.2</v>
      </c>
      <c r="J117" s="1519">
        <v>2800000</v>
      </c>
      <c r="K117" s="1519">
        <v>2473333.333333333</v>
      </c>
      <c r="N117" s="1519">
        <f t="shared" si="102"/>
        <v>326667</v>
      </c>
      <c r="Q117" s="1557">
        <v>325666.66666666698</v>
      </c>
      <c r="R117" s="1519">
        <f t="shared" si="103"/>
        <v>2800000</v>
      </c>
      <c r="S117" s="1519">
        <f t="shared" si="104"/>
        <v>1000</v>
      </c>
      <c r="T117" s="1519">
        <f t="shared" si="105"/>
        <v>0</v>
      </c>
      <c r="U117" s="1535">
        <f t="shared" si="106"/>
        <v>0</v>
      </c>
      <c r="V117" s="1537">
        <f t="shared" si="107"/>
        <v>325666.66666666698</v>
      </c>
      <c r="W117" s="1519">
        <f t="shared" si="108"/>
        <v>0</v>
      </c>
      <c r="X117" s="1537">
        <f t="shared" si="109"/>
        <v>0</v>
      </c>
      <c r="Y117" s="1537">
        <f t="shared" si="110"/>
        <v>0</v>
      </c>
      <c r="Z117" s="1537">
        <f t="shared" si="111"/>
        <v>0</v>
      </c>
      <c r="AA117" s="1537">
        <f t="shared" si="112"/>
        <v>0</v>
      </c>
      <c r="AB117" s="1537">
        <f t="shared" si="113"/>
        <v>0</v>
      </c>
      <c r="AC117" s="1537">
        <f t="shared" si="114"/>
        <v>0</v>
      </c>
      <c r="AD117" s="1537">
        <f t="shared" si="115"/>
        <v>0</v>
      </c>
      <c r="AE117" s="1537">
        <f t="shared" si="116"/>
        <v>0</v>
      </c>
      <c r="AF117" s="1536">
        <f t="shared" si="117"/>
        <v>0</v>
      </c>
      <c r="AH117" s="1537">
        <f t="shared" si="118"/>
        <v>1000</v>
      </c>
      <c r="AI117" s="1537">
        <f t="shared" si="119"/>
        <v>1000</v>
      </c>
      <c r="AJ117" s="1537">
        <f t="shared" si="120"/>
        <v>1000</v>
      </c>
      <c r="AK117" s="1537">
        <f t="shared" si="121"/>
        <v>1000</v>
      </c>
      <c r="AL117" s="1537">
        <f t="shared" si="122"/>
        <v>1000</v>
      </c>
      <c r="AM117" s="1537">
        <f t="shared" si="123"/>
        <v>1000</v>
      </c>
      <c r="AN117" s="1537">
        <f t="shared" si="124"/>
        <v>1000</v>
      </c>
      <c r="AO117" s="1537">
        <f t="shared" si="125"/>
        <v>1000</v>
      </c>
      <c r="AP117" s="1537">
        <f t="shared" si="126"/>
        <v>1000</v>
      </c>
      <c r="AQ117" s="1537">
        <f t="shared" si="127"/>
        <v>1000</v>
      </c>
      <c r="AR117" s="1537">
        <f t="shared" si="128"/>
        <v>1000</v>
      </c>
    </row>
    <row r="118" spans="2:44" s="1555" customFormat="1" x14ac:dyDescent="0.3">
      <c r="C118" s="1565" t="s">
        <v>3075</v>
      </c>
      <c r="D118" s="1562" t="s">
        <v>3321</v>
      </c>
      <c r="E118" s="1556">
        <v>5</v>
      </c>
      <c r="F118" s="1518">
        <f t="shared" si="98"/>
        <v>0</v>
      </c>
      <c r="G118" s="1532">
        <f t="shared" si="99"/>
        <v>0</v>
      </c>
      <c r="H118" s="1533">
        <f t="shared" si="100"/>
        <v>0</v>
      </c>
      <c r="I118" s="1534">
        <f t="shared" si="101"/>
        <v>0.2</v>
      </c>
      <c r="J118" s="1519">
        <v>4200000</v>
      </c>
      <c r="K118" s="1519">
        <v>3640000</v>
      </c>
      <c r="N118" s="1519">
        <f t="shared" si="102"/>
        <v>560000</v>
      </c>
      <c r="Q118" s="1557">
        <v>559000</v>
      </c>
      <c r="R118" s="1519">
        <f t="shared" si="103"/>
        <v>4200000</v>
      </c>
      <c r="S118" s="1519">
        <f t="shared" si="104"/>
        <v>1000</v>
      </c>
      <c r="T118" s="1519">
        <f t="shared" si="105"/>
        <v>0</v>
      </c>
      <c r="U118" s="1535">
        <f t="shared" si="106"/>
        <v>0</v>
      </c>
      <c r="V118" s="1537">
        <f t="shared" si="107"/>
        <v>559000</v>
      </c>
      <c r="W118" s="1519">
        <f t="shared" si="108"/>
        <v>0</v>
      </c>
      <c r="X118" s="1537">
        <f t="shared" si="109"/>
        <v>0</v>
      </c>
      <c r="Y118" s="1537">
        <f t="shared" si="110"/>
        <v>0</v>
      </c>
      <c r="Z118" s="1537">
        <f t="shared" si="111"/>
        <v>0</v>
      </c>
      <c r="AA118" s="1537">
        <f t="shared" si="112"/>
        <v>0</v>
      </c>
      <c r="AB118" s="1537">
        <f t="shared" si="113"/>
        <v>0</v>
      </c>
      <c r="AC118" s="1537">
        <f t="shared" si="114"/>
        <v>0</v>
      </c>
      <c r="AD118" s="1537">
        <f t="shared" si="115"/>
        <v>0</v>
      </c>
      <c r="AE118" s="1537">
        <f t="shared" si="116"/>
        <v>0</v>
      </c>
      <c r="AF118" s="1536">
        <f t="shared" si="117"/>
        <v>0</v>
      </c>
      <c r="AH118" s="1537">
        <f t="shared" si="118"/>
        <v>1000</v>
      </c>
      <c r="AI118" s="1537">
        <f t="shared" si="119"/>
        <v>1000</v>
      </c>
      <c r="AJ118" s="1537">
        <f t="shared" si="120"/>
        <v>1000</v>
      </c>
      <c r="AK118" s="1537">
        <f t="shared" si="121"/>
        <v>1000</v>
      </c>
      <c r="AL118" s="1537">
        <f t="shared" si="122"/>
        <v>1000</v>
      </c>
      <c r="AM118" s="1537">
        <f t="shared" si="123"/>
        <v>1000</v>
      </c>
      <c r="AN118" s="1537">
        <f t="shared" si="124"/>
        <v>1000</v>
      </c>
      <c r="AO118" s="1537">
        <f t="shared" si="125"/>
        <v>1000</v>
      </c>
      <c r="AP118" s="1537">
        <f t="shared" si="126"/>
        <v>1000</v>
      </c>
      <c r="AQ118" s="1537">
        <f t="shared" si="127"/>
        <v>1000</v>
      </c>
      <c r="AR118" s="1537">
        <f t="shared" si="128"/>
        <v>1000</v>
      </c>
    </row>
    <row r="119" spans="2:44" s="1555" customFormat="1" x14ac:dyDescent="0.3">
      <c r="C119" s="1565" t="s">
        <v>3083</v>
      </c>
      <c r="D119" s="1562" t="s">
        <v>3322</v>
      </c>
      <c r="E119" s="1556">
        <v>5</v>
      </c>
      <c r="F119" s="1518">
        <f t="shared" si="98"/>
        <v>0</v>
      </c>
      <c r="G119" s="1532">
        <f t="shared" si="99"/>
        <v>0</v>
      </c>
      <c r="H119" s="1533">
        <f t="shared" si="100"/>
        <v>0</v>
      </c>
      <c r="I119" s="1534">
        <f t="shared" si="101"/>
        <v>0.2</v>
      </c>
      <c r="J119" s="1519">
        <v>1300000</v>
      </c>
      <c r="K119" s="1519">
        <v>1126666.6666666667</v>
      </c>
      <c r="N119" s="1519">
        <f t="shared" si="102"/>
        <v>173333</v>
      </c>
      <c r="Q119" s="1557">
        <v>172333</v>
      </c>
      <c r="R119" s="1519">
        <f t="shared" si="103"/>
        <v>1300000</v>
      </c>
      <c r="S119" s="1519">
        <f t="shared" si="104"/>
        <v>1000</v>
      </c>
      <c r="T119" s="1519">
        <f t="shared" si="105"/>
        <v>0.33333333325572312</v>
      </c>
      <c r="U119" s="1535">
        <f t="shared" si="106"/>
        <v>0</v>
      </c>
      <c r="V119" s="1537">
        <f t="shared" si="107"/>
        <v>172333</v>
      </c>
      <c r="W119" s="1519">
        <f t="shared" si="108"/>
        <v>0</v>
      </c>
      <c r="X119" s="1537">
        <f t="shared" si="109"/>
        <v>0</v>
      </c>
      <c r="Y119" s="1537">
        <f t="shared" si="110"/>
        <v>0</v>
      </c>
      <c r="Z119" s="1537">
        <f t="shared" si="111"/>
        <v>0</v>
      </c>
      <c r="AA119" s="1537">
        <f t="shared" si="112"/>
        <v>0</v>
      </c>
      <c r="AB119" s="1537">
        <f t="shared" si="113"/>
        <v>0</v>
      </c>
      <c r="AC119" s="1537">
        <f t="shared" si="114"/>
        <v>0</v>
      </c>
      <c r="AD119" s="1537">
        <f t="shared" si="115"/>
        <v>0</v>
      </c>
      <c r="AE119" s="1537">
        <f t="shared" si="116"/>
        <v>0</v>
      </c>
      <c r="AF119" s="1536">
        <f t="shared" si="117"/>
        <v>0</v>
      </c>
      <c r="AH119" s="1537">
        <f t="shared" si="118"/>
        <v>1000</v>
      </c>
      <c r="AI119" s="1537">
        <f t="shared" si="119"/>
        <v>1000</v>
      </c>
      <c r="AJ119" s="1537">
        <f t="shared" si="120"/>
        <v>1000</v>
      </c>
      <c r="AK119" s="1537">
        <f t="shared" si="121"/>
        <v>1000</v>
      </c>
      <c r="AL119" s="1537">
        <f t="shared" si="122"/>
        <v>1000</v>
      </c>
      <c r="AM119" s="1537">
        <f t="shared" si="123"/>
        <v>1000</v>
      </c>
      <c r="AN119" s="1537">
        <f t="shared" si="124"/>
        <v>1000</v>
      </c>
      <c r="AO119" s="1537">
        <f t="shared" si="125"/>
        <v>1000</v>
      </c>
      <c r="AP119" s="1537">
        <f t="shared" si="126"/>
        <v>1000</v>
      </c>
      <c r="AQ119" s="1537">
        <f t="shared" si="127"/>
        <v>1000</v>
      </c>
      <c r="AR119" s="1537">
        <f t="shared" si="128"/>
        <v>1000</v>
      </c>
    </row>
    <row r="120" spans="2:44" s="1555" customFormat="1" x14ac:dyDescent="0.3">
      <c r="C120" s="1565" t="s">
        <v>3079</v>
      </c>
      <c r="D120" s="1562" t="s">
        <v>3323</v>
      </c>
      <c r="E120" s="1556">
        <v>5</v>
      </c>
      <c r="F120" s="1518">
        <f t="shared" si="98"/>
        <v>0</v>
      </c>
      <c r="G120" s="1532">
        <f t="shared" si="99"/>
        <v>0</v>
      </c>
      <c r="H120" s="1533">
        <f t="shared" si="100"/>
        <v>0</v>
      </c>
      <c r="I120" s="1534">
        <f t="shared" si="101"/>
        <v>0.2</v>
      </c>
      <c r="J120" s="1519">
        <v>1640000</v>
      </c>
      <c r="K120" s="1519">
        <v>1421333.3333333333</v>
      </c>
      <c r="N120" s="1519">
        <f t="shared" si="102"/>
        <v>218667</v>
      </c>
      <c r="Q120" s="1557">
        <v>217667</v>
      </c>
      <c r="R120" s="1519">
        <f t="shared" si="103"/>
        <v>1640000</v>
      </c>
      <c r="S120" s="1519">
        <f t="shared" si="104"/>
        <v>1000</v>
      </c>
      <c r="T120" s="1519">
        <f t="shared" si="105"/>
        <v>-0.33333333325572312</v>
      </c>
      <c r="U120" s="1535">
        <f t="shared" si="106"/>
        <v>0</v>
      </c>
      <c r="V120" s="1537">
        <f t="shared" si="107"/>
        <v>217667</v>
      </c>
      <c r="W120" s="1519">
        <f t="shared" si="108"/>
        <v>0</v>
      </c>
      <c r="X120" s="1537">
        <f t="shared" si="109"/>
        <v>0</v>
      </c>
      <c r="Y120" s="1537">
        <f t="shared" si="110"/>
        <v>0</v>
      </c>
      <c r="Z120" s="1537">
        <f t="shared" si="111"/>
        <v>0</v>
      </c>
      <c r="AA120" s="1537">
        <f t="shared" si="112"/>
        <v>0</v>
      </c>
      <c r="AB120" s="1537">
        <f t="shared" si="113"/>
        <v>0</v>
      </c>
      <c r="AC120" s="1537">
        <f t="shared" si="114"/>
        <v>0</v>
      </c>
      <c r="AD120" s="1537">
        <f t="shared" si="115"/>
        <v>0</v>
      </c>
      <c r="AE120" s="1537">
        <f t="shared" si="116"/>
        <v>0</v>
      </c>
      <c r="AF120" s="1536">
        <f t="shared" si="117"/>
        <v>0</v>
      </c>
      <c r="AH120" s="1537">
        <f t="shared" si="118"/>
        <v>1000</v>
      </c>
      <c r="AI120" s="1537">
        <f t="shared" si="119"/>
        <v>1000</v>
      </c>
      <c r="AJ120" s="1537">
        <f t="shared" si="120"/>
        <v>1000</v>
      </c>
      <c r="AK120" s="1537">
        <f t="shared" si="121"/>
        <v>1000</v>
      </c>
      <c r="AL120" s="1537">
        <f t="shared" si="122"/>
        <v>1000</v>
      </c>
      <c r="AM120" s="1537">
        <f t="shared" si="123"/>
        <v>1000</v>
      </c>
      <c r="AN120" s="1537">
        <f t="shared" si="124"/>
        <v>1000</v>
      </c>
      <c r="AO120" s="1537">
        <f t="shared" si="125"/>
        <v>1000</v>
      </c>
      <c r="AP120" s="1537">
        <f t="shared" si="126"/>
        <v>1000</v>
      </c>
      <c r="AQ120" s="1537">
        <f t="shared" si="127"/>
        <v>1000</v>
      </c>
      <c r="AR120" s="1537">
        <f t="shared" si="128"/>
        <v>1000</v>
      </c>
    </row>
    <row r="121" spans="2:44" s="1555" customFormat="1" x14ac:dyDescent="0.3">
      <c r="C121" s="1565" t="s">
        <v>3083</v>
      </c>
      <c r="D121" s="1562" t="s">
        <v>3324</v>
      </c>
      <c r="E121" s="1556">
        <v>5</v>
      </c>
      <c r="F121" s="1518">
        <f t="shared" si="98"/>
        <v>0</v>
      </c>
      <c r="G121" s="1532">
        <f t="shared" si="99"/>
        <v>0</v>
      </c>
      <c r="H121" s="1533">
        <f t="shared" si="100"/>
        <v>0</v>
      </c>
      <c r="I121" s="1534">
        <f t="shared" si="101"/>
        <v>0.2</v>
      </c>
      <c r="J121" s="1519">
        <v>1300000</v>
      </c>
      <c r="K121" s="1519">
        <v>1105000</v>
      </c>
      <c r="N121" s="1519">
        <f t="shared" si="102"/>
        <v>195000</v>
      </c>
      <c r="Q121" s="1557">
        <f>N121-1000</f>
        <v>194000</v>
      </c>
      <c r="R121" s="1519">
        <f t="shared" si="103"/>
        <v>1300000</v>
      </c>
      <c r="S121" s="1567">
        <f t="shared" si="104"/>
        <v>1000</v>
      </c>
      <c r="T121" s="1519">
        <f t="shared" si="105"/>
        <v>0</v>
      </c>
      <c r="U121" s="1535">
        <f t="shared" si="106"/>
        <v>0</v>
      </c>
      <c r="V121" s="1537">
        <f t="shared" si="107"/>
        <v>194000</v>
      </c>
      <c r="W121" s="1519">
        <f t="shared" si="108"/>
        <v>0</v>
      </c>
      <c r="X121" s="1537">
        <f t="shared" si="109"/>
        <v>0</v>
      </c>
      <c r="Y121" s="1537">
        <f t="shared" si="110"/>
        <v>0</v>
      </c>
      <c r="Z121" s="1537">
        <f t="shared" si="111"/>
        <v>0</v>
      </c>
      <c r="AA121" s="1537">
        <f t="shared" si="112"/>
        <v>0</v>
      </c>
      <c r="AB121" s="1537">
        <f t="shared" si="113"/>
        <v>0</v>
      </c>
      <c r="AC121" s="1537">
        <f t="shared" si="114"/>
        <v>0</v>
      </c>
      <c r="AD121" s="1537">
        <f t="shared" si="115"/>
        <v>0</v>
      </c>
      <c r="AE121" s="1537">
        <f t="shared" si="116"/>
        <v>0</v>
      </c>
      <c r="AF121" s="1536">
        <f t="shared" si="117"/>
        <v>0</v>
      </c>
      <c r="AH121" s="1537">
        <f t="shared" si="118"/>
        <v>1000</v>
      </c>
      <c r="AI121" s="1537">
        <f t="shared" si="119"/>
        <v>1000</v>
      </c>
      <c r="AJ121" s="1537">
        <f t="shared" si="120"/>
        <v>1000</v>
      </c>
      <c r="AK121" s="1537">
        <f t="shared" si="121"/>
        <v>1000</v>
      </c>
      <c r="AL121" s="1537">
        <f t="shared" si="122"/>
        <v>1000</v>
      </c>
      <c r="AM121" s="1537">
        <f t="shared" si="123"/>
        <v>1000</v>
      </c>
      <c r="AN121" s="1537">
        <f t="shared" si="124"/>
        <v>1000</v>
      </c>
      <c r="AO121" s="1537">
        <f t="shared" si="125"/>
        <v>1000</v>
      </c>
      <c r="AP121" s="1537">
        <f t="shared" si="126"/>
        <v>1000</v>
      </c>
      <c r="AQ121" s="1537">
        <f t="shared" si="127"/>
        <v>1000</v>
      </c>
      <c r="AR121" s="1537">
        <f t="shared" si="128"/>
        <v>1000</v>
      </c>
    </row>
    <row r="122" spans="2:44" s="1555" customFormat="1" x14ac:dyDescent="0.3">
      <c r="C122" s="1565" t="s">
        <v>3079</v>
      </c>
      <c r="D122" s="1562" t="s">
        <v>3325</v>
      </c>
      <c r="E122" s="1556">
        <v>5</v>
      </c>
      <c r="F122" s="1518">
        <f t="shared" si="98"/>
        <v>0</v>
      </c>
      <c r="G122" s="1532">
        <f t="shared" si="99"/>
        <v>0</v>
      </c>
      <c r="H122" s="1533">
        <f t="shared" si="100"/>
        <v>0</v>
      </c>
      <c r="I122" s="1534">
        <f t="shared" si="101"/>
        <v>0.2</v>
      </c>
      <c r="J122" s="1519">
        <v>1147000</v>
      </c>
      <c r="K122" s="1519">
        <v>974950</v>
      </c>
      <c r="N122" s="1519">
        <f t="shared" si="102"/>
        <v>172050</v>
      </c>
      <c r="Q122" s="1557">
        <f t="shared" ref="Q122:Q124" si="129">N122-1000</f>
        <v>171050</v>
      </c>
      <c r="R122" s="1519">
        <f t="shared" si="103"/>
        <v>1147000</v>
      </c>
      <c r="S122" s="1567">
        <f t="shared" si="104"/>
        <v>1000</v>
      </c>
      <c r="T122" s="1519">
        <f t="shared" si="105"/>
        <v>0</v>
      </c>
      <c r="U122" s="1535">
        <f t="shared" si="106"/>
        <v>0</v>
      </c>
      <c r="V122" s="1537">
        <f t="shared" si="107"/>
        <v>171050</v>
      </c>
      <c r="W122" s="1519">
        <f t="shared" si="108"/>
        <v>0</v>
      </c>
      <c r="X122" s="1537">
        <f t="shared" si="109"/>
        <v>0</v>
      </c>
      <c r="Y122" s="1537">
        <f t="shared" si="110"/>
        <v>0</v>
      </c>
      <c r="Z122" s="1537">
        <f t="shared" si="111"/>
        <v>0</v>
      </c>
      <c r="AA122" s="1537">
        <f t="shared" si="112"/>
        <v>0</v>
      </c>
      <c r="AB122" s="1537">
        <f t="shared" si="113"/>
        <v>0</v>
      </c>
      <c r="AC122" s="1537">
        <f t="shared" si="114"/>
        <v>0</v>
      </c>
      <c r="AD122" s="1537">
        <f t="shared" si="115"/>
        <v>0</v>
      </c>
      <c r="AE122" s="1537">
        <f t="shared" si="116"/>
        <v>0</v>
      </c>
      <c r="AF122" s="1536">
        <f t="shared" si="117"/>
        <v>0</v>
      </c>
      <c r="AH122" s="1537">
        <f t="shared" si="118"/>
        <v>1000</v>
      </c>
      <c r="AI122" s="1537">
        <f t="shared" si="119"/>
        <v>1000</v>
      </c>
      <c r="AJ122" s="1537">
        <f t="shared" si="120"/>
        <v>1000</v>
      </c>
      <c r="AK122" s="1537">
        <f t="shared" si="121"/>
        <v>1000</v>
      </c>
      <c r="AL122" s="1537">
        <f t="shared" si="122"/>
        <v>1000</v>
      </c>
      <c r="AM122" s="1537">
        <f t="shared" si="123"/>
        <v>1000</v>
      </c>
      <c r="AN122" s="1537">
        <f t="shared" si="124"/>
        <v>1000</v>
      </c>
      <c r="AO122" s="1537">
        <f t="shared" si="125"/>
        <v>1000</v>
      </c>
      <c r="AP122" s="1537">
        <f t="shared" si="126"/>
        <v>1000</v>
      </c>
      <c r="AQ122" s="1537">
        <f t="shared" si="127"/>
        <v>1000</v>
      </c>
      <c r="AR122" s="1537">
        <f t="shared" si="128"/>
        <v>1000</v>
      </c>
    </row>
    <row r="123" spans="2:44" s="1555" customFormat="1" x14ac:dyDescent="0.3">
      <c r="C123" s="1565" t="s">
        <v>3079</v>
      </c>
      <c r="D123" s="1562" t="s">
        <v>3326</v>
      </c>
      <c r="E123" s="1556">
        <v>5</v>
      </c>
      <c r="F123" s="1518">
        <f t="shared" si="98"/>
        <v>0</v>
      </c>
      <c r="G123" s="1532">
        <f t="shared" si="99"/>
        <v>0</v>
      </c>
      <c r="H123" s="1533">
        <f t="shared" si="100"/>
        <v>0</v>
      </c>
      <c r="I123" s="1534">
        <f t="shared" si="101"/>
        <v>0.2</v>
      </c>
      <c r="J123" s="1519">
        <v>370000</v>
      </c>
      <c r="K123" s="1519">
        <v>314500</v>
      </c>
      <c r="N123" s="1519">
        <f t="shared" si="102"/>
        <v>55500</v>
      </c>
      <c r="Q123" s="1557">
        <f t="shared" si="129"/>
        <v>54500</v>
      </c>
      <c r="R123" s="1519">
        <f t="shared" si="103"/>
        <v>370000</v>
      </c>
      <c r="S123" s="1567">
        <f t="shared" si="104"/>
        <v>1000</v>
      </c>
      <c r="T123" s="1519">
        <f t="shared" si="105"/>
        <v>0</v>
      </c>
      <c r="U123" s="1535">
        <f t="shared" si="106"/>
        <v>0</v>
      </c>
      <c r="V123" s="1537">
        <f t="shared" si="107"/>
        <v>54500</v>
      </c>
      <c r="W123" s="1519">
        <f t="shared" si="108"/>
        <v>0</v>
      </c>
      <c r="X123" s="1537">
        <f t="shared" si="109"/>
        <v>0</v>
      </c>
      <c r="Y123" s="1537">
        <f t="shared" si="110"/>
        <v>0</v>
      </c>
      <c r="Z123" s="1537">
        <f t="shared" si="111"/>
        <v>0</v>
      </c>
      <c r="AA123" s="1537">
        <f t="shared" si="112"/>
        <v>0</v>
      </c>
      <c r="AB123" s="1537">
        <f t="shared" si="113"/>
        <v>0</v>
      </c>
      <c r="AC123" s="1537">
        <f t="shared" si="114"/>
        <v>0</v>
      </c>
      <c r="AD123" s="1537">
        <f t="shared" si="115"/>
        <v>0</v>
      </c>
      <c r="AE123" s="1537">
        <f t="shared" si="116"/>
        <v>0</v>
      </c>
      <c r="AF123" s="1536">
        <f t="shared" si="117"/>
        <v>0</v>
      </c>
      <c r="AH123" s="1537">
        <f t="shared" si="118"/>
        <v>1000</v>
      </c>
      <c r="AI123" s="1537">
        <f t="shared" si="119"/>
        <v>1000</v>
      </c>
      <c r="AJ123" s="1537">
        <f t="shared" si="120"/>
        <v>1000</v>
      </c>
      <c r="AK123" s="1537">
        <f t="shared" si="121"/>
        <v>1000</v>
      </c>
      <c r="AL123" s="1537">
        <f t="shared" si="122"/>
        <v>1000</v>
      </c>
      <c r="AM123" s="1537">
        <f t="shared" si="123"/>
        <v>1000</v>
      </c>
      <c r="AN123" s="1537">
        <f t="shared" si="124"/>
        <v>1000</v>
      </c>
      <c r="AO123" s="1537">
        <f t="shared" si="125"/>
        <v>1000</v>
      </c>
      <c r="AP123" s="1537">
        <f t="shared" si="126"/>
        <v>1000</v>
      </c>
      <c r="AQ123" s="1537">
        <f t="shared" si="127"/>
        <v>1000</v>
      </c>
      <c r="AR123" s="1537">
        <f t="shared" si="128"/>
        <v>1000</v>
      </c>
    </row>
    <row r="124" spans="2:44" s="1531" customFormat="1" ht="12" customHeight="1" x14ac:dyDescent="0.3">
      <c r="B124" s="1526"/>
      <c r="C124" s="1548" t="s">
        <v>3084</v>
      </c>
      <c r="D124" s="1527" t="s">
        <v>3327</v>
      </c>
      <c r="E124" s="1556">
        <v>5</v>
      </c>
      <c r="F124" s="1518">
        <f t="shared" si="98"/>
        <v>0</v>
      </c>
      <c r="G124" s="1532">
        <f t="shared" si="99"/>
        <v>0</v>
      </c>
      <c r="H124" s="1533">
        <f t="shared" si="100"/>
        <v>0</v>
      </c>
      <c r="I124" s="1534">
        <f t="shared" si="101"/>
        <v>0.2</v>
      </c>
      <c r="J124" s="1519">
        <v>26600000</v>
      </c>
      <c r="K124" s="1519">
        <v>22610000</v>
      </c>
      <c r="L124" s="1526"/>
      <c r="M124" s="1526"/>
      <c r="N124" s="1519">
        <f t="shared" si="102"/>
        <v>3990000</v>
      </c>
      <c r="O124" s="1526"/>
      <c r="P124" s="1526"/>
      <c r="Q124" s="1557">
        <f t="shared" si="129"/>
        <v>3989000</v>
      </c>
      <c r="R124" s="1519">
        <f t="shared" si="103"/>
        <v>26600000</v>
      </c>
      <c r="S124" s="1567">
        <f t="shared" si="104"/>
        <v>1000</v>
      </c>
      <c r="T124" s="1519">
        <f t="shared" si="105"/>
        <v>0</v>
      </c>
      <c r="U124" s="1535">
        <f t="shared" si="106"/>
        <v>0</v>
      </c>
      <c r="V124" s="1537">
        <f t="shared" si="107"/>
        <v>3989000</v>
      </c>
      <c r="W124" s="1519">
        <f t="shared" si="108"/>
        <v>0</v>
      </c>
      <c r="X124" s="1537">
        <f t="shared" si="109"/>
        <v>0</v>
      </c>
      <c r="Y124" s="1537">
        <f t="shared" si="110"/>
        <v>0</v>
      </c>
      <c r="Z124" s="1537">
        <f t="shared" si="111"/>
        <v>0</v>
      </c>
      <c r="AA124" s="1537">
        <f t="shared" si="112"/>
        <v>0</v>
      </c>
      <c r="AB124" s="1537">
        <f t="shared" si="113"/>
        <v>0</v>
      </c>
      <c r="AC124" s="1537">
        <f t="shared" si="114"/>
        <v>0</v>
      </c>
      <c r="AD124" s="1537">
        <f t="shared" si="115"/>
        <v>0</v>
      </c>
      <c r="AE124" s="1537">
        <f t="shared" si="116"/>
        <v>0</v>
      </c>
      <c r="AF124" s="1536">
        <f t="shared" si="117"/>
        <v>0</v>
      </c>
      <c r="AG124" s="1555"/>
      <c r="AH124" s="1537">
        <f t="shared" si="118"/>
        <v>1000</v>
      </c>
      <c r="AI124" s="1537">
        <f t="shared" si="119"/>
        <v>1000</v>
      </c>
      <c r="AJ124" s="1537">
        <f t="shared" si="120"/>
        <v>1000</v>
      </c>
      <c r="AK124" s="1537">
        <f t="shared" si="121"/>
        <v>1000</v>
      </c>
      <c r="AL124" s="1537">
        <f t="shared" si="122"/>
        <v>1000</v>
      </c>
      <c r="AM124" s="1537">
        <f t="shared" si="123"/>
        <v>1000</v>
      </c>
      <c r="AN124" s="1537">
        <f t="shared" si="124"/>
        <v>1000</v>
      </c>
      <c r="AO124" s="1537">
        <f t="shared" si="125"/>
        <v>1000</v>
      </c>
      <c r="AP124" s="1537">
        <f t="shared" si="126"/>
        <v>1000</v>
      </c>
      <c r="AQ124" s="1537">
        <f t="shared" si="127"/>
        <v>1000</v>
      </c>
      <c r="AR124" s="1537">
        <f t="shared" si="128"/>
        <v>1000</v>
      </c>
    </row>
    <row r="125" spans="2:44" s="1531" customFormat="1" ht="12" customHeight="1" x14ac:dyDescent="0.3">
      <c r="B125" s="1526"/>
      <c r="C125" s="1548" t="s">
        <v>3085</v>
      </c>
      <c r="D125" s="1527" t="s">
        <v>3026</v>
      </c>
      <c r="E125" s="1556">
        <v>5</v>
      </c>
      <c r="F125" s="1518">
        <f t="shared" si="98"/>
        <v>0</v>
      </c>
      <c r="G125" s="1532">
        <f t="shared" si="99"/>
        <v>0</v>
      </c>
      <c r="H125" s="1533">
        <f t="shared" si="100"/>
        <v>0</v>
      </c>
      <c r="I125" s="1534">
        <f t="shared" si="101"/>
        <v>0.2</v>
      </c>
      <c r="J125" s="1519">
        <v>2970000</v>
      </c>
      <c r="K125" s="1519">
        <v>2425500</v>
      </c>
      <c r="L125" s="1526"/>
      <c r="M125" s="1526"/>
      <c r="N125" s="1519">
        <f t="shared" si="102"/>
        <v>544500</v>
      </c>
      <c r="O125" s="1526"/>
      <c r="P125" s="1526"/>
      <c r="Q125" s="1557">
        <v>544500</v>
      </c>
      <c r="R125" s="1519">
        <f t="shared" si="103"/>
        <v>2970000</v>
      </c>
      <c r="S125" s="1519">
        <f t="shared" si="104"/>
        <v>0</v>
      </c>
      <c r="T125" s="1519">
        <f t="shared" si="105"/>
        <v>0</v>
      </c>
      <c r="U125" s="1535">
        <f t="shared" si="106"/>
        <v>0</v>
      </c>
      <c r="V125" s="1537">
        <f t="shared" si="107"/>
        <v>544500</v>
      </c>
      <c r="W125" s="1519">
        <f t="shared" si="108"/>
        <v>0</v>
      </c>
      <c r="X125" s="1537">
        <f t="shared" si="109"/>
        <v>0</v>
      </c>
      <c r="Y125" s="1537">
        <f t="shared" si="110"/>
        <v>0</v>
      </c>
      <c r="Z125" s="1537">
        <f t="shared" si="111"/>
        <v>0</v>
      </c>
      <c r="AA125" s="1537">
        <f t="shared" si="112"/>
        <v>0</v>
      </c>
      <c r="AB125" s="1537">
        <f t="shared" si="113"/>
        <v>0</v>
      </c>
      <c r="AC125" s="1537">
        <f t="shared" si="114"/>
        <v>0</v>
      </c>
      <c r="AD125" s="1537">
        <f t="shared" si="115"/>
        <v>0</v>
      </c>
      <c r="AE125" s="1537">
        <f t="shared" si="116"/>
        <v>0</v>
      </c>
      <c r="AF125" s="1536">
        <f t="shared" si="117"/>
        <v>0</v>
      </c>
      <c r="AG125" s="1555"/>
      <c r="AH125" s="1537">
        <f t="shared" si="118"/>
        <v>0</v>
      </c>
      <c r="AI125" s="1537">
        <f t="shared" si="119"/>
        <v>0</v>
      </c>
      <c r="AJ125" s="1537">
        <f t="shared" si="120"/>
        <v>0</v>
      </c>
      <c r="AK125" s="1537">
        <f t="shared" si="121"/>
        <v>0</v>
      </c>
      <c r="AL125" s="1537">
        <f t="shared" si="122"/>
        <v>0</v>
      </c>
      <c r="AM125" s="1537">
        <f t="shared" si="123"/>
        <v>0</v>
      </c>
      <c r="AN125" s="1537">
        <f t="shared" si="124"/>
        <v>0</v>
      </c>
      <c r="AO125" s="1537">
        <f t="shared" si="125"/>
        <v>0</v>
      </c>
      <c r="AP125" s="1537">
        <f t="shared" si="126"/>
        <v>0</v>
      </c>
      <c r="AQ125" s="1537">
        <f t="shared" si="127"/>
        <v>0</v>
      </c>
      <c r="AR125" s="1537">
        <f t="shared" si="128"/>
        <v>0</v>
      </c>
    </row>
    <row r="126" spans="2:44" s="1531" customFormat="1" ht="12" customHeight="1" x14ac:dyDescent="0.3">
      <c r="B126" s="1526"/>
      <c r="C126" s="1548" t="s">
        <v>3086</v>
      </c>
      <c r="D126" s="1527" t="s">
        <v>3328</v>
      </c>
      <c r="E126" s="1556">
        <v>5</v>
      </c>
      <c r="F126" s="1518">
        <f t="shared" si="98"/>
        <v>0</v>
      </c>
      <c r="G126" s="1532">
        <f t="shared" si="99"/>
        <v>0</v>
      </c>
      <c r="H126" s="1533">
        <f t="shared" si="100"/>
        <v>0</v>
      </c>
      <c r="I126" s="1534">
        <f t="shared" si="101"/>
        <v>0.2</v>
      </c>
      <c r="J126" s="1519">
        <v>990000</v>
      </c>
      <c r="K126" s="1519">
        <v>808500</v>
      </c>
      <c r="L126" s="1526"/>
      <c r="M126" s="1526"/>
      <c r="N126" s="1519">
        <f t="shared" si="102"/>
        <v>181500</v>
      </c>
      <c r="O126" s="1526"/>
      <c r="P126" s="1526"/>
      <c r="Q126" s="1557">
        <v>181500</v>
      </c>
      <c r="R126" s="1519">
        <f t="shared" si="103"/>
        <v>990000</v>
      </c>
      <c r="S126" s="1519">
        <f t="shared" si="104"/>
        <v>0</v>
      </c>
      <c r="T126" s="1519">
        <f t="shared" si="105"/>
        <v>0</v>
      </c>
      <c r="U126" s="1535">
        <f t="shared" si="106"/>
        <v>0</v>
      </c>
      <c r="V126" s="1537">
        <f t="shared" si="107"/>
        <v>181500</v>
      </c>
      <c r="W126" s="1519">
        <f t="shared" si="108"/>
        <v>0</v>
      </c>
      <c r="X126" s="1537">
        <f t="shared" si="109"/>
        <v>0</v>
      </c>
      <c r="Y126" s="1537">
        <f t="shared" si="110"/>
        <v>0</v>
      </c>
      <c r="Z126" s="1537">
        <f t="shared" si="111"/>
        <v>0</v>
      </c>
      <c r="AA126" s="1537">
        <f t="shared" si="112"/>
        <v>0</v>
      </c>
      <c r="AB126" s="1537">
        <f t="shared" si="113"/>
        <v>0</v>
      </c>
      <c r="AC126" s="1537">
        <f t="shared" si="114"/>
        <v>0</v>
      </c>
      <c r="AD126" s="1537">
        <f t="shared" si="115"/>
        <v>0</v>
      </c>
      <c r="AE126" s="1537">
        <f t="shared" si="116"/>
        <v>0</v>
      </c>
      <c r="AF126" s="1536">
        <f t="shared" si="117"/>
        <v>0</v>
      </c>
      <c r="AG126" s="1555"/>
      <c r="AH126" s="1537">
        <f t="shared" si="118"/>
        <v>0</v>
      </c>
      <c r="AI126" s="1537">
        <f t="shared" si="119"/>
        <v>0</v>
      </c>
      <c r="AJ126" s="1537">
        <f t="shared" si="120"/>
        <v>0</v>
      </c>
      <c r="AK126" s="1537">
        <f t="shared" si="121"/>
        <v>0</v>
      </c>
      <c r="AL126" s="1537">
        <f t="shared" si="122"/>
        <v>0</v>
      </c>
      <c r="AM126" s="1537">
        <f t="shared" si="123"/>
        <v>0</v>
      </c>
      <c r="AN126" s="1537">
        <f t="shared" si="124"/>
        <v>0</v>
      </c>
      <c r="AO126" s="1537">
        <f t="shared" si="125"/>
        <v>0</v>
      </c>
      <c r="AP126" s="1537">
        <f t="shared" si="126"/>
        <v>0</v>
      </c>
      <c r="AQ126" s="1537">
        <f t="shared" si="127"/>
        <v>0</v>
      </c>
      <c r="AR126" s="1537">
        <f t="shared" si="128"/>
        <v>0</v>
      </c>
    </row>
    <row r="127" spans="2:44" s="1531" customFormat="1" ht="12" customHeight="1" x14ac:dyDescent="0.3">
      <c r="B127" s="1526"/>
      <c r="C127" s="1548" t="s">
        <v>3087</v>
      </c>
      <c r="D127" s="1527" t="s">
        <v>3329</v>
      </c>
      <c r="E127" s="1556">
        <v>5</v>
      </c>
      <c r="F127" s="1518">
        <f t="shared" si="98"/>
        <v>0</v>
      </c>
      <c r="G127" s="1532">
        <f t="shared" si="99"/>
        <v>0</v>
      </c>
      <c r="H127" s="1533">
        <f t="shared" si="100"/>
        <v>0</v>
      </c>
      <c r="I127" s="1534">
        <f t="shared" si="101"/>
        <v>0.2</v>
      </c>
      <c r="J127" s="1519">
        <v>1730000</v>
      </c>
      <c r="K127" s="1519">
        <v>1412833.3333333333</v>
      </c>
      <c r="L127" s="1526"/>
      <c r="M127" s="1526"/>
      <c r="N127" s="1519">
        <f t="shared" si="102"/>
        <v>317167</v>
      </c>
      <c r="O127" s="1526"/>
      <c r="P127" s="1526"/>
      <c r="Q127" s="1557">
        <v>317167</v>
      </c>
      <c r="R127" s="1519">
        <f t="shared" si="103"/>
        <v>1730000</v>
      </c>
      <c r="S127" s="1519">
        <f t="shared" si="104"/>
        <v>0</v>
      </c>
      <c r="T127" s="1519">
        <f t="shared" si="105"/>
        <v>-0.33333333325572312</v>
      </c>
      <c r="U127" s="1535">
        <f t="shared" si="106"/>
        <v>0</v>
      </c>
      <c r="V127" s="1537">
        <f t="shared" si="107"/>
        <v>317167</v>
      </c>
      <c r="W127" s="1519">
        <f t="shared" si="108"/>
        <v>0</v>
      </c>
      <c r="X127" s="1537">
        <f t="shared" si="109"/>
        <v>0</v>
      </c>
      <c r="Y127" s="1537">
        <f t="shared" si="110"/>
        <v>0</v>
      </c>
      <c r="Z127" s="1537">
        <f t="shared" si="111"/>
        <v>0</v>
      </c>
      <c r="AA127" s="1537">
        <f t="shared" si="112"/>
        <v>0</v>
      </c>
      <c r="AB127" s="1537">
        <f t="shared" si="113"/>
        <v>0</v>
      </c>
      <c r="AC127" s="1537">
        <f t="shared" si="114"/>
        <v>0</v>
      </c>
      <c r="AD127" s="1537">
        <f t="shared" si="115"/>
        <v>0</v>
      </c>
      <c r="AE127" s="1537">
        <f t="shared" si="116"/>
        <v>0</v>
      </c>
      <c r="AF127" s="1536">
        <f t="shared" si="117"/>
        <v>0</v>
      </c>
      <c r="AG127" s="1555"/>
      <c r="AH127" s="1537">
        <f t="shared" si="118"/>
        <v>0</v>
      </c>
      <c r="AI127" s="1537">
        <f t="shared" si="119"/>
        <v>0</v>
      </c>
      <c r="AJ127" s="1537">
        <f t="shared" si="120"/>
        <v>0</v>
      </c>
      <c r="AK127" s="1537">
        <f t="shared" si="121"/>
        <v>0</v>
      </c>
      <c r="AL127" s="1537">
        <f t="shared" si="122"/>
        <v>0</v>
      </c>
      <c r="AM127" s="1537">
        <f t="shared" si="123"/>
        <v>0</v>
      </c>
      <c r="AN127" s="1537">
        <f t="shared" si="124"/>
        <v>0</v>
      </c>
      <c r="AO127" s="1537">
        <f t="shared" si="125"/>
        <v>0</v>
      </c>
      <c r="AP127" s="1537">
        <f t="shared" si="126"/>
        <v>0</v>
      </c>
      <c r="AQ127" s="1537">
        <f t="shared" si="127"/>
        <v>0</v>
      </c>
      <c r="AR127" s="1537">
        <f t="shared" si="128"/>
        <v>0</v>
      </c>
    </row>
    <row r="128" spans="2:44" s="1531" customFormat="1" ht="12" customHeight="1" x14ac:dyDescent="0.3">
      <c r="B128" s="1526"/>
      <c r="C128" s="1548" t="s">
        <v>3088</v>
      </c>
      <c r="D128" s="1527" t="s">
        <v>3330</v>
      </c>
      <c r="E128" s="1556">
        <v>5</v>
      </c>
      <c r="F128" s="1518">
        <f t="shared" si="98"/>
        <v>1</v>
      </c>
      <c r="G128" s="1532">
        <f t="shared" si="99"/>
        <v>0</v>
      </c>
      <c r="H128" s="1533">
        <f t="shared" si="100"/>
        <v>0</v>
      </c>
      <c r="I128" s="1534">
        <f t="shared" si="101"/>
        <v>0.2</v>
      </c>
      <c r="J128" s="1519">
        <v>1350000</v>
      </c>
      <c r="K128" s="1519">
        <v>1080000</v>
      </c>
      <c r="L128" s="1526"/>
      <c r="M128" s="1526"/>
      <c r="N128" s="1519">
        <f t="shared" si="102"/>
        <v>270000</v>
      </c>
      <c r="O128" s="1526"/>
      <c r="P128" s="1526"/>
      <c r="Q128" s="1557">
        <v>247500</v>
      </c>
      <c r="R128" s="1519">
        <f t="shared" si="103"/>
        <v>1350000</v>
      </c>
      <c r="S128" s="1519">
        <f t="shared" si="104"/>
        <v>22500</v>
      </c>
      <c r="T128" s="1519">
        <f t="shared" si="105"/>
        <v>0</v>
      </c>
      <c r="U128" s="1535">
        <f t="shared" si="106"/>
        <v>21500</v>
      </c>
      <c r="V128" s="1537">
        <f t="shared" si="107"/>
        <v>269000</v>
      </c>
      <c r="W128" s="1519">
        <f t="shared" si="108"/>
        <v>0</v>
      </c>
      <c r="X128" s="1537">
        <f t="shared" si="109"/>
        <v>0</v>
      </c>
      <c r="Y128" s="1537">
        <f t="shared" si="110"/>
        <v>0</v>
      </c>
      <c r="Z128" s="1537">
        <f t="shared" si="111"/>
        <v>0</v>
      </c>
      <c r="AA128" s="1537">
        <f t="shared" si="112"/>
        <v>0</v>
      </c>
      <c r="AB128" s="1537">
        <f t="shared" si="113"/>
        <v>0</v>
      </c>
      <c r="AC128" s="1537">
        <f t="shared" si="114"/>
        <v>0</v>
      </c>
      <c r="AD128" s="1537">
        <f t="shared" si="115"/>
        <v>0</v>
      </c>
      <c r="AE128" s="1537">
        <f t="shared" si="116"/>
        <v>0</v>
      </c>
      <c r="AF128" s="1536">
        <f t="shared" si="117"/>
        <v>0</v>
      </c>
      <c r="AG128" s="1555"/>
      <c r="AH128" s="1537">
        <f t="shared" si="118"/>
        <v>1000</v>
      </c>
      <c r="AI128" s="1537">
        <f t="shared" si="119"/>
        <v>1000</v>
      </c>
      <c r="AJ128" s="1537">
        <f t="shared" si="120"/>
        <v>1000</v>
      </c>
      <c r="AK128" s="1537">
        <f t="shared" si="121"/>
        <v>1000</v>
      </c>
      <c r="AL128" s="1537">
        <f t="shared" si="122"/>
        <v>1000</v>
      </c>
      <c r="AM128" s="1537">
        <f t="shared" si="123"/>
        <v>1000</v>
      </c>
      <c r="AN128" s="1537">
        <f t="shared" si="124"/>
        <v>1000</v>
      </c>
      <c r="AO128" s="1537">
        <f t="shared" si="125"/>
        <v>1000</v>
      </c>
      <c r="AP128" s="1537">
        <f t="shared" si="126"/>
        <v>1000</v>
      </c>
      <c r="AQ128" s="1537">
        <f t="shared" si="127"/>
        <v>1000</v>
      </c>
      <c r="AR128" s="1537">
        <f t="shared" si="128"/>
        <v>1000</v>
      </c>
    </row>
    <row r="129" spans="2:44" s="1531" customFormat="1" ht="12" customHeight="1" x14ac:dyDescent="0.3">
      <c r="B129" s="1526"/>
      <c r="C129" s="1548" t="s">
        <v>3089</v>
      </c>
      <c r="D129" s="1527" t="s">
        <v>3331</v>
      </c>
      <c r="E129" s="1556">
        <v>5</v>
      </c>
      <c r="F129" s="1518">
        <f t="shared" si="98"/>
        <v>1</v>
      </c>
      <c r="G129" s="1532">
        <f t="shared" si="99"/>
        <v>0</v>
      </c>
      <c r="H129" s="1533">
        <f t="shared" si="100"/>
        <v>0</v>
      </c>
      <c r="I129" s="1534">
        <f t="shared" si="101"/>
        <v>0.2</v>
      </c>
      <c r="J129" s="1519">
        <v>4200000</v>
      </c>
      <c r="K129" s="1519">
        <v>3360000</v>
      </c>
      <c r="L129" s="1526"/>
      <c r="M129" s="1526"/>
      <c r="N129" s="1519">
        <f t="shared" si="102"/>
        <v>840000</v>
      </c>
      <c r="O129" s="1526"/>
      <c r="P129" s="1526"/>
      <c r="Q129" s="1557">
        <v>770000</v>
      </c>
      <c r="R129" s="1519">
        <f t="shared" si="103"/>
        <v>4200000</v>
      </c>
      <c r="S129" s="1519">
        <f t="shared" si="104"/>
        <v>70000</v>
      </c>
      <c r="T129" s="1519">
        <f t="shared" si="105"/>
        <v>0</v>
      </c>
      <c r="U129" s="1535">
        <f t="shared" si="106"/>
        <v>69000</v>
      </c>
      <c r="V129" s="1537">
        <f t="shared" si="107"/>
        <v>839000</v>
      </c>
      <c r="W129" s="1519">
        <f t="shared" si="108"/>
        <v>0</v>
      </c>
      <c r="X129" s="1537">
        <f t="shared" si="109"/>
        <v>0</v>
      </c>
      <c r="Y129" s="1537">
        <f t="shared" si="110"/>
        <v>0</v>
      </c>
      <c r="Z129" s="1537">
        <f t="shared" si="111"/>
        <v>0</v>
      </c>
      <c r="AA129" s="1537">
        <f t="shared" si="112"/>
        <v>0</v>
      </c>
      <c r="AB129" s="1537">
        <f t="shared" si="113"/>
        <v>0</v>
      </c>
      <c r="AC129" s="1537">
        <f t="shared" si="114"/>
        <v>0</v>
      </c>
      <c r="AD129" s="1537">
        <f t="shared" si="115"/>
        <v>0</v>
      </c>
      <c r="AE129" s="1537">
        <f t="shared" si="116"/>
        <v>0</v>
      </c>
      <c r="AF129" s="1536">
        <f t="shared" si="117"/>
        <v>0</v>
      </c>
      <c r="AG129" s="1555"/>
      <c r="AH129" s="1537">
        <f t="shared" si="118"/>
        <v>1000</v>
      </c>
      <c r="AI129" s="1537">
        <f t="shared" si="119"/>
        <v>1000</v>
      </c>
      <c r="AJ129" s="1537">
        <f t="shared" si="120"/>
        <v>1000</v>
      </c>
      <c r="AK129" s="1537">
        <f t="shared" si="121"/>
        <v>1000</v>
      </c>
      <c r="AL129" s="1537">
        <f t="shared" si="122"/>
        <v>1000</v>
      </c>
      <c r="AM129" s="1537">
        <f t="shared" si="123"/>
        <v>1000</v>
      </c>
      <c r="AN129" s="1537">
        <f t="shared" si="124"/>
        <v>1000</v>
      </c>
      <c r="AO129" s="1537">
        <f t="shared" si="125"/>
        <v>1000</v>
      </c>
      <c r="AP129" s="1537">
        <f t="shared" si="126"/>
        <v>1000</v>
      </c>
      <c r="AQ129" s="1537">
        <f t="shared" si="127"/>
        <v>1000</v>
      </c>
      <c r="AR129" s="1537">
        <f t="shared" si="128"/>
        <v>1000</v>
      </c>
    </row>
    <row r="130" spans="2:44" s="1531" customFormat="1" ht="12" customHeight="1" x14ac:dyDescent="0.3">
      <c r="B130" s="1526"/>
      <c r="C130" s="1548" t="s">
        <v>3090</v>
      </c>
      <c r="D130" s="1527" t="s">
        <v>3330</v>
      </c>
      <c r="E130" s="1556">
        <v>5</v>
      </c>
      <c r="F130" s="1518">
        <f t="shared" si="98"/>
        <v>1</v>
      </c>
      <c r="G130" s="1532">
        <f t="shared" si="99"/>
        <v>0</v>
      </c>
      <c r="H130" s="1533">
        <f t="shared" si="100"/>
        <v>0</v>
      </c>
      <c r="I130" s="1534">
        <f t="shared" si="101"/>
        <v>0.2</v>
      </c>
      <c r="J130" s="1519">
        <v>1613000</v>
      </c>
      <c r="K130" s="1519">
        <v>1290400</v>
      </c>
      <c r="L130" s="1526"/>
      <c r="M130" s="1526"/>
      <c r="N130" s="1519">
        <f t="shared" si="102"/>
        <v>322600</v>
      </c>
      <c r="O130" s="1526"/>
      <c r="P130" s="1526"/>
      <c r="Q130" s="1557">
        <v>295717</v>
      </c>
      <c r="R130" s="1519">
        <f t="shared" si="103"/>
        <v>1613000</v>
      </c>
      <c r="S130" s="1519">
        <f t="shared" si="104"/>
        <v>26883</v>
      </c>
      <c r="T130" s="1519">
        <f t="shared" si="105"/>
        <v>0</v>
      </c>
      <c r="U130" s="1535">
        <f t="shared" si="106"/>
        <v>25883</v>
      </c>
      <c r="V130" s="1537">
        <f t="shared" si="107"/>
        <v>321600</v>
      </c>
      <c r="W130" s="1519">
        <f t="shared" si="108"/>
        <v>0</v>
      </c>
      <c r="X130" s="1537">
        <f t="shared" si="109"/>
        <v>0</v>
      </c>
      <c r="Y130" s="1537">
        <f t="shared" si="110"/>
        <v>0</v>
      </c>
      <c r="Z130" s="1537">
        <f t="shared" si="111"/>
        <v>0</v>
      </c>
      <c r="AA130" s="1537">
        <f t="shared" si="112"/>
        <v>0</v>
      </c>
      <c r="AB130" s="1537">
        <f t="shared" si="113"/>
        <v>0</v>
      </c>
      <c r="AC130" s="1537">
        <f t="shared" si="114"/>
        <v>0</v>
      </c>
      <c r="AD130" s="1537">
        <f t="shared" si="115"/>
        <v>0</v>
      </c>
      <c r="AE130" s="1537">
        <f t="shared" si="116"/>
        <v>0</v>
      </c>
      <c r="AF130" s="1536">
        <f t="shared" si="117"/>
        <v>0</v>
      </c>
      <c r="AG130" s="1555"/>
      <c r="AH130" s="1537">
        <f t="shared" si="118"/>
        <v>1000</v>
      </c>
      <c r="AI130" s="1537">
        <f t="shared" si="119"/>
        <v>1000</v>
      </c>
      <c r="AJ130" s="1537">
        <f t="shared" si="120"/>
        <v>1000</v>
      </c>
      <c r="AK130" s="1537">
        <f t="shared" si="121"/>
        <v>1000</v>
      </c>
      <c r="AL130" s="1537">
        <f t="shared" si="122"/>
        <v>1000</v>
      </c>
      <c r="AM130" s="1537">
        <f t="shared" si="123"/>
        <v>1000</v>
      </c>
      <c r="AN130" s="1537">
        <f t="shared" si="124"/>
        <v>1000</v>
      </c>
      <c r="AO130" s="1537">
        <f t="shared" si="125"/>
        <v>1000</v>
      </c>
      <c r="AP130" s="1537">
        <f t="shared" si="126"/>
        <v>1000</v>
      </c>
      <c r="AQ130" s="1537">
        <f t="shared" si="127"/>
        <v>1000</v>
      </c>
      <c r="AR130" s="1537">
        <f t="shared" si="128"/>
        <v>1000</v>
      </c>
    </row>
    <row r="131" spans="2:44" s="1531" customFormat="1" ht="12" customHeight="1" x14ac:dyDescent="0.3">
      <c r="B131" s="1526"/>
      <c r="C131" s="1548" t="s">
        <v>3091</v>
      </c>
      <c r="D131" s="1527" t="s">
        <v>3332</v>
      </c>
      <c r="E131" s="1556">
        <v>5</v>
      </c>
      <c r="F131" s="1518">
        <f t="shared" si="98"/>
        <v>1</v>
      </c>
      <c r="G131" s="1532">
        <f t="shared" si="99"/>
        <v>0</v>
      </c>
      <c r="H131" s="1533">
        <f t="shared" si="100"/>
        <v>0</v>
      </c>
      <c r="I131" s="1534">
        <f t="shared" si="101"/>
        <v>0.2</v>
      </c>
      <c r="J131" s="1519">
        <v>12600000</v>
      </c>
      <c r="K131" s="1519">
        <v>9870000</v>
      </c>
      <c r="L131" s="1526"/>
      <c r="M131" s="1526"/>
      <c r="N131" s="1519">
        <f t="shared" si="102"/>
        <v>2730000</v>
      </c>
      <c r="O131" s="1526"/>
      <c r="P131" s="1526"/>
      <c r="Q131" s="1557">
        <v>2310000</v>
      </c>
      <c r="R131" s="1519">
        <f t="shared" si="103"/>
        <v>12600000</v>
      </c>
      <c r="S131" s="1519">
        <f t="shared" si="104"/>
        <v>420000</v>
      </c>
      <c r="T131" s="1519">
        <f t="shared" si="105"/>
        <v>0</v>
      </c>
      <c r="U131" s="1535">
        <f t="shared" si="106"/>
        <v>210000</v>
      </c>
      <c r="V131" s="1537">
        <f t="shared" si="107"/>
        <v>2520000</v>
      </c>
      <c r="W131" s="1519">
        <f t="shared" si="108"/>
        <v>209000</v>
      </c>
      <c r="X131" s="1537">
        <f t="shared" si="109"/>
        <v>0</v>
      </c>
      <c r="Y131" s="1537">
        <f t="shared" si="110"/>
        <v>0</v>
      </c>
      <c r="Z131" s="1537">
        <f t="shared" si="111"/>
        <v>0</v>
      </c>
      <c r="AA131" s="1537">
        <f t="shared" si="112"/>
        <v>0</v>
      </c>
      <c r="AB131" s="1537">
        <f t="shared" si="113"/>
        <v>0</v>
      </c>
      <c r="AC131" s="1537">
        <f t="shared" si="114"/>
        <v>0</v>
      </c>
      <c r="AD131" s="1537">
        <f t="shared" si="115"/>
        <v>0</v>
      </c>
      <c r="AE131" s="1537">
        <f t="shared" si="116"/>
        <v>0</v>
      </c>
      <c r="AF131" s="1536">
        <f t="shared" si="117"/>
        <v>0</v>
      </c>
      <c r="AG131" s="1555"/>
      <c r="AH131" s="1537">
        <f t="shared" si="118"/>
        <v>210000</v>
      </c>
      <c r="AI131" s="1537">
        <f t="shared" si="119"/>
        <v>1000</v>
      </c>
      <c r="AJ131" s="1537">
        <f t="shared" si="120"/>
        <v>1000</v>
      </c>
      <c r="AK131" s="1537">
        <f t="shared" si="121"/>
        <v>1000</v>
      </c>
      <c r="AL131" s="1537">
        <f t="shared" si="122"/>
        <v>1000</v>
      </c>
      <c r="AM131" s="1537">
        <f t="shared" si="123"/>
        <v>1000</v>
      </c>
      <c r="AN131" s="1537">
        <f t="shared" si="124"/>
        <v>1000</v>
      </c>
      <c r="AO131" s="1537">
        <f t="shared" si="125"/>
        <v>1000</v>
      </c>
      <c r="AP131" s="1537">
        <f t="shared" si="126"/>
        <v>1000</v>
      </c>
      <c r="AQ131" s="1537">
        <f t="shared" si="127"/>
        <v>1000</v>
      </c>
      <c r="AR131" s="1537">
        <f t="shared" si="128"/>
        <v>1000</v>
      </c>
    </row>
    <row r="132" spans="2:44" s="1531" customFormat="1" ht="12" customHeight="1" x14ac:dyDescent="0.3">
      <c r="B132" s="1526"/>
      <c r="C132" s="1548" t="s">
        <v>3090</v>
      </c>
      <c r="D132" s="1527" t="s">
        <v>3333</v>
      </c>
      <c r="E132" s="1556">
        <v>5</v>
      </c>
      <c r="F132" s="1518">
        <f t="shared" si="98"/>
        <v>1</v>
      </c>
      <c r="G132" s="1532">
        <f t="shared" si="99"/>
        <v>0</v>
      </c>
      <c r="H132" s="1533">
        <f t="shared" si="100"/>
        <v>0</v>
      </c>
      <c r="I132" s="1534">
        <f t="shared" si="101"/>
        <v>0.2</v>
      </c>
      <c r="J132" s="1519">
        <v>1613000</v>
      </c>
      <c r="K132" s="1519">
        <v>1263517</v>
      </c>
      <c r="L132" s="1526"/>
      <c r="M132" s="1526"/>
      <c r="N132" s="1519">
        <f t="shared" si="102"/>
        <v>349483</v>
      </c>
      <c r="O132" s="1526"/>
      <c r="P132" s="1526"/>
      <c r="Q132" s="1557">
        <v>295717</v>
      </c>
      <c r="R132" s="1519">
        <f t="shared" si="103"/>
        <v>1613000</v>
      </c>
      <c r="S132" s="1519">
        <f t="shared" si="104"/>
        <v>53766</v>
      </c>
      <c r="T132" s="1519">
        <f t="shared" si="105"/>
        <v>0</v>
      </c>
      <c r="U132" s="1535">
        <f t="shared" si="106"/>
        <v>26883.333333333332</v>
      </c>
      <c r="V132" s="1537">
        <f t="shared" si="107"/>
        <v>322600.33333333331</v>
      </c>
      <c r="W132" s="1519">
        <f t="shared" si="108"/>
        <v>25882.666666666668</v>
      </c>
      <c r="X132" s="1537">
        <f t="shared" si="109"/>
        <v>0</v>
      </c>
      <c r="Y132" s="1537">
        <f t="shared" si="110"/>
        <v>0</v>
      </c>
      <c r="Z132" s="1537">
        <f t="shared" si="111"/>
        <v>0</v>
      </c>
      <c r="AA132" s="1537">
        <f t="shared" si="112"/>
        <v>0</v>
      </c>
      <c r="AB132" s="1537">
        <f t="shared" si="113"/>
        <v>0</v>
      </c>
      <c r="AC132" s="1537">
        <f t="shared" si="114"/>
        <v>0</v>
      </c>
      <c r="AD132" s="1537">
        <f t="shared" si="115"/>
        <v>0</v>
      </c>
      <c r="AE132" s="1537">
        <f t="shared" si="116"/>
        <v>0</v>
      </c>
      <c r="AF132" s="1536">
        <f t="shared" si="117"/>
        <v>0</v>
      </c>
      <c r="AG132" s="1555"/>
      <c r="AH132" s="1537">
        <f t="shared" si="118"/>
        <v>26882.666666666668</v>
      </c>
      <c r="AI132" s="1537">
        <f t="shared" si="119"/>
        <v>1000</v>
      </c>
      <c r="AJ132" s="1537">
        <f t="shared" si="120"/>
        <v>1000</v>
      </c>
      <c r="AK132" s="1537">
        <f t="shared" si="121"/>
        <v>1000</v>
      </c>
      <c r="AL132" s="1537">
        <f t="shared" si="122"/>
        <v>1000</v>
      </c>
      <c r="AM132" s="1537">
        <f t="shared" si="123"/>
        <v>1000</v>
      </c>
      <c r="AN132" s="1537">
        <f t="shared" si="124"/>
        <v>1000</v>
      </c>
      <c r="AO132" s="1537">
        <f t="shared" si="125"/>
        <v>1000</v>
      </c>
      <c r="AP132" s="1537">
        <f t="shared" si="126"/>
        <v>1000</v>
      </c>
      <c r="AQ132" s="1537">
        <f t="shared" si="127"/>
        <v>1000</v>
      </c>
      <c r="AR132" s="1537">
        <f t="shared" si="128"/>
        <v>1000</v>
      </c>
    </row>
    <row r="133" spans="2:44" s="1531" customFormat="1" ht="12" customHeight="1" x14ac:dyDescent="0.3">
      <c r="B133" s="1526"/>
      <c r="C133" s="1548" t="s">
        <v>3092</v>
      </c>
      <c r="D133" s="1527" t="s">
        <v>3334</v>
      </c>
      <c r="E133" s="1556">
        <v>5</v>
      </c>
      <c r="F133" s="1518">
        <f t="shared" si="98"/>
        <v>1</v>
      </c>
      <c r="G133" s="1532">
        <f t="shared" si="99"/>
        <v>0</v>
      </c>
      <c r="H133" s="1533">
        <f t="shared" si="100"/>
        <v>0</v>
      </c>
      <c r="I133" s="1534">
        <f t="shared" si="101"/>
        <v>0.2</v>
      </c>
      <c r="J133" s="1519">
        <v>4200000</v>
      </c>
      <c r="K133" s="1519">
        <v>3290000</v>
      </c>
      <c r="L133" s="1526"/>
      <c r="M133" s="1526"/>
      <c r="N133" s="1519">
        <f t="shared" si="102"/>
        <v>910000</v>
      </c>
      <c r="O133" s="1526"/>
      <c r="P133" s="1526"/>
      <c r="Q133" s="1557">
        <v>770000</v>
      </c>
      <c r="R133" s="1519">
        <f t="shared" si="103"/>
        <v>4200000</v>
      </c>
      <c r="S133" s="1519">
        <f t="shared" si="104"/>
        <v>140000</v>
      </c>
      <c r="T133" s="1519">
        <f t="shared" si="105"/>
        <v>0</v>
      </c>
      <c r="U133" s="1535">
        <f t="shared" si="106"/>
        <v>70000</v>
      </c>
      <c r="V133" s="1537">
        <f t="shared" si="107"/>
        <v>840000</v>
      </c>
      <c r="W133" s="1519">
        <f t="shared" si="108"/>
        <v>69000</v>
      </c>
      <c r="X133" s="1537">
        <f t="shared" si="109"/>
        <v>0</v>
      </c>
      <c r="Y133" s="1537">
        <f t="shared" si="110"/>
        <v>0</v>
      </c>
      <c r="Z133" s="1537">
        <f t="shared" si="111"/>
        <v>0</v>
      </c>
      <c r="AA133" s="1537">
        <f t="shared" si="112"/>
        <v>0</v>
      </c>
      <c r="AB133" s="1537">
        <f t="shared" si="113"/>
        <v>0</v>
      </c>
      <c r="AC133" s="1537">
        <f t="shared" si="114"/>
        <v>0</v>
      </c>
      <c r="AD133" s="1537">
        <f t="shared" si="115"/>
        <v>0</v>
      </c>
      <c r="AE133" s="1537">
        <f t="shared" si="116"/>
        <v>0</v>
      </c>
      <c r="AF133" s="1536">
        <f t="shared" si="117"/>
        <v>0</v>
      </c>
      <c r="AG133" s="1555"/>
      <c r="AH133" s="1537">
        <f t="shared" si="118"/>
        <v>70000</v>
      </c>
      <c r="AI133" s="1537">
        <f t="shared" si="119"/>
        <v>1000</v>
      </c>
      <c r="AJ133" s="1537">
        <f t="shared" si="120"/>
        <v>1000</v>
      </c>
      <c r="AK133" s="1537">
        <f t="shared" si="121"/>
        <v>1000</v>
      </c>
      <c r="AL133" s="1537">
        <f t="shared" si="122"/>
        <v>1000</v>
      </c>
      <c r="AM133" s="1537">
        <f t="shared" si="123"/>
        <v>1000</v>
      </c>
      <c r="AN133" s="1537">
        <f t="shared" si="124"/>
        <v>1000</v>
      </c>
      <c r="AO133" s="1537">
        <f t="shared" si="125"/>
        <v>1000</v>
      </c>
      <c r="AP133" s="1537">
        <f t="shared" si="126"/>
        <v>1000</v>
      </c>
      <c r="AQ133" s="1537">
        <f t="shared" si="127"/>
        <v>1000</v>
      </c>
      <c r="AR133" s="1537">
        <f t="shared" si="128"/>
        <v>1000</v>
      </c>
    </row>
    <row r="134" spans="2:44" s="1531" customFormat="1" ht="12" customHeight="1" x14ac:dyDescent="0.3">
      <c r="B134" s="1526"/>
      <c r="C134" s="1548" t="s">
        <v>3093</v>
      </c>
      <c r="D134" s="1527" t="s">
        <v>3335</v>
      </c>
      <c r="E134" s="1556">
        <v>5</v>
      </c>
      <c r="F134" s="1518">
        <f t="shared" si="98"/>
        <v>1</v>
      </c>
      <c r="G134" s="1532">
        <f t="shared" si="99"/>
        <v>0</v>
      </c>
      <c r="H134" s="1533">
        <f t="shared" si="100"/>
        <v>0</v>
      </c>
      <c r="I134" s="1534">
        <f t="shared" si="101"/>
        <v>0.2</v>
      </c>
      <c r="J134" s="1519">
        <v>1395000</v>
      </c>
      <c r="K134" s="1519">
        <v>1092750</v>
      </c>
      <c r="L134" s="1526"/>
      <c r="M134" s="1526"/>
      <c r="N134" s="1519">
        <f t="shared" si="102"/>
        <v>302250</v>
      </c>
      <c r="O134" s="1526"/>
      <c r="P134" s="1526"/>
      <c r="Q134" s="1557">
        <v>255750</v>
      </c>
      <c r="R134" s="1519">
        <f t="shared" si="103"/>
        <v>1395000</v>
      </c>
      <c r="S134" s="1519">
        <f t="shared" si="104"/>
        <v>46500</v>
      </c>
      <c r="T134" s="1519">
        <f t="shared" si="105"/>
        <v>0</v>
      </c>
      <c r="U134" s="1535">
        <f t="shared" si="106"/>
        <v>23250</v>
      </c>
      <c r="V134" s="1537">
        <f t="shared" si="107"/>
        <v>279000</v>
      </c>
      <c r="W134" s="1519">
        <f t="shared" si="108"/>
        <v>22250</v>
      </c>
      <c r="X134" s="1537">
        <f t="shared" si="109"/>
        <v>0</v>
      </c>
      <c r="Y134" s="1537">
        <f t="shared" si="110"/>
        <v>0</v>
      </c>
      <c r="Z134" s="1537">
        <f t="shared" si="111"/>
        <v>0</v>
      </c>
      <c r="AA134" s="1537">
        <f t="shared" si="112"/>
        <v>0</v>
      </c>
      <c r="AB134" s="1537">
        <f t="shared" si="113"/>
        <v>0</v>
      </c>
      <c r="AC134" s="1537">
        <f t="shared" si="114"/>
        <v>0</v>
      </c>
      <c r="AD134" s="1537">
        <f t="shared" si="115"/>
        <v>0</v>
      </c>
      <c r="AE134" s="1537">
        <f t="shared" si="116"/>
        <v>0</v>
      </c>
      <c r="AF134" s="1536">
        <f t="shared" si="117"/>
        <v>0</v>
      </c>
      <c r="AG134" s="1555"/>
      <c r="AH134" s="1537">
        <f t="shared" si="118"/>
        <v>23250</v>
      </c>
      <c r="AI134" s="1537">
        <f t="shared" si="119"/>
        <v>1000</v>
      </c>
      <c r="AJ134" s="1537">
        <f t="shared" si="120"/>
        <v>1000</v>
      </c>
      <c r="AK134" s="1537">
        <f t="shared" si="121"/>
        <v>1000</v>
      </c>
      <c r="AL134" s="1537">
        <f t="shared" si="122"/>
        <v>1000</v>
      </c>
      <c r="AM134" s="1537">
        <f t="shared" si="123"/>
        <v>1000</v>
      </c>
      <c r="AN134" s="1537">
        <f t="shared" si="124"/>
        <v>1000</v>
      </c>
      <c r="AO134" s="1537">
        <f t="shared" si="125"/>
        <v>1000</v>
      </c>
      <c r="AP134" s="1537">
        <f t="shared" si="126"/>
        <v>1000</v>
      </c>
      <c r="AQ134" s="1537">
        <f t="shared" si="127"/>
        <v>1000</v>
      </c>
      <c r="AR134" s="1537">
        <f t="shared" si="128"/>
        <v>1000</v>
      </c>
    </row>
    <row r="135" spans="2:44" s="1531" customFormat="1" ht="12" customHeight="1" x14ac:dyDescent="0.3">
      <c r="B135" s="1526"/>
      <c r="C135" s="1548" t="s">
        <v>3094</v>
      </c>
      <c r="D135" s="1527" t="s">
        <v>3336</v>
      </c>
      <c r="E135" s="1556">
        <v>5</v>
      </c>
      <c r="F135" s="1518">
        <f t="shared" si="98"/>
        <v>1</v>
      </c>
      <c r="G135" s="1532">
        <f t="shared" si="99"/>
        <v>0</v>
      </c>
      <c r="H135" s="1533">
        <f t="shared" si="100"/>
        <v>0</v>
      </c>
      <c r="I135" s="1534">
        <f t="shared" si="101"/>
        <v>0.2</v>
      </c>
      <c r="J135" s="1519">
        <v>2585000</v>
      </c>
      <c r="K135" s="1519">
        <v>1981833</v>
      </c>
      <c r="L135" s="1526"/>
      <c r="M135" s="1526"/>
      <c r="N135" s="1519">
        <f t="shared" si="102"/>
        <v>603167</v>
      </c>
      <c r="O135" s="1526"/>
      <c r="P135" s="1526"/>
      <c r="Q135" s="1557">
        <v>473917</v>
      </c>
      <c r="R135" s="1519">
        <f t="shared" si="103"/>
        <v>2585000</v>
      </c>
      <c r="S135" s="1519">
        <f t="shared" si="104"/>
        <v>129250</v>
      </c>
      <c r="T135" s="1519">
        <f t="shared" si="105"/>
        <v>0</v>
      </c>
      <c r="U135" s="1535">
        <f t="shared" si="106"/>
        <v>43083.333333333336</v>
      </c>
      <c r="V135" s="1537">
        <f t="shared" si="107"/>
        <v>517000.33333333331</v>
      </c>
      <c r="W135" s="1519">
        <f t="shared" si="108"/>
        <v>85166.666666666657</v>
      </c>
      <c r="X135" s="1537">
        <f t="shared" si="109"/>
        <v>0</v>
      </c>
      <c r="Y135" s="1537">
        <f t="shared" si="110"/>
        <v>0</v>
      </c>
      <c r="Z135" s="1537">
        <f t="shared" si="111"/>
        <v>0</v>
      </c>
      <c r="AA135" s="1537">
        <f t="shared" si="112"/>
        <v>0</v>
      </c>
      <c r="AB135" s="1537">
        <f t="shared" si="113"/>
        <v>0</v>
      </c>
      <c r="AC135" s="1537">
        <f t="shared" si="114"/>
        <v>0</v>
      </c>
      <c r="AD135" s="1537">
        <f t="shared" si="115"/>
        <v>0</v>
      </c>
      <c r="AE135" s="1537">
        <f t="shared" si="116"/>
        <v>0</v>
      </c>
      <c r="AF135" s="1536">
        <f t="shared" si="117"/>
        <v>0</v>
      </c>
      <c r="AG135" s="1555"/>
      <c r="AH135" s="1537">
        <f t="shared" si="118"/>
        <v>86166.666666666657</v>
      </c>
      <c r="AI135" s="1537">
        <f t="shared" si="119"/>
        <v>1000</v>
      </c>
      <c r="AJ135" s="1537">
        <f t="shared" si="120"/>
        <v>1000</v>
      </c>
      <c r="AK135" s="1537">
        <f t="shared" si="121"/>
        <v>1000</v>
      </c>
      <c r="AL135" s="1537">
        <f t="shared" si="122"/>
        <v>1000</v>
      </c>
      <c r="AM135" s="1537">
        <f t="shared" si="123"/>
        <v>1000</v>
      </c>
      <c r="AN135" s="1537">
        <f t="shared" si="124"/>
        <v>1000</v>
      </c>
      <c r="AO135" s="1537">
        <f t="shared" si="125"/>
        <v>1000</v>
      </c>
      <c r="AP135" s="1537">
        <f t="shared" si="126"/>
        <v>1000</v>
      </c>
      <c r="AQ135" s="1537">
        <f t="shared" si="127"/>
        <v>1000</v>
      </c>
      <c r="AR135" s="1537">
        <f t="shared" si="128"/>
        <v>1000</v>
      </c>
    </row>
    <row r="136" spans="2:44" x14ac:dyDescent="0.3">
      <c r="C136" s="1566" t="s">
        <v>3095</v>
      </c>
      <c r="D136" s="1563" t="s">
        <v>3337</v>
      </c>
      <c r="E136" s="1556">
        <v>5</v>
      </c>
      <c r="F136" s="1518">
        <f t="shared" si="98"/>
        <v>1</v>
      </c>
      <c r="G136" s="1532">
        <f t="shared" si="99"/>
        <v>0</v>
      </c>
      <c r="H136" s="1533">
        <f t="shared" si="100"/>
        <v>0</v>
      </c>
      <c r="I136" s="1534">
        <f t="shared" si="101"/>
        <v>0.2</v>
      </c>
      <c r="J136" s="1519">
        <v>1300000</v>
      </c>
      <c r="K136" s="1519">
        <v>996667</v>
      </c>
      <c r="N136" s="1519">
        <f t="shared" si="102"/>
        <v>303333</v>
      </c>
      <c r="Q136" s="1557">
        <v>238333</v>
      </c>
      <c r="R136" s="1519">
        <f t="shared" si="103"/>
        <v>1300000</v>
      </c>
      <c r="S136" s="1519">
        <f t="shared" si="104"/>
        <v>65000</v>
      </c>
      <c r="T136" s="1519">
        <f t="shared" si="105"/>
        <v>0</v>
      </c>
      <c r="U136" s="1535">
        <f t="shared" si="106"/>
        <v>21666.666666666668</v>
      </c>
      <c r="V136" s="1537">
        <f t="shared" si="107"/>
        <v>259999.66666666666</v>
      </c>
      <c r="W136" s="1519">
        <f t="shared" si="108"/>
        <v>42333.333333333328</v>
      </c>
      <c r="X136" s="1537">
        <f t="shared" si="109"/>
        <v>0</v>
      </c>
      <c r="Y136" s="1537">
        <f t="shared" si="110"/>
        <v>0</v>
      </c>
      <c r="Z136" s="1537">
        <f t="shared" si="111"/>
        <v>0</v>
      </c>
      <c r="AA136" s="1537">
        <f t="shared" si="112"/>
        <v>0</v>
      </c>
      <c r="AB136" s="1537">
        <f t="shared" si="113"/>
        <v>0</v>
      </c>
      <c r="AC136" s="1537">
        <f t="shared" si="114"/>
        <v>0</v>
      </c>
      <c r="AD136" s="1537">
        <f t="shared" si="115"/>
        <v>0</v>
      </c>
      <c r="AE136" s="1537">
        <f t="shared" si="116"/>
        <v>0</v>
      </c>
      <c r="AF136" s="1536">
        <f t="shared" si="117"/>
        <v>0</v>
      </c>
      <c r="AG136" s="1555"/>
      <c r="AH136" s="1537">
        <f t="shared" si="118"/>
        <v>43333.333333333328</v>
      </c>
      <c r="AI136" s="1537">
        <f t="shared" si="119"/>
        <v>1000</v>
      </c>
      <c r="AJ136" s="1537">
        <f t="shared" si="120"/>
        <v>1000</v>
      </c>
      <c r="AK136" s="1537">
        <f t="shared" si="121"/>
        <v>1000</v>
      </c>
      <c r="AL136" s="1537">
        <f t="shared" si="122"/>
        <v>1000</v>
      </c>
      <c r="AM136" s="1537">
        <f t="shared" si="123"/>
        <v>1000</v>
      </c>
      <c r="AN136" s="1537">
        <f t="shared" si="124"/>
        <v>1000</v>
      </c>
      <c r="AO136" s="1537">
        <f t="shared" si="125"/>
        <v>1000</v>
      </c>
      <c r="AP136" s="1537">
        <f t="shared" si="126"/>
        <v>1000</v>
      </c>
      <c r="AQ136" s="1537">
        <f t="shared" si="127"/>
        <v>1000</v>
      </c>
      <c r="AR136" s="1537">
        <f t="shared" si="128"/>
        <v>1000</v>
      </c>
    </row>
    <row r="137" spans="2:44" x14ac:dyDescent="0.3">
      <c r="C137" s="1566" t="s">
        <v>3096</v>
      </c>
      <c r="D137" s="1563" t="s">
        <v>3338</v>
      </c>
      <c r="E137" s="1556">
        <v>5</v>
      </c>
      <c r="F137" s="1518">
        <f t="shared" si="98"/>
        <v>1</v>
      </c>
      <c r="G137" s="1532">
        <f t="shared" si="99"/>
        <v>0</v>
      </c>
      <c r="H137" s="1533">
        <f t="shared" si="100"/>
        <v>0</v>
      </c>
      <c r="I137" s="1534">
        <f t="shared" si="101"/>
        <v>0.2</v>
      </c>
      <c r="J137" s="1519">
        <v>2050000</v>
      </c>
      <c r="K137" s="1519">
        <v>1537500</v>
      </c>
      <c r="N137" s="1519">
        <f t="shared" si="102"/>
        <v>512500</v>
      </c>
      <c r="Q137" s="1557">
        <v>375833</v>
      </c>
      <c r="R137" s="1519">
        <f t="shared" si="103"/>
        <v>2050000</v>
      </c>
      <c r="S137" s="1519">
        <f t="shared" si="104"/>
        <v>136667</v>
      </c>
      <c r="T137" s="1519">
        <f t="shared" si="105"/>
        <v>0</v>
      </c>
      <c r="U137" s="1535">
        <f t="shared" si="106"/>
        <v>34166.666666666664</v>
      </c>
      <c r="V137" s="1537">
        <f t="shared" si="107"/>
        <v>409999.66666666669</v>
      </c>
      <c r="W137" s="1519">
        <f t="shared" si="108"/>
        <v>101500.33333333334</v>
      </c>
      <c r="X137" s="1537">
        <f t="shared" si="109"/>
        <v>0</v>
      </c>
      <c r="Y137" s="1537">
        <f t="shared" si="110"/>
        <v>0</v>
      </c>
      <c r="Z137" s="1537">
        <f t="shared" si="111"/>
        <v>0</v>
      </c>
      <c r="AA137" s="1537">
        <f t="shared" si="112"/>
        <v>0</v>
      </c>
      <c r="AB137" s="1537">
        <f t="shared" si="113"/>
        <v>0</v>
      </c>
      <c r="AC137" s="1537">
        <f t="shared" si="114"/>
        <v>0</v>
      </c>
      <c r="AD137" s="1537">
        <f t="shared" si="115"/>
        <v>0</v>
      </c>
      <c r="AE137" s="1537">
        <f t="shared" si="116"/>
        <v>0</v>
      </c>
      <c r="AF137" s="1536">
        <f t="shared" si="117"/>
        <v>0</v>
      </c>
      <c r="AG137" s="1555"/>
      <c r="AH137" s="1537">
        <f t="shared" si="118"/>
        <v>102500.33333333334</v>
      </c>
      <c r="AI137" s="1537">
        <f t="shared" si="119"/>
        <v>1000</v>
      </c>
      <c r="AJ137" s="1537">
        <f t="shared" si="120"/>
        <v>1000</v>
      </c>
      <c r="AK137" s="1537">
        <f t="shared" si="121"/>
        <v>1000</v>
      </c>
      <c r="AL137" s="1537">
        <f t="shared" si="122"/>
        <v>1000</v>
      </c>
      <c r="AM137" s="1537">
        <f t="shared" si="123"/>
        <v>1000</v>
      </c>
      <c r="AN137" s="1537">
        <f t="shared" si="124"/>
        <v>1000</v>
      </c>
      <c r="AO137" s="1537">
        <f t="shared" si="125"/>
        <v>1000</v>
      </c>
      <c r="AP137" s="1537">
        <f t="shared" si="126"/>
        <v>1000</v>
      </c>
      <c r="AQ137" s="1537">
        <f t="shared" si="127"/>
        <v>1000</v>
      </c>
      <c r="AR137" s="1537">
        <f t="shared" si="128"/>
        <v>1000</v>
      </c>
    </row>
    <row r="138" spans="2:44" x14ac:dyDescent="0.3">
      <c r="C138" s="1566" t="s">
        <v>3097</v>
      </c>
      <c r="D138" s="1563" t="s">
        <v>3339</v>
      </c>
      <c r="E138" s="1556">
        <v>5</v>
      </c>
      <c r="F138" s="1518">
        <f t="shared" si="98"/>
        <v>1</v>
      </c>
      <c r="G138" s="1532">
        <f t="shared" si="99"/>
        <v>0</v>
      </c>
      <c r="H138" s="1533">
        <f t="shared" si="100"/>
        <v>0</v>
      </c>
      <c r="I138" s="1534">
        <f t="shared" si="101"/>
        <v>0.2</v>
      </c>
      <c r="J138" s="1519">
        <v>2081818</v>
      </c>
      <c r="K138" s="1519">
        <v>1561365</v>
      </c>
      <c r="N138" s="1519">
        <f t="shared" si="102"/>
        <v>520453</v>
      </c>
      <c r="Q138" s="1557">
        <v>381667</v>
      </c>
      <c r="R138" s="1519">
        <f t="shared" si="103"/>
        <v>2081818</v>
      </c>
      <c r="S138" s="1519">
        <f t="shared" si="104"/>
        <v>138786</v>
      </c>
      <c r="T138" s="1519">
        <f t="shared" si="105"/>
        <v>0</v>
      </c>
      <c r="U138" s="1535">
        <f t="shared" si="106"/>
        <v>34696.966666666667</v>
      </c>
      <c r="V138" s="1537">
        <f t="shared" si="107"/>
        <v>416363.96666666667</v>
      </c>
      <c r="W138" s="1519">
        <f t="shared" si="108"/>
        <v>103089.03333333333</v>
      </c>
      <c r="X138" s="1537">
        <f t="shared" si="109"/>
        <v>0</v>
      </c>
      <c r="Y138" s="1537">
        <f t="shared" si="110"/>
        <v>0</v>
      </c>
      <c r="Z138" s="1537">
        <f t="shared" si="111"/>
        <v>0</v>
      </c>
      <c r="AA138" s="1537">
        <f t="shared" si="112"/>
        <v>0</v>
      </c>
      <c r="AB138" s="1537">
        <f t="shared" si="113"/>
        <v>0</v>
      </c>
      <c r="AC138" s="1537">
        <f t="shared" si="114"/>
        <v>0</v>
      </c>
      <c r="AD138" s="1537">
        <f t="shared" si="115"/>
        <v>0</v>
      </c>
      <c r="AE138" s="1537">
        <f t="shared" si="116"/>
        <v>0</v>
      </c>
      <c r="AF138" s="1536">
        <f t="shared" si="117"/>
        <v>0</v>
      </c>
      <c r="AG138" s="1555"/>
      <c r="AH138" s="1537">
        <f t="shared" si="118"/>
        <v>104089.03333333333</v>
      </c>
      <c r="AI138" s="1537">
        <f t="shared" si="119"/>
        <v>1000</v>
      </c>
      <c r="AJ138" s="1537">
        <f t="shared" si="120"/>
        <v>1000</v>
      </c>
      <c r="AK138" s="1537">
        <f t="shared" si="121"/>
        <v>1000</v>
      </c>
      <c r="AL138" s="1537">
        <f t="shared" si="122"/>
        <v>1000</v>
      </c>
      <c r="AM138" s="1537">
        <f t="shared" si="123"/>
        <v>1000</v>
      </c>
      <c r="AN138" s="1537">
        <f t="shared" si="124"/>
        <v>1000</v>
      </c>
      <c r="AO138" s="1537">
        <f t="shared" si="125"/>
        <v>1000</v>
      </c>
      <c r="AP138" s="1537">
        <f t="shared" si="126"/>
        <v>1000</v>
      </c>
      <c r="AQ138" s="1537">
        <f t="shared" si="127"/>
        <v>1000</v>
      </c>
      <c r="AR138" s="1537">
        <f t="shared" si="128"/>
        <v>1000</v>
      </c>
    </row>
    <row r="139" spans="2:44" x14ac:dyDescent="0.3">
      <c r="C139" s="1566" t="s">
        <v>3098</v>
      </c>
      <c r="D139" s="1563" t="s">
        <v>3340</v>
      </c>
      <c r="E139" s="1556">
        <v>5</v>
      </c>
      <c r="F139" s="1518">
        <f t="shared" si="98"/>
        <v>1</v>
      </c>
      <c r="G139" s="1532">
        <f t="shared" si="99"/>
        <v>0</v>
      </c>
      <c r="H139" s="1533">
        <f t="shared" si="100"/>
        <v>0</v>
      </c>
      <c r="I139" s="1534">
        <f t="shared" si="101"/>
        <v>0.2</v>
      </c>
      <c r="J139" s="1519">
        <v>7000000</v>
      </c>
      <c r="K139" s="1519">
        <v>5133333</v>
      </c>
      <c r="N139" s="1519">
        <f t="shared" si="102"/>
        <v>1866667</v>
      </c>
      <c r="Q139" s="1557">
        <v>1283333</v>
      </c>
      <c r="R139" s="1519">
        <f t="shared" si="103"/>
        <v>7000000</v>
      </c>
      <c r="S139" s="1519">
        <f t="shared" si="104"/>
        <v>583334</v>
      </c>
      <c r="T139" s="1519">
        <f t="shared" si="105"/>
        <v>0</v>
      </c>
      <c r="U139" s="1535">
        <f t="shared" si="106"/>
        <v>116666.66666666666</v>
      </c>
      <c r="V139" s="1537">
        <f t="shared" si="107"/>
        <v>1399999.6666666667</v>
      </c>
      <c r="W139" s="1519">
        <f t="shared" si="108"/>
        <v>465667.33333333337</v>
      </c>
      <c r="X139" s="1537">
        <f t="shared" si="109"/>
        <v>0</v>
      </c>
      <c r="Y139" s="1537">
        <f t="shared" si="110"/>
        <v>0</v>
      </c>
      <c r="Z139" s="1537">
        <f t="shared" si="111"/>
        <v>0</v>
      </c>
      <c r="AA139" s="1537">
        <f t="shared" si="112"/>
        <v>0</v>
      </c>
      <c r="AB139" s="1537">
        <f t="shared" si="113"/>
        <v>0</v>
      </c>
      <c r="AC139" s="1537">
        <f t="shared" si="114"/>
        <v>0</v>
      </c>
      <c r="AD139" s="1537">
        <f t="shared" si="115"/>
        <v>0</v>
      </c>
      <c r="AE139" s="1537">
        <f t="shared" si="116"/>
        <v>0</v>
      </c>
      <c r="AF139" s="1536">
        <f t="shared" si="117"/>
        <v>0</v>
      </c>
      <c r="AG139" s="1555"/>
      <c r="AH139" s="1537">
        <f t="shared" si="118"/>
        <v>466667.33333333337</v>
      </c>
      <c r="AI139" s="1537">
        <f t="shared" si="119"/>
        <v>1000</v>
      </c>
      <c r="AJ139" s="1537">
        <f t="shared" si="120"/>
        <v>1000</v>
      </c>
      <c r="AK139" s="1537">
        <f t="shared" si="121"/>
        <v>1000</v>
      </c>
      <c r="AL139" s="1537">
        <f t="shared" si="122"/>
        <v>1000</v>
      </c>
      <c r="AM139" s="1537">
        <f t="shared" si="123"/>
        <v>1000</v>
      </c>
      <c r="AN139" s="1537">
        <f t="shared" si="124"/>
        <v>1000</v>
      </c>
      <c r="AO139" s="1537">
        <f t="shared" si="125"/>
        <v>1000</v>
      </c>
      <c r="AP139" s="1537">
        <f t="shared" si="126"/>
        <v>1000</v>
      </c>
      <c r="AQ139" s="1537">
        <f t="shared" si="127"/>
        <v>1000</v>
      </c>
      <c r="AR139" s="1537">
        <f t="shared" si="128"/>
        <v>1000</v>
      </c>
    </row>
    <row r="140" spans="2:44" x14ac:dyDescent="0.3">
      <c r="C140" s="1566" t="s">
        <v>3099</v>
      </c>
      <c r="D140" s="1563" t="s">
        <v>3341</v>
      </c>
      <c r="E140" s="1556">
        <v>5</v>
      </c>
      <c r="F140" s="1518">
        <f t="shared" si="98"/>
        <v>1</v>
      </c>
      <c r="G140" s="1532">
        <f t="shared" si="99"/>
        <v>0</v>
      </c>
      <c r="H140" s="1533">
        <f t="shared" si="100"/>
        <v>0</v>
      </c>
      <c r="I140" s="1534">
        <f t="shared" si="101"/>
        <v>0.2</v>
      </c>
      <c r="J140" s="1519">
        <v>1800000</v>
      </c>
      <c r="K140" s="1519">
        <v>1320000</v>
      </c>
      <c r="N140" s="1519">
        <f t="shared" si="102"/>
        <v>480000</v>
      </c>
      <c r="Q140" s="1557">
        <v>330000</v>
      </c>
      <c r="R140" s="1519">
        <f t="shared" si="103"/>
        <v>1800000</v>
      </c>
      <c r="S140" s="1519">
        <f t="shared" si="104"/>
        <v>150000</v>
      </c>
      <c r="T140" s="1519">
        <f t="shared" si="105"/>
        <v>0</v>
      </c>
      <c r="U140" s="1535">
        <f t="shared" si="106"/>
        <v>30000</v>
      </c>
      <c r="V140" s="1537">
        <f t="shared" si="107"/>
        <v>360000</v>
      </c>
      <c r="W140" s="1519">
        <f t="shared" si="108"/>
        <v>119000</v>
      </c>
      <c r="X140" s="1537">
        <f t="shared" si="109"/>
        <v>0</v>
      </c>
      <c r="Y140" s="1537">
        <f t="shared" si="110"/>
        <v>0</v>
      </c>
      <c r="Z140" s="1537">
        <f t="shared" si="111"/>
        <v>0</v>
      </c>
      <c r="AA140" s="1537">
        <f t="shared" si="112"/>
        <v>0</v>
      </c>
      <c r="AB140" s="1537">
        <f t="shared" si="113"/>
        <v>0</v>
      </c>
      <c r="AC140" s="1537">
        <f t="shared" si="114"/>
        <v>0</v>
      </c>
      <c r="AD140" s="1537">
        <f t="shared" si="115"/>
        <v>0</v>
      </c>
      <c r="AE140" s="1537">
        <f t="shared" si="116"/>
        <v>0</v>
      </c>
      <c r="AF140" s="1536">
        <f t="shared" si="117"/>
        <v>0</v>
      </c>
      <c r="AG140" s="1555"/>
      <c r="AH140" s="1537">
        <f t="shared" si="118"/>
        <v>120000</v>
      </c>
      <c r="AI140" s="1537">
        <f t="shared" si="119"/>
        <v>1000</v>
      </c>
      <c r="AJ140" s="1537">
        <f t="shared" si="120"/>
        <v>1000</v>
      </c>
      <c r="AK140" s="1537">
        <f t="shared" si="121"/>
        <v>1000</v>
      </c>
      <c r="AL140" s="1537">
        <f t="shared" si="122"/>
        <v>1000</v>
      </c>
      <c r="AM140" s="1537">
        <f t="shared" si="123"/>
        <v>1000</v>
      </c>
      <c r="AN140" s="1537">
        <f t="shared" si="124"/>
        <v>1000</v>
      </c>
      <c r="AO140" s="1537">
        <f t="shared" si="125"/>
        <v>1000</v>
      </c>
      <c r="AP140" s="1537">
        <f t="shared" si="126"/>
        <v>1000</v>
      </c>
      <c r="AQ140" s="1537">
        <f t="shared" si="127"/>
        <v>1000</v>
      </c>
      <c r="AR140" s="1537">
        <f t="shared" si="128"/>
        <v>1000</v>
      </c>
    </row>
    <row r="141" spans="2:44" x14ac:dyDescent="0.3">
      <c r="C141" s="1566" t="s">
        <v>3100</v>
      </c>
      <c r="D141" s="1563" t="s">
        <v>3342</v>
      </c>
      <c r="E141" s="1556">
        <v>5</v>
      </c>
      <c r="F141" s="1518">
        <f t="shared" si="98"/>
        <v>1</v>
      </c>
      <c r="G141" s="1532">
        <f t="shared" si="99"/>
        <v>0</v>
      </c>
      <c r="H141" s="1533">
        <f t="shared" si="100"/>
        <v>0</v>
      </c>
      <c r="I141" s="1534">
        <f t="shared" si="101"/>
        <v>0.2</v>
      </c>
      <c r="J141" s="1519">
        <v>9800000</v>
      </c>
      <c r="K141" s="1519">
        <v>7023333</v>
      </c>
      <c r="N141" s="1519">
        <f t="shared" si="102"/>
        <v>2776667</v>
      </c>
      <c r="Q141" s="1557">
        <v>1796667</v>
      </c>
      <c r="R141" s="1519">
        <f t="shared" si="103"/>
        <v>9800000</v>
      </c>
      <c r="S141" s="1519">
        <f t="shared" si="104"/>
        <v>980000</v>
      </c>
      <c r="T141" s="1519">
        <f t="shared" si="105"/>
        <v>0</v>
      </c>
      <c r="U141" s="1535">
        <f t="shared" si="106"/>
        <v>163333.33333333334</v>
      </c>
      <c r="V141" s="1537">
        <f t="shared" si="107"/>
        <v>1960000.3333333333</v>
      </c>
      <c r="W141" s="1519">
        <f t="shared" si="108"/>
        <v>815666.66666666663</v>
      </c>
      <c r="X141" s="1537">
        <f t="shared" si="109"/>
        <v>0</v>
      </c>
      <c r="Y141" s="1537">
        <f t="shared" si="110"/>
        <v>0</v>
      </c>
      <c r="Z141" s="1537">
        <f t="shared" si="111"/>
        <v>0</v>
      </c>
      <c r="AA141" s="1537">
        <f t="shared" si="112"/>
        <v>0</v>
      </c>
      <c r="AB141" s="1537">
        <f t="shared" si="113"/>
        <v>0</v>
      </c>
      <c r="AC141" s="1537">
        <f t="shared" si="114"/>
        <v>0</v>
      </c>
      <c r="AD141" s="1537">
        <f t="shared" si="115"/>
        <v>0</v>
      </c>
      <c r="AE141" s="1537">
        <f t="shared" si="116"/>
        <v>0</v>
      </c>
      <c r="AF141" s="1536">
        <f t="shared" si="117"/>
        <v>0</v>
      </c>
      <c r="AG141" s="1555"/>
      <c r="AH141" s="1537">
        <f t="shared" si="118"/>
        <v>816666.66666666663</v>
      </c>
      <c r="AI141" s="1537">
        <f t="shared" si="119"/>
        <v>1000</v>
      </c>
      <c r="AJ141" s="1537">
        <f t="shared" si="120"/>
        <v>1000</v>
      </c>
      <c r="AK141" s="1537">
        <f t="shared" si="121"/>
        <v>1000</v>
      </c>
      <c r="AL141" s="1537">
        <f t="shared" si="122"/>
        <v>1000</v>
      </c>
      <c r="AM141" s="1537">
        <f t="shared" si="123"/>
        <v>1000</v>
      </c>
      <c r="AN141" s="1537">
        <f t="shared" si="124"/>
        <v>1000</v>
      </c>
      <c r="AO141" s="1537">
        <f t="shared" si="125"/>
        <v>1000</v>
      </c>
      <c r="AP141" s="1537">
        <f t="shared" si="126"/>
        <v>1000</v>
      </c>
      <c r="AQ141" s="1537">
        <f t="shared" si="127"/>
        <v>1000</v>
      </c>
      <c r="AR141" s="1537">
        <f t="shared" si="128"/>
        <v>1000</v>
      </c>
    </row>
    <row r="142" spans="2:44" x14ac:dyDescent="0.3">
      <c r="C142" s="1566" t="s">
        <v>3101</v>
      </c>
      <c r="D142" s="1563" t="s">
        <v>3343</v>
      </c>
      <c r="E142" s="1556">
        <v>5</v>
      </c>
      <c r="F142" s="1518">
        <f t="shared" si="98"/>
        <v>1</v>
      </c>
      <c r="G142" s="1532">
        <f t="shared" si="99"/>
        <v>0</v>
      </c>
      <c r="H142" s="1533">
        <f t="shared" si="100"/>
        <v>0</v>
      </c>
      <c r="I142" s="1534">
        <f t="shared" si="101"/>
        <v>0.2</v>
      </c>
      <c r="J142" s="1519">
        <v>4200000</v>
      </c>
      <c r="K142" s="1519">
        <v>3010000</v>
      </c>
      <c r="N142" s="1519">
        <f t="shared" si="102"/>
        <v>1190000</v>
      </c>
      <c r="Q142" s="1557">
        <v>770000</v>
      </c>
      <c r="R142" s="1519">
        <f t="shared" si="103"/>
        <v>4200000</v>
      </c>
      <c r="S142" s="1519">
        <f t="shared" si="104"/>
        <v>420000</v>
      </c>
      <c r="T142" s="1519">
        <f t="shared" si="105"/>
        <v>0</v>
      </c>
      <c r="U142" s="1535">
        <f t="shared" si="106"/>
        <v>70000</v>
      </c>
      <c r="V142" s="1537">
        <f t="shared" si="107"/>
        <v>840000</v>
      </c>
      <c r="W142" s="1519">
        <f t="shared" si="108"/>
        <v>349000</v>
      </c>
      <c r="X142" s="1537">
        <f t="shared" si="109"/>
        <v>0</v>
      </c>
      <c r="Y142" s="1537">
        <f t="shared" si="110"/>
        <v>0</v>
      </c>
      <c r="Z142" s="1537">
        <f t="shared" si="111"/>
        <v>0</v>
      </c>
      <c r="AA142" s="1537">
        <f t="shared" si="112"/>
        <v>0</v>
      </c>
      <c r="AB142" s="1537">
        <f t="shared" si="113"/>
        <v>0</v>
      </c>
      <c r="AC142" s="1537">
        <f t="shared" si="114"/>
        <v>0</v>
      </c>
      <c r="AD142" s="1537">
        <f t="shared" si="115"/>
        <v>0</v>
      </c>
      <c r="AE142" s="1537">
        <f t="shared" si="116"/>
        <v>0</v>
      </c>
      <c r="AF142" s="1536">
        <f t="shared" si="117"/>
        <v>0</v>
      </c>
      <c r="AG142" s="1555"/>
      <c r="AH142" s="1537">
        <f t="shared" si="118"/>
        <v>350000</v>
      </c>
      <c r="AI142" s="1537">
        <f t="shared" si="119"/>
        <v>1000</v>
      </c>
      <c r="AJ142" s="1537">
        <f t="shared" si="120"/>
        <v>1000</v>
      </c>
      <c r="AK142" s="1537">
        <f t="shared" si="121"/>
        <v>1000</v>
      </c>
      <c r="AL142" s="1537">
        <f t="shared" si="122"/>
        <v>1000</v>
      </c>
      <c r="AM142" s="1537">
        <f t="shared" si="123"/>
        <v>1000</v>
      </c>
      <c r="AN142" s="1537">
        <f t="shared" si="124"/>
        <v>1000</v>
      </c>
      <c r="AO142" s="1537">
        <f t="shared" si="125"/>
        <v>1000</v>
      </c>
      <c r="AP142" s="1537">
        <f t="shared" si="126"/>
        <v>1000</v>
      </c>
      <c r="AQ142" s="1537">
        <f t="shared" si="127"/>
        <v>1000</v>
      </c>
      <c r="AR142" s="1537">
        <f t="shared" si="128"/>
        <v>1000</v>
      </c>
    </row>
    <row r="143" spans="2:44" x14ac:dyDescent="0.3">
      <c r="C143" s="1566" t="s">
        <v>3102</v>
      </c>
      <c r="D143" s="1563" t="s">
        <v>3344</v>
      </c>
      <c r="E143" s="1556">
        <v>5</v>
      </c>
      <c r="F143" s="1518">
        <f t="shared" si="98"/>
        <v>1</v>
      </c>
      <c r="G143" s="1532">
        <f t="shared" si="99"/>
        <v>0</v>
      </c>
      <c r="H143" s="1533">
        <f t="shared" si="100"/>
        <v>0</v>
      </c>
      <c r="I143" s="1534">
        <f t="shared" si="101"/>
        <v>0.2</v>
      </c>
      <c r="J143" s="1519">
        <v>1360000</v>
      </c>
      <c r="K143" s="1519">
        <v>952000</v>
      </c>
      <c r="N143" s="1519">
        <f t="shared" si="102"/>
        <v>408000</v>
      </c>
      <c r="Q143" s="1557">
        <v>249333</v>
      </c>
      <c r="R143" s="1519">
        <f t="shared" si="103"/>
        <v>1360000</v>
      </c>
      <c r="S143" s="1519">
        <f t="shared" si="104"/>
        <v>158667</v>
      </c>
      <c r="T143" s="1519">
        <f t="shared" si="105"/>
        <v>0</v>
      </c>
      <c r="U143" s="1535">
        <f t="shared" si="106"/>
        <v>22666.666666666668</v>
      </c>
      <c r="V143" s="1537">
        <f t="shared" si="107"/>
        <v>271999.66666666669</v>
      </c>
      <c r="W143" s="1519">
        <f t="shared" si="108"/>
        <v>135000.33333333334</v>
      </c>
      <c r="X143" s="1537">
        <f t="shared" si="109"/>
        <v>0</v>
      </c>
      <c r="Y143" s="1537">
        <f t="shared" si="110"/>
        <v>0</v>
      </c>
      <c r="Z143" s="1537">
        <f t="shared" si="111"/>
        <v>0</v>
      </c>
      <c r="AA143" s="1537">
        <f t="shared" si="112"/>
        <v>0</v>
      </c>
      <c r="AB143" s="1537">
        <f t="shared" si="113"/>
        <v>0</v>
      </c>
      <c r="AC143" s="1537">
        <f t="shared" si="114"/>
        <v>0</v>
      </c>
      <c r="AD143" s="1537">
        <f t="shared" si="115"/>
        <v>0</v>
      </c>
      <c r="AE143" s="1537">
        <f t="shared" si="116"/>
        <v>0</v>
      </c>
      <c r="AF143" s="1536">
        <f t="shared" si="117"/>
        <v>0</v>
      </c>
      <c r="AG143" s="1555"/>
      <c r="AH143" s="1537">
        <f t="shared" si="118"/>
        <v>136000.33333333334</v>
      </c>
      <c r="AI143" s="1537">
        <f t="shared" si="119"/>
        <v>1000</v>
      </c>
      <c r="AJ143" s="1537">
        <f t="shared" si="120"/>
        <v>1000</v>
      </c>
      <c r="AK143" s="1537">
        <f t="shared" si="121"/>
        <v>1000</v>
      </c>
      <c r="AL143" s="1537">
        <f t="shared" si="122"/>
        <v>1000</v>
      </c>
      <c r="AM143" s="1537">
        <f t="shared" si="123"/>
        <v>1000</v>
      </c>
      <c r="AN143" s="1537">
        <f t="shared" si="124"/>
        <v>1000</v>
      </c>
      <c r="AO143" s="1537">
        <f t="shared" si="125"/>
        <v>1000</v>
      </c>
      <c r="AP143" s="1537">
        <f t="shared" si="126"/>
        <v>1000</v>
      </c>
      <c r="AQ143" s="1537">
        <f t="shared" si="127"/>
        <v>1000</v>
      </c>
      <c r="AR143" s="1537">
        <f t="shared" si="128"/>
        <v>1000</v>
      </c>
    </row>
    <row r="144" spans="2:44" x14ac:dyDescent="0.3">
      <c r="C144" s="1566" t="s">
        <v>3103</v>
      </c>
      <c r="D144" s="1563" t="s">
        <v>3344</v>
      </c>
      <c r="E144" s="1556">
        <v>5</v>
      </c>
      <c r="F144" s="1518">
        <f t="shared" si="98"/>
        <v>1</v>
      </c>
      <c r="G144" s="1532">
        <f t="shared" si="99"/>
        <v>0</v>
      </c>
      <c r="H144" s="1533">
        <f t="shared" si="100"/>
        <v>0</v>
      </c>
      <c r="I144" s="1534">
        <f t="shared" si="101"/>
        <v>0.2</v>
      </c>
      <c r="J144" s="1519">
        <v>1260000</v>
      </c>
      <c r="K144" s="1519">
        <v>882000</v>
      </c>
      <c r="N144" s="1519">
        <f t="shared" si="102"/>
        <v>378000</v>
      </c>
      <c r="Q144" s="1557">
        <v>231000</v>
      </c>
      <c r="R144" s="1519">
        <f t="shared" si="103"/>
        <v>1260000</v>
      </c>
      <c r="S144" s="1519">
        <f t="shared" si="104"/>
        <v>147000</v>
      </c>
      <c r="T144" s="1519">
        <f t="shared" si="105"/>
        <v>0</v>
      </c>
      <c r="U144" s="1535">
        <f t="shared" si="106"/>
        <v>21000</v>
      </c>
      <c r="V144" s="1537">
        <f t="shared" si="107"/>
        <v>252000</v>
      </c>
      <c r="W144" s="1519">
        <f t="shared" si="108"/>
        <v>125000</v>
      </c>
      <c r="X144" s="1537">
        <f t="shared" si="109"/>
        <v>0</v>
      </c>
      <c r="Y144" s="1537">
        <f t="shared" si="110"/>
        <v>0</v>
      </c>
      <c r="Z144" s="1537">
        <f t="shared" si="111"/>
        <v>0</v>
      </c>
      <c r="AA144" s="1537">
        <f t="shared" si="112"/>
        <v>0</v>
      </c>
      <c r="AB144" s="1537">
        <f t="shared" si="113"/>
        <v>0</v>
      </c>
      <c r="AC144" s="1537">
        <f t="shared" si="114"/>
        <v>0</v>
      </c>
      <c r="AD144" s="1537">
        <f t="shared" si="115"/>
        <v>0</v>
      </c>
      <c r="AE144" s="1537">
        <f t="shared" si="116"/>
        <v>0</v>
      </c>
      <c r="AF144" s="1536">
        <f t="shared" si="117"/>
        <v>0</v>
      </c>
      <c r="AG144" s="1555"/>
      <c r="AH144" s="1537">
        <f t="shared" si="118"/>
        <v>126000</v>
      </c>
      <c r="AI144" s="1537">
        <f t="shared" si="119"/>
        <v>1000</v>
      </c>
      <c r="AJ144" s="1537">
        <f t="shared" si="120"/>
        <v>1000</v>
      </c>
      <c r="AK144" s="1537">
        <f t="shared" si="121"/>
        <v>1000</v>
      </c>
      <c r="AL144" s="1537">
        <f t="shared" si="122"/>
        <v>1000</v>
      </c>
      <c r="AM144" s="1537">
        <f t="shared" si="123"/>
        <v>1000</v>
      </c>
      <c r="AN144" s="1537">
        <f t="shared" si="124"/>
        <v>1000</v>
      </c>
      <c r="AO144" s="1537">
        <f t="shared" si="125"/>
        <v>1000</v>
      </c>
      <c r="AP144" s="1537">
        <f t="shared" si="126"/>
        <v>1000</v>
      </c>
      <c r="AQ144" s="1537">
        <f t="shared" si="127"/>
        <v>1000</v>
      </c>
      <c r="AR144" s="1537">
        <f t="shared" si="128"/>
        <v>1000</v>
      </c>
    </row>
    <row r="145" spans="3:44" x14ac:dyDescent="0.3">
      <c r="C145" s="1566" t="s">
        <v>3104</v>
      </c>
      <c r="D145" s="1563" t="s">
        <v>3345</v>
      </c>
      <c r="E145" s="1556">
        <v>5</v>
      </c>
      <c r="F145" s="1518">
        <f t="shared" si="98"/>
        <v>1</v>
      </c>
      <c r="G145" s="1532">
        <f t="shared" si="99"/>
        <v>0</v>
      </c>
      <c r="H145" s="1533">
        <f t="shared" si="100"/>
        <v>0</v>
      </c>
      <c r="I145" s="1534">
        <f t="shared" si="101"/>
        <v>0.2</v>
      </c>
      <c r="J145" s="1519">
        <v>4080000</v>
      </c>
      <c r="K145" s="1519">
        <v>2856000</v>
      </c>
      <c r="N145" s="1519">
        <f t="shared" si="102"/>
        <v>1224000</v>
      </c>
      <c r="Q145" s="1557">
        <v>748000</v>
      </c>
      <c r="R145" s="1519">
        <f t="shared" si="103"/>
        <v>4080000</v>
      </c>
      <c r="S145" s="1519">
        <f t="shared" si="104"/>
        <v>476000</v>
      </c>
      <c r="T145" s="1519">
        <f t="shared" si="105"/>
        <v>0</v>
      </c>
      <c r="U145" s="1535">
        <f t="shared" si="106"/>
        <v>68000</v>
      </c>
      <c r="V145" s="1537">
        <f t="shared" si="107"/>
        <v>816000</v>
      </c>
      <c r="W145" s="1519">
        <f t="shared" si="108"/>
        <v>407000</v>
      </c>
      <c r="X145" s="1537">
        <f t="shared" si="109"/>
        <v>0</v>
      </c>
      <c r="Y145" s="1537">
        <f t="shared" si="110"/>
        <v>0</v>
      </c>
      <c r="Z145" s="1537">
        <f t="shared" si="111"/>
        <v>0</v>
      </c>
      <c r="AA145" s="1537">
        <f t="shared" si="112"/>
        <v>0</v>
      </c>
      <c r="AB145" s="1537">
        <f t="shared" si="113"/>
        <v>0</v>
      </c>
      <c r="AC145" s="1537">
        <f t="shared" si="114"/>
        <v>0</v>
      </c>
      <c r="AD145" s="1537">
        <f t="shared" si="115"/>
        <v>0</v>
      </c>
      <c r="AE145" s="1537">
        <f t="shared" si="116"/>
        <v>0</v>
      </c>
      <c r="AF145" s="1536">
        <f t="shared" si="117"/>
        <v>0</v>
      </c>
      <c r="AG145" s="1555"/>
      <c r="AH145" s="1537">
        <f t="shared" si="118"/>
        <v>408000</v>
      </c>
      <c r="AI145" s="1537">
        <f t="shared" si="119"/>
        <v>1000</v>
      </c>
      <c r="AJ145" s="1537">
        <f t="shared" si="120"/>
        <v>1000</v>
      </c>
      <c r="AK145" s="1537">
        <f t="shared" si="121"/>
        <v>1000</v>
      </c>
      <c r="AL145" s="1537">
        <f t="shared" si="122"/>
        <v>1000</v>
      </c>
      <c r="AM145" s="1537">
        <f t="shared" si="123"/>
        <v>1000</v>
      </c>
      <c r="AN145" s="1537">
        <f t="shared" si="124"/>
        <v>1000</v>
      </c>
      <c r="AO145" s="1537">
        <f t="shared" si="125"/>
        <v>1000</v>
      </c>
      <c r="AP145" s="1537">
        <f t="shared" si="126"/>
        <v>1000</v>
      </c>
      <c r="AQ145" s="1537">
        <f t="shared" si="127"/>
        <v>1000</v>
      </c>
      <c r="AR145" s="1537">
        <f t="shared" si="128"/>
        <v>1000</v>
      </c>
    </row>
    <row r="146" spans="3:44" x14ac:dyDescent="0.3">
      <c r="C146" s="1566" t="s">
        <v>3105</v>
      </c>
      <c r="D146" s="1563" t="s">
        <v>3346</v>
      </c>
      <c r="E146" s="1556">
        <v>5</v>
      </c>
      <c r="F146" s="1518">
        <f t="shared" si="98"/>
        <v>1</v>
      </c>
      <c r="G146" s="1532">
        <f t="shared" si="99"/>
        <v>0</v>
      </c>
      <c r="H146" s="1533">
        <f t="shared" si="100"/>
        <v>0</v>
      </c>
      <c r="I146" s="1534">
        <f t="shared" si="101"/>
        <v>0.2</v>
      </c>
      <c r="J146" s="1519">
        <v>27869600</v>
      </c>
      <c r="K146" s="1519">
        <v>19508720</v>
      </c>
      <c r="N146" s="1519">
        <f t="shared" si="102"/>
        <v>8360880</v>
      </c>
      <c r="Q146" s="1557">
        <v>5109427</v>
      </c>
      <c r="R146" s="1519">
        <f t="shared" si="103"/>
        <v>27869600</v>
      </c>
      <c r="S146" s="1519">
        <f t="shared" si="104"/>
        <v>3251453</v>
      </c>
      <c r="T146" s="1519">
        <f t="shared" si="105"/>
        <v>0</v>
      </c>
      <c r="U146" s="1535">
        <f t="shared" si="106"/>
        <v>464493.33333333331</v>
      </c>
      <c r="V146" s="1537">
        <f t="shared" si="107"/>
        <v>5573920.333333333</v>
      </c>
      <c r="W146" s="1519">
        <f t="shared" si="108"/>
        <v>2785959.6666666665</v>
      </c>
      <c r="X146" s="1537">
        <f t="shared" si="109"/>
        <v>0</v>
      </c>
      <c r="Y146" s="1537">
        <f t="shared" si="110"/>
        <v>0</v>
      </c>
      <c r="Z146" s="1537">
        <f t="shared" si="111"/>
        <v>0</v>
      </c>
      <c r="AA146" s="1537">
        <f t="shared" si="112"/>
        <v>0</v>
      </c>
      <c r="AB146" s="1537">
        <f t="shared" si="113"/>
        <v>0</v>
      </c>
      <c r="AC146" s="1537">
        <f t="shared" si="114"/>
        <v>0</v>
      </c>
      <c r="AD146" s="1537">
        <f t="shared" si="115"/>
        <v>0</v>
      </c>
      <c r="AE146" s="1537">
        <f t="shared" si="116"/>
        <v>0</v>
      </c>
      <c r="AF146" s="1536">
        <f t="shared" si="117"/>
        <v>0</v>
      </c>
      <c r="AG146" s="1555"/>
      <c r="AH146" s="1537">
        <f t="shared" si="118"/>
        <v>2786959.6666666665</v>
      </c>
      <c r="AI146" s="1537">
        <f t="shared" si="119"/>
        <v>1000</v>
      </c>
      <c r="AJ146" s="1537">
        <f t="shared" si="120"/>
        <v>1000</v>
      </c>
      <c r="AK146" s="1537">
        <f t="shared" si="121"/>
        <v>1000</v>
      </c>
      <c r="AL146" s="1537">
        <f t="shared" si="122"/>
        <v>1000</v>
      </c>
      <c r="AM146" s="1537">
        <f t="shared" si="123"/>
        <v>1000</v>
      </c>
      <c r="AN146" s="1537">
        <f t="shared" si="124"/>
        <v>1000</v>
      </c>
      <c r="AO146" s="1537">
        <f t="shared" si="125"/>
        <v>1000</v>
      </c>
      <c r="AP146" s="1537">
        <f t="shared" si="126"/>
        <v>1000</v>
      </c>
      <c r="AQ146" s="1537">
        <f t="shared" si="127"/>
        <v>1000</v>
      </c>
      <c r="AR146" s="1537">
        <f t="shared" si="128"/>
        <v>1000</v>
      </c>
    </row>
    <row r="147" spans="3:44" x14ac:dyDescent="0.3">
      <c r="C147" s="1566" t="s">
        <v>3106</v>
      </c>
      <c r="D147" s="1563" t="s">
        <v>3347</v>
      </c>
      <c r="E147" s="1556">
        <v>5</v>
      </c>
      <c r="F147" s="1518">
        <f t="shared" si="98"/>
        <v>1</v>
      </c>
      <c r="G147" s="1532">
        <f t="shared" si="99"/>
        <v>0</v>
      </c>
      <c r="H147" s="1533">
        <f t="shared" si="100"/>
        <v>0</v>
      </c>
      <c r="I147" s="1534">
        <f t="shared" si="101"/>
        <v>0.2</v>
      </c>
      <c r="J147" s="1519">
        <v>1360000</v>
      </c>
      <c r="K147" s="1519">
        <v>952000</v>
      </c>
      <c r="N147" s="1519">
        <f t="shared" si="102"/>
        <v>408000</v>
      </c>
      <c r="Q147" s="1557">
        <v>249333</v>
      </c>
      <c r="R147" s="1519">
        <f t="shared" si="103"/>
        <v>1360000</v>
      </c>
      <c r="S147" s="1519">
        <f t="shared" si="104"/>
        <v>158667</v>
      </c>
      <c r="T147" s="1519">
        <f t="shared" si="105"/>
        <v>0</v>
      </c>
      <c r="U147" s="1535">
        <f t="shared" si="106"/>
        <v>22666.666666666668</v>
      </c>
      <c r="V147" s="1537">
        <f t="shared" si="107"/>
        <v>271999.66666666669</v>
      </c>
      <c r="W147" s="1519">
        <f t="shared" si="108"/>
        <v>135000.33333333334</v>
      </c>
      <c r="X147" s="1537">
        <f t="shared" si="109"/>
        <v>0</v>
      </c>
      <c r="Y147" s="1537">
        <f t="shared" si="110"/>
        <v>0</v>
      </c>
      <c r="Z147" s="1537">
        <f t="shared" si="111"/>
        <v>0</v>
      </c>
      <c r="AA147" s="1537">
        <f t="shared" si="112"/>
        <v>0</v>
      </c>
      <c r="AB147" s="1537">
        <f t="shared" si="113"/>
        <v>0</v>
      </c>
      <c r="AC147" s="1537">
        <f t="shared" si="114"/>
        <v>0</v>
      </c>
      <c r="AD147" s="1537">
        <f t="shared" si="115"/>
        <v>0</v>
      </c>
      <c r="AE147" s="1537">
        <f t="shared" si="116"/>
        <v>0</v>
      </c>
      <c r="AF147" s="1536">
        <f t="shared" si="117"/>
        <v>0</v>
      </c>
      <c r="AG147" s="1555"/>
      <c r="AH147" s="1537">
        <f t="shared" si="118"/>
        <v>136000.33333333334</v>
      </c>
      <c r="AI147" s="1537">
        <f t="shared" si="119"/>
        <v>1000</v>
      </c>
      <c r="AJ147" s="1537">
        <f t="shared" si="120"/>
        <v>1000</v>
      </c>
      <c r="AK147" s="1537">
        <f t="shared" si="121"/>
        <v>1000</v>
      </c>
      <c r="AL147" s="1537">
        <f t="shared" si="122"/>
        <v>1000</v>
      </c>
      <c r="AM147" s="1537">
        <f t="shared" si="123"/>
        <v>1000</v>
      </c>
      <c r="AN147" s="1537">
        <f t="shared" si="124"/>
        <v>1000</v>
      </c>
      <c r="AO147" s="1537">
        <f t="shared" si="125"/>
        <v>1000</v>
      </c>
      <c r="AP147" s="1537">
        <f t="shared" si="126"/>
        <v>1000</v>
      </c>
      <c r="AQ147" s="1537">
        <f t="shared" si="127"/>
        <v>1000</v>
      </c>
      <c r="AR147" s="1537">
        <f t="shared" si="128"/>
        <v>1000</v>
      </c>
    </row>
    <row r="148" spans="3:44" x14ac:dyDescent="0.3">
      <c r="C148" s="1566" t="s">
        <v>3107</v>
      </c>
      <c r="D148" s="1563" t="s">
        <v>3348</v>
      </c>
      <c r="E148" s="1556">
        <v>5</v>
      </c>
      <c r="F148" s="1518">
        <f t="shared" si="98"/>
        <v>1</v>
      </c>
      <c r="G148" s="1532">
        <f t="shared" si="99"/>
        <v>0</v>
      </c>
      <c r="H148" s="1533">
        <f t="shared" si="100"/>
        <v>0</v>
      </c>
      <c r="I148" s="1534">
        <f t="shared" si="101"/>
        <v>0.2</v>
      </c>
      <c r="J148" s="1519">
        <v>14960000</v>
      </c>
      <c r="K148" s="1519">
        <v>10472000</v>
      </c>
      <c r="N148" s="1519">
        <f t="shared" si="102"/>
        <v>4488000</v>
      </c>
      <c r="Q148" s="1557">
        <v>2742667</v>
      </c>
      <c r="R148" s="1519">
        <f t="shared" si="103"/>
        <v>14960000</v>
      </c>
      <c r="S148" s="1519">
        <f t="shared" si="104"/>
        <v>1745333</v>
      </c>
      <c r="T148" s="1519">
        <f t="shared" si="105"/>
        <v>0</v>
      </c>
      <c r="U148" s="1535">
        <f t="shared" si="106"/>
        <v>249333.33333333331</v>
      </c>
      <c r="V148" s="1537">
        <f t="shared" si="107"/>
        <v>2992000.3333333335</v>
      </c>
      <c r="W148" s="1519">
        <f t="shared" si="108"/>
        <v>1494999.6666666667</v>
      </c>
      <c r="X148" s="1537">
        <f t="shared" si="109"/>
        <v>0</v>
      </c>
      <c r="Y148" s="1537">
        <f t="shared" si="110"/>
        <v>0</v>
      </c>
      <c r="Z148" s="1537">
        <f t="shared" si="111"/>
        <v>0</v>
      </c>
      <c r="AA148" s="1537">
        <f t="shared" si="112"/>
        <v>0</v>
      </c>
      <c r="AB148" s="1537">
        <f t="shared" si="113"/>
        <v>0</v>
      </c>
      <c r="AC148" s="1537">
        <f t="shared" si="114"/>
        <v>0</v>
      </c>
      <c r="AD148" s="1537">
        <f t="shared" si="115"/>
        <v>0</v>
      </c>
      <c r="AE148" s="1537">
        <f t="shared" si="116"/>
        <v>0</v>
      </c>
      <c r="AF148" s="1536">
        <f t="shared" si="117"/>
        <v>0</v>
      </c>
      <c r="AG148" s="1555"/>
      <c r="AH148" s="1537">
        <f t="shared" si="118"/>
        <v>1495999.6666666667</v>
      </c>
      <c r="AI148" s="1537">
        <f t="shared" si="119"/>
        <v>1000</v>
      </c>
      <c r="AJ148" s="1537">
        <f t="shared" si="120"/>
        <v>1000</v>
      </c>
      <c r="AK148" s="1537">
        <f t="shared" si="121"/>
        <v>1000</v>
      </c>
      <c r="AL148" s="1537">
        <f t="shared" si="122"/>
        <v>1000</v>
      </c>
      <c r="AM148" s="1537">
        <f t="shared" si="123"/>
        <v>1000</v>
      </c>
      <c r="AN148" s="1537">
        <f t="shared" si="124"/>
        <v>1000</v>
      </c>
      <c r="AO148" s="1537">
        <f t="shared" si="125"/>
        <v>1000</v>
      </c>
      <c r="AP148" s="1537">
        <f t="shared" si="126"/>
        <v>1000</v>
      </c>
      <c r="AQ148" s="1537">
        <f t="shared" si="127"/>
        <v>1000</v>
      </c>
      <c r="AR148" s="1537">
        <f t="shared" si="128"/>
        <v>1000</v>
      </c>
    </row>
    <row r="149" spans="3:44" x14ac:dyDescent="0.3">
      <c r="C149" s="1566" t="s">
        <v>3108</v>
      </c>
      <c r="D149" s="1563" t="s">
        <v>3349</v>
      </c>
      <c r="E149" s="1556">
        <v>5</v>
      </c>
      <c r="F149" s="1518">
        <f t="shared" si="98"/>
        <v>1</v>
      </c>
      <c r="G149" s="1532">
        <f t="shared" si="99"/>
        <v>0</v>
      </c>
      <c r="H149" s="1533">
        <f t="shared" si="100"/>
        <v>0</v>
      </c>
      <c r="I149" s="1534">
        <f t="shared" si="101"/>
        <v>0.2</v>
      </c>
      <c r="J149" s="1519">
        <v>9541900</v>
      </c>
      <c r="K149" s="1519">
        <v>6679330</v>
      </c>
      <c r="N149" s="1519">
        <f t="shared" si="102"/>
        <v>2862570</v>
      </c>
      <c r="Q149" s="1557">
        <v>1749348</v>
      </c>
      <c r="R149" s="1519">
        <f t="shared" si="103"/>
        <v>9541900</v>
      </c>
      <c r="S149" s="1519">
        <f t="shared" si="104"/>
        <v>1113222</v>
      </c>
      <c r="T149" s="1519">
        <f t="shared" si="105"/>
        <v>0</v>
      </c>
      <c r="U149" s="1535">
        <f t="shared" si="106"/>
        <v>159031.66666666666</v>
      </c>
      <c r="V149" s="1537">
        <f t="shared" si="107"/>
        <v>1908379.6666666667</v>
      </c>
      <c r="W149" s="1519">
        <f t="shared" si="108"/>
        <v>953190.33333333337</v>
      </c>
      <c r="X149" s="1537">
        <f t="shared" si="109"/>
        <v>0</v>
      </c>
      <c r="Y149" s="1537">
        <f t="shared" si="110"/>
        <v>0</v>
      </c>
      <c r="Z149" s="1537">
        <f t="shared" si="111"/>
        <v>0</v>
      </c>
      <c r="AA149" s="1537">
        <f t="shared" si="112"/>
        <v>0</v>
      </c>
      <c r="AB149" s="1537">
        <f t="shared" si="113"/>
        <v>0</v>
      </c>
      <c r="AC149" s="1537">
        <f t="shared" si="114"/>
        <v>0</v>
      </c>
      <c r="AD149" s="1537">
        <f t="shared" si="115"/>
        <v>0</v>
      </c>
      <c r="AE149" s="1537">
        <f t="shared" si="116"/>
        <v>0</v>
      </c>
      <c r="AF149" s="1536">
        <f t="shared" si="117"/>
        <v>0</v>
      </c>
      <c r="AG149" s="1555"/>
      <c r="AH149" s="1537">
        <f t="shared" si="118"/>
        <v>954190.33333333337</v>
      </c>
      <c r="AI149" s="1537">
        <f t="shared" si="119"/>
        <v>1000</v>
      </c>
      <c r="AJ149" s="1537">
        <f t="shared" si="120"/>
        <v>1000</v>
      </c>
      <c r="AK149" s="1537">
        <f t="shared" si="121"/>
        <v>1000</v>
      </c>
      <c r="AL149" s="1537">
        <f t="shared" si="122"/>
        <v>1000</v>
      </c>
      <c r="AM149" s="1537">
        <f t="shared" si="123"/>
        <v>1000</v>
      </c>
      <c r="AN149" s="1537">
        <f t="shared" si="124"/>
        <v>1000</v>
      </c>
      <c r="AO149" s="1537">
        <f t="shared" si="125"/>
        <v>1000</v>
      </c>
      <c r="AP149" s="1537">
        <f t="shared" si="126"/>
        <v>1000</v>
      </c>
      <c r="AQ149" s="1537">
        <f t="shared" si="127"/>
        <v>1000</v>
      </c>
      <c r="AR149" s="1537">
        <f t="shared" si="128"/>
        <v>1000</v>
      </c>
    </row>
    <row r="150" spans="3:44" x14ac:dyDescent="0.3">
      <c r="C150" s="1566" t="s">
        <v>3109</v>
      </c>
      <c r="D150" s="1563" t="s">
        <v>3350</v>
      </c>
      <c r="E150" s="1556">
        <v>5</v>
      </c>
      <c r="F150" s="1518">
        <f t="shared" si="98"/>
        <v>1</v>
      </c>
      <c r="G150" s="1532">
        <f t="shared" si="99"/>
        <v>0</v>
      </c>
      <c r="H150" s="1533">
        <f t="shared" si="100"/>
        <v>0</v>
      </c>
      <c r="I150" s="1534">
        <f t="shared" si="101"/>
        <v>0.2</v>
      </c>
      <c r="J150" s="1519">
        <v>2720000</v>
      </c>
      <c r="K150" s="1519">
        <v>1858667</v>
      </c>
      <c r="N150" s="1519">
        <f t="shared" si="102"/>
        <v>861333</v>
      </c>
      <c r="Q150" s="1557">
        <v>498667</v>
      </c>
      <c r="R150" s="1519">
        <f t="shared" si="103"/>
        <v>2720000</v>
      </c>
      <c r="S150" s="1519">
        <f t="shared" si="104"/>
        <v>362666</v>
      </c>
      <c r="T150" s="1519">
        <f t="shared" si="105"/>
        <v>0</v>
      </c>
      <c r="U150" s="1535">
        <f t="shared" si="106"/>
        <v>45333.333333333336</v>
      </c>
      <c r="V150" s="1537">
        <f t="shared" si="107"/>
        <v>544000.33333333337</v>
      </c>
      <c r="W150" s="1519">
        <f t="shared" si="108"/>
        <v>316332.66666666669</v>
      </c>
      <c r="X150" s="1537">
        <f t="shared" si="109"/>
        <v>0</v>
      </c>
      <c r="Y150" s="1537">
        <f t="shared" si="110"/>
        <v>0</v>
      </c>
      <c r="Z150" s="1537">
        <f t="shared" si="111"/>
        <v>0</v>
      </c>
      <c r="AA150" s="1537">
        <f t="shared" si="112"/>
        <v>0</v>
      </c>
      <c r="AB150" s="1537">
        <f t="shared" si="113"/>
        <v>0</v>
      </c>
      <c r="AC150" s="1537">
        <f t="shared" si="114"/>
        <v>0</v>
      </c>
      <c r="AD150" s="1537">
        <f t="shared" si="115"/>
        <v>0</v>
      </c>
      <c r="AE150" s="1537">
        <f t="shared" si="116"/>
        <v>0</v>
      </c>
      <c r="AF150" s="1536">
        <f t="shared" si="117"/>
        <v>0</v>
      </c>
      <c r="AG150" s="1555"/>
      <c r="AH150" s="1537">
        <f t="shared" si="118"/>
        <v>317332.66666666669</v>
      </c>
      <c r="AI150" s="1537">
        <f t="shared" si="119"/>
        <v>1000</v>
      </c>
      <c r="AJ150" s="1537">
        <f t="shared" si="120"/>
        <v>1000</v>
      </c>
      <c r="AK150" s="1537">
        <f t="shared" si="121"/>
        <v>1000</v>
      </c>
      <c r="AL150" s="1537">
        <f t="shared" si="122"/>
        <v>1000</v>
      </c>
      <c r="AM150" s="1537">
        <f t="shared" si="123"/>
        <v>1000</v>
      </c>
      <c r="AN150" s="1537">
        <f t="shared" si="124"/>
        <v>1000</v>
      </c>
      <c r="AO150" s="1537">
        <f t="shared" si="125"/>
        <v>1000</v>
      </c>
      <c r="AP150" s="1537">
        <f t="shared" si="126"/>
        <v>1000</v>
      </c>
      <c r="AQ150" s="1537">
        <f t="shared" si="127"/>
        <v>1000</v>
      </c>
      <c r="AR150" s="1537">
        <f t="shared" si="128"/>
        <v>1000</v>
      </c>
    </row>
    <row r="151" spans="3:44" x14ac:dyDescent="0.3">
      <c r="C151" s="1566" t="s">
        <v>3110</v>
      </c>
      <c r="D151" s="1563" t="s">
        <v>3351</v>
      </c>
      <c r="E151" s="1556">
        <v>5</v>
      </c>
      <c r="F151" s="1518">
        <f t="shared" si="98"/>
        <v>1</v>
      </c>
      <c r="G151" s="1532">
        <f t="shared" si="99"/>
        <v>0</v>
      </c>
      <c r="H151" s="1533">
        <f t="shared" si="100"/>
        <v>0</v>
      </c>
      <c r="I151" s="1534">
        <f t="shared" si="101"/>
        <v>0.2</v>
      </c>
      <c r="J151" s="1519">
        <v>7430000</v>
      </c>
      <c r="K151" s="1519">
        <v>5077167</v>
      </c>
      <c r="N151" s="1519">
        <f t="shared" si="102"/>
        <v>2352833</v>
      </c>
      <c r="Q151" s="1557">
        <v>1362167</v>
      </c>
      <c r="R151" s="1519">
        <f t="shared" si="103"/>
        <v>7430000</v>
      </c>
      <c r="S151" s="1519">
        <f t="shared" si="104"/>
        <v>990666</v>
      </c>
      <c r="T151" s="1519">
        <f t="shared" si="105"/>
        <v>0</v>
      </c>
      <c r="U151" s="1535">
        <f t="shared" si="106"/>
        <v>123833.33333333333</v>
      </c>
      <c r="V151" s="1537">
        <f t="shared" si="107"/>
        <v>1486000.3333333333</v>
      </c>
      <c r="W151" s="1519">
        <f t="shared" si="108"/>
        <v>865832.66666666663</v>
      </c>
      <c r="X151" s="1537">
        <f t="shared" si="109"/>
        <v>0</v>
      </c>
      <c r="Y151" s="1537">
        <f t="shared" si="110"/>
        <v>0</v>
      </c>
      <c r="Z151" s="1537">
        <f t="shared" si="111"/>
        <v>0</v>
      </c>
      <c r="AA151" s="1537">
        <f t="shared" si="112"/>
        <v>0</v>
      </c>
      <c r="AB151" s="1537">
        <f t="shared" si="113"/>
        <v>0</v>
      </c>
      <c r="AC151" s="1537">
        <f t="shared" si="114"/>
        <v>0</v>
      </c>
      <c r="AD151" s="1537">
        <f t="shared" si="115"/>
        <v>0</v>
      </c>
      <c r="AE151" s="1537">
        <f t="shared" si="116"/>
        <v>0</v>
      </c>
      <c r="AF151" s="1536">
        <f t="shared" si="117"/>
        <v>0</v>
      </c>
      <c r="AG151" s="1555"/>
      <c r="AH151" s="1537">
        <f t="shared" si="118"/>
        <v>866832.66666666663</v>
      </c>
      <c r="AI151" s="1537">
        <f t="shared" si="119"/>
        <v>1000</v>
      </c>
      <c r="AJ151" s="1537">
        <f t="shared" si="120"/>
        <v>1000</v>
      </c>
      <c r="AK151" s="1537">
        <f t="shared" si="121"/>
        <v>1000</v>
      </c>
      <c r="AL151" s="1537">
        <f t="shared" si="122"/>
        <v>1000</v>
      </c>
      <c r="AM151" s="1537">
        <f t="shared" si="123"/>
        <v>1000</v>
      </c>
      <c r="AN151" s="1537">
        <f t="shared" si="124"/>
        <v>1000</v>
      </c>
      <c r="AO151" s="1537">
        <f t="shared" si="125"/>
        <v>1000</v>
      </c>
      <c r="AP151" s="1537">
        <f t="shared" si="126"/>
        <v>1000</v>
      </c>
      <c r="AQ151" s="1537">
        <f t="shared" si="127"/>
        <v>1000</v>
      </c>
      <c r="AR151" s="1537">
        <f t="shared" si="128"/>
        <v>1000</v>
      </c>
    </row>
    <row r="152" spans="3:44" x14ac:dyDescent="0.3">
      <c r="C152" s="1566" t="s">
        <v>3111</v>
      </c>
      <c r="D152" s="1563" t="s">
        <v>3352</v>
      </c>
      <c r="E152" s="1556">
        <v>5</v>
      </c>
      <c r="F152" s="1518">
        <f t="shared" si="98"/>
        <v>1</v>
      </c>
      <c r="G152" s="1532">
        <f t="shared" si="99"/>
        <v>0</v>
      </c>
      <c r="H152" s="1533">
        <f t="shared" si="100"/>
        <v>0</v>
      </c>
      <c r="I152" s="1534">
        <f t="shared" si="101"/>
        <v>0.2</v>
      </c>
      <c r="J152" s="1519">
        <v>2300000</v>
      </c>
      <c r="K152" s="1519">
        <v>1571667</v>
      </c>
      <c r="N152" s="1519">
        <f t="shared" si="102"/>
        <v>728333</v>
      </c>
      <c r="Q152" s="1557">
        <v>421667</v>
      </c>
      <c r="R152" s="1519">
        <f t="shared" si="103"/>
        <v>2300000</v>
      </c>
      <c r="S152" s="1519">
        <f t="shared" si="104"/>
        <v>306666</v>
      </c>
      <c r="T152" s="1519">
        <f t="shared" si="105"/>
        <v>0</v>
      </c>
      <c r="U152" s="1535">
        <f t="shared" si="106"/>
        <v>38333.333333333336</v>
      </c>
      <c r="V152" s="1537">
        <f t="shared" si="107"/>
        <v>460000.33333333331</v>
      </c>
      <c r="W152" s="1519">
        <f t="shared" si="108"/>
        <v>267332.66666666669</v>
      </c>
      <c r="X152" s="1537">
        <f t="shared" si="109"/>
        <v>0</v>
      </c>
      <c r="Y152" s="1537">
        <f t="shared" si="110"/>
        <v>0</v>
      </c>
      <c r="Z152" s="1537">
        <f t="shared" si="111"/>
        <v>0</v>
      </c>
      <c r="AA152" s="1537">
        <f t="shared" si="112"/>
        <v>0</v>
      </c>
      <c r="AB152" s="1537">
        <f t="shared" si="113"/>
        <v>0</v>
      </c>
      <c r="AC152" s="1537">
        <f t="shared" si="114"/>
        <v>0</v>
      </c>
      <c r="AD152" s="1537">
        <f t="shared" si="115"/>
        <v>0</v>
      </c>
      <c r="AE152" s="1537">
        <f t="shared" si="116"/>
        <v>0</v>
      </c>
      <c r="AF152" s="1536">
        <f t="shared" si="117"/>
        <v>0</v>
      </c>
      <c r="AG152" s="1555"/>
      <c r="AH152" s="1537">
        <f t="shared" si="118"/>
        <v>268332.66666666669</v>
      </c>
      <c r="AI152" s="1537">
        <f t="shared" si="119"/>
        <v>1000</v>
      </c>
      <c r="AJ152" s="1537">
        <f t="shared" si="120"/>
        <v>1000</v>
      </c>
      <c r="AK152" s="1537">
        <f t="shared" si="121"/>
        <v>1000</v>
      </c>
      <c r="AL152" s="1537">
        <f t="shared" si="122"/>
        <v>1000</v>
      </c>
      <c r="AM152" s="1537">
        <f t="shared" si="123"/>
        <v>1000</v>
      </c>
      <c r="AN152" s="1537">
        <f t="shared" si="124"/>
        <v>1000</v>
      </c>
      <c r="AO152" s="1537">
        <f t="shared" si="125"/>
        <v>1000</v>
      </c>
      <c r="AP152" s="1537">
        <f t="shared" si="126"/>
        <v>1000</v>
      </c>
      <c r="AQ152" s="1537">
        <f t="shared" si="127"/>
        <v>1000</v>
      </c>
      <c r="AR152" s="1537">
        <f t="shared" si="128"/>
        <v>1000</v>
      </c>
    </row>
    <row r="153" spans="3:44" x14ac:dyDescent="0.3">
      <c r="C153" s="1566" t="s">
        <v>3112</v>
      </c>
      <c r="D153" s="1563" t="s">
        <v>3353</v>
      </c>
      <c r="E153" s="1556">
        <v>5</v>
      </c>
      <c r="F153" s="1518">
        <f t="shared" si="98"/>
        <v>1</v>
      </c>
      <c r="G153" s="1532">
        <f t="shared" si="99"/>
        <v>0</v>
      </c>
      <c r="H153" s="1533">
        <f t="shared" si="100"/>
        <v>0</v>
      </c>
      <c r="I153" s="1534">
        <f t="shared" si="101"/>
        <v>0.2</v>
      </c>
      <c r="J153" s="1519">
        <v>1450000</v>
      </c>
      <c r="K153" s="1519">
        <v>990833</v>
      </c>
      <c r="N153" s="1519">
        <f t="shared" si="102"/>
        <v>459167</v>
      </c>
      <c r="Q153" s="1557">
        <v>265833</v>
      </c>
      <c r="R153" s="1519">
        <f t="shared" si="103"/>
        <v>1450000</v>
      </c>
      <c r="S153" s="1519">
        <f t="shared" si="104"/>
        <v>193334</v>
      </c>
      <c r="T153" s="1519">
        <f t="shared" si="105"/>
        <v>0</v>
      </c>
      <c r="U153" s="1535">
        <f t="shared" si="106"/>
        <v>24166.666666666668</v>
      </c>
      <c r="V153" s="1537">
        <f t="shared" si="107"/>
        <v>289999.66666666669</v>
      </c>
      <c r="W153" s="1519">
        <f t="shared" si="108"/>
        <v>168167.33333333334</v>
      </c>
      <c r="X153" s="1537">
        <f t="shared" si="109"/>
        <v>0</v>
      </c>
      <c r="Y153" s="1537">
        <f t="shared" si="110"/>
        <v>0</v>
      </c>
      <c r="Z153" s="1537">
        <f t="shared" si="111"/>
        <v>0</v>
      </c>
      <c r="AA153" s="1537">
        <f t="shared" si="112"/>
        <v>0</v>
      </c>
      <c r="AB153" s="1537">
        <f t="shared" si="113"/>
        <v>0</v>
      </c>
      <c r="AC153" s="1537">
        <f t="shared" si="114"/>
        <v>0</v>
      </c>
      <c r="AD153" s="1537">
        <f t="shared" si="115"/>
        <v>0</v>
      </c>
      <c r="AE153" s="1537">
        <f t="shared" si="116"/>
        <v>0</v>
      </c>
      <c r="AF153" s="1536">
        <f t="shared" si="117"/>
        <v>0</v>
      </c>
      <c r="AG153" s="1555"/>
      <c r="AH153" s="1537">
        <f t="shared" si="118"/>
        <v>169167.33333333334</v>
      </c>
      <c r="AI153" s="1537">
        <f t="shared" si="119"/>
        <v>1000</v>
      </c>
      <c r="AJ153" s="1537">
        <f t="shared" si="120"/>
        <v>1000</v>
      </c>
      <c r="AK153" s="1537">
        <f t="shared" si="121"/>
        <v>1000</v>
      </c>
      <c r="AL153" s="1537">
        <f t="shared" si="122"/>
        <v>1000</v>
      </c>
      <c r="AM153" s="1537">
        <f t="shared" si="123"/>
        <v>1000</v>
      </c>
      <c r="AN153" s="1537">
        <f t="shared" si="124"/>
        <v>1000</v>
      </c>
      <c r="AO153" s="1537">
        <f t="shared" si="125"/>
        <v>1000</v>
      </c>
      <c r="AP153" s="1537">
        <f t="shared" si="126"/>
        <v>1000</v>
      </c>
      <c r="AQ153" s="1537">
        <f t="shared" si="127"/>
        <v>1000</v>
      </c>
      <c r="AR153" s="1537">
        <f t="shared" si="128"/>
        <v>1000</v>
      </c>
    </row>
    <row r="154" spans="3:44" x14ac:dyDescent="0.3">
      <c r="C154" s="1566" t="s">
        <v>3113</v>
      </c>
      <c r="D154" s="1563" t="s">
        <v>3354</v>
      </c>
      <c r="E154" s="1556">
        <v>5</v>
      </c>
      <c r="F154" s="1518">
        <f t="shared" si="98"/>
        <v>1</v>
      </c>
      <c r="G154" s="1532">
        <f t="shared" si="99"/>
        <v>0</v>
      </c>
      <c r="H154" s="1533">
        <f t="shared" si="100"/>
        <v>0</v>
      </c>
      <c r="I154" s="1534">
        <f t="shared" si="101"/>
        <v>0.2</v>
      </c>
      <c r="J154" s="1519">
        <v>1400000</v>
      </c>
      <c r="K154" s="1519">
        <v>956667</v>
      </c>
      <c r="N154" s="1519">
        <f t="shared" si="102"/>
        <v>443333</v>
      </c>
      <c r="Q154" s="1557">
        <v>256667</v>
      </c>
      <c r="R154" s="1519">
        <f t="shared" si="103"/>
        <v>1400000</v>
      </c>
      <c r="S154" s="1519">
        <f t="shared" si="104"/>
        <v>186666</v>
      </c>
      <c r="T154" s="1519">
        <f t="shared" si="105"/>
        <v>0</v>
      </c>
      <c r="U154" s="1535">
        <f t="shared" si="106"/>
        <v>23333.333333333332</v>
      </c>
      <c r="V154" s="1537">
        <f t="shared" si="107"/>
        <v>280000.33333333331</v>
      </c>
      <c r="W154" s="1519">
        <f t="shared" si="108"/>
        <v>162332.66666666666</v>
      </c>
      <c r="X154" s="1537">
        <f t="shared" si="109"/>
        <v>0</v>
      </c>
      <c r="Y154" s="1537">
        <f t="shared" si="110"/>
        <v>0</v>
      </c>
      <c r="Z154" s="1537">
        <f t="shared" si="111"/>
        <v>0</v>
      </c>
      <c r="AA154" s="1537">
        <f t="shared" si="112"/>
        <v>0</v>
      </c>
      <c r="AB154" s="1537">
        <f t="shared" si="113"/>
        <v>0</v>
      </c>
      <c r="AC154" s="1537">
        <f t="shared" si="114"/>
        <v>0</v>
      </c>
      <c r="AD154" s="1537">
        <f t="shared" si="115"/>
        <v>0</v>
      </c>
      <c r="AE154" s="1537">
        <f t="shared" si="116"/>
        <v>0</v>
      </c>
      <c r="AF154" s="1536">
        <f t="shared" si="117"/>
        <v>0</v>
      </c>
      <c r="AG154" s="1555"/>
      <c r="AH154" s="1537">
        <f t="shared" si="118"/>
        <v>163332.66666666666</v>
      </c>
      <c r="AI154" s="1537">
        <f t="shared" si="119"/>
        <v>1000</v>
      </c>
      <c r="AJ154" s="1537">
        <f t="shared" si="120"/>
        <v>1000</v>
      </c>
      <c r="AK154" s="1537">
        <f t="shared" si="121"/>
        <v>1000</v>
      </c>
      <c r="AL154" s="1537">
        <f t="shared" si="122"/>
        <v>1000</v>
      </c>
      <c r="AM154" s="1537">
        <f t="shared" si="123"/>
        <v>1000</v>
      </c>
      <c r="AN154" s="1537">
        <f t="shared" si="124"/>
        <v>1000</v>
      </c>
      <c r="AO154" s="1537">
        <f t="shared" si="125"/>
        <v>1000</v>
      </c>
      <c r="AP154" s="1537">
        <f t="shared" si="126"/>
        <v>1000</v>
      </c>
      <c r="AQ154" s="1537">
        <f t="shared" si="127"/>
        <v>1000</v>
      </c>
      <c r="AR154" s="1537">
        <f t="shared" si="128"/>
        <v>1000</v>
      </c>
    </row>
    <row r="155" spans="3:44" x14ac:dyDescent="0.3">
      <c r="C155" s="1566" t="s">
        <v>3114</v>
      </c>
      <c r="D155" s="1563" t="s">
        <v>3355</v>
      </c>
      <c r="E155" s="1556">
        <v>5</v>
      </c>
      <c r="F155" s="1518">
        <f t="shared" si="98"/>
        <v>1</v>
      </c>
      <c r="G155" s="1532">
        <f t="shared" si="99"/>
        <v>0</v>
      </c>
      <c r="H155" s="1533">
        <f t="shared" si="100"/>
        <v>0</v>
      </c>
      <c r="I155" s="1534">
        <f t="shared" si="101"/>
        <v>0.2</v>
      </c>
      <c r="J155" s="1519">
        <v>1800000</v>
      </c>
      <c r="K155" s="1519">
        <v>1230000</v>
      </c>
      <c r="N155" s="1519">
        <f t="shared" si="102"/>
        <v>570000</v>
      </c>
      <c r="Q155" s="1557">
        <v>330000</v>
      </c>
      <c r="R155" s="1519">
        <f t="shared" si="103"/>
        <v>1800000</v>
      </c>
      <c r="S155" s="1519">
        <f t="shared" si="104"/>
        <v>240000</v>
      </c>
      <c r="T155" s="1519">
        <f t="shared" si="105"/>
        <v>0</v>
      </c>
      <c r="U155" s="1535">
        <f t="shared" si="106"/>
        <v>30000</v>
      </c>
      <c r="V155" s="1537">
        <f t="shared" si="107"/>
        <v>360000</v>
      </c>
      <c r="W155" s="1519">
        <f t="shared" si="108"/>
        <v>209000</v>
      </c>
      <c r="X155" s="1537">
        <f t="shared" si="109"/>
        <v>0</v>
      </c>
      <c r="Y155" s="1537">
        <f t="shared" si="110"/>
        <v>0</v>
      </c>
      <c r="Z155" s="1537">
        <f t="shared" si="111"/>
        <v>0</v>
      </c>
      <c r="AA155" s="1537">
        <f t="shared" si="112"/>
        <v>0</v>
      </c>
      <c r="AB155" s="1537">
        <f t="shared" si="113"/>
        <v>0</v>
      </c>
      <c r="AC155" s="1537">
        <f t="shared" si="114"/>
        <v>0</v>
      </c>
      <c r="AD155" s="1537">
        <f t="shared" si="115"/>
        <v>0</v>
      </c>
      <c r="AE155" s="1537">
        <f t="shared" si="116"/>
        <v>0</v>
      </c>
      <c r="AF155" s="1536">
        <f t="shared" si="117"/>
        <v>0</v>
      </c>
      <c r="AG155" s="1555"/>
      <c r="AH155" s="1537">
        <f t="shared" si="118"/>
        <v>210000</v>
      </c>
      <c r="AI155" s="1537">
        <f t="shared" si="119"/>
        <v>1000</v>
      </c>
      <c r="AJ155" s="1537">
        <f t="shared" si="120"/>
        <v>1000</v>
      </c>
      <c r="AK155" s="1537">
        <f t="shared" si="121"/>
        <v>1000</v>
      </c>
      <c r="AL155" s="1537">
        <f t="shared" si="122"/>
        <v>1000</v>
      </c>
      <c r="AM155" s="1537">
        <f t="shared" si="123"/>
        <v>1000</v>
      </c>
      <c r="AN155" s="1537">
        <f t="shared" si="124"/>
        <v>1000</v>
      </c>
      <c r="AO155" s="1537">
        <f t="shared" si="125"/>
        <v>1000</v>
      </c>
      <c r="AP155" s="1537">
        <f t="shared" si="126"/>
        <v>1000</v>
      </c>
      <c r="AQ155" s="1537">
        <f t="shared" si="127"/>
        <v>1000</v>
      </c>
      <c r="AR155" s="1537">
        <f t="shared" si="128"/>
        <v>1000</v>
      </c>
    </row>
    <row r="156" spans="3:44" x14ac:dyDescent="0.3">
      <c r="C156" s="1566" t="s">
        <v>3115</v>
      </c>
      <c r="D156" s="1563" t="s">
        <v>3355</v>
      </c>
      <c r="E156" s="1556">
        <v>5</v>
      </c>
      <c r="F156" s="1518">
        <f t="shared" ref="F156:F219" si="130">E156-(YEAR($E$4)-YEAR(D156))</f>
        <v>1</v>
      </c>
      <c r="G156" s="1532">
        <f t="shared" ref="G156:G219" si="131">IF(YEAR(D156)=YEAR($E$4),IF($E$2=$E$4,0,IF(D156&lt;$E$4,$E$2-$E$4,$E$2-D156)),$E$2-$E$4)</f>
        <v>0</v>
      </c>
      <c r="H156" s="1533">
        <f t="shared" ref="H156:H219" si="132">IF(YEAR(D156)=YEAR($E$4),G156/365,IF($E$2=$E$4,G156/365,($E$2-$E$4)/365))</f>
        <v>0</v>
      </c>
      <c r="I156" s="1534">
        <f t="shared" ref="I156:I219" si="133">1/E156</f>
        <v>0.2</v>
      </c>
      <c r="J156" s="1519">
        <v>1480000</v>
      </c>
      <c r="K156" s="1519">
        <v>1011333</v>
      </c>
      <c r="N156" s="1519">
        <f t="shared" ref="N156:N219" si="134">ROUND(J156-K156-L156+M156,)</f>
        <v>468667</v>
      </c>
      <c r="Q156" s="1557">
        <v>271333</v>
      </c>
      <c r="R156" s="1519">
        <f t="shared" ref="R156:R219" si="135">J156+O156-P156</f>
        <v>1480000</v>
      </c>
      <c r="S156" s="1519">
        <f t="shared" ref="S156:S219" si="136">ROUND(N156+O156-P156-Q156,)</f>
        <v>197334</v>
      </c>
      <c r="T156" s="1519">
        <f t="shared" ref="T156:T219" si="137">J156-K156-L156+M156+O156-P156-Q156-S156</f>
        <v>0</v>
      </c>
      <c r="U156" s="1535">
        <f t="shared" ref="U156:U219" si="138">IF(S156&gt;1000,IF(S156-R156*(1/12)*I156&gt;1000,R156*(1/12)*I156,S156-1000),)</f>
        <v>24666.666666666668</v>
      </c>
      <c r="V156" s="1537">
        <f t="shared" ref="V156:V219" si="139">Q156+U156</f>
        <v>295999.66666666669</v>
      </c>
      <c r="W156" s="1519">
        <f t="shared" ref="W156:W219" si="140">IF(AH156&gt;1000,IF(AH156-$I156*$R156&gt;1000,$I156*$R156,AH156-1000),)</f>
        <v>171667.33333333334</v>
      </c>
      <c r="X156" s="1537">
        <f t="shared" ref="X156:X219" si="141">IF(AI156&gt;1000,IF(AI156-$I156*$R156&gt;1000,$I156*$R156,AI156-1000),)</f>
        <v>0</v>
      </c>
      <c r="Y156" s="1537">
        <f t="shared" ref="Y156:Y219" si="142">IF(AJ156&gt;1000,IF(AJ156-$I156*$R156&gt;1000,$I156*$R156,AJ156-1000),)</f>
        <v>0</v>
      </c>
      <c r="Z156" s="1537">
        <f t="shared" ref="Z156:Z219" si="143">IF(AK156&gt;1000,IF(AK156-$I156*$R156&gt;1000,$I156*$R156,AK156-1000),)</f>
        <v>0</v>
      </c>
      <c r="AA156" s="1537">
        <f t="shared" ref="AA156:AA219" si="144">IF(AL156&gt;1000,IF(AL156-$I156*$R156&gt;1000,$I156*$R156,AL156-1000),)</f>
        <v>0</v>
      </c>
      <c r="AB156" s="1537">
        <f t="shared" ref="AB156:AB219" si="145">IF(AM156&gt;1000,IF(AM156-$I156*$R156&gt;1000,$I156*$R156,AM156-1000),)</f>
        <v>0</v>
      </c>
      <c r="AC156" s="1537">
        <f t="shared" ref="AC156:AC219" si="146">IF(AN156&gt;1000,IF(AN156-$I156*$R156&gt;1000,$I156*$R156,AN156-1000),)</f>
        <v>0</v>
      </c>
      <c r="AD156" s="1537">
        <f t="shared" ref="AD156:AD219" si="147">IF(AO156&gt;1000,IF(AO156-$I156*$R156&gt;1000,$I156*$R156,AO156-1000),)</f>
        <v>0</v>
      </c>
      <c r="AE156" s="1537">
        <f t="shared" ref="AE156:AE219" si="148">IF(AP156&gt;1000,IF(AP156-$I156*$R156&gt;1000,$I156*$R156,AP156-1000),)</f>
        <v>0</v>
      </c>
      <c r="AF156" s="1536">
        <f t="shared" ref="AF156:AF219" si="149">IF(AQ156&gt;1000,IF(AQ156-$I156*$R156&gt;1000,$I156*$R156,AQ156-1000),)</f>
        <v>0</v>
      </c>
      <c r="AG156" s="1555"/>
      <c r="AH156" s="1537">
        <f t="shared" ref="AH156:AH219" si="150">S156-U156</f>
        <v>172667.33333333334</v>
      </c>
      <c r="AI156" s="1537">
        <f t="shared" ref="AI156:AI219" si="151">AH156-W156</f>
        <v>1000</v>
      </c>
      <c r="AJ156" s="1537">
        <f t="shared" ref="AJ156:AJ219" si="152">AI156-X156</f>
        <v>1000</v>
      </c>
      <c r="AK156" s="1537">
        <f t="shared" ref="AK156:AK219" si="153">AJ156-Y156</f>
        <v>1000</v>
      </c>
      <c r="AL156" s="1537">
        <f t="shared" ref="AL156:AL219" si="154">AK156-Z156</f>
        <v>1000</v>
      </c>
      <c r="AM156" s="1537">
        <f t="shared" ref="AM156:AM219" si="155">AL156-AA156</f>
        <v>1000</v>
      </c>
      <c r="AN156" s="1537">
        <f t="shared" ref="AN156:AN219" si="156">AM156-AB156</f>
        <v>1000</v>
      </c>
      <c r="AO156" s="1537">
        <f t="shared" ref="AO156:AO219" si="157">AN156-AC156</f>
        <v>1000</v>
      </c>
      <c r="AP156" s="1537">
        <f t="shared" ref="AP156:AP219" si="158">AO156-AD156</f>
        <v>1000</v>
      </c>
      <c r="AQ156" s="1537">
        <f t="shared" ref="AQ156:AQ219" si="159">AP156-AE156</f>
        <v>1000</v>
      </c>
      <c r="AR156" s="1537">
        <f t="shared" ref="AR156:AR219" si="160">AQ156-AF156</f>
        <v>1000</v>
      </c>
    </row>
    <row r="157" spans="3:44" x14ac:dyDescent="0.3">
      <c r="C157" s="1566" t="s">
        <v>3116</v>
      </c>
      <c r="D157" s="1563" t="s">
        <v>3356</v>
      </c>
      <c r="E157" s="1556">
        <v>5</v>
      </c>
      <c r="F157" s="1518">
        <f t="shared" si="130"/>
        <v>1</v>
      </c>
      <c r="G157" s="1532">
        <f t="shared" si="131"/>
        <v>0</v>
      </c>
      <c r="H157" s="1533">
        <f t="shared" si="132"/>
        <v>0</v>
      </c>
      <c r="I157" s="1534">
        <f t="shared" si="133"/>
        <v>0.2</v>
      </c>
      <c r="J157" s="1519">
        <v>1060000</v>
      </c>
      <c r="K157" s="1519">
        <v>706667</v>
      </c>
      <c r="N157" s="1519">
        <f t="shared" si="134"/>
        <v>353333</v>
      </c>
      <c r="Q157" s="1557">
        <v>194333</v>
      </c>
      <c r="R157" s="1519">
        <f t="shared" si="135"/>
        <v>1060000</v>
      </c>
      <c r="S157" s="1519">
        <f t="shared" si="136"/>
        <v>159000</v>
      </c>
      <c r="T157" s="1519">
        <f t="shared" si="137"/>
        <v>0</v>
      </c>
      <c r="U157" s="1535">
        <f t="shared" si="138"/>
        <v>17666.666666666668</v>
      </c>
      <c r="V157" s="1537">
        <f t="shared" si="139"/>
        <v>211999.66666666666</v>
      </c>
      <c r="W157" s="1519">
        <f t="shared" si="140"/>
        <v>140333.33333333334</v>
      </c>
      <c r="X157" s="1537">
        <f t="shared" si="141"/>
        <v>0</v>
      </c>
      <c r="Y157" s="1537">
        <f t="shared" si="142"/>
        <v>0</v>
      </c>
      <c r="Z157" s="1537">
        <f t="shared" si="143"/>
        <v>0</v>
      </c>
      <c r="AA157" s="1537">
        <f t="shared" si="144"/>
        <v>0</v>
      </c>
      <c r="AB157" s="1537">
        <f t="shared" si="145"/>
        <v>0</v>
      </c>
      <c r="AC157" s="1537">
        <f t="shared" si="146"/>
        <v>0</v>
      </c>
      <c r="AD157" s="1537">
        <f t="shared" si="147"/>
        <v>0</v>
      </c>
      <c r="AE157" s="1537">
        <f t="shared" si="148"/>
        <v>0</v>
      </c>
      <c r="AF157" s="1536">
        <f t="shared" si="149"/>
        <v>0</v>
      </c>
      <c r="AG157" s="1555"/>
      <c r="AH157" s="1537">
        <f t="shared" si="150"/>
        <v>141333.33333333334</v>
      </c>
      <c r="AI157" s="1537">
        <f t="shared" si="151"/>
        <v>1000</v>
      </c>
      <c r="AJ157" s="1537">
        <f t="shared" si="152"/>
        <v>1000</v>
      </c>
      <c r="AK157" s="1537">
        <f t="shared" si="153"/>
        <v>1000</v>
      </c>
      <c r="AL157" s="1537">
        <f t="shared" si="154"/>
        <v>1000</v>
      </c>
      <c r="AM157" s="1537">
        <f t="shared" si="155"/>
        <v>1000</v>
      </c>
      <c r="AN157" s="1537">
        <f t="shared" si="156"/>
        <v>1000</v>
      </c>
      <c r="AO157" s="1537">
        <f t="shared" si="157"/>
        <v>1000</v>
      </c>
      <c r="AP157" s="1537">
        <f t="shared" si="158"/>
        <v>1000</v>
      </c>
      <c r="AQ157" s="1537">
        <f t="shared" si="159"/>
        <v>1000</v>
      </c>
      <c r="AR157" s="1537">
        <f t="shared" si="160"/>
        <v>1000</v>
      </c>
    </row>
    <row r="158" spans="3:44" x14ac:dyDescent="0.3">
      <c r="C158" s="1566" t="s">
        <v>3117</v>
      </c>
      <c r="D158" s="1563" t="s">
        <v>3357</v>
      </c>
      <c r="E158" s="1556">
        <v>5</v>
      </c>
      <c r="F158" s="1518">
        <f t="shared" si="130"/>
        <v>1</v>
      </c>
      <c r="G158" s="1532">
        <f t="shared" si="131"/>
        <v>0</v>
      </c>
      <c r="H158" s="1533">
        <f t="shared" si="132"/>
        <v>0</v>
      </c>
      <c r="I158" s="1534">
        <f t="shared" si="133"/>
        <v>0.2</v>
      </c>
      <c r="J158" s="1519">
        <v>2600000</v>
      </c>
      <c r="K158" s="1519">
        <v>1733333</v>
      </c>
      <c r="N158" s="1519">
        <f t="shared" si="134"/>
        <v>866667</v>
      </c>
      <c r="Q158" s="1557">
        <v>476667</v>
      </c>
      <c r="R158" s="1519">
        <f t="shared" si="135"/>
        <v>2600000</v>
      </c>
      <c r="S158" s="1519">
        <f t="shared" si="136"/>
        <v>390000</v>
      </c>
      <c r="T158" s="1519">
        <f t="shared" si="137"/>
        <v>0</v>
      </c>
      <c r="U158" s="1535">
        <f t="shared" si="138"/>
        <v>43333.333333333336</v>
      </c>
      <c r="V158" s="1537">
        <f t="shared" si="139"/>
        <v>520000.33333333331</v>
      </c>
      <c r="W158" s="1519">
        <f t="shared" si="140"/>
        <v>345666.66666666669</v>
      </c>
      <c r="X158" s="1537">
        <f t="shared" si="141"/>
        <v>0</v>
      </c>
      <c r="Y158" s="1537">
        <f t="shared" si="142"/>
        <v>0</v>
      </c>
      <c r="Z158" s="1537">
        <f t="shared" si="143"/>
        <v>0</v>
      </c>
      <c r="AA158" s="1537">
        <f t="shared" si="144"/>
        <v>0</v>
      </c>
      <c r="AB158" s="1537">
        <f t="shared" si="145"/>
        <v>0</v>
      </c>
      <c r="AC158" s="1537">
        <f t="shared" si="146"/>
        <v>0</v>
      </c>
      <c r="AD158" s="1537">
        <f t="shared" si="147"/>
        <v>0</v>
      </c>
      <c r="AE158" s="1537">
        <f t="shared" si="148"/>
        <v>0</v>
      </c>
      <c r="AF158" s="1536">
        <f t="shared" si="149"/>
        <v>0</v>
      </c>
      <c r="AG158" s="1555"/>
      <c r="AH158" s="1537">
        <f t="shared" si="150"/>
        <v>346666.66666666669</v>
      </c>
      <c r="AI158" s="1537">
        <f t="shared" si="151"/>
        <v>1000</v>
      </c>
      <c r="AJ158" s="1537">
        <f t="shared" si="152"/>
        <v>1000</v>
      </c>
      <c r="AK158" s="1537">
        <f t="shared" si="153"/>
        <v>1000</v>
      </c>
      <c r="AL158" s="1537">
        <f t="shared" si="154"/>
        <v>1000</v>
      </c>
      <c r="AM158" s="1537">
        <f t="shared" si="155"/>
        <v>1000</v>
      </c>
      <c r="AN158" s="1537">
        <f t="shared" si="156"/>
        <v>1000</v>
      </c>
      <c r="AO158" s="1537">
        <f t="shared" si="157"/>
        <v>1000</v>
      </c>
      <c r="AP158" s="1537">
        <f t="shared" si="158"/>
        <v>1000</v>
      </c>
      <c r="AQ158" s="1537">
        <f t="shared" si="159"/>
        <v>1000</v>
      </c>
      <c r="AR158" s="1537">
        <f t="shared" si="160"/>
        <v>1000</v>
      </c>
    </row>
    <row r="159" spans="3:44" x14ac:dyDescent="0.3">
      <c r="C159" s="1566" t="s">
        <v>3118</v>
      </c>
      <c r="D159" s="1563" t="s">
        <v>3357</v>
      </c>
      <c r="E159" s="1556">
        <v>5</v>
      </c>
      <c r="F159" s="1518">
        <f t="shared" si="130"/>
        <v>1</v>
      </c>
      <c r="G159" s="1532">
        <f t="shared" si="131"/>
        <v>0</v>
      </c>
      <c r="H159" s="1533">
        <f t="shared" si="132"/>
        <v>0</v>
      </c>
      <c r="I159" s="1534">
        <f t="shared" si="133"/>
        <v>0.2</v>
      </c>
      <c r="J159" s="1519">
        <v>1450000</v>
      </c>
      <c r="K159" s="1519">
        <v>966667</v>
      </c>
      <c r="N159" s="1519">
        <f t="shared" si="134"/>
        <v>483333</v>
      </c>
      <c r="Q159" s="1557">
        <v>265833</v>
      </c>
      <c r="R159" s="1519">
        <f t="shared" si="135"/>
        <v>1450000</v>
      </c>
      <c r="S159" s="1519">
        <f t="shared" si="136"/>
        <v>217500</v>
      </c>
      <c r="T159" s="1519">
        <f t="shared" si="137"/>
        <v>0</v>
      </c>
      <c r="U159" s="1535">
        <f t="shared" si="138"/>
        <v>24166.666666666668</v>
      </c>
      <c r="V159" s="1537">
        <f t="shared" si="139"/>
        <v>289999.66666666669</v>
      </c>
      <c r="W159" s="1519">
        <f t="shared" si="140"/>
        <v>192333.33333333334</v>
      </c>
      <c r="X159" s="1537">
        <f t="shared" si="141"/>
        <v>0</v>
      </c>
      <c r="Y159" s="1537">
        <f t="shared" si="142"/>
        <v>0</v>
      </c>
      <c r="Z159" s="1537">
        <f t="shared" si="143"/>
        <v>0</v>
      </c>
      <c r="AA159" s="1537">
        <f t="shared" si="144"/>
        <v>0</v>
      </c>
      <c r="AB159" s="1537">
        <f t="shared" si="145"/>
        <v>0</v>
      </c>
      <c r="AC159" s="1537">
        <f t="shared" si="146"/>
        <v>0</v>
      </c>
      <c r="AD159" s="1537">
        <f t="shared" si="147"/>
        <v>0</v>
      </c>
      <c r="AE159" s="1537">
        <f t="shared" si="148"/>
        <v>0</v>
      </c>
      <c r="AF159" s="1536">
        <f t="shared" si="149"/>
        <v>0</v>
      </c>
      <c r="AG159" s="1555"/>
      <c r="AH159" s="1537">
        <f t="shared" si="150"/>
        <v>193333.33333333334</v>
      </c>
      <c r="AI159" s="1537">
        <f t="shared" si="151"/>
        <v>1000</v>
      </c>
      <c r="AJ159" s="1537">
        <f t="shared" si="152"/>
        <v>1000</v>
      </c>
      <c r="AK159" s="1537">
        <f t="shared" si="153"/>
        <v>1000</v>
      </c>
      <c r="AL159" s="1537">
        <f t="shared" si="154"/>
        <v>1000</v>
      </c>
      <c r="AM159" s="1537">
        <f t="shared" si="155"/>
        <v>1000</v>
      </c>
      <c r="AN159" s="1537">
        <f t="shared" si="156"/>
        <v>1000</v>
      </c>
      <c r="AO159" s="1537">
        <f t="shared" si="157"/>
        <v>1000</v>
      </c>
      <c r="AP159" s="1537">
        <f t="shared" si="158"/>
        <v>1000</v>
      </c>
      <c r="AQ159" s="1537">
        <f t="shared" si="159"/>
        <v>1000</v>
      </c>
      <c r="AR159" s="1537">
        <f t="shared" si="160"/>
        <v>1000</v>
      </c>
    </row>
    <row r="160" spans="3:44" x14ac:dyDescent="0.3">
      <c r="C160" s="1566" t="s">
        <v>3119</v>
      </c>
      <c r="D160" s="1563" t="s">
        <v>3357</v>
      </c>
      <c r="E160" s="1556">
        <v>5</v>
      </c>
      <c r="F160" s="1518">
        <f t="shared" si="130"/>
        <v>1</v>
      </c>
      <c r="G160" s="1532">
        <f t="shared" si="131"/>
        <v>0</v>
      </c>
      <c r="H160" s="1533">
        <f t="shared" si="132"/>
        <v>0</v>
      </c>
      <c r="I160" s="1534">
        <f t="shared" si="133"/>
        <v>0.2</v>
      </c>
      <c r="J160" s="1519">
        <v>1020000</v>
      </c>
      <c r="K160" s="1519">
        <v>680000</v>
      </c>
      <c r="N160" s="1519">
        <f t="shared" si="134"/>
        <v>340000</v>
      </c>
      <c r="Q160" s="1557">
        <v>187000</v>
      </c>
      <c r="R160" s="1519">
        <f t="shared" si="135"/>
        <v>1020000</v>
      </c>
      <c r="S160" s="1519">
        <f t="shared" si="136"/>
        <v>153000</v>
      </c>
      <c r="T160" s="1519">
        <f t="shared" si="137"/>
        <v>0</v>
      </c>
      <c r="U160" s="1535">
        <f t="shared" si="138"/>
        <v>17000</v>
      </c>
      <c r="V160" s="1537">
        <f t="shared" si="139"/>
        <v>204000</v>
      </c>
      <c r="W160" s="1519">
        <f t="shared" si="140"/>
        <v>135000</v>
      </c>
      <c r="X160" s="1537">
        <f t="shared" si="141"/>
        <v>0</v>
      </c>
      <c r="Y160" s="1537">
        <f t="shared" si="142"/>
        <v>0</v>
      </c>
      <c r="Z160" s="1537">
        <f t="shared" si="143"/>
        <v>0</v>
      </c>
      <c r="AA160" s="1537">
        <f t="shared" si="144"/>
        <v>0</v>
      </c>
      <c r="AB160" s="1537">
        <f t="shared" si="145"/>
        <v>0</v>
      </c>
      <c r="AC160" s="1537">
        <f t="shared" si="146"/>
        <v>0</v>
      </c>
      <c r="AD160" s="1537">
        <f t="shared" si="147"/>
        <v>0</v>
      </c>
      <c r="AE160" s="1537">
        <f t="shared" si="148"/>
        <v>0</v>
      </c>
      <c r="AF160" s="1536">
        <f t="shared" si="149"/>
        <v>0</v>
      </c>
      <c r="AG160" s="1555"/>
      <c r="AH160" s="1537">
        <f t="shared" si="150"/>
        <v>136000</v>
      </c>
      <c r="AI160" s="1537">
        <f t="shared" si="151"/>
        <v>1000</v>
      </c>
      <c r="AJ160" s="1537">
        <f t="shared" si="152"/>
        <v>1000</v>
      </c>
      <c r="AK160" s="1537">
        <f t="shared" si="153"/>
        <v>1000</v>
      </c>
      <c r="AL160" s="1537">
        <f t="shared" si="154"/>
        <v>1000</v>
      </c>
      <c r="AM160" s="1537">
        <f t="shared" si="155"/>
        <v>1000</v>
      </c>
      <c r="AN160" s="1537">
        <f t="shared" si="156"/>
        <v>1000</v>
      </c>
      <c r="AO160" s="1537">
        <f t="shared" si="157"/>
        <v>1000</v>
      </c>
      <c r="AP160" s="1537">
        <f t="shared" si="158"/>
        <v>1000</v>
      </c>
      <c r="AQ160" s="1537">
        <f t="shared" si="159"/>
        <v>1000</v>
      </c>
      <c r="AR160" s="1537">
        <f t="shared" si="160"/>
        <v>1000</v>
      </c>
    </row>
    <row r="161" spans="3:44" x14ac:dyDescent="0.3">
      <c r="C161" s="1566" t="s">
        <v>3120</v>
      </c>
      <c r="D161" s="1563" t="s">
        <v>3358</v>
      </c>
      <c r="E161" s="1556">
        <v>5</v>
      </c>
      <c r="F161" s="1518">
        <f t="shared" si="130"/>
        <v>1</v>
      </c>
      <c r="G161" s="1532">
        <f t="shared" si="131"/>
        <v>0</v>
      </c>
      <c r="H161" s="1533">
        <f t="shared" si="132"/>
        <v>0</v>
      </c>
      <c r="I161" s="1534">
        <f t="shared" si="133"/>
        <v>0.2</v>
      </c>
      <c r="J161" s="1519">
        <v>2820000</v>
      </c>
      <c r="K161" s="1519">
        <v>1880000</v>
      </c>
      <c r="N161" s="1519">
        <f t="shared" si="134"/>
        <v>940000</v>
      </c>
      <c r="Q161" s="1557">
        <v>517000</v>
      </c>
      <c r="R161" s="1519">
        <f t="shared" si="135"/>
        <v>2820000</v>
      </c>
      <c r="S161" s="1519">
        <f t="shared" si="136"/>
        <v>423000</v>
      </c>
      <c r="T161" s="1519">
        <f t="shared" si="137"/>
        <v>0</v>
      </c>
      <c r="U161" s="1535">
        <f t="shared" si="138"/>
        <v>47000</v>
      </c>
      <c r="V161" s="1537">
        <f t="shared" si="139"/>
        <v>564000</v>
      </c>
      <c r="W161" s="1519">
        <f t="shared" si="140"/>
        <v>375000</v>
      </c>
      <c r="X161" s="1537">
        <f t="shared" si="141"/>
        <v>0</v>
      </c>
      <c r="Y161" s="1537">
        <f t="shared" si="142"/>
        <v>0</v>
      </c>
      <c r="Z161" s="1537">
        <f t="shared" si="143"/>
        <v>0</v>
      </c>
      <c r="AA161" s="1537">
        <f t="shared" si="144"/>
        <v>0</v>
      </c>
      <c r="AB161" s="1537">
        <f t="shared" si="145"/>
        <v>0</v>
      </c>
      <c r="AC161" s="1537">
        <f t="shared" si="146"/>
        <v>0</v>
      </c>
      <c r="AD161" s="1537">
        <f t="shared" si="147"/>
        <v>0</v>
      </c>
      <c r="AE161" s="1537">
        <f t="shared" si="148"/>
        <v>0</v>
      </c>
      <c r="AF161" s="1536">
        <f t="shared" si="149"/>
        <v>0</v>
      </c>
      <c r="AG161" s="1555"/>
      <c r="AH161" s="1537">
        <f t="shared" si="150"/>
        <v>376000</v>
      </c>
      <c r="AI161" s="1537">
        <f t="shared" si="151"/>
        <v>1000</v>
      </c>
      <c r="AJ161" s="1537">
        <f t="shared" si="152"/>
        <v>1000</v>
      </c>
      <c r="AK161" s="1537">
        <f t="shared" si="153"/>
        <v>1000</v>
      </c>
      <c r="AL161" s="1537">
        <f t="shared" si="154"/>
        <v>1000</v>
      </c>
      <c r="AM161" s="1537">
        <f t="shared" si="155"/>
        <v>1000</v>
      </c>
      <c r="AN161" s="1537">
        <f t="shared" si="156"/>
        <v>1000</v>
      </c>
      <c r="AO161" s="1537">
        <f t="shared" si="157"/>
        <v>1000</v>
      </c>
      <c r="AP161" s="1537">
        <f t="shared" si="158"/>
        <v>1000</v>
      </c>
      <c r="AQ161" s="1537">
        <f t="shared" si="159"/>
        <v>1000</v>
      </c>
      <c r="AR161" s="1537">
        <f t="shared" si="160"/>
        <v>1000</v>
      </c>
    </row>
    <row r="162" spans="3:44" x14ac:dyDescent="0.3">
      <c r="C162" s="1566" t="s">
        <v>3121</v>
      </c>
      <c r="D162" s="1563" t="s">
        <v>3358</v>
      </c>
      <c r="E162" s="1556">
        <v>5</v>
      </c>
      <c r="F162" s="1518">
        <f t="shared" si="130"/>
        <v>1</v>
      </c>
      <c r="G162" s="1532">
        <f t="shared" si="131"/>
        <v>0</v>
      </c>
      <c r="H162" s="1533">
        <f t="shared" si="132"/>
        <v>0</v>
      </c>
      <c r="I162" s="1534">
        <f t="shared" si="133"/>
        <v>0.2</v>
      </c>
      <c r="J162" s="1519">
        <v>13259000</v>
      </c>
      <c r="K162" s="1519">
        <v>8839333</v>
      </c>
      <c r="N162" s="1519">
        <f t="shared" si="134"/>
        <v>4419667</v>
      </c>
      <c r="Q162" s="1557">
        <v>2430817</v>
      </c>
      <c r="R162" s="1519">
        <f t="shared" si="135"/>
        <v>13259000</v>
      </c>
      <c r="S162" s="1519">
        <f t="shared" si="136"/>
        <v>1988850</v>
      </c>
      <c r="T162" s="1519">
        <f t="shared" si="137"/>
        <v>0</v>
      </c>
      <c r="U162" s="1535">
        <f t="shared" si="138"/>
        <v>220983.33333333331</v>
      </c>
      <c r="V162" s="1537">
        <f t="shared" si="139"/>
        <v>2651800.3333333335</v>
      </c>
      <c r="W162" s="1519">
        <f t="shared" si="140"/>
        <v>1766866.6666666667</v>
      </c>
      <c r="X162" s="1537">
        <f t="shared" si="141"/>
        <v>0</v>
      </c>
      <c r="Y162" s="1537">
        <f t="shared" si="142"/>
        <v>0</v>
      </c>
      <c r="Z162" s="1537">
        <f t="shared" si="143"/>
        <v>0</v>
      </c>
      <c r="AA162" s="1537">
        <f t="shared" si="144"/>
        <v>0</v>
      </c>
      <c r="AB162" s="1537">
        <f t="shared" si="145"/>
        <v>0</v>
      </c>
      <c r="AC162" s="1537">
        <f t="shared" si="146"/>
        <v>0</v>
      </c>
      <c r="AD162" s="1537">
        <f t="shared" si="147"/>
        <v>0</v>
      </c>
      <c r="AE162" s="1537">
        <f t="shared" si="148"/>
        <v>0</v>
      </c>
      <c r="AF162" s="1536">
        <f t="shared" si="149"/>
        <v>0</v>
      </c>
      <c r="AG162" s="1555"/>
      <c r="AH162" s="1537">
        <f t="shared" si="150"/>
        <v>1767866.6666666667</v>
      </c>
      <c r="AI162" s="1537">
        <f t="shared" si="151"/>
        <v>1000</v>
      </c>
      <c r="AJ162" s="1537">
        <f t="shared" si="152"/>
        <v>1000</v>
      </c>
      <c r="AK162" s="1537">
        <f t="shared" si="153"/>
        <v>1000</v>
      </c>
      <c r="AL162" s="1537">
        <f t="shared" si="154"/>
        <v>1000</v>
      </c>
      <c r="AM162" s="1537">
        <f t="shared" si="155"/>
        <v>1000</v>
      </c>
      <c r="AN162" s="1537">
        <f t="shared" si="156"/>
        <v>1000</v>
      </c>
      <c r="AO162" s="1537">
        <f t="shared" si="157"/>
        <v>1000</v>
      </c>
      <c r="AP162" s="1537">
        <f t="shared" si="158"/>
        <v>1000</v>
      </c>
      <c r="AQ162" s="1537">
        <f t="shared" si="159"/>
        <v>1000</v>
      </c>
      <c r="AR162" s="1537">
        <f t="shared" si="160"/>
        <v>1000</v>
      </c>
    </row>
    <row r="163" spans="3:44" x14ac:dyDescent="0.3">
      <c r="C163" s="1566" t="s">
        <v>3122</v>
      </c>
      <c r="D163" s="1563" t="s">
        <v>3359</v>
      </c>
      <c r="E163" s="1556">
        <v>5</v>
      </c>
      <c r="F163" s="1518">
        <f t="shared" si="130"/>
        <v>1</v>
      </c>
      <c r="G163" s="1532">
        <f t="shared" si="131"/>
        <v>0</v>
      </c>
      <c r="H163" s="1533">
        <f t="shared" si="132"/>
        <v>0</v>
      </c>
      <c r="I163" s="1534">
        <f t="shared" si="133"/>
        <v>0.2</v>
      </c>
      <c r="J163" s="1519">
        <v>1790000</v>
      </c>
      <c r="K163" s="1519">
        <v>1193333</v>
      </c>
      <c r="N163" s="1519">
        <f t="shared" si="134"/>
        <v>596667</v>
      </c>
      <c r="Q163" s="1557">
        <v>328167</v>
      </c>
      <c r="R163" s="1519">
        <f t="shared" si="135"/>
        <v>1790000</v>
      </c>
      <c r="S163" s="1519">
        <f t="shared" si="136"/>
        <v>268500</v>
      </c>
      <c r="T163" s="1519">
        <f t="shared" si="137"/>
        <v>0</v>
      </c>
      <c r="U163" s="1535">
        <f t="shared" si="138"/>
        <v>29833.333333333332</v>
      </c>
      <c r="V163" s="1537">
        <f t="shared" si="139"/>
        <v>358000.33333333331</v>
      </c>
      <c r="W163" s="1519">
        <f t="shared" si="140"/>
        <v>237666.66666666666</v>
      </c>
      <c r="X163" s="1537">
        <f t="shared" si="141"/>
        <v>0</v>
      </c>
      <c r="Y163" s="1537">
        <f t="shared" si="142"/>
        <v>0</v>
      </c>
      <c r="Z163" s="1537">
        <f t="shared" si="143"/>
        <v>0</v>
      </c>
      <c r="AA163" s="1537">
        <f t="shared" si="144"/>
        <v>0</v>
      </c>
      <c r="AB163" s="1537">
        <f t="shared" si="145"/>
        <v>0</v>
      </c>
      <c r="AC163" s="1537">
        <f t="shared" si="146"/>
        <v>0</v>
      </c>
      <c r="AD163" s="1537">
        <f t="shared" si="147"/>
        <v>0</v>
      </c>
      <c r="AE163" s="1537">
        <f t="shared" si="148"/>
        <v>0</v>
      </c>
      <c r="AF163" s="1536">
        <f t="shared" si="149"/>
        <v>0</v>
      </c>
      <c r="AG163" s="1555"/>
      <c r="AH163" s="1537">
        <f t="shared" si="150"/>
        <v>238666.66666666666</v>
      </c>
      <c r="AI163" s="1537">
        <f t="shared" si="151"/>
        <v>1000</v>
      </c>
      <c r="AJ163" s="1537">
        <f t="shared" si="152"/>
        <v>1000</v>
      </c>
      <c r="AK163" s="1537">
        <f t="shared" si="153"/>
        <v>1000</v>
      </c>
      <c r="AL163" s="1537">
        <f t="shared" si="154"/>
        <v>1000</v>
      </c>
      <c r="AM163" s="1537">
        <f t="shared" si="155"/>
        <v>1000</v>
      </c>
      <c r="AN163" s="1537">
        <f t="shared" si="156"/>
        <v>1000</v>
      </c>
      <c r="AO163" s="1537">
        <f t="shared" si="157"/>
        <v>1000</v>
      </c>
      <c r="AP163" s="1537">
        <f t="shared" si="158"/>
        <v>1000</v>
      </c>
      <c r="AQ163" s="1537">
        <f t="shared" si="159"/>
        <v>1000</v>
      </c>
      <c r="AR163" s="1537">
        <f t="shared" si="160"/>
        <v>1000</v>
      </c>
    </row>
    <row r="164" spans="3:44" x14ac:dyDescent="0.3">
      <c r="C164" s="1566" t="s">
        <v>3123</v>
      </c>
      <c r="D164" s="1563" t="s">
        <v>3360</v>
      </c>
      <c r="E164" s="1556">
        <v>5</v>
      </c>
      <c r="F164" s="1518">
        <f t="shared" si="130"/>
        <v>1</v>
      </c>
      <c r="G164" s="1532">
        <f t="shared" si="131"/>
        <v>0</v>
      </c>
      <c r="H164" s="1533">
        <f t="shared" si="132"/>
        <v>0</v>
      </c>
      <c r="I164" s="1534">
        <f t="shared" si="133"/>
        <v>0.2</v>
      </c>
      <c r="J164" s="1519">
        <v>2720000</v>
      </c>
      <c r="K164" s="1519">
        <v>1813333</v>
      </c>
      <c r="N164" s="1519">
        <f t="shared" si="134"/>
        <v>906667</v>
      </c>
      <c r="Q164" s="1557">
        <v>498667</v>
      </c>
      <c r="R164" s="1519">
        <f t="shared" si="135"/>
        <v>2720000</v>
      </c>
      <c r="S164" s="1519">
        <f t="shared" si="136"/>
        <v>408000</v>
      </c>
      <c r="T164" s="1519">
        <f t="shared" si="137"/>
        <v>0</v>
      </c>
      <c r="U164" s="1535">
        <f t="shared" si="138"/>
        <v>45333.333333333336</v>
      </c>
      <c r="V164" s="1537">
        <f t="shared" si="139"/>
        <v>544000.33333333337</v>
      </c>
      <c r="W164" s="1519">
        <f t="shared" si="140"/>
        <v>361666.66666666669</v>
      </c>
      <c r="X164" s="1537">
        <f t="shared" si="141"/>
        <v>0</v>
      </c>
      <c r="Y164" s="1537">
        <f t="shared" si="142"/>
        <v>0</v>
      </c>
      <c r="Z164" s="1537">
        <f t="shared" si="143"/>
        <v>0</v>
      </c>
      <c r="AA164" s="1537">
        <f t="shared" si="144"/>
        <v>0</v>
      </c>
      <c r="AB164" s="1537">
        <f t="shared" si="145"/>
        <v>0</v>
      </c>
      <c r="AC164" s="1537">
        <f t="shared" si="146"/>
        <v>0</v>
      </c>
      <c r="AD164" s="1537">
        <f t="shared" si="147"/>
        <v>0</v>
      </c>
      <c r="AE164" s="1537">
        <f t="shared" si="148"/>
        <v>0</v>
      </c>
      <c r="AF164" s="1536">
        <f t="shared" si="149"/>
        <v>0</v>
      </c>
      <c r="AG164" s="1555"/>
      <c r="AH164" s="1537">
        <f t="shared" si="150"/>
        <v>362666.66666666669</v>
      </c>
      <c r="AI164" s="1537">
        <f t="shared" si="151"/>
        <v>1000</v>
      </c>
      <c r="AJ164" s="1537">
        <f t="shared" si="152"/>
        <v>1000</v>
      </c>
      <c r="AK164" s="1537">
        <f t="shared" si="153"/>
        <v>1000</v>
      </c>
      <c r="AL164" s="1537">
        <f t="shared" si="154"/>
        <v>1000</v>
      </c>
      <c r="AM164" s="1537">
        <f t="shared" si="155"/>
        <v>1000</v>
      </c>
      <c r="AN164" s="1537">
        <f t="shared" si="156"/>
        <v>1000</v>
      </c>
      <c r="AO164" s="1537">
        <f t="shared" si="157"/>
        <v>1000</v>
      </c>
      <c r="AP164" s="1537">
        <f t="shared" si="158"/>
        <v>1000</v>
      </c>
      <c r="AQ164" s="1537">
        <f t="shared" si="159"/>
        <v>1000</v>
      </c>
      <c r="AR164" s="1537">
        <f t="shared" si="160"/>
        <v>1000</v>
      </c>
    </row>
    <row r="165" spans="3:44" x14ac:dyDescent="0.3">
      <c r="C165" s="1566" t="s">
        <v>3124</v>
      </c>
      <c r="D165" s="1563" t="s">
        <v>3361</v>
      </c>
      <c r="E165" s="1556">
        <v>5</v>
      </c>
      <c r="F165" s="1518">
        <f t="shared" si="130"/>
        <v>1</v>
      </c>
      <c r="G165" s="1532">
        <f t="shared" si="131"/>
        <v>0</v>
      </c>
      <c r="H165" s="1533">
        <f t="shared" si="132"/>
        <v>0</v>
      </c>
      <c r="I165" s="1534">
        <f t="shared" si="133"/>
        <v>0.2</v>
      </c>
      <c r="J165" s="1519">
        <v>2580000</v>
      </c>
      <c r="K165" s="1519">
        <v>1720000</v>
      </c>
      <c r="N165" s="1519">
        <f t="shared" si="134"/>
        <v>860000</v>
      </c>
      <c r="Q165" s="1557">
        <v>473000</v>
      </c>
      <c r="R165" s="1519">
        <f t="shared" si="135"/>
        <v>2580000</v>
      </c>
      <c r="S165" s="1519">
        <f t="shared" si="136"/>
        <v>387000</v>
      </c>
      <c r="T165" s="1519">
        <f t="shared" si="137"/>
        <v>0</v>
      </c>
      <c r="U165" s="1535">
        <f t="shared" si="138"/>
        <v>43000</v>
      </c>
      <c r="V165" s="1537">
        <f t="shared" si="139"/>
        <v>516000</v>
      </c>
      <c r="W165" s="1519">
        <f t="shared" si="140"/>
        <v>343000</v>
      </c>
      <c r="X165" s="1537">
        <f t="shared" si="141"/>
        <v>0</v>
      </c>
      <c r="Y165" s="1537">
        <f t="shared" si="142"/>
        <v>0</v>
      </c>
      <c r="Z165" s="1537">
        <f t="shared" si="143"/>
        <v>0</v>
      </c>
      <c r="AA165" s="1537">
        <f t="shared" si="144"/>
        <v>0</v>
      </c>
      <c r="AB165" s="1537">
        <f t="shared" si="145"/>
        <v>0</v>
      </c>
      <c r="AC165" s="1537">
        <f t="shared" si="146"/>
        <v>0</v>
      </c>
      <c r="AD165" s="1537">
        <f t="shared" si="147"/>
        <v>0</v>
      </c>
      <c r="AE165" s="1537">
        <f t="shared" si="148"/>
        <v>0</v>
      </c>
      <c r="AF165" s="1536">
        <f t="shared" si="149"/>
        <v>0</v>
      </c>
      <c r="AG165" s="1555"/>
      <c r="AH165" s="1537">
        <f t="shared" si="150"/>
        <v>344000</v>
      </c>
      <c r="AI165" s="1537">
        <f t="shared" si="151"/>
        <v>1000</v>
      </c>
      <c r="AJ165" s="1537">
        <f t="shared" si="152"/>
        <v>1000</v>
      </c>
      <c r="AK165" s="1537">
        <f t="shared" si="153"/>
        <v>1000</v>
      </c>
      <c r="AL165" s="1537">
        <f t="shared" si="154"/>
        <v>1000</v>
      </c>
      <c r="AM165" s="1537">
        <f t="shared" si="155"/>
        <v>1000</v>
      </c>
      <c r="AN165" s="1537">
        <f t="shared" si="156"/>
        <v>1000</v>
      </c>
      <c r="AO165" s="1537">
        <f t="shared" si="157"/>
        <v>1000</v>
      </c>
      <c r="AP165" s="1537">
        <f t="shared" si="158"/>
        <v>1000</v>
      </c>
      <c r="AQ165" s="1537">
        <f t="shared" si="159"/>
        <v>1000</v>
      </c>
      <c r="AR165" s="1537">
        <f t="shared" si="160"/>
        <v>1000</v>
      </c>
    </row>
    <row r="166" spans="3:44" x14ac:dyDescent="0.3">
      <c r="C166" s="1566" t="s">
        <v>3125</v>
      </c>
      <c r="D166" s="1563" t="s">
        <v>3361</v>
      </c>
      <c r="E166" s="1556">
        <v>5</v>
      </c>
      <c r="F166" s="1518">
        <f t="shared" si="130"/>
        <v>1</v>
      </c>
      <c r="G166" s="1532">
        <f t="shared" si="131"/>
        <v>0</v>
      </c>
      <c r="H166" s="1533">
        <f t="shared" si="132"/>
        <v>0</v>
      </c>
      <c r="I166" s="1534">
        <f t="shared" si="133"/>
        <v>0.2</v>
      </c>
      <c r="J166" s="1519">
        <v>754000</v>
      </c>
      <c r="K166" s="1519">
        <v>502667</v>
      </c>
      <c r="N166" s="1519">
        <f t="shared" si="134"/>
        <v>251333</v>
      </c>
      <c r="Q166" s="1557">
        <v>138233</v>
      </c>
      <c r="R166" s="1519">
        <f t="shared" si="135"/>
        <v>754000</v>
      </c>
      <c r="S166" s="1519">
        <f t="shared" si="136"/>
        <v>113100</v>
      </c>
      <c r="T166" s="1519">
        <f t="shared" si="137"/>
        <v>0</v>
      </c>
      <c r="U166" s="1535">
        <f t="shared" si="138"/>
        <v>12566.666666666666</v>
      </c>
      <c r="V166" s="1537">
        <f t="shared" si="139"/>
        <v>150799.66666666666</v>
      </c>
      <c r="W166" s="1519">
        <f t="shared" si="140"/>
        <v>99533.333333333328</v>
      </c>
      <c r="X166" s="1537">
        <f t="shared" si="141"/>
        <v>0</v>
      </c>
      <c r="Y166" s="1537">
        <f t="shared" si="142"/>
        <v>0</v>
      </c>
      <c r="Z166" s="1537">
        <f t="shared" si="143"/>
        <v>0</v>
      </c>
      <c r="AA166" s="1537">
        <f t="shared" si="144"/>
        <v>0</v>
      </c>
      <c r="AB166" s="1537">
        <f t="shared" si="145"/>
        <v>0</v>
      </c>
      <c r="AC166" s="1537">
        <f t="shared" si="146"/>
        <v>0</v>
      </c>
      <c r="AD166" s="1537">
        <f t="shared" si="147"/>
        <v>0</v>
      </c>
      <c r="AE166" s="1537">
        <f t="shared" si="148"/>
        <v>0</v>
      </c>
      <c r="AF166" s="1536">
        <f t="shared" si="149"/>
        <v>0</v>
      </c>
      <c r="AG166" s="1555"/>
      <c r="AH166" s="1537">
        <f t="shared" si="150"/>
        <v>100533.33333333333</v>
      </c>
      <c r="AI166" s="1537">
        <f t="shared" si="151"/>
        <v>1000</v>
      </c>
      <c r="AJ166" s="1537">
        <f t="shared" si="152"/>
        <v>1000</v>
      </c>
      <c r="AK166" s="1537">
        <f t="shared" si="153"/>
        <v>1000</v>
      </c>
      <c r="AL166" s="1537">
        <f t="shared" si="154"/>
        <v>1000</v>
      </c>
      <c r="AM166" s="1537">
        <f t="shared" si="155"/>
        <v>1000</v>
      </c>
      <c r="AN166" s="1537">
        <f t="shared" si="156"/>
        <v>1000</v>
      </c>
      <c r="AO166" s="1537">
        <f t="shared" si="157"/>
        <v>1000</v>
      </c>
      <c r="AP166" s="1537">
        <f t="shared" si="158"/>
        <v>1000</v>
      </c>
      <c r="AQ166" s="1537">
        <f t="shared" si="159"/>
        <v>1000</v>
      </c>
      <c r="AR166" s="1537">
        <f t="shared" si="160"/>
        <v>1000</v>
      </c>
    </row>
    <row r="167" spans="3:44" x14ac:dyDescent="0.3">
      <c r="C167" s="1566" t="s">
        <v>3126</v>
      </c>
      <c r="D167" s="1563" t="s">
        <v>3361</v>
      </c>
      <c r="E167" s="1556">
        <v>5</v>
      </c>
      <c r="F167" s="1518">
        <f t="shared" si="130"/>
        <v>1</v>
      </c>
      <c r="G167" s="1532">
        <f t="shared" si="131"/>
        <v>0</v>
      </c>
      <c r="H167" s="1533">
        <f t="shared" si="132"/>
        <v>0</v>
      </c>
      <c r="I167" s="1534">
        <f t="shared" si="133"/>
        <v>0.2</v>
      </c>
      <c r="J167" s="1519">
        <v>23358000</v>
      </c>
      <c r="K167" s="1519">
        <v>15572000</v>
      </c>
      <c r="N167" s="1519">
        <f t="shared" si="134"/>
        <v>7786000</v>
      </c>
      <c r="Q167" s="1557">
        <v>4282300</v>
      </c>
      <c r="R167" s="1519">
        <f t="shared" si="135"/>
        <v>23358000</v>
      </c>
      <c r="S167" s="1519">
        <f t="shared" si="136"/>
        <v>3503700</v>
      </c>
      <c r="T167" s="1519">
        <f t="shared" si="137"/>
        <v>0</v>
      </c>
      <c r="U167" s="1535">
        <f t="shared" si="138"/>
        <v>389300</v>
      </c>
      <c r="V167" s="1537">
        <f t="shared" si="139"/>
        <v>4671600</v>
      </c>
      <c r="W167" s="1519">
        <f t="shared" si="140"/>
        <v>3113400</v>
      </c>
      <c r="X167" s="1537">
        <f t="shared" si="141"/>
        <v>0</v>
      </c>
      <c r="Y167" s="1537">
        <f t="shared" si="142"/>
        <v>0</v>
      </c>
      <c r="Z167" s="1537">
        <f t="shared" si="143"/>
        <v>0</v>
      </c>
      <c r="AA167" s="1537">
        <f t="shared" si="144"/>
        <v>0</v>
      </c>
      <c r="AB167" s="1537">
        <f t="shared" si="145"/>
        <v>0</v>
      </c>
      <c r="AC167" s="1537">
        <f t="shared" si="146"/>
        <v>0</v>
      </c>
      <c r="AD167" s="1537">
        <f t="shared" si="147"/>
        <v>0</v>
      </c>
      <c r="AE167" s="1537">
        <f t="shared" si="148"/>
        <v>0</v>
      </c>
      <c r="AF167" s="1536">
        <f t="shared" si="149"/>
        <v>0</v>
      </c>
      <c r="AG167" s="1555"/>
      <c r="AH167" s="1537">
        <f t="shared" si="150"/>
        <v>3114400</v>
      </c>
      <c r="AI167" s="1537">
        <f t="shared" si="151"/>
        <v>1000</v>
      </c>
      <c r="AJ167" s="1537">
        <f t="shared" si="152"/>
        <v>1000</v>
      </c>
      <c r="AK167" s="1537">
        <f t="shared" si="153"/>
        <v>1000</v>
      </c>
      <c r="AL167" s="1537">
        <f t="shared" si="154"/>
        <v>1000</v>
      </c>
      <c r="AM167" s="1537">
        <f t="shared" si="155"/>
        <v>1000</v>
      </c>
      <c r="AN167" s="1537">
        <f t="shared" si="156"/>
        <v>1000</v>
      </c>
      <c r="AO167" s="1537">
        <f t="shared" si="157"/>
        <v>1000</v>
      </c>
      <c r="AP167" s="1537">
        <f t="shared" si="158"/>
        <v>1000</v>
      </c>
      <c r="AQ167" s="1537">
        <f t="shared" si="159"/>
        <v>1000</v>
      </c>
      <c r="AR167" s="1537">
        <f t="shared" si="160"/>
        <v>1000</v>
      </c>
    </row>
    <row r="168" spans="3:44" x14ac:dyDescent="0.3">
      <c r="C168" s="1566" t="s">
        <v>3127</v>
      </c>
      <c r="D168" s="1563" t="s">
        <v>3362</v>
      </c>
      <c r="E168" s="1556">
        <v>5</v>
      </c>
      <c r="F168" s="1518">
        <f t="shared" si="130"/>
        <v>1</v>
      </c>
      <c r="G168" s="1532">
        <f t="shared" si="131"/>
        <v>0</v>
      </c>
      <c r="H168" s="1533">
        <f t="shared" si="132"/>
        <v>0</v>
      </c>
      <c r="I168" s="1534">
        <f t="shared" si="133"/>
        <v>0.2</v>
      </c>
      <c r="J168" s="1519">
        <v>5489000</v>
      </c>
      <c r="K168" s="1519">
        <v>3567850</v>
      </c>
      <c r="N168" s="1519">
        <f t="shared" si="134"/>
        <v>1921150</v>
      </c>
      <c r="Q168" s="1557">
        <v>1006317</v>
      </c>
      <c r="R168" s="1519">
        <f t="shared" si="135"/>
        <v>5489000</v>
      </c>
      <c r="S168" s="1519">
        <f t="shared" si="136"/>
        <v>914833</v>
      </c>
      <c r="T168" s="1519">
        <f t="shared" si="137"/>
        <v>0</v>
      </c>
      <c r="U168" s="1535">
        <f t="shared" si="138"/>
        <v>91483.333333333328</v>
      </c>
      <c r="V168" s="1537">
        <f t="shared" si="139"/>
        <v>1097800.3333333333</v>
      </c>
      <c r="W168" s="1519">
        <f t="shared" si="140"/>
        <v>822349.66666666663</v>
      </c>
      <c r="X168" s="1537">
        <f t="shared" si="141"/>
        <v>0</v>
      </c>
      <c r="Y168" s="1537">
        <f t="shared" si="142"/>
        <v>0</v>
      </c>
      <c r="Z168" s="1537">
        <f t="shared" si="143"/>
        <v>0</v>
      </c>
      <c r="AA168" s="1537">
        <f t="shared" si="144"/>
        <v>0</v>
      </c>
      <c r="AB168" s="1537">
        <f t="shared" si="145"/>
        <v>0</v>
      </c>
      <c r="AC168" s="1537">
        <f t="shared" si="146"/>
        <v>0</v>
      </c>
      <c r="AD168" s="1537">
        <f t="shared" si="147"/>
        <v>0</v>
      </c>
      <c r="AE168" s="1537">
        <f t="shared" si="148"/>
        <v>0</v>
      </c>
      <c r="AF168" s="1536">
        <f t="shared" si="149"/>
        <v>0</v>
      </c>
      <c r="AG168" s="1555"/>
      <c r="AH168" s="1537">
        <f t="shared" si="150"/>
        <v>823349.66666666663</v>
      </c>
      <c r="AI168" s="1537">
        <f t="shared" si="151"/>
        <v>1000</v>
      </c>
      <c r="AJ168" s="1537">
        <f t="shared" si="152"/>
        <v>1000</v>
      </c>
      <c r="AK168" s="1537">
        <f t="shared" si="153"/>
        <v>1000</v>
      </c>
      <c r="AL168" s="1537">
        <f t="shared" si="154"/>
        <v>1000</v>
      </c>
      <c r="AM168" s="1537">
        <f t="shared" si="155"/>
        <v>1000</v>
      </c>
      <c r="AN168" s="1537">
        <f t="shared" si="156"/>
        <v>1000</v>
      </c>
      <c r="AO168" s="1537">
        <f t="shared" si="157"/>
        <v>1000</v>
      </c>
      <c r="AP168" s="1537">
        <f t="shared" si="158"/>
        <v>1000</v>
      </c>
      <c r="AQ168" s="1537">
        <f t="shared" si="159"/>
        <v>1000</v>
      </c>
      <c r="AR168" s="1537">
        <f t="shared" si="160"/>
        <v>1000</v>
      </c>
    </row>
    <row r="169" spans="3:44" x14ac:dyDescent="0.3">
      <c r="C169" s="1566" t="s">
        <v>3128</v>
      </c>
      <c r="D169" s="1563" t="s">
        <v>3363</v>
      </c>
      <c r="E169" s="1556">
        <v>5</v>
      </c>
      <c r="F169" s="1518">
        <f t="shared" si="130"/>
        <v>1</v>
      </c>
      <c r="G169" s="1532">
        <f t="shared" si="131"/>
        <v>0</v>
      </c>
      <c r="H169" s="1533">
        <f t="shared" si="132"/>
        <v>0</v>
      </c>
      <c r="I169" s="1534">
        <f t="shared" si="133"/>
        <v>0.2</v>
      </c>
      <c r="J169" s="1519">
        <v>950000</v>
      </c>
      <c r="K169" s="1519">
        <v>617500</v>
      </c>
      <c r="N169" s="1519">
        <f t="shared" si="134"/>
        <v>332500</v>
      </c>
      <c r="Q169" s="1557">
        <v>174167</v>
      </c>
      <c r="R169" s="1519">
        <f t="shared" si="135"/>
        <v>950000</v>
      </c>
      <c r="S169" s="1519">
        <f t="shared" si="136"/>
        <v>158333</v>
      </c>
      <c r="T169" s="1519">
        <f t="shared" si="137"/>
        <v>0</v>
      </c>
      <c r="U169" s="1535">
        <f t="shared" si="138"/>
        <v>15833.333333333332</v>
      </c>
      <c r="V169" s="1537">
        <f t="shared" si="139"/>
        <v>190000.33333333334</v>
      </c>
      <c r="W169" s="1519">
        <f t="shared" si="140"/>
        <v>141499.66666666666</v>
      </c>
      <c r="X169" s="1537">
        <f t="shared" si="141"/>
        <v>0</v>
      </c>
      <c r="Y169" s="1537">
        <f t="shared" si="142"/>
        <v>0</v>
      </c>
      <c r="Z169" s="1537">
        <f t="shared" si="143"/>
        <v>0</v>
      </c>
      <c r="AA169" s="1537">
        <f t="shared" si="144"/>
        <v>0</v>
      </c>
      <c r="AB169" s="1537">
        <f t="shared" si="145"/>
        <v>0</v>
      </c>
      <c r="AC169" s="1537">
        <f t="shared" si="146"/>
        <v>0</v>
      </c>
      <c r="AD169" s="1537">
        <f t="shared" si="147"/>
        <v>0</v>
      </c>
      <c r="AE169" s="1537">
        <f t="shared" si="148"/>
        <v>0</v>
      </c>
      <c r="AF169" s="1536">
        <f t="shared" si="149"/>
        <v>0</v>
      </c>
      <c r="AG169" s="1555"/>
      <c r="AH169" s="1537">
        <f t="shared" si="150"/>
        <v>142499.66666666666</v>
      </c>
      <c r="AI169" s="1537">
        <f t="shared" si="151"/>
        <v>1000</v>
      </c>
      <c r="AJ169" s="1537">
        <f t="shared" si="152"/>
        <v>1000</v>
      </c>
      <c r="AK169" s="1537">
        <f t="shared" si="153"/>
        <v>1000</v>
      </c>
      <c r="AL169" s="1537">
        <f t="shared" si="154"/>
        <v>1000</v>
      </c>
      <c r="AM169" s="1537">
        <f t="shared" si="155"/>
        <v>1000</v>
      </c>
      <c r="AN169" s="1537">
        <f t="shared" si="156"/>
        <v>1000</v>
      </c>
      <c r="AO169" s="1537">
        <f t="shared" si="157"/>
        <v>1000</v>
      </c>
      <c r="AP169" s="1537">
        <f t="shared" si="158"/>
        <v>1000</v>
      </c>
      <c r="AQ169" s="1537">
        <f t="shared" si="159"/>
        <v>1000</v>
      </c>
      <c r="AR169" s="1537">
        <f t="shared" si="160"/>
        <v>1000</v>
      </c>
    </row>
    <row r="170" spans="3:44" x14ac:dyDescent="0.3">
      <c r="C170" s="1566" t="s">
        <v>3129</v>
      </c>
      <c r="D170" s="1563" t="s">
        <v>3362</v>
      </c>
      <c r="E170" s="1556">
        <v>5</v>
      </c>
      <c r="F170" s="1518">
        <f t="shared" si="130"/>
        <v>1</v>
      </c>
      <c r="G170" s="1532">
        <f t="shared" si="131"/>
        <v>0</v>
      </c>
      <c r="H170" s="1533">
        <f t="shared" si="132"/>
        <v>0</v>
      </c>
      <c r="I170" s="1534">
        <f t="shared" si="133"/>
        <v>0.2</v>
      </c>
      <c r="J170" s="1519">
        <v>2720000</v>
      </c>
      <c r="K170" s="1519">
        <v>1768000</v>
      </c>
      <c r="N170" s="1519">
        <f t="shared" si="134"/>
        <v>952000</v>
      </c>
      <c r="Q170" s="1557">
        <v>498667</v>
      </c>
      <c r="R170" s="1519">
        <f t="shared" si="135"/>
        <v>2720000</v>
      </c>
      <c r="S170" s="1519">
        <f t="shared" si="136"/>
        <v>453333</v>
      </c>
      <c r="T170" s="1519">
        <f t="shared" si="137"/>
        <v>0</v>
      </c>
      <c r="U170" s="1535">
        <f t="shared" si="138"/>
        <v>45333.333333333336</v>
      </c>
      <c r="V170" s="1537">
        <f t="shared" si="139"/>
        <v>544000.33333333337</v>
      </c>
      <c r="W170" s="1519">
        <f t="shared" si="140"/>
        <v>406999.66666666669</v>
      </c>
      <c r="X170" s="1537">
        <f t="shared" si="141"/>
        <v>0</v>
      </c>
      <c r="Y170" s="1537">
        <f t="shared" si="142"/>
        <v>0</v>
      </c>
      <c r="Z170" s="1537">
        <f t="shared" si="143"/>
        <v>0</v>
      </c>
      <c r="AA170" s="1537">
        <f t="shared" si="144"/>
        <v>0</v>
      </c>
      <c r="AB170" s="1537">
        <f t="shared" si="145"/>
        <v>0</v>
      </c>
      <c r="AC170" s="1537">
        <f t="shared" si="146"/>
        <v>0</v>
      </c>
      <c r="AD170" s="1537">
        <f t="shared" si="147"/>
        <v>0</v>
      </c>
      <c r="AE170" s="1537">
        <f t="shared" si="148"/>
        <v>0</v>
      </c>
      <c r="AF170" s="1536">
        <f t="shared" si="149"/>
        <v>0</v>
      </c>
      <c r="AG170" s="1555"/>
      <c r="AH170" s="1537">
        <f t="shared" si="150"/>
        <v>407999.66666666669</v>
      </c>
      <c r="AI170" s="1537">
        <f t="shared" si="151"/>
        <v>1000</v>
      </c>
      <c r="AJ170" s="1537">
        <f t="shared" si="152"/>
        <v>1000</v>
      </c>
      <c r="AK170" s="1537">
        <f t="shared" si="153"/>
        <v>1000</v>
      </c>
      <c r="AL170" s="1537">
        <f t="shared" si="154"/>
        <v>1000</v>
      </c>
      <c r="AM170" s="1537">
        <f t="shared" si="155"/>
        <v>1000</v>
      </c>
      <c r="AN170" s="1537">
        <f t="shared" si="156"/>
        <v>1000</v>
      </c>
      <c r="AO170" s="1537">
        <f t="shared" si="157"/>
        <v>1000</v>
      </c>
      <c r="AP170" s="1537">
        <f t="shared" si="158"/>
        <v>1000</v>
      </c>
      <c r="AQ170" s="1537">
        <f t="shared" si="159"/>
        <v>1000</v>
      </c>
      <c r="AR170" s="1537">
        <f t="shared" si="160"/>
        <v>1000</v>
      </c>
    </row>
    <row r="171" spans="3:44" x14ac:dyDescent="0.3">
      <c r="C171" s="1566" t="s">
        <v>3130</v>
      </c>
      <c r="D171" s="1563" t="s">
        <v>3364</v>
      </c>
      <c r="E171" s="1556">
        <v>5</v>
      </c>
      <c r="F171" s="1518">
        <f t="shared" si="130"/>
        <v>1</v>
      </c>
      <c r="G171" s="1532">
        <f t="shared" si="131"/>
        <v>0</v>
      </c>
      <c r="H171" s="1533">
        <f t="shared" si="132"/>
        <v>0</v>
      </c>
      <c r="I171" s="1534">
        <f t="shared" si="133"/>
        <v>0.2</v>
      </c>
      <c r="J171" s="1519">
        <v>20900000</v>
      </c>
      <c r="K171" s="1519">
        <v>13585000</v>
      </c>
      <c r="N171" s="1519">
        <f t="shared" si="134"/>
        <v>7315000</v>
      </c>
      <c r="Q171" s="1557">
        <v>3831667</v>
      </c>
      <c r="R171" s="1519">
        <f t="shared" si="135"/>
        <v>20900000</v>
      </c>
      <c r="S171" s="1519">
        <f t="shared" si="136"/>
        <v>3483333</v>
      </c>
      <c r="T171" s="1519">
        <f t="shared" si="137"/>
        <v>0</v>
      </c>
      <c r="U171" s="1535">
        <f t="shared" si="138"/>
        <v>348333.33333333331</v>
      </c>
      <c r="V171" s="1537">
        <f t="shared" si="139"/>
        <v>4180000.3333333335</v>
      </c>
      <c r="W171" s="1519">
        <f t="shared" si="140"/>
        <v>3133999.6666666665</v>
      </c>
      <c r="X171" s="1537">
        <f t="shared" si="141"/>
        <v>0</v>
      </c>
      <c r="Y171" s="1537">
        <f t="shared" si="142"/>
        <v>0</v>
      </c>
      <c r="Z171" s="1537">
        <f t="shared" si="143"/>
        <v>0</v>
      </c>
      <c r="AA171" s="1537">
        <f t="shared" si="144"/>
        <v>0</v>
      </c>
      <c r="AB171" s="1537">
        <f t="shared" si="145"/>
        <v>0</v>
      </c>
      <c r="AC171" s="1537">
        <f t="shared" si="146"/>
        <v>0</v>
      </c>
      <c r="AD171" s="1537">
        <f t="shared" si="147"/>
        <v>0</v>
      </c>
      <c r="AE171" s="1537">
        <f t="shared" si="148"/>
        <v>0</v>
      </c>
      <c r="AF171" s="1536">
        <f t="shared" si="149"/>
        <v>0</v>
      </c>
      <c r="AG171" s="1555"/>
      <c r="AH171" s="1537">
        <f t="shared" si="150"/>
        <v>3134999.6666666665</v>
      </c>
      <c r="AI171" s="1537">
        <f t="shared" si="151"/>
        <v>1000</v>
      </c>
      <c r="AJ171" s="1537">
        <f t="shared" si="152"/>
        <v>1000</v>
      </c>
      <c r="AK171" s="1537">
        <f t="shared" si="153"/>
        <v>1000</v>
      </c>
      <c r="AL171" s="1537">
        <f t="shared" si="154"/>
        <v>1000</v>
      </c>
      <c r="AM171" s="1537">
        <f t="shared" si="155"/>
        <v>1000</v>
      </c>
      <c r="AN171" s="1537">
        <f t="shared" si="156"/>
        <v>1000</v>
      </c>
      <c r="AO171" s="1537">
        <f t="shared" si="157"/>
        <v>1000</v>
      </c>
      <c r="AP171" s="1537">
        <f t="shared" si="158"/>
        <v>1000</v>
      </c>
      <c r="AQ171" s="1537">
        <f t="shared" si="159"/>
        <v>1000</v>
      </c>
      <c r="AR171" s="1537">
        <f t="shared" si="160"/>
        <v>1000</v>
      </c>
    </row>
    <row r="172" spans="3:44" x14ac:dyDescent="0.3">
      <c r="C172" s="1566" t="s">
        <v>3131</v>
      </c>
      <c r="D172" s="1563" t="s">
        <v>3365</v>
      </c>
      <c r="E172" s="1556">
        <v>5</v>
      </c>
      <c r="F172" s="1518">
        <f t="shared" si="130"/>
        <v>1</v>
      </c>
      <c r="G172" s="1532">
        <f t="shared" si="131"/>
        <v>0</v>
      </c>
      <c r="H172" s="1533">
        <f t="shared" si="132"/>
        <v>0</v>
      </c>
      <c r="I172" s="1534">
        <f t="shared" si="133"/>
        <v>0.2</v>
      </c>
      <c r="J172" s="1519">
        <v>3419000</v>
      </c>
      <c r="K172" s="1519">
        <v>2222350</v>
      </c>
      <c r="N172" s="1519">
        <f t="shared" si="134"/>
        <v>1196650</v>
      </c>
      <c r="Q172" s="1557">
        <v>626817</v>
      </c>
      <c r="R172" s="1519">
        <f t="shared" si="135"/>
        <v>3419000</v>
      </c>
      <c r="S172" s="1519">
        <f t="shared" si="136"/>
        <v>569833</v>
      </c>
      <c r="T172" s="1519">
        <f t="shared" si="137"/>
        <v>0</v>
      </c>
      <c r="U172" s="1535">
        <f t="shared" si="138"/>
        <v>56983.333333333328</v>
      </c>
      <c r="V172" s="1537">
        <f t="shared" si="139"/>
        <v>683800.33333333337</v>
      </c>
      <c r="W172" s="1519">
        <f t="shared" si="140"/>
        <v>511849.66666666669</v>
      </c>
      <c r="X172" s="1537">
        <f t="shared" si="141"/>
        <v>0</v>
      </c>
      <c r="Y172" s="1537">
        <f t="shared" si="142"/>
        <v>0</v>
      </c>
      <c r="Z172" s="1537">
        <f t="shared" si="143"/>
        <v>0</v>
      </c>
      <c r="AA172" s="1537">
        <f t="shared" si="144"/>
        <v>0</v>
      </c>
      <c r="AB172" s="1537">
        <f t="shared" si="145"/>
        <v>0</v>
      </c>
      <c r="AC172" s="1537">
        <f t="shared" si="146"/>
        <v>0</v>
      </c>
      <c r="AD172" s="1537">
        <f t="shared" si="147"/>
        <v>0</v>
      </c>
      <c r="AE172" s="1537">
        <f t="shared" si="148"/>
        <v>0</v>
      </c>
      <c r="AF172" s="1536">
        <f t="shared" si="149"/>
        <v>0</v>
      </c>
      <c r="AG172" s="1555"/>
      <c r="AH172" s="1537">
        <f t="shared" si="150"/>
        <v>512849.66666666669</v>
      </c>
      <c r="AI172" s="1537">
        <f t="shared" si="151"/>
        <v>1000</v>
      </c>
      <c r="AJ172" s="1537">
        <f t="shared" si="152"/>
        <v>1000</v>
      </c>
      <c r="AK172" s="1537">
        <f t="shared" si="153"/>
        <v>1000</v>
      </c>
      <c r="AL172" s="1537">
        <f t="shared" si="154"/>
        <v>1000</v>
      </c>
      <c r="AM172" s="1537">
        <f t="shared" si="155"/>
        <v>1000</v>
      </c>
      <c r="AN172" s="1537">
        <f t="shared" si="156"/>
        <v>1000</v>
      </c>
      <c r="AO172" s="1537">
        <f t="shared" si="157"/>
        <v>1000</v>
      </c>
      <c r="AP172" s="1537">
        <f t="shared" si="158"/>
        <v>1000</v>
      </c>
      <c r="AQ172" s="1537">
        <f t="shared" si="159"/>
        <v>1000</v>
      </c>
      <c r="AR172" s="1537">
        <f t="shared" si="160"/>
        <v>1000</v>
      </c>
    </row>
    <row r="173" spans="3:44" x14ac:dyDescent="0.3">
      <c r="C173" s="1566" t="s">
        <v>3132</v>
      </c>
      <c r="D173" s="1563" t="s">
        <v>3366</v>
      </c>
      <c r="E173" s="1556">
        <v>5</v>
      </c>
      <c r="F173" s="1518">
        <f t="shared" si="130"/>
        <v>1</v>
      </c>
      <c r="G173" s="1532">
        <f t="shared" si="131"/>
        <v>0</v>
      </c>
      <c r="H173" s="1533">
        <f t="shared" si="132"/>
        <v>0</v>
      </c>
      <c r="I173" s="1534">
        <f t="shared" si="133"/>
        <v>0.2</v>
      </c>
      <c r="J173" s="1519">
        <v>1909000</v>
      </c>
      <c r="K173" s="1519">
        <v>1240850</v>
      </c>
      <c r="N173" s="1519">
        <f t="shared" si="134"/>
        <v>668150</v>
      </c>
      <c r="Q173" s="1557">
        <v>349983</v>
      </c>
      <c r="R173" s="1519">
        <f t="shared" si="135"/>
        <v>1909000</v>
      </c>
      <c r="S173" s="1519">
        <f t="shared" si="136"/>
        <v>318167</v>
      </c>
      <c r="T173" s="1519">
        <f t="shared" si="137"/>
        <v>0</v>
      </c>
      <c r="U173" s="1535">
        <f t="shared" si="138"/>
        <v>31816.666666666664</v>
      </c>
      <c r="V173" s="1537">
        <f t="shared" si="139"/>
        <v>381799.66666666669</v>
      </c>
      <c r="W173" s="1519">
        <f t="shared" si="140"/>
        <v>285350.33333333331</v>
      </c>
      <c r="X173" s="1537">
        <f t="shared" si="141"/>
        <v>0</v>
      </c>
      <c r="Y173" s="1537">
        <f t="shared" si="142"/>
        <v>0</v>
      </c>
      <c r="Z173" s="1537">
        <f t="shared" si="143"/>
        <v>0</v>
      </c>
      <c r="AA173" s="1537">
        <f t="shared" si="144"/>
        <v>0</v>
      </c>
      <c r="AB173" s="1537">
        <f t="shared" si="145"/>
        <v>0</v>
      </c>
      <c r="AC173" s="1537">
        <f t="shared" si="146"/>
        <v>0</v>
      </c>
      <c r="AD173" s="1537">
        <f t="shared" si="147"/>
        <v>0</v>
      </c>
      <c r="AE173" s="1537">
        <f t="shared" si="148"/>
        <v>0</v>
      </c>
      <c r="AF173" s="1536">
        <f t="shared" si="149"/>
        <v>0</v>
      </c>
      <c r="AG173" s="1555"/>
      <c r="AH173" s="1537">
        <f t="shared" si="150"/>
        <v>286350.33333333331</v>
      </c>
      <c r="AI173" s="1537">
        <f t="shared" si="151"/>
        <v>1000</v>
      </c>
      <c r="AJ173" s="1537">
        <f t="shared" si="152"/>
        <v>1000</v>
      </c>
      <c r="AK173" s="1537">
        <f t="shared" si="153"/>
        <v>1000</v>
      </c>
      <c r="AL173" s="1537">
        <f t="shared" si="154"/>
        <v>1000</v>
      </c>
      <c r="AM173" s="1537">
        <f t="shared" si="155"/>
        <v>1000</v>
      </c>
      <c r="AN173" s="1537">
        <f t="shared" si="156"/>
        <v>1000</v>
      </c>
      <c r="AO173" s="1537">
        <f t="shared" si="157"/>
        <v>1000</v>
      </c>
      <c r="AP173" s="1537">
        <f t="shared" si="158"/>
        <v>1000</v>
      </c>
      <c r="AQ173" s="1537">
        <f t="shared" si="159"/>
        <v>1000</v>
      </c>
      <c r="AR173" s="1537">
        <f t="shared" si="160"/>
        <v>1000</v>
      </c>
    </row>
    <row r="174" spans="3:44" x14ac:dyDescent="0.3">
      <c r="C174" s="1566" t="s">
        <v>3133</v>
      </c>
      <c r="D174" s="1563" t="s">
        <v>3367</v>
      </c>
      <c r="E174" s="1556">
        <v>5</v>
      </c>
      <c r="F174" s="1518">
        <f t="shared" si="130"/>
        <v>1</v>
      </c>
      <c r="G174" s="1532">
        <f t="shared" si="131"/>
        <v>0</v>
      </c>
      <c r="H174" s="1533">
        <f t="shared" si="132"/>
        <v>0</v>
      </c>
      <c r="I174" s="1534">
        <f t="shared" si="133"/>
        <v>0.2</v>
      </c>
      <c r="J174" s="1519">
        <v>1610000</v>
      </c>
      <c r="K174" s="1519">
        <v>1046500</v>
      </c>
      <c r="N174" s="1519">
        <f t="shared" si="134"/>
        <v>563500</v>
      </c>
      <c r="Q174" s="1557">
        <v>295167</v>
      </c>
      <c r="R174" s="1519">
        <f t="shared" si="135"/>
        <v>1610000</v>
      </c>
      <c r="S174" s="1519">
        <f t="shared" si="136"/>
        <v>268333</v>
      </c>
      <c r="T174" s="1519">
        <f t="shared" si="137"/>
        <v>0</v>
      </c>
      <c r="U174" s="1535">
        <f t="shared" si="138"/>
        <v>26833.333333333332</v>
      </c>
      <c r="V174" s="1537">
        <f t="shared" si="139"/>
        <v>322000.33333333331</v>
      </c>
      <c r="W174" s="1519">
        <f t="shared" si="140"/>
        <v>240499.66666666666</v>
      </c>
      <c r="X174" s="1537">
        <f t="shared" si="141"/>
        <v>0</v>
      </c>
      <c r="Y174" s="1537">
        <f t="shared" si="142"/>
        <v>0</v>
      </c>
      <c r="Z174" s="1537">
        <f t="shared" si="143"/>
        <v>0</v>
      </c>
      <c r="AA174" s="1537">
        <f t="shared" si="144"/>
        <v>0</v>
      </c>
      <c r="AB174" s="1537">
        <f t="shared" si="145"/>
        <v>0</v>
      </c>
      <c r="AC174" s="1537">
        <f t="shared" si="146"/>
        <v>0</v>
      </c>
      <c r="AD174" s="1537">
        <f t="shared" si="147"/>
        <v>0</v>
      </c>
      <c r="AE174" s="1537">
        <f t="shared" si="148"/>
        <v>0</v>
      </c>
      <c r="AF174" s="1536">
        <f t="shared" si="149"/>
        <v>0</v>
      </c>
      <c r="AG174" s="1555"/>
      <c r="AH174" s="1537">
        <f t="shared" si="150"/>
        <v>241499.66666666666</v>
      </c>
      <c r="AI174" s="1537">
        <f t="shared" si="151"/>
        <v>1000</v>
      </c>
      <c r="AJ174" s="1537">
        <f t="shared" si="152"/>
        <v>1000</v>
      </c>
      <c r="AK174" s="1537">
        <f t="shared" si="153"/>
        <v>1000</v>
      </c>
      <c r="AL174" s="1537">
        <f t="shared" si="154"/>
        <v>1000</v>
      </c>
      <c r="AM174" s="1537">
        <f t="shared" si="155"/>
        <v>1000</v>
      </c>
      <c r="AN174" s="1537">
        <f t="shared" si="156"/>
        <v>1000</v>
      </c>
      <c r="AO174" s="1537">
        <f t="shared" si="157"/>
        <v>1000</v>
      </c>
      <c r="AP174" s="1537">
        <f t="shared" si="158"/>
        <v>1000</v>
      </c>
      <c r="AQ174" s="1537">
        <f t="shared" si="159"/>
        <v>1000</v>
      </c>
      <c r="AR174" s="1537">
        <f t="shared" si="160"/>
        <v>1000</v>
      </c>
    </row>
    <row r="175" spans="3:44" x14ac:dyDescent="0.3">
      <c r="C175" s="1566" t="s">
        <v>3106</v>
      </c>
      <c r="D175" s="1563" t="s">
        <v>3368</v>
      </c>
      <c r="E175" s="1556">
        <v>5</v>
      </c>
      <c r="F175" s="1518">
        <f t="shared" si="130"/>
        <v>1</v>
      </c>
      <c r="G175" s="1532">
        <f t="shared" si="131"/>
        <v>0</v>
      </c>
      <c r="H175" s="1533">
        <f t="shared" si="132"/>
        <v>0</v>
      </c>
      <c r="I175" s="1534">
        <f t="shared" si="133"/>
        <v>0.2</v>
      </c>
      <c r="J175" s="1519">
        <v>1410000</v>
      </c>
      <c r="K175" s="1519">
        <v>916500</v>
      </c>
      <c r="N175" s="1519">
        <f t="shared" si="134"/>
        <v>493500</v>
      </c>
      <c r="Q175" s="1557">
        <v>258500</v>
      </c>
      <c r="R175" s="1519">
        <f t="shared" si="135"/>
        <v>1410000</v>
      </c>
      <c r="S175" s="1519">
        <f t="shared" si="136"/>
        <v>235000</v>
      </c>
      <c r="T175" s="1519">
        <f t="shared" si="137"/>
        <v>0</v>
      </c>
      <c r="U175" s="1535">
        <f t="shared" si="138"/>
        <v>23500</v>
      </c>
      <c r="V175" s="1537">
        <f t="shared" si="139"/>
        <v>282000</v>
      </c>
      <c r="W175" s="1519">
        <f t="shared" si="140"/>
        <v>210500</v>
      </c>
      <c r="X175" s="1537">
        <f t="shared" si="141"/>
        <v>0</v>
      </c>
      <c r="Y175" s="1537">
        <f t="shared" si="142"/>
        <v>0</v>
      </c>
      <c r="Z175" s="1537">
        <f t="shared" si="143"/>
        <v>0</v>
      </c>
      <c r="AA175" s="1537">
        <f t="shared" si="144"/>
        <v>0</v>
      </c>
      <c r="AB175" s="1537">
        <f t="shared" si="145"/>
        <v>0</v>
      </c>
      <c r="AC175" s="1537">
        <f t="shared" si="146"/>
        <v>0</v>
      </c>
      <c r="AD175" s="1537">
        <f t="shared" si="147"/>
        <v>0</v>
      </c>
      <c r="AE175" s="1537">
        <f t="shared" si="148"/>
        <v>0</v>
      </c>
      <c r="AF175" s="1536">
        <f t="shared" si="149"/>
        <v>0</v>
      </c>
      <c r="AG175" s="1555"/>
      <c r="AH175" s="1537">
        <f t="shared" si="150"/>
        <v>211500</v>
      </c>
      <c r="AI175" s="1537">
        <f t="shared" si="151"/>
        <v>1000</v>
      </c>
      <c r="AJ175" s="1537">
        <f t="shared" si="152"/>
        <v>1000</v>
      </c>
      <c r="AK175" s="1537">
        <f t="shared" si="153"/>
        <v>1000</v>
      </c>
      <c r="AL175" s="1537">
        <f t="shared" si="154"/>
        <v>1000</v>
      </c>
      <c r="AM175" s="1537">
        <f t="shared" si="155"/>
        <v>1000</v>
      </c>
      <c r="AN175" s="1537">
        <f t="shared" si="156"/>
        <v>1000</v>
      </c>
      <c r="AO175" s="1537">
        <f t="shared" si="157"/>
        <v>1000</v>
      </c>
      <c r="AP175" s="1537">
        <f t="shared" si="158"/>
        <v>1000</v>
      </c>
      <c r="AQ175" s="1537">
        <f t="shared" si="159"/>
        <v>1000</v>
      </c>
      <c r="AR175" s="1537">
        <f t="shared" si="160"/>
        <v>1000</v>
      </c>
    </row>
    <row r="176" spans="3:44" x14ac:dyDescent="0.3">
      <c r="C176" s="1566" t="s">
        <v>3134</v>
      </c>
      <c r="D176" s="1563" t="s">
        <v>3369</v>
      </c>
      <c r="E176" s="1556">
        <v>5</v>
      </c>
      <c r="F176" s="1518">
        <f t="shared" si="130"/>
        <v>1</v>
      </c>
      <c r="G176" s="1532">
        <f t="shared" si="131"/>
        <v>0</v>
      </c>
      <c r="H176" s="1533">
        <f t="shared" si="132"/>
        <v>0</v>
      </c>
      <c r="I176" s="1534">
        <f t="shared" si="133"/>
        <v>0.2</v>
      </c>
      <c r="J176" s="1519">
        <v>6800000</v>
      </c>
      <c r="K176" s="1519">
        <v>4420000</v>
      </c>
      <c r="N176" s="1519">
        <f t="shared" si="134"/>
        <v>2380000</v>
      </c>
      <c r="Q176" s="1557">
        <v>1246667</v>
      </c>
      <c r="R176" s="1519">
        <f t="shared" si="135"/>
        <v>6800000</v>
      </c>
      <c r="S176" s="1519">
        <f t="shared" si="136"/>
        <v>1133333</v>
      </c>
      <c r="T176" s="1519">
        <f t="shared" si="137"/>
        <v>0</v>
      </c>
      <c r="U176" s="1535">
        <f t="shared" si="138"/>
        <v>113333.33333333333</v>
      </c>
      <c r="V176" s="1537">
        <f t="shared" si="139"/>
        <v>1360000.3333333333</v>
      </c>
      <c r="W176" s="1519">
        <f t="shared" si="140"/>
        <v>1018999.6666666666</v>
      </c>
      <c r="X176" s="1537">
        <f t="shared" si="141"/>
        <v>0</v>
      </c>
      <c r="Y176" s="1537">
        <f t="shared" si="142"/>
        <v>0</v>
      </c>
      <c r="Z176" s="1537">
        <f t="shared" si="143"/>
        <v>0</v>
      </c>
      <c r="AA176" s="1537">
        <f t="shared" si="144"/>
        <v>0</v>
      </c>
      <c r="AB176" s="1537">
        <f t="shared" si="145"/>
        <v>0</v>
      </c>
      <c r="AC176" s="1537">
        <f t="shared" si="146"/>
        <v>0</v>
      </c>
      <c r="AD176" s="1537">
        <f t="shared" si="147"/>
        <v>0</v>
      </c>
      <c r="AE176" s="1537">
        <f t="shared" si="148"/>
        <v>0</v>
      </c>
      <c r="AF176" s="1536">
        <f t="shared" si="149"/>
        <v>0</v>
      </c>
      <c r="AG176" s="1555"/>
      <c r="AH176" s="1537">
        <f t="shared" si="150"/>
        <v>1019999.6666666666</v>
      </c>
      <c r="AI176" s="1537">
        <f t="shared" si="151"/>
        <v>1000</v>
      </c>
      <c r="AJ176" s="1537">
        <f t="shared" si="152"/>
        <v>1000</v>
      </c>
      <c r="AK176" s="1537">
        <f t="shared" si="153"/>
        <v>1000</v>
      </c>
      <c r="AL176" s="1537">
        <f t="shared" si="154"/>
        <v>1000</v>
      </c>
      <c r="AM176" s="1537">
        <f t="shared" si="155"/>
        <v>1000</v>
      </c>
      <c r="AN176" s="1537">
        <f t="shared" si="156"/>
        <v>1000</v>
      </c>
      <c r="AO176" s="1537">
        <f t="shared" si="157"/>
        <v>1000</v>
      </c>
      <c r="AP176" s="1537">
        <f t="shared" si="158"/>
        <v>1000</v>
      </c>
      <c r="AQ176" s="1537">
        <f t="shared" si="159"/>
        <v>1000</v>
      </c>
      <c r="AR176" s="1537">
        <f t="shared" si="160"/>
        <v>1000</v>
      </c>
    </row>
    <row r="177" spans="1:44" x14ac:dyDescent="0.3">
      <c r="C177" s="1566" t="s">
        <v>3106</v>
      </c>
      <c r="D177" s="1563" t="s">
        <v>3364</v>
      </c>
      <c r="E177" s="1556">
        <v>5</v>
      </c>
      <c r="F177" s="1518">
        <f t="shared" si="130"/>
        <v>1</v>
      </c>
      <c r="G177" s="1532">
        <f t="shared" si="131"/>
        <v>0</v>
      </c>
      <c r="H177" s="1533">
        <f t="shared" si="132"/>
        <v>0</v>
      </c>
      <c r="I177" s="1534">
        <f t="shared" si="133"/>
        <v>0.2</v>
      </c>
      <c r="J177" s="1519">
        <v>1360000</v>
      </c>
      <c r="K177" s="1519">
        <v>884000</v>
      </c>
      <c r="N177" s="1519">
        <f t="shared" si="134"/>
        <v>476000</v>
      </c>
      <c r="Q177" s="1557">
        <v>249333</v>
      </c>
      <c r="R177" s="1519">
        <f t="shared" si="135"/>
        <v>1360000</v>
      </c>
      <c r="S177" s="1519">
        <f t="shared" si="136"/>
        <v>226667</v>
      </c>
      <c r="T177" s="1519">
        <f t="shared" si="137"/>
        <v>0</v>
      </c>
      <c r="U177" s="1535">
        <f t="shared" si="138"/>
        <v>22666.666666666668</v>
      </c>
      <c r="V177" s="1537">
        <f t="shared" si="139"/>
        <v>271999.66666666669</v>
      </c>
      <c r="W177" s="1519">
        <f t="shared" si="140"/>
        <v>203000.33333333334</v>
      </c>
      <c r="X177" s="1537">
        <f t="shared" si="141"/>
        <v>0</v>
      </c>
      <c r="Y177" s="1537">
        <f t="shared" si="142"/>
        <v>0</v>
      </c>
      <c r="Z177" s="1537">
        <f t="shared" si="143"/>
        <v>0</v>
      </c>
      <c r="AA177" s="1537">
        <f t="shared" si="144"/>
        <v>0</v>
      </c>
      <c r="AB177" s="1537">
        <f t="shared" si="145"/>
        <v>0</v>
      </c>
      <c r="AC177" s="1537">
        <f t="shared" si="146"/>
        <v>0</v>
      </c>
      <c r="AD177" s="1537">
        <f t="shared" si="147"/>
        <v>0</v>
      </c>
      <c r="AE177" s="1537">
        <f t="shared" si="148"/>
        <v>0</v>
      </c>
      <c r="AF177" s="1536">
        <f t="shared" si="149"/>
        <v>0</v>
      </c>
      <c r="AG177" s="1555"/>
      <c r="AH177" s="1537">
        <f t="shared" si="150"/>
        <v>204000.33333333334</v>
      </c>
      <c r="AI177" s="1537">
        <f t="shared" si="151"/>
        <v>1000</v>
      </c>
      <c r="AJ177" s="1537">
        <f t="shared" si="152"/>
        <v>1000</v>
      </c>
      <c r="AK177" s="1537">
        <f t="shared" si="153"/>
        <v>1000</v>
      </c>
      <c r="AL177" s="1537">
        <f t="shared" si="154"/>
        <v>1000</v>
      </c>
      <c r="AM177" s="1537">
        <f t="shared" si="155"/>
        <v>1000</v>
      </c>
      <c r="AN177" s="1537">
        <f t="shared" si="156"/>
        <v>1000</v>
      </c>
      <c r="AO177" s="1537">
        <f t="shared" si="157"/>
        <v>1000</v>
      </c>
      <c r="AP177" s="1537">
        <f t="shared" si="158"/>
        <v>1000</v>
      </c>
      <c r="AQ177" s="1537">
        <f t="shared" si="159"/>
        <v>1000</v>
      </c>
      <c r="AR177" s="1537">
        <f t="shared" si="160"/>
        <v>1000</v>
      </c>
    </row>
    <row r="178" spans="1:44" x14ac:dyDescent="0.3">
      <c r="C178" s="1566" t="s">
        <v>3106</v>
      </c>
      <c r="D178" s="1563" t="s">
        <v>3369</v>
      </c>
      <c r="E178" s="1556">
        <v>5</v>
      </c>
      <c r="F178" s="1518">
        <f t="shared" si="130"/>
        <v>1</v>
      </c>
      <c r="G178" s="1532">
        <f t="shared" si="131"/>
        <v>0</v>
      </c>
      <c r="H178" s="1533">
        <f t="shared" si="132"/>
        <v>0</v>
      </c>
      <c r="I178" s="1534">
        <f t="shared" si="133"/>
        <v>0.2</v>
      </c>
      <c r="J178" s="1519">
        <v>1360000</v>
      </c>
      <c r="K178" s="1519">
        <v>884000</v>
      </c>
      <c r="N178" s="1519">
        <f t="shared" si="134"/>
        <v>476000</v>
      </c>
      <c r="Q178" s="1557">
        <v>249333</v>
      </c>
      <c r="R178" s="1519">
        <f t="shared" si="135"/>
        <v>1360000</v>
      </c>
      <c r="S178" s="1519">
        <f t="shared" si="136"/>
        <v>226667</v>
      </c>
      <c r="T178" s="1519">
        <f t="shared" si="137"/>
        <v>0</v>
      </c>
      <c r="U178" s="1535">
        <f t="shared" si="138"/>
        <v>22666.666666666668</v>
      </c>
      <c r="V178" s="1537">
        <f t="shared" si="139"/>
        <v>271999.66666666669</v>
      </c>
      <c r="W178" s="1519">
        <f t="shared" si="140"/>
        <v>203000.33333333334</v>
      </c>
      <c r="X178" s="1537">
        <f t="shared" si="141"/>
        <v>0</v>
      </c>
      <c r="Y178" s="1537">
        <f t="shared" si="142"/>
        <v>0</v>
      </c>
      <c r="Z178" s="1537">
        <f t="shared" si="143"/>
        <v>0</v>
      </c>
      <c r="AA178" s="1537">
        <f t="shared" si="144"/>
        <v>0</v>
      </c>
      <c r="AB178" s="1537">
        <f t="shared" si="145"/>
        <v>0</v>
      </c>
      <c r="AC178" s="1537">
        <f t="shared" si="146"/>
        <v>0</v>
      </c>
      <c r="AD178" s="1537">
        <f t="shared" si="147"/>
        <v>0</v>
      </c>
      <c r="AE178" s="1537">
        <f t="shared" si="148"/>
        <v>0</v>
      </c>
      <c r="AF178" s="1536">
        <f t="shared" si="149"/>
        <v>0</v>
      </c>
      <c r="AG178" s="1555"/>
      <c r="AH178" s="1537">
        <f t="shared" si="150"/>
        <v>204000.33333333334</v>
      </c>
      <c r="AI178" s="1537">
        <f t="shared" si="151"/>
        <v>1000</v>
      </c>
      <c r="AJ178" s="1537">
        <f t="shared" si="152"/>
        <v>1000</v>
      </c>
      <c r="AK178" s="1537">
        <f t="shared" si="153"/>
        <v>1000</v>
      </c>
      <c r="AL178" s="1537">
        <f t="shared" si="154"/>
        <v>1000</v>
      </c>
      <c r="AM178" s="1537">
        <f t="shared" si="155"/>
        <v>1000</v>
      </c>
      <c r="AN178" s="1537">
        <f t="shared" si="156"/>
        <v>1000</v>
      </c>
      <c r="AO178" s="1537">
        <f t="shared" si="157"/>
        <v>1000</v>
      </c>
      <c r="AP178" s="1537">
        <f t="shared" si="158"/>
        <v>1000</v>
      </c>
      <c r="AQ178" s="1537">
        <f t="shared" si="159"/>
        <v>1000</v>
      </c>
      <c r="AR178" s="1537">
        <f t="shared" si="160"/>
        <v>1000</v>
      </c>
    </row>
    <row r="179" spans="1:44" x14ac:dyDescent="0.3">
      <c r="C179" s="1566" t="s">
        <v>3135</v>
      </c>
      <c r="D179" s="1563" t="s">
        <v>3369</v>
      </c>
      <c r="E179" s="1556">
        <v>5</v>
      </c>
      <c r="F179" s="1518">
        <f t="shared" si="130"/>
        <v>1</v>
      </c>
      <c r="G179" s="1532">
        <f t="shared" si="131"/>
        <v>0</v>
      </c>
      <c r="H179" s="1533">
        <f t="shared" si="132"/>
        <v>0</v>
      </c>
      <c r="I179" s="1534">
        <f t="shared" si="133"/>
        <v>0.2</v>
      </c>
      <c r="J179" s="1519">
        <v>10880000</v>
      </c>
      <c r="K179" s="1519">
        <v>7072000</v>
      </c>
      <c r="N179" s="1519">
        <f t="shared" si="134"/>
        <v>3808000</v>
      </c>
      <c r="Q179" s="1557">
        <v>1994667</v>
      </c>
      <c r="R179" s="1519">
        <f t="shared" si="135"/>
        <v>10880000</v>
      </c>
      <c r="S179" s="1519">
        <f t="shared" si="136"/>
        <v>1813333</v>
      </c>
      <c r="T179" s="1519">
        <f t="shared" si="137"/>
        <v>0</v>
      </c>
      <c r="U179" s="1535">
        <f t="shared" si="138"/>
        <v>181333.33333333334</v>
      </c>
      <c r="V179" s="1537">
        <f t="shared" si="139"/>
        <v>2176000.3333333335</v>
      </c>
      <c r="W179" s="1519">
        <f t="shared" si="140"/>
        <v>1630999.6666666667</v>
      </c>
      <c r="X179" s="1537">
        <f t="shared" si="141"/>
        <v>0</v>
      </c>
      <c r="Y179" s="1537">
        <f t="shared" si="142"/>
        <v>0</v>
      </c>
      <c r="Z179" s="1537">
        <f t="shared" si="143"/>
        <v>0</v>
      </c>
      <c r="AA179" s="1537">
        <f t="shared" si="144"/>
        <v>0</v>
      </c>
      <c r="AB179" s="1537">
        <f t="shared" si="145"/>
        <v>0</v>
      </c>
      <c r="AC179" s="1537">
        <f t="shared" si="146"/>
        <v>0</v>
      </c>
      <c r="AD179" s="1537">
        <f t="shared" si="147"/>
        <v>0</v>
      </c>
      <c r="AE179" s="1537">
        <f t="shared" si="148"/>
        <v>0</v>
      </c>
      <c r="AF179" s="1536">
        <f t="shared" si="149"/>
        <v>0</v>
      </c>
      <c r="AG179" s="1555"/>
      <c r="AH179" s="1537">
        <f t="shared" si="150"/>
        <v>1631999.6666666667</v>
      </c>
      <c r="AI179" s="1537">
        <f t="shared" si="151"/>
        <v>1000</v>
      </c>
      <c r="AJ179" s="1537">
        <f t="shared" si="152"/>
        <v>1000</v>
      </c>
      <c r="AK179" s="1537">
        <f t="shared" si="153"/>
        <v>1000</v>
      </c>
      <c r="AL179" s="1537">
        <f t="shared" si="154"/>
        <v>1000</v>
      </c>
      <c r="AM179" s="1537">
        <f t="shared" si="155"/>
        <v>1000</v>
      </c>
      <c r="AN179" s="1537">
        <f t="shared" si="156"/>
        <v>1000</v>
      </c>
      <c r="AO179" s="1537">
        <f t="shared" si="157"/>
        <v>1000</v>
      </c>
      <c r="AP179" s="1537">
        <f t="shared" si="158"/>
        <v>1000</v>
      </c>
      <c r="AQ179" s="1537">
        <f t="shared" si="159"/>
        <v>1000</v>
      </c>
      <c r="AR179" s="1537">
        <f t="shared" si="160"/>
        <v>1000</v>
      </c>
    </row>
    <row r="180" spans="1:44" x14ac:dyDescent="0.3">
      <c r="C180" s="1566" t="s">
        <v>3112</v>
      </c>
      <c r="D180" s="1563" t="s">
        <v>3370</v>
      </c>
      <c r="E180" s="1556">
        <v>5</v>
      </c>
      <c r="F180" s="1518">
        <f t="shared" si="130"/>
        <v>1</v>
      </c>
      <c r="G180" s="1532">
        <f t="shared" si="131"/>
        <v>0</v>
      </c>
      <c r="H180" s="1533">
        <f t="shared" si="132"/>
        <v>0</v>
      </c>
      <c r="I180" s="1534">
        <f t="shared" si="133"/>
        <v>0.2</v>
      </c>
      <c r="J180" s="1519">
        <v>1450000</v>
      </c>
      <c r="K180" s="1519">
        <v>942500</v>
      </c>
      <c r="N180" s="1519">
        <f t="shared" si="134"/>
        <v>507500</v>
      </c>
      <c r="Q180" s="1557">
        <v>265833</v>
      </c>
      <c r="R180" s="1519">
        <f t="shared" si="135"/>
        <v>1450000</v>
      </c>
      <c r="S180" s="1519">
        <f t="shared" si="136"/>
        <v>241667</v>
      </c>
      <c r="T180" s="1519">
        <f t="shared" si="137"/>
        <v>0</v>
      </c>
      <c r="U180" s="1535">
        <f t="shared" si="138"/>
        <v>24166.666666666668</v>
      </c>
      <c r="V180" s="1537">
        <f t="shared" si="139"/>
        <v>289999.66666666669</v>
      </c>
      <c r="W180" s="1519">
        <f t="shared" si="140"/>
        <v>216500.33333333334</v>
      </c>
      <c r="X180" s="1537">
        <f t="shared" si="141"/>
        <v>0</v>
      </c>
      <c r="Y180" s="1537">
        <f t="shared" si="142"/>
        <v>0</v>
      </c>
      <c r="Z180" s="1537">
        <f t="shared" si="143"/>
        <v>0</v>
      </c>
      <c r="AA180" s="1537">
        <f t="shared" si="144"/>
        <v>0</v>
      </c>
      <c r="AB180" s="1537">
        <f t="shared" si="145"/>
        <v>0</v>
      </c>
      <c r="AC180" s="1537">
        <f t="shared" si="146"/>
        <v>0</v>
      </c>
      <c r="AD180" s="1537">
        <f t="shared" si="147"/>
        <v>0</v>
      </c>
      <c r="AE180" s="1537">
        <f t="shared" si="148"/>
        <v>0</v>
      </c>
      <c r="AF180" s="1536">
        <f t="shared" si="149"/>
        <v>0</v>
      </c>
      <c r="AG180" s="1555"/>
      <c r="AH180" s="1537">
        <f t="shared" si="150"/>
        <v>217500.33333333334</v>
      </c>
      <c r="AI180" s="1537">
        <f t="shared" si="151"/>
        <v>1000</v>
      </c>
      <c r="AJ180" s="1537">
        <f t="shared" si="152"/>
        <v>1000</v>
      </c>
      <c r="AK180" s="1537">
        <f t="shared" si="153"/>
        <v>1000</v>
      </c>
      <c r="AL180" s="1537">
        <f t="shared" si="154"/>
        <v>1000</v>
      </c>
      <c r="AM180" s="1537">
        <f t="shared" si="155"/>
        <v>1000</v>
      </c>
      <c r="AN180" s="1537">
        <f t="shared" si="156"/>
        <v>1000</v>
      </c>
      <c r="AO180" s="1537">
        <f t="shared" si="157"/>
        <v>1000</v>
      </c>
      <c r="AP180" s="1537">
        <f t="shared" si="158"/>
        <v>1000</v>
      </c>
      <c r="AQ180" s="1537">
        <f t="shared" si="159"/>
        <v>1000</v>
      </c>
      <c r="AR180" s="1537">
        <f t="shared" si="160"/>
        <v>1000</v>
      </c>
    </row>
    <row r="181" spans="1:44" x14ac:dyDescent="0.3">
      <c r="C181" s="1566" t="s">
        <v>3136</v>
      </c>
      <c r="D181" s="1563" t="s">
        <v>3370</v>
      </c>
      <c r="E181" s="1556">
        <v>5</v>
      </c>
      <c r="F181" s="1518">
        <f t="shared" si="130"/>
        <v>1</v>
      </c>
      <c r="G181" s="1532">
        <f t="shared" si="131"/>
        <v>0</v>
      </c>
      <c r="H181" s="1533">
        <f t="shared" si="132"/>
        <v>0</v>
      </c>
      <c r="I181" s="1534">
        <f t="shared" si="133"/>
        <v>0.2</v>
      </c>
      <c r="J181" s="1519">
        <v>1601410</v>
      </c>
      <c r="K181" s="1519">
        <v>1040917</v>
      </c>
      <c r="N181" s="1519">
        <f t="shared" si="134"/>
        <v>560493</v>
      </c>
      <c r="Q181" s="1557">
        <v>293592</v>
      </c>
      <c r="R181" s="1519">
        <f t="shared" si="135"/>
        <v>1601410</v>
      </c>
      <c r="S181" s="1519">
        <f t="shared" si="136"/>
        <v>266901</v>
      </c>
      <c r="T181" s="1519">
        <f t="shared" si="137"/>
        <v>0</v>
      </c>
      <c r="U181" s="1535">
        <f t="shared" si="138"/>
        <v>26690.166666666664</v>
      </c>
      <c r="V181" s="1537">
        <f t="shared" si="139"/>
        <v>320282.16666666669</v>
      </c>
      <c r="W181" s="1519">
        <f t="shared" si="140"/>
        <v>239210.83333333334</v>
      </c>
      <c r="X181" s="1537">
        <f t="shared" si="141"/>
        <v>0</v>
      </c>
      <c r="Y181" s="1537">
        <f t="shared" si="142"/>
        <v>0</v>
      </c>
      <c r="Z181" s="1537">
        <f t="shared" si="143"/>
        <v>0</v>
      </c>
      <c r="AA181" s="1537">
        <f t="shared" si="144"/>
        <v>0</v>
      </c>
      <c r="AB181" s="1537">
        <f t="shared" si="145"/>
        <v>0</v>
      </c>
      <c r="AC181" s="1537">
        <f t="shared" si="146"/>
        <v>0</v>
      </c>
      <c r="AD181" s="1537">
        <f t="shared" si="147"/>
        <v>0</v>
      </c>
      <c r="AE181" s="1537">
        <f t="shared" si="148"/>
        <v>0</v>
      </c>
      <c r="AF181" s="1536">
        <f t="shared" si="149"/>
        <v>0</v>
      </c>
      <c r="AG181" s="1555"/>
      <c r="AH181" s="1537">
        <f t="shared" si="150"/>
        <v>240210.83333333334</v>
      </c>
      <c r="AI181" s="1537">
        <f t="shared" si="151"/>
        <v>1000</v>
      </c>
      <c r="AJ181" s="1537">
        <f t="shared" si="152"/>
        <v>1000</v>
      </c>
      <c r="AK181" s="1537">
        <f t="shared" si="153"/>
        <v>1000</v>
      </c>
      <c r="AL181" s="1537">
        <f t="shared" si="154"/>
        <v>1000</v>
      </c>
      <c r="AM181" s="1537">
        <f t="shared" si="155"/>
        <v>1000</v>
      </c>
      <c r="AN181" s="1537">
        <f t="shared" si="156"/>
        <v>1000</v>
      </c>
      <c r="AO181" s="1537">
        <f t="shared" si="157"/>
        <v>1000</v>
      </c>
      <c r="AP181" s="1537">
        <f t="shared" si="158"/>
        <v>1000</v>
      </c>
      <c r="AQ181" s="1537">
        <f t="shared" si="159"/>
        <v>1000</v>
      </c>
      <c r="AR181" s="1537">
        <f t="shared" si="160"/>
        <v>1000</v>
      </c>
    </row>
    <row r="182" spans="1:44" x14ac:dyDescent="0.3">
      <c r="C182" s="1566" t="s">
        <v>3137</v>
      </c>
      <c r="D182" s="1563" t="s">
        <v>3371</v>
      </c>
      <c r="E182" s="1556">
        <v>5</v>
      </c>
      <c r="F182" s="1518">
        <f t="shared" si="130"/>
        <v>1</v>
      </c>
      <c r="G182" s="1532">
        <f t="shared" si="131"/>
        <v>0</v>
      </c>
      <c r="H182" s="1533">
        <f t="shared" si="132"/>
        <v>0</v>
      </c>
      <c r="I182" s="1534">
        <f t="shared" si="133"/>
        <v>0.2</v>
      </c>
      <c r="J182" s="1519">
        <v>596000</v>
      </c>
      <c r="K182" s="1519">
        <v>377467</v>
      </c>
      <c r="N182" s="1519">
        <f t="shared" si="134"/>
        <v>218533</v>
      </c>
      <c r="Q182" s="1557">
        <v>109267</v>
      </c>
      <c r="R182" s="1519">
        <f t="shared" si="135"/>
        <v>596000</v>
      </c>
      <c r="S182" s="1519">
        <f t="shared" si="136"/>
        <v>109266</v>
      </c>
      <c r="T182" s="1519">
        <f t="shared" si="137"/>
        <v>0</v>
      </c>
      <c r="U182" s="1535">
        <f t="shared" si="138"/>
        <v>9933.3333333333339</v>
      </c>
      <c r="V182" s="1537">
        <f t="shared" si="139"/>
        <v>119200.33333333333</v>
      </c>
      <c r="W182" s="1519">
        <f t="shared" si="140"/>
        <v>98332.666666666672</v>
      </c>
      <c r="X182" s="1537">
        <f t="shared" si="141"/>
        <v>0</v>
      </c>
      <c r="Y182" s="1537">
        <f t="shared" si="142"/>
        <v>0</v>
      </c>
      <c r="Z182" s="1537">
        <f t="shared" si="143"/>
        <v>0</v>
      </c>
      <c r="AA182" s="1537">
        <f t="shared" si="144"/>
        <v>0</v>
      </c>
      <c r="AB182" s="1537">
        <f t="shared" si="145"/>
        <v>0</v>
      </c>
      <c r="AC182" s="1537">
        <f t="shared" si="146"/>
        <v>0</v>
      </c>
      <c r="AD182" s="1537">
        <f t="shared" si="147"/>
        <v>0</v>
      </c>
      <c r="AE182" s="1537">
        <f t="shared" si="148"/>
        <v>0</v>
      </c>
      <c r="AF182" s="1536">
        <f t="shared" si="149"/>
        <v>0</v>
      </c>
      <c r="AG182" s="1555"/>
      <c r="AH182" s="1537">
        <f t="shared" si="150"/>
        <v>99332.666666666672</v>
      </c>
      <c r="AI182" s="1537">
        <f t="shared" si="151"/>
        <v>1000</v>
      </c>
      <c r="AJ182" s="1537">
        <f t="shared" si="152"/>
        <v>1000</v>
      </c>
      <c r="AK182" s="1537">
        <f t="shared" si="153"/>
        <v>1000</v>
      </c>
      <c r="AL182" s="1537">
        <f t="shared" si="154"/>
        <v>1000</v>
      </c>
      <c r="AM182" s="1537">
        <f t="shared" si="155"/>
        <v>1000</v>
      </c>
      <c r="AN182" s="1537">
        <f t="shared" si="156"/>
        <v>1000</v>
      </c>
      <c r="AO182" s="1537">
        <f t="shared" si="157"/>
        <v>1000</v>
      </c>
      <c r="AP182" s="1537">
        <f t="shared" si="158"/>
        <v>1000</v>
      </c>
      <c r="AQ182" s="1537">
        <f t="shared" si="159"/>
        <v>1000</v>
      </c>
      <c r="AR182" s="1537">
        <f t="shared" si="160"/>
        <v>1000</v>
      </c>
    </row>
    <row r="183" spans="1:44" x14ac:dyDescent="0.3">
      <c r="C183" s="1566" t="s">
        <v>3138</v>
      </c>
      <c r="D183" s="1563" t="s">
        <v>3372</v>
      </c>
      <c r="E183" s="1556">
        <v>5</v>
      </c>
      <c r="F183" s="1518">
        <f t="shared" si="130"/>
        <v>1</v>
      </c>
      <c r="G183" s="1532">
        <f t="shared" si="131"/>
        <v>0</v>
      </c>
      <c r="H183" s="1533">
        <f t="shared" si="132"/>
        <v>0</v>
      </c>
      <c r="I183" s="1534">
        <f t="shared" si="133"/>
        <v>0.2</v>
      </c>
      <c r="J183" s="1519">
        <v>941000</v>
      </c>
      <c r="K183" s="1519">
        <v>595967</v>
      </c>
      <c r="N183" s="1519">
        <f t="shared" si="134"/>
        <v>345033</v>
      </c>
      <c r="Q183" s="1557">
        <v>172517</v>
      </c>
      <c r="R183" s="1519">
        <f t="shared" si="135"/>
        <v>941000</v>
      </c>
      <c r="S183" s="1519">
        <f t="shared" si="136"/>
        <v>172516</v>
      </c>
      <c r="T183" s="1519">
        <f t="shared" si="137"/>
        <v>0</v>
      </c>
      <c r="U183" s="1535">
        <f t="shared" si="138"/>
        <v>15683.333333333332</v>
      </c>
      <c r="V183" s="1537">
        <f t="shared" si="139"/>
        <v>188200.33333333334</v>
      </c>
      <c r="W183" s="1519">
        <f t="shared" si="140"/>
        <v>155832.66666666666</v>
      </c>
      <c r="X183" s="1537">
        <f t="shared" si="141"/>
        <v>0</v>
      </c>
      <c r="Y183" s="1537">
        <f t="shared" si="142"/>
        <v>0</v>
      </c>
      <c r="Z183" s="1537">
        <f t="shared" si="143"/>
        <v>0</v>
      </c>
      <c r="AA183" s="1537">
        <f t="shared" si="144"/>
        <v>0</v>
      </c>
      <c r="AB183" s="1537">
        <f t="shared" si="145"/>
        <v>0</v>
      </c>
      <c r="AC183" s="1537">
        <f t="shared" si="146"/>
        <v>0</v>
      </c>
      <c r="AD183" s="1537">
        <f t="shared" si="147"/>
        <v>0</v>
      </c>
      <c r="AE183" s="1537">
        <f t="shared" si="148"/>
        <v>0</v>
      </c>
      <c r="AF183" s="1536">
        <f t="shared" si="149"/>
        <v>0</v>
      </c>
      <c r="AG183" s="1555"/>
      <c r="AH183" s="1537">
        <f t="shared" si="150"/>
        <v>156832.66666666666</v>
      </c>
      <c r="AI183" s="1537">
        <f t="shared" si="151"/>
        <v>1000</v>
      </c>
      <c r="AJ183" s="1537">
        <f t="shared" si="152"/>
        <v>1000</v>
      </c>
      <c r="AK183" s="1537">
        <f t="shared" si="153"/>
        <v>1000</v>
      </c>
      <c r="AL183" s="1537">
        <f t="shared" si="154"/>
        <v>1000</v>
      </c>
      <c r="AM183" s="1537">
        <f t="shared" si="155"/>
        <v>1000</v>
      </c>
      <c r="AN183" s="1537">
        <f t="shared" si="156"/>
        <v>1000</v>
      </c>
      <c r="AO183" s="1537">
        <f t="shared" si="157"/>
        <v>1000</v>
      </c>
      <c r="AP183" s="1537">
        <f t="shared" si="158"/>
        <v>1000</v>
      </c>
      <c r="AQ183" s="1537">
        <f t="shared" si="159"/>
        <v>1000</v>
      </c>
      <c r="AR183" s="1537">
        <f t="shared" si="160"/>
        <v>1000</v>
      </c>
    </row>
    <row r="184" spans="1:44" x14ac:dyDescent="0.3">
      <c r="C184" s="1566" t="s">
        <v>3139</v>
      </c>
      <c r="D184" s="1563" t="s">
        <v>3373</v>
      </c>
      <c r="E184" s="1556">
        <v>5</v>
      </c>
      <c r="F184" s="1518">
        <f t="shared" si="130"/>
        <v>1</v>
      </c>
      <c r="G184" s="1532">
        <f t="shared" si="131"/>
        <v>0</v>
      </c>
      <c r="H184" s="1533">
        <f t="shared" si="132"/>
        <v>0</v>
      </c>
      <c r="I184" s="1534">
        <f t="shared" si="133"/>
        <v>0.2</v>
      </c>
      <c r="J184" s="1519">
        <v>2313000</v>
      </c>
      <c r="K184" s="1519">
        <v>1464900</v>
      </c>
      <c r="N184" s="1519">
        <f t="shared" si="134"/>
        <v>848100</v>
      </c>
      <c r="Q184" s="1557">
        <v>424050</v>
      </c>
      <c r="R184" s="1519">
        <f t="shared" si="135"/>
        <v>2313000</v>
      </c>
      <c r="S184" s="1519">
        <f t="shared" si="136"/>
        <v>424050</v>
      </c>
      <c r="T184" s="1519">
        <f t="shared" si="137"/>
        <v>0</v>
      </c>
      <c r="U184" s="1535">
        <f t="shared" si="138"/>
        <v>38550</v>
      </c>
      <c r="V184" s="1537">
        <f t="shared" si="139"/>
        <v>462600</v>
      </c>
      <c r="W184" s="1519">
        <f t="shared" si="140"/>
        <v>384500</v>
      </c>
      <c r="X184" s="1537">
        <f t="shared" si="141"/>
        <v>0</v>
      </c>
      <c r="Y184" s="1537">
        <f t="shared" si="142"/>
        <v>0</v>
      </c>
      <c r="Z184" s="1537">
        <f t="shared" si="143"/>
        <v>0</v>
      </c>
      <c r="AA184" s="1537">
        <f t="shared" si="144"/>
        <v>0</v>
      </c>
      <c r="AB184" s="1537">
        <f t="shared" si="145"/>
        <v>0</v>
      </c>
      <c r="AC184" s="1537">
        <f t="shared" si="146"/>
        <v>0</v>
      </c>
      <c r="AD184" s="1537">
        <f t="shared" si="147"/>
        <v>0</v>
      </c>
      <c r="AE184" s="1537">
        <f t="shared" si="148"/>
        <v>0</v>
      </c>
      <c r="AF184" s="1536">
        <f t="shared" si="149"/>
        <v>0</v>
      </c>
      <c r="AG184" s="1555"/>
      <c r="AH184" s="1537">
        <f t="shared" si="150"/>
        <v>385500</v>
      </c>
      <c r="AI184" s="1537">
        <f t="shared" si="151"/>
        <v>1000</v>
      </c>
      <c r="AJ184" s="1537">
        <f t="shared" si="152"/>
        <v>1000</v>
      </c>
      <c r="AK184" s="1537">
        <f t="shared" si="153"/>
        <v>1000</v>
      </c>
      <c r="AL184" s="1537">
        <f t="shared" si="154"/>
        <v>1000</v>
      </c>
      <c r="AM184" s="1537">
        <f t="shared" si="155"/>
        <v>1000</v>
      </c>
      <c r="AN184" s="1537">
        <f t="shared" si="156"/>
        <v>1000</v>
      </c>
      <c r="AO184" s="1537">
        <f t="shared" si="157"/>
        <v>1000</v>
      </c>
      <c r="AP184" s="1537">
        <f t="shared" si="158"/>
        <v>1000</v>
      </c>
      <c r="AQ184" s="1537">
        <f t="shared" si="159"/>
        <v>1000</v>
      </c>
      <c r="AR184" s="1537">
        <f t="shared" si="160"/>
        <v>1000</v>
      </c>
    </row>
    <row r="185" spans="1:44" x14ac:dyDescent="0.3">
      <c r="C185" s="1566" t="s">
        <v>3140</v>
      </c>
      <c r="D185" s="1563" t="s">
        <v>3374</v>
      </c>
      <c r="E185" s="1556">
        <v>5</v>
      </c>
      <c r="F185" s="1518">
        <f t="shared" si="130"/>
        <v>1</v>
      </c>
      <c r="G185" s="1532">
        <f t="shared" si="131"/>
        <v>0</v>
      </c>
      <c r="H185" s="1533">
        <f t="shared" si="132"/>
        <v>0</v>
      </c>
      <c r="I185" s="1534">
        <f t="shared" si="133"/>
        <v>0.2</v>
      </c>
      <c r="J185" s="1519">
        <v>1360000</v>
      </c>
      <c r="K185" s="1519">
        <v>861333</v>
      </c>
      <c r="N185" s="1519">
        <f t="shared" si="134"/>
        <v>498667</v>
      </c>
      <c r="Q185" s="1557">
        <v>249333</v>
      </c>
      <c r="R185" s="1519">
        <f t="shared" si="135"/>
        <v>1360000</v>
      </c>
      <c r="S185" s="1519">
        <f t="shared" si="136"/>
        <v>249334</v>
      </c>
      <c r="T185" s="1519">
        <f t="shared" si="137"/>
        <v>0</v>
      </c>
      <c r="U185" s="1535">
        <f t="shared" si="138"/>
        <v>22666.666666666668</v>
      </c>
      <c r="V185" s="1537">
        <f t="shared" si="139"/>
        <v>271999.66666666669</v>
      </c>
      <c r="W185" s="1519">
        <f t="shared" si="140"/>
        <v>225667.33333333334</v>
      </c>
      <c r="X185" s="1537">
        <f t="shared" si="141"/>
        <v>0</v>
      </c>
      <c r="Y185" s="1537">
        <f t="shared" si="142"/>
        <v>0</v>
      </c>
      <c r="Z185" s="1537">
        <f t="shared" si="143"/>
        <v>0</v>
      </c>
      <c r="AA185" s="1537">
        <f t="shared" si="144"/>
        <v>0</v>
      </c>
      <c r="AB185" s="1537">
        <f t="shared" si="145"/>
        <v>0</v>
      </c>
      <c r="AC185" s="1537">
        <f t="shared" si="146"/>
        <v>0</v>
      </c>
      <c r="AD185" s="1537">
        <f t="shared" si="147"/>
        <v>0</v>
      </c>
      <c r="AE185" s="1537">
        <f t="shared" si="148"/>
        <v>0</v>
      </c>
      <c r="AF185" s="1536">
        <f t="shared" si="149"/>
        <v>0</v>
      </c>
      <c r="AG185" s="1555"/>
      <c r="AH185" s="1537">
        <f t="shared" si="150"/>
        <v>226667.33333333334</v>
      </c>
      <c r="AI185" s="1537">
        <f t="shared" si="151"/>
        <v>1000</v>
      </c>
      <c r="AJ185" s="1537">
        <f t="shared" si="152"/>
        <v>1000</v>
      </c>
      <c r="AK185" s="1537">
        <f t="shared" si="153"/>
        <v>1000</v>
      </c>
      <c r="AL185" s="1537">
        <f t="shared" si="154"/>
        <v>1000</v>
      </c>
      <c r="AM185" s="1537">
        <f t="shared" si="155"/>
        <v>1000</v>
      </c>
      <c r="AN185" s="1537">
        <f t="shared" si="156"/>
        <v>1000</v>
      </c>
      <c r="AO185" s="1537">
        <f t="shared" si="157"/>
        <v>1000</v>
      </c>
      <c r="AP185" s="1537">
        <f t="shared" si="158"/>
        <v>1000</v>
      </c>
      <c r="AQ185" s="1537">
        <f t="shared" si="159"/>
        <v>1000</v>
      </c>
      <c r="AR185" s="1537">
        <f t="shared" si="160"/>
        <v>1000</v>
      </c>
    </row>
    <row r="186" spans="1:44" x14ac:dyDescent="0.3">
      <c r="A186" s="1498" t="s">
        <v>3796</v>
      </c>
      <c r="C186" s="1566" t="s">
        <v>3141</v>
      </c>
      <c r="D186" s="1563" t="s">
        <v>3375</v>
      </c>
      <c r="E186" s="1556">
        <v>5</v>
      </c>
      <c r="F186" s="1518">
        <f t="shared" si="130"/>
        <v>1</v>
      </c>
      <c r="G186" s="1532">
        <f t="shared" si="131"/>
        <v>0</v>
      </c>
      <c r="H186" s="1533">
        <f t="shared" si="132"/>
        <v>0</v>
      </c>
      <c r="I186" s="1534">
        <f t="shared" si="133"/>
        <v>0.2</v>
      </c>
      <c r="J186" s="1519">
        <v>87140000</v>
      </c>
      <c r="K186" s="1519">
        <v>55188667</v>
      </c>
      <c r="N186" s="1519">
        <f t="shared" si="134"/>
        <v>31951333</v>
      </c>
      <c r="Q186" s="1557">
        <v>15975667</v>
      </c>
      <c r="R186" s="1519">
        <f t="shared" si="135"/>
        <v>87140000</v>
      </c>
      <c r="S186" s="1519">
        <f t="shared" si="136"/>
        <v>15975666</v>
      </c>
      <c r="T186" s="1519">
        <f t="shared" si="137"/>
        <v>0</v>
      </c>
      <c r="U186" s="1535">
        <f t="shared" si="138"/>
        <v>1452333.3333333333</v>
      </c>
      <c r="V186" s="1537">
        <f t="shared" si="139"/>
        <v>17428000.333333332</v>
      </c>
      <c r="W186" s="1519">
        <f t="shared" si="140"/>
        <v>14522332.666666666</v>
      </c>
      <c r="X186" s="1537">
        <f t="shared" si="141"/>
        <v>0</v>
      </c>
      <c r="Y186" s="1537">
        <f t="shared" si="142"/>
        <v>0</v>
      </c>
      <c r="Z186" s="1537">
        <f t="shared" si="143"/>
        <v>0</v>
      </c>
      <c r="AA186" s="1537">
        <f t="shared" si="144"/>
        <v>0</v>
      </c>
      <c r="AB186" s="1537">
        <f t="shared" si="145"/>
        <v>0</v>
      </c>
      <c r="AC186" s="1537">
        <f t="shared" si="146"/>
        <v>0</v>
      </c>
      <c r="AD186" s="1537">
        <f t="shared" si="147"/>
        <v>0</v>
      </c>
      <c r="AE186" s="1537">
        <f t="shared" si="148"/>
        <v>0</v>
      </c>
      <c r="AF186" s="1536">
        <f t="shared" si="149"/>
        <v>0</v>
      </c>
      <c r="AG186" s="1555"/>
      <c r="AH186" s="1537">
        <f t="shared" si="150"/>
        <v>14523332.666666666</v>
      </c>
      <c r="AI186" s="1537">
        <f t="shared" si="151"/>
        <v>1000</v>
      </c>
      <c r="AJ186" s="1537">
        <f t="shared" si="152"/>
        <v>1000</v>
      </c>
      <c r="AK186" s="1537">
        <f t="shared" si="153"/>
        <v>1000</v>
      </c>
      <c r="AL186" s="1537">
        <f t="shared" si="154"/>
        <v>1000</v>
      </c>
      <c r="AM186" s="1537">
        <f t="shared" si="155"/>
        <v>1000</v>
      </c>
      <c r="AN186" s="1537">
        <f t="shared" si="156"/>
        <v>1000</v>
      </c>
      <c r="AO186" s="1537">
        <f t="shared" si="157"/>
        <v>1000</v>
      </c>
      <c r="AP186" s="1537">
        <f t="shared" si="158"/>
        <v>1000</v>
      </c>
      <c r="AQ186" s="1537">
        <f t="shared" si="159"/>
        <v>1000</v>
      </c>
      <c r="AR186" s="1537">
        <f t="shared" si="160"/>
        <v>1000</v>
      </c>
    </row>
    <row r="187" spans="1:44" x14ac:dyDescent="0.3">
      <c r="C187" s="1566" t="s">
        <v>3140</v>
      </c>
      <c r="D187" s="1563" t="s">
        <v>3376</v>
      </c>
      <c r="E187" s="1556">
        <v>5</v>
      </c>
      <c r="F187" s="1518">
        <f t="shared" si="130"/>
        <v>1</v>
      </c>
      <c r="G187" s="1532">
        <f t="shared" si="131"/>
        <v>0</v>
      </c>
      <c r="H187" s="1533">
        <f t="shared" si="132"/>
        <v>0</v>
      </c>
      <c r="I187" s="1534">
        <f t="shared" si="133"/>
        <v>0.2</v>
      </c>
      <c r="J187" s="1519">
        <v>1360000</v>
      </c>
      <c r="K187" s="1519">
        <v>861333</v>
      </c>
      <c r="N187" s="1519">
        <f t="shared" si="134"/>
        <v>498667</v>
      </c>
      <c r="Q187" s="1557">
        <v>249333</v>
      </c>
      <c r="R187" s="1519">
        <f t="shared" si="135"/>
        <v>1360000</v>
      </c>
      <c r="S187" s="1519">
        <f t="shared" si="136"/>
        <v>249334</v>
      </c>
      <c r="T187" s="1519">
        <f t="shared" si="137"/>
        <v>0</v>
      </c>
      <c r="U187" s="1535">
        <f t="shared" si="138"/>
        <v>22666.666666666668</v>
      </c>
      <c r="V187" s="1537">
        <f t="shared" si="139"/>
        <v>271999.66666666669</v>
      </c>
      <c r="W187" s="1519">
        <f t="shared" si="140"/>
        <v>225667.33333333334</v>
      </c>
      <c r="X187" s="1537">
        <f t="shared" si="141"/>
        <v>0</v>
      </c>
      <c r="Y187" s="1537">
        <f t="shared" si="142"/>
        <v>0</v>
      </c>
      <c r="Z187" s="1537">
        <f t="shared" si="143"/>
        <v>0</v>
      </c>
      <c r="AA187" s="1537">
        <f t="shared" si="144"/>
        <v>0</v>
      </c>
      <c r="AB187" s="1537">
        <f t="shared" si="145"/>
        <v>0</v>
      </c>
      <c r="AC187" s="1537">
        <f t="shared" si="146"/>
        <v>0</v>
      </c>
      <c r="AD187" s="1537">
        <f t="shared" si="147"/>
        <v>0</v>
      </c>
      <c r="AE187" s="1537">
        <f t="shared" si="148"/>
        <v>0</v>
      </c>
      <c r="AF187" s="1536">
        <f t="shared" si="149"/>
        <v>0</v>
      </c>
      <c r="AG187" s="1555"/>
      <c r="AH187" s="1537">
        <f t="shared" si="150"/>
        <v>226667.33333333334</v>
      </c>
      <c r="AI187" s="1537">
        <f t="shared" si="151"/>
        <v>1000</v>
      </c>
      <c r="AJ187" s="1537">
        <f t="shared" si="152"/>
        <v>1000</v>
      </c>
      <c r="AK187" s="1537">
        <f t="shared" si="153"/>
        <v>1000</v>
      </c>
      <c r="AL187" s="1537">
        <f t="shared" si="154"/>
        <v>1000</v>
      </c>
      <c r="AM187" s="1537">
        <f t="shared" si="155"/>
        <v>1000</v>
      </c>
      <c r="AN187" s="1537">
        <f t="shared" si="156"/>
        <v>1000</v>
      </c>
      <c r="AO187" s="1537">
        <f t="shared" si="157"/>
        <v>1000</v>
      </c>
      <c r="AP187" s="1537">
        <f t="shared" si="158"/>
        <v>1000</v>
      </c>
      <c r="AQ187" s="1537">
        <f t="shared" si="159"/>
        <v>1000</v>
      </c>
      <c r="AR187" s="1537">
        <f t="shared" si="160"/>
        <v>1000</v>
      </c>
    </row>
    <row r="188" spans="1:44" x14ac:dyDescent="0.3">
      <c r="C188" s="1566" t="s">
        <v>3140</v>
      </c>
      <c r="D188" s="1563" t="s">
        <v>3377</v>
      </c>
      <c r="E188" s="1556">
        <v>5</v>
      </c>
      <c r="F188" s="1518">
        <f t="shared" si="130"/>
        <v>1</v>
      </c>
      <c r="G188" s="1532">
        <f t="shared" si="131"/>
        <v>0</v>
      </c>
      <c r="H188" s="1533">
        <f t="shared" si="132"/>
        <v>0</v>
      </c>
      <c r="I188" s="1534">
        <f t="shared" si="133"/>
        <v>0.2</v>
      </c>
      <c r="J188" s="1519">
        <v>1360000</v>
      </c>
      <c r="K188" s="1519">
        <v>861333</v>
      </c>
      <c r="N188" s="1519">
        <f t="shared" si="134"/>
        <v>498667</v>
      </c>
      <c r="Q188" s="1557">
        <v>249333</v>
      </c>
      <c r="R188" s="1519">
        <f t="shared" si="135"/>
        <v>1360000</v>
      </c>
      <c r="S188" s="1519">
        <f t="shared" si="136"/>
        <v>249334</v>
      </c>
      <c r="T188" s="1519">
        <f t="shared" si="137"/>
        <v>0</v>
      </c>
      <c r="U188" s="1535">
        <f t="shared" si="138"/>
        <v>22666.666666666668</v>
      </c>
      <c r="V188" s="1537">
        <f t="shared" si="139"/>
        <v>271999.66666666669</v>
      </c>
      <c r="W188" s="1519">
        <f t="shared" si="140"/>
        <v>225667.33333333334</v>
      </c>
      <c r="X188" s="1537">
        <f t="shared" si="141"/>
        <v>0</v>
      </c>
      <c r="Y188" s="1537">
        <f t="shared" si="142"/>
        <v>0</v>
      </c>
      <c r="Z188" s="1537">
        <f t="shared" si="143"/>
        <v>0</v>
      </c>
      <c r="AA188" s="1537">
        <f t="shared" si="144"/>
        <v>0</v>
      </c>
      <c r="AB188" s="1537">
        <f t="shared" si="145"/>
        <v>0</v>
      </c>
      <c r="AC188" s="1537">
        <f t="shared" si="146"/>
        <v>0</v>
      </c>
      <c r="AD188" s="1537">
        <f t="shared" si="147"/>
        <v>0</v>
      </c>
      <c r="AE188" s="1537">
        <f t="shared" si="148"/>
        <v>0</v>
      </c>
      <c r="AF188" s="1536">
        <f t="shared" si="149"/>
        <v>0</v>
      </c>
      <c r="AG188" s="1555"/>
      <c r="AH188" s="1537">
        <f t="shared" si="150"/>
        <v>226667.33333333334</v>
      </c>
      <c r="AI188" s="1537">
        <f t="shared" si="151"/>
        <v>1000</v>
      </c>
      <c r="AJ188" s="1537">
        <f t="shared" si="152"/>
        <v>1000</v>
      </c>
      <c r="AK188" s="1537">
        <f t="shared" si="153"/>
        <v>1000</v>
      </c>
      <c r="AL188" s="1537">
        <f t="shared" si="154"/>
        <v>1000</v>
      </c>
      <c r="AM188" s="1537">
        <f t="shared" si="155"/>
        <v>1000</v>
      </c>
      <c r="AN188" s="1537">
        <f t="shared" si="156"/>
        <v>1000</v>
      </c>
      <c r="AO188" s="1537">
        <f t="shared" si="157"/>
        <v>1000</v>
      </c>
      <c r="AP188" s="1537">
        <f t="shared" si="158"/>
        <v>1000</v>
      </c>
      <c r="AQ188" s="1537">
        <f t="shared" si="159"/>
        <v>1000</v>
      </c>
      <c r="AR188" s="1537">
        <f t="shared" si="160"/>
        <v>1000</v>
      </c>
    </row>
    <row r="189" spans="1:44" x14ac:dyDescent="0.3">
      <c r="C189" s="1566" t="s">
        <v>3142</v>
      </c>
      <c r="D189" s="1563" t="s">
        <v>3378</v>
      </c>
      <c r="E189" s="1556">
        <v>5</v>
      </c>
      <c r="F189" s="1518">
        <f t="shared" si="130"/>
        <v>1</v>
      </c>
      <c r="G189" s="1532">
        <f t="shared" si="131"/>
        <v>0</v>
      </c>
      <c r="H189" s="1533">
        <f t="shared" si="132"/>
        <v>0</v>
      </c>
      <c r="I189" s="1534">
        <f t="shared" si="133"/>
        <v>0.2</v>
      </c>
      <c r="J189" s="1519">
        <v>1500000</v>
      </c>
      <c r="K189" s="1519">
        <v>950000</v>
      </c>
      <c r="N189" s="1519">
        <f t="shared" si="134"/>
        <v>550000</v>
      </c>
      <c r="Q189" s="1557">
        <v>275000</v>
      </c>
      <c r="R189" s="1519">
        <f t="shared" si="135"/>
        <v>1500000</v>
      </c>
      <c r="S189" s="1519">
        <f t="shared" si="136"/>
        <v>275000</v>
      </c>
      <c r="T189" s="1519">
        <f t="shared" si="137"/>
        <v>0</v>
      </c>
      <c r="U189" s="1535">
        <f t="shared" si="138"/>
        <v>25000</v>
      </c>
      <c r="V189" s="1537">
        <f t="shared" si="139"/>
        <v>300000</v>
      </c>
      <c r="W189" s="1519">
        <f t="shared" si="140"/>
        <v>249000</v>
      </c>
      <c r="X189" s="1537">
        <f t="shared" si="141"/>
        <v>0</v>
      </c>
      <c r="Y189" s="1537">
        <f t="shared" si="142"/>
        <v>0</v>
      </c>
      <c r="Z189" s="1537">
        <f t="shared" si="143"/>
        <v>0</v>
      </c>
      <c r="AA189" s="1537">
        <f t="shared" si="144"/>
        <v>0</v>
      </c>
      <c r="AB189" s="1537">
        <f t="shared" si="145"/>
        <v>0</v>
      </c>
      <c r="AC189" s="1537">
        <f t="shared" si="146"/>
        <v>0</v>
      </c>
      <c r="AD189" s="1537">
        <f t="shared" si="147"/>
        <v>0</v>
      </c>
      <c r="AE189" s="1537">
        <f t="shared" si="148"/>
        <v>0</v>
      </c>
      <c r="AF189" s="1536">
        <f t="shared" si="149"/>
        <v>0</v>
      </c>
      <c r="AG189" s="1555"/>
      <c r="AH189" s="1537">
        <f t="shared" si="150"/>
        <v>250000</v>
      </c>
      <c r="AI189" s="1537">
        <f t="shared" si="151"/>
        <v>1000</v>
      </c>
      <c r="AJ189" s="1537">
        <f t="shared" si="152"/>
        <v>1000</v>
      </c>
      <c r="AK189" s="1537">
        <f t="shared" si="153"/>
        <v>1000</v>
      </c>
      <c r="AL189" s="1537">
        <f t="shared" si="154"/>
        <v>1000</v>
      </c>
      <c r="AM189" s="1537">
        <f t="shared" si="155"/>
        <v>1000</v>
      </c>
      <c r="AN189" s="1537">
        <f t="shared" si="156"/>
        <v>1000</v>
      </c>
      <c r="AO189" s="1537">
        <f t="shared" si="157"/>
        <v>1000</v>
      </c>
      <c r="AP189" s="1537">
        <f t="shared" si="158"/>
        <v>1000</v>
      </c>
      <c r="AQ189" s="1537">
        <f t="shared" si="159"/>
        <v>1000</v>
      </c>
      <c r="AR189" s="1537">
        <f t="shared" si="160"/>
        <v>1000</v>
      </c>
    </row>
    <row r="190" spans="1:44" x14ac:dyDescent="0.3">
      <c r="C190" s="1566" t="s">
        <v>3143</v>
      </c>
      <c r="D190" s="1563" t="s">
        <v>3379</v>
      </c>
      <c r="E190" s="1556">
        <v>5</v>
      </c>
      <c r="F190" s="1518">
        <f t="shared" si="130"/>
        <v>1</v>
      </c>
      <c r="G190" s="1532">
        <f t="shared" si="131"/>
        <v>0</v>
      </c>
      <c r="H190" s="1533">
        <f t="shared" si="132"/>
        <v>0</v>
      </c>
      <c r="I190" s="1534">
        <f t="shared" si="133"/>
        <v>0.2</v>
      </c>
      <c r="J190" s="1519">
        <v>1130000</v>
      </c>
      <c r="K190" s="1519">
        <v>696833</v>
      </c>
      <c r="N190" s="1519">
        <f t="shared" si="134"/>
        <v>433167</v>
      </c>
      <c r="Q190" s="1557">
        <v>207167</v>
      </c>
      <c r="R190" s="1519">
        <f t="shared" si="135"/>
        <v>1130000</v>
      </c>
      <c r="S190" s="1519">
        <f t="shared" si="136"/>
        <v>226000</v>
      </c>
      <c r="T190" s="1519">
        <f t="shared" si="137"/>
        <v>0</v>
      </c>
      <c r="U190" s="1535">
        <f t="shared" si="138"/>
        <v>18833.333333333332</v>
      </c>
      <c r="V190" s="1537">
        <f t="shared" si="139"/>
        <v>226000.33333333334</v>
      </c>
      <c r="W190" s="1519">
        <f t="shared" si="140"/>
        <v>206166.66666666666</v>
      </c>
      <c r="X190" s="1537">
        <f t="shared" si="141"/>
        <v>0</v>
      </c>
      <c r="Y190" s="1537">
        <f t="shared" si="142"/>
        <v>0</v>
      </c>
      <c r="Z190" s="1537">
        <f t="shared" si="143"/>
        <v>0</v>
      </c>
      <c r="AA190" s="1537">
        <f t="shared" si="144"/>
        <v>0</v>
      </c>
      <c r="AB190" s="1537">
        <f t="shared" si="145"/>
        <v>0</v>
      </c>
      <c r="AC190" s="1537">
        <f t="shared" si="146"/>
        <v>0</v>
      </c>
      <c r="AD190" s="1537">
        <f t="shared" si="147"/>
        <v>0</v>
      </c>
      <c r="AE190" s="1537">
        <f t="shared" si="148"/>
        <v>0</v>
      </c>
      <c r="AF190" s="1536">
        <f t="shared" si="149"/>
        <v>0</v>
      </c>
      <c r="AG190" s="1555"/>
      <c r="AH190" s="1537">
        <f t="shared" si="150"/>
        <v>207166.66666666666</v>
      </c>
      <c r="AI190" s="1537">
        <f t="shared" si="151"/>
        <v>1000</v>
      </c>
      <c r="AJ190" s="1537">
        <f t="shared" si="152"/>
        <v>1000</v>
      </c>
      <c r="AK190" s="1537">
        <f t="shared" si="153"/>
        <v>1000</v>
      </c>
      <c r="AL190" s="1537">
        <f t="shared" si="154"/>
        <v>1000</v>
      </c>
      <c r="AM190" s="1537">
        <f t="shared" si="155"/>
        <v>1000</v>
      </c>
      <c r="AN190" s="1537">
        <f t="shared" si="156"/>
        <v>1000</v>
      </c>
      <c r="AO190" s="1537">
        <f t="shared" si="157"/>
        <v>1000</v>
      </c>
      <c r="AP190" s="1537">
        <f t="shared" si="158"/>
        <v>1000</v>
      </c>
      <c r="AQ190" s="1537">
        <f t="shared" si="159"/>
        <v>1000</v>
      </c>
      <c r="AR190" s="1537">
        <f t="shared" si="160"/>
        <v>1000</v>
      </c>
    </row>
    <row r="191" spans="1:44" x14ac:dyDescent="0.3">
      <c r="C191" s="1566" t="s">
        <v>3140</v>
      </c>
      <c r="D191" s="1563" t="s">
        <v>3380</v>
      </c>
      <c r="E191" s="1556">
        <v>5</v>
      </c>
      <c r="F191" s="1518">
        <f t="shared" si="130"/>
        <v>1</v>
      </c>
      <c r="G191" s="1532">
        <f t="shared" si="131"/>
        <v>0</v>
      </c>
      <c r="H191" s="1533">
        <f t="shared" si="132"/>
        <v>0</v>
      </c>
      <c r="I191" s="1534">
        <f t="shared" si="133"/>
        <v>0.2</v>
      </c>
      <c r="J191" s="1519">
        <v>1360000</v>
      </c>
      <c r="K191" s="1519">
        <v>838667</v>
      </c>
      <c r="N191" s="1519">
        <f t="shared" si="134"/>
        <v>521333</v>
      </c>
      <c r="Q191" s="1557">
        <v>249333</v>
      </c>
      <c r="R191" s="1519">
        <f t="shared" si="135"/>
        <v>1360000</v>
      </c>
      <c r="S191" s="1519">
        <f t="shared" si="136"/>
        <v>272000</v>
      </c>
      <c r="T191" s="1519">
        <f t="shared" si="137"/>
        <v>0</v>
      </c>
      <c r="U191" s="1535">
        <f t="shared" si="138"/>
        <v>22666.666666666668</v>
      </c>
      <c r="V191" s="1537">
        <f t="shared" si="139"/>
        <v>271999.66666666669</v>
      </c>
      <c r="W191" s="1519">
        <f t="shared" si="140"/>
        <v>248333.33333333334</v>
      </c>
      <c r="X191" s="1537">
        <f t="shared" si="141"/>
        <v>0</v>
      </c>
      <c r="Y191" s="1537">
        <f t="shared" si="142"/>
        <v>0</v>
      </c>
      <c r="Z191" s="1537">
        <f t="shared" si="143"/>
        <v>0</v>
      </c>
      <c r="AA191" s="1537">
        <f t="shared" si="144"/>
        <v>0</v>
      </c>
      <c r="AB191" s="1537">
        <f t="shared" si="145"/>
        <v>0</v>
      </c>
      <c r="AC191" s="1537">
        <f t="shared" si="146"/>
        <v>0</v>
      </c>
      <c r="AD191" s="1537">
        <f t="shared" si="147"/>
        <v>0</v>
      </c>
      <c r="AE191" s="1537">
        <f t="shared" si="148"/>
        <v>0</v>
      </c>
      <c r="AF191" s="1536">
        <f t="shared" si="149"/>
        <v>0</v>
      </c>
      <c r="AG191" s="1555"/>
      <c r="AH191" s="1537">
        <f t="shared" si="150"/>
        <v>249333.33333333334</v>
      </c>
      <c r="AI191" s="1537">
        <f t="shared" si="151"/>
        <v>1000</v>
      </c>
      <c r="AJ191" s="1537">
        <f t="shared" si="152"/>
        <v>1000</v>
      </c>
      <c r="AK191" s="1537">
        <f t="shared" si="153"/>
        <v>1000</v>
      </c>
      <c r="AL191" s="1537">
        <f t="shared" si="154"/>
        <v>1000</v>
      </c>
      <c r="AM191" s="1537">
        <f t="shared" si="155"/>
        <v>1000</v>
      </c>
      <c r="AN191" s="1537">
        <f t="shared" si="156"/>
        <v>1000</v>
      </c>
      <c r="AO191" s="1537">
        <f t="shared" si="157"/>
        <v>1000</v>
      </c>
      <c r="AP191" s="1537">
        <f t="shared" si="158"/>
        <v>1000</v>
      </c>
      <c r="AQ191" s="1537">
        <f t="shared" si="159"/>
        <v>1000</v>
      </c>
      <c r="AR191" s="1537">
        <f t="shared" si="160"/>
        <v>1000</v>
      </c>
    </row>
    <row r="192" spans="1:44" x14ac:dyDescent="0.3">
      <c r="C192" s="1566" t="s">
        <v>3144</v>
      </c>
      <c r="D192" s="1563" t="s">
        <v>2945</v>
      </c>
      <c r="E192" s="1556">
        <v>5</v>
      </c>
      <c r="F192" s="1518">
        <f t="shared" si="130"/>
        <v>1</v>
      </c>
      <c r="G192" s="1532">
        <f t="shared" si="131"/>
        <v>0</v>
      </c>
      <c r="H192" s="1533">
        <f t="shared" si="132"/>
        <v>0</v>
      </c>
      <c r="I192" s="1534">
        <f t="shared" si="133"/>
        <v>0.2</v>
      </c>
      <c r="J192" s="1519">
        <v>1450000</v>
      </c>
      <c r="K192" s="1519">
        <v>894167</v>
      </c>
      <c r="N192" s="1519">
        <f t="shared" si="134"/>
        <v>555833</v>
      </c>
      <c r="Q192" s="1557">
        <v>265833</v>
      </c>
      <c r="R192" s="1519">
        <f t="shared" si="135"/>
        <v>1450000</v>
      </c>
      <c r="S192" s="1519">
        <f t="shared" si="136"/>
        <v>290000</v>
      </c>
      <c r="T192" s="1519">
        <f t="shared" si="137"/>
        <v>0</v>
      </c>
      <c r="U192" s="1535">
        <f t="shared" si="138"/>
        <v>24166.666666666668</v>
      </c>
      <c r="V192" s="1537">
        <f t="shared" si="139"/>
        <v>289999.66666666669</v>
      </c>
      <c r="W192" s="1519">
        <f t="shared" si="140"/>
        <v>264833.33333333331</v>
      </c>
      <c r="X192" s="1537">
        <f t="shared" si="141"/>
        <v>0</v>
      </c>
      <c r="Y192" s="1537">
        <f t="shared" si="142"/>
        <v>0</v>
      </c>
      <c r="Z192" s="1537">
        <f t="shared" si="143"/>
        <v>0</v>
      </c>
      <c r="AA192" s="1537">
        <f t="shared" si="144"/>
        <v>0</v>
      </c>
      <c r="AB192" s="1537">
        <f t="shared" si="145"/>
        <v>0</v>
      </c>
      <c r="AC192" s="1537">
        <f t="shared" si="146"/>
        <v>0</v>
      </c>
      <c r="AD192" s="1537">
        <f t="shared" si="147"/>
        <v>0</v>
      </c>
      <c r="AE192" s="1537">
        <f t="shared" si="148"/>
        <v>0</v>
      </c>
      <c r="AF192" s="1536">
        <f t="shared" si="149"/>
        <v>0</v>
      </c>
      <c r="AG192" s="1555"/>
      <c r="AH192" s="1537">
        <f t="shared" si="150"/>
        <v>265833.33333333331</v>
      </c>
      <c r="AI192" s="1537">
        <f t="shared" si="151"/>
        <v>1000</v>
      </c>
      <c r="AJ192" s="1537">
        <f t="shared" si="152"/>
        <v>1000</v>
      </c>
      <c r="AK192" s="1537">
        <f t="shared" si="153"/>
        <v>1000</v>
      </c>
      <c r="AL192" s="1537">
        <f t="shared" si="154"/>
        <v>1000</v>
      </c>
      <c r="AM192" s="1537">
        <f t="shared" si="155"/>
        <v>1000</v>
      </c>
      <c r="AN192" s="1537">
        <f t="shared" si="156"/>
        <v>1000</v>
      </c>
      <c r="AO192" s="1537">
        <f t="shared" si="157"/>
        <v>1000</v>
      </c>
      <c r="AP192" s="1537">
        <f t="shared" si="158"/>
        <v>1000</v>
      </c>
      <c r="AQ192" s="1537">
        <f t="shared" si="159"/>
        <v>1000</v>
      </c>
      <c r="AR192" s="1537">
        <f t="shared" si="160"/>
        <v>1000</v>
      </c>
    </row>
    <row r="193" spans="3:44" x14ac:dyDescent="0.3">
      <c r="C193" s="1566" t="s">
        <v>3145</v>
      </c>
      <c r="D193" s="1563" t="s">
        <v>3381</v>
      </c>
      <c r="E193" s="1556">
        <v>5</v>
      </c>
      <c r="F193" s="1518">
        <f t="shared" si="130"/>
        <v>1</v>
      </c>
      <c r="G193" s="1532">
        <f t="shared" si="131"/>
        <v>0</v>
      </c>
      <c r="H193" s="1533">
        <f t="shared" si="132"/>
        <v>0</v>
      </c>
      <c r="I193" s="1534">
        <f t="shared" si="133"/>
        <v>0.2</v>
      </c>
      <c r="J193" s="1519">
        <v>7255000</v>
      </c>
      <c r="K193" s="1519">
        <v>4473917</v>
      </c>
      <c r="N193" s="1519">
        <f t="shared" si="134"/>
        <v>2781083</v>
      </c>
      <c r="Q193" s="1557">
        <v>1330083</v>
      </c>
      <c r="R193" s="1519">
        <f t="shared" si="135"/>
        <v>7255000</v>
      </c>
      <c r="S193" s="1519">
        <f t="shared" si="136"/>
        <v>1451000</v>
      </c>
      <c r="T193" s="1519">
        <f t="shared" si="137"/>
        <v>0</v>
      </c>
      <c r="U193" s="1535">
        <f t="shared" si="138"/>
        <v>120916.66666666666</v>
      </c>
      <c r="V193" s="1537">
        <f t="shared" si="139"/>
        <v>1450999.6666666667</v>
      </c>
      <c r="W193" s="1519">
        <f t="shared" si="140"/>
        <v>1329083.3333333333</v>
      </c>
      <c r="X193" s="1537">
        <f t="shared" si="141"/>
        <v>0</v>
      </c>
      <c r="Y193" s="1537">
        <f t="shared" si="142"/>
        <v>0</v>
      </c>
      <c r="Z193" s="1537">
        <f t="shared" si="143"/>
        <v>0</v>
      </c>
      <c r="AA193" s="1537">
        <f t="shared" si="144"/>
        <v>0</v>
      </c>
      <c r="AB193" s="1537">
        <f t="shared" si="145"/>
        <v>0</v>
      </c>
      <c r="AC193" s="1537">
        <f t="shared" si="146"/>
        <v>0</v>
      </c>
      <c r="AD193" s="1537">
        <f t="shared" si="147"/>
        <v>0</v>
      </c>
      <c r="AE193" s="1537">
        <f t="shared" si="148"/>
        <v>0</v>
      </c>
      <c r="AF193" s="1536">
        <f t="shared" si="149"/>
        <v>0</v>
      </c>
      <c r="AG193" s="1555"/>
      <c r="AH193" s="1537">
        <f t="shared" si="150"/>
        <v>1330083.3333333333</v>
      </c>
      <c r="AI193" s="1537">
        <f t="shared" si="151"/>
        <v>1000</v>
      </c>
      <c r="AJ193" s="1537">
        <f t="shared" si="152"/>
        <v>1000</v>
      </c>
      <c r="AK193" s="1537">
        <f t="shared" si="153"/>
        <v>1000</v>
      </c>
      <c r="AL193" s="1537">
        <f t="shared" si="154"/>
        <v>1000</v>
      </c>
      <c r="AM193" s="1537">
        <f t="shared" si="155"/>
        <v>1000</v>
      </c>
      <c r="AN193" s="1537">
        <f t="shared" si="156"/>
        <v>1000</v>
      </c>
      <c r="AO193" s="1537">
        <f t="shared" si="157"/>
        <v>1000</v>
      </c>
      <c r="AP193" s="1537">
        <f t="shared" si="158"/>
        <v>1000</v>
      </c>
      <c r="AQ193" s="1537">
        <f t="shared" si="159"/>
        <v>1000</v>
      </c>
      <c r="AR193" s="1537">
        <f t="shared" si="160"/>
        <v>1000</v>
      </c>
    </row>
    <row r="194" spans="3:44" x14ac:dyDescent="0.3">
      <c r="C194" s="1566" t="s">
        <v>3146</v>
      </c>
      <c r="D194" s="1563" t="s">
        <v>3382</v>
      </c>
      <c r="E194" s="1556">
        <v>5</v>
      </c>
      <c r="F194" s="1518">
        <f t="shared" si="130"/>
        <v>1</v>
      </c>
      <c r="G194" s="1532">
        <f t="shared" si="131"/>
        <v>0</v>
      </c>
      <c r="H194" s="1533">
        <f t="shared" si="132"/>
        <v>0</v>
      </c>
      <c r="I194" s="1534">
        <f t="shared" si="133"/>
        <v>0.2</v>
      </c>
      <c r="J194" s="1519">
        <v>24120000</v>
      </c>
      <c r="K194" s="1519">
        <v>14874000</v>
      </c>
      <c r="N194" s="1519">
        <f t="shared" si="134"/>
        <v>9246000</v>
      </c>
      <c r="Q194" s="1557">
        <v>4422000</v>
      </c>
      <c r="R194" s="1519">
        <f t="shared" si="135"/>
        <v>24120000</v>
      </c>
      <c r="S194" s="1519">
        <f t="shared" si="136"/>
        <v>4824000</v>
      </c>
      <c r="T194" s="1519">
        <f t="shared" si="137"/>
        <v>0</v>
      </c>
      <c r="U194" s="1535">
        <f t="shared" si="138"/>
        <v>402000</v>
      </c>
      <c r="V194" s="1537">
        <f t="shared" si="139"/>
        <v>4824000</v>
      </c>
      <c r="W194" s="1519">
        <f t="shared" si="140"/>
        <v>4421000</v>
      </c>
      <c r="X194" s="1537">
        <f t="shared" si="141"/>
        <v>0</v>
      </c>
      <c r="Y194" s="1537">
        <f t="shared" si="142"/>
        <v>0</v>
      </c>
      <c r="Z194" s="1537">
        <f t="shared" si="143"/>
        <v>0</v>
      </c>
      <c r="AA194" s="1537">
        <f t="shared" si="144"/>
        <v>0</v>
      </c>
      <c r="AB194" s="1537">
        <f t="shared" si="145"/>
        <v>0</v>
      </c>
      <c r="AC194" s="1537">
        <f t="shared" si="146"/>
        <v>0</v>
      </c>
      <c r="AD194" s="1537">
        <f t="shared" si="147"/>
        <v>0</v>
      </c>
      <c r="AE194" s="1537">
        <f t="shared" si="148"/>
        <v>0</v>
      </c>
      <c r="AF194" s="1536">
        <f t="shared" si="149"/>
        <v>0</v>
      </c>
      <c r="AG194" s="1555"/>
      <c r="AH194" s="1537">
        <f t="shared" si="150"/>
        <v>4422000</v>
      </c>
      <c r="AI194" s="1537">
        <f t="shared" si="151"/>
        <v>1000</v>
      </c>
      <c r="AJ194" s="1537">
        <f t="shared" si="152"/>
        <v>1000</v>
      </c>
      <c r="AK194" s="1537">
        <f t="shared" si="153"/>
        <v>1000</v>
      </c>
      <c r="AL194" s="1537">
        <f t="shared" si="154"/>
        <v>1000</v>
      </c>
      <c r="AM194" s="1537">
        <f t="shared" si="155"/>
        <v>1000</v>
      </c>
      <c r="AN194" s="1537">
        <f t="shared" si="156"/>
        <v>1000</v>
      </c>
      <c r="AO194" s="1537">
        <f t="shared" si="157"/>
        <v>1000</v>
      </c>
      <c r="AP194" s="1537">
        <f t="shared" si="158"/>
        <v>1000</v>
      </c>
      <c r="AQ194" s="1537">
        <f t="shared" si="159"/>
        <v>1000</v>
      </c>
      <c r="AR194" s="1537">
        <f t="shared" si="160"/>
        <v>1000</v>
      </c>
    </row>
    <row r="195" spans="3:44" x14ac:dyDescent="0.3">
      <c r="C195" s="1566" t="s">
        <v>3140</v>
      </c>
      <c r="D195" s="1563" t="s">
        <v>3383</v>
      </c>
      <c r="E195" s="1556">
        <v>5</v>
      </c>
      <c r="F195" s="1518">
        <f t="shared" si="130"/>
        <v>1</v>
      </c>
      <c r="G195" s="1532">
        <f t="shared" si="131"/>
        <v>0</v>
      </c>
      <c r="H195" s="1533">
        <f t="shared" si="132"/>
        <v>0</v>
      </c>
      <c r="I195" s="1534">
        <f t="shared" si="133"/>
        <v>0.2</v>
      </c>
      <c r="J195" s="1519">
        <v>1360000</v>
      </c>
      <c r="K195" s="1519">
        <v>838667</v>
      </c>
      <c r="N195" s="1519">
        <f t="shared" si="134"/>
        <v>521333</v>
      </c>
      <c r="Q195" s="1557">
        <v>249333</v>
      </c>
      <c r="R195" s="1519">
        <f t="shared" si="135"/>
        <v>1360000</v>
      </c>
      <c r="S195" s="1519">
        <f t="shared" si="136"/>
        <v>272000</v>
      </c>
      <c r="T195" s="1519">
        <f t="shared" si="137"/>
        <v>0</v>
      </c>
      <c r="U195" s="1535">
        <f t="shared" si="138"/>
        <v>22666.666666666668</v>
      </c>
      <c r="V195" s="1537">
        <f t="shared" si="139"/>
        <v>271999.66666666669</v>
      </c>
      <c r="W195" s="1519">
        <f t="shared" si="140"/>
        <v>248333.33333333334</v>
      </c>
      <c r="X195" s="1537">
        <f t="shared" si="141"/>
        <v>0</v>
      </c>
      <c r="Y195" s="1537">
        <f t="shared" si="142"/>
        <v>0</v>
      </c>
      <c r="Z195" s="1537">
        <f t="shared" si="143"/>
        <v>0</v>
      </c>
      <c r="AA195" s="1537">
        <f t="shared" si="144"/>
        <v>0</v>
      </c>
      <c r="AB195" s="1537">
        <f t="shared" si="145"/>
        <v>0</v>
      </c>
      <c r="AC195" s="1537">
        <f t="shared" si="146"/>
        <v>0</v>
      </c>
      <c r="AD195" s="1537">
        <f t="shared" si="147"/>
        <v>0</v>
      </c>
      <c r="AE195" s="1537">
        <f t="shared" si="148"/>
        <v>0</v>
      </c>
      <c r="AF195" s="1536">
        <f t="shared" si="149"/>
        <v>0</v>
      </c>
      <c r="AG195" s="1555"/>
      <c r="AH195" s="1537">
        <f t="shared" si="150"/>
        <v>249333.33333333334</v>
      </c>
      <c r="AI195" s="1537">
        <f t="shared" si="151"/>
        <v>1000</v>
      </c>
      <c r="AJ195" s="1537">
        <f t="shared" si="152"/>
        <v>1000</v>
      </c>
      <c r="AK195" s="1537">
        <f t="shared" si="153"/>
        <v>1000</v>
      </c>
      <c r="AL195" s="1537">
        <f t="shared" si="154"/>
        <v>1000</v>
      </c>
      <c r="AM195" s="1537">
        <f t="shared" si="155"/>
        <v>1000</v>
      </c>
      <c r="AN195" s="1537">
        <f t="shared" si="156"/>
        <v>1000</v>
      </c>
      <c r="AO195" s="1537">
        <f t="shared" si="157"/>
        <v>1000</v>
      </c>
      <c r="AP195" s="1537">
        <f t="shared" si="158"/>
        <v>1000</v>
      </c>
      <c r="AQ195" s="1537">
        <f t="shared" si="159"/>
        <v>1000</v>
      </c>
      <c r="AR195" s="1537">
        <f t="shared" si="160"/>
        <v>1000</v>
      </c>
    </row>
    <row r="196" spans="3:44" x14ac:dyDescent="0.3">
      <c r="C196" s="1566" t="s">
        <v>3147</v>
      </c>
      <c r="D196" s="1563" t="s">
        <v>3384</v>
      </c>
      <c r="E196" s="1556">
        <v>5</v>
      </c>
      <c r="F196" s="1518">
        <f t="shared" si="130"/>
        <v>1</v>
      </c>
      <c r="G196" s="1532">
        <f t="shared" si="131"/>
        <v>0</v>
      </c>
      <c r="H196" s="1533">
        <f t="shared" si="132"/>
        <v>0</v>
      </c>
      <c r="I196" s="1534">
        <f t="shared" si="133"/>
        <v>0.2</v>
      </c>
      <c r="J196" s="1519">
        <v>4080000</v>
      </c>
      <c r="K196" s="1519">
        <v>2516000</v>
      </c>
      <c r="N196" s="1519">
        <f t="shared" si="134"/>
        <v>1564000</v>
      </c>
      <c r="Q196" s="1557">
        <v>748000</v>
      </c>
      <c r="R196" s="1519">
        <f t="shared" si="135"/>
        <v>4080000</v>
      </c>
      <c r="S196" s="1519">
        <f t="shared" si="136"/>
        <v>816000</v>
      </c>
      <c r="T196" s="1519">
        <f t="shared" si="137"/>
        <v>0</v>
      </c>
      <c r="U196" s="1535">
        <f t="shared" si="138"/>
        <v>68000</v>
      </c>
      <c r="V196" s="1537">
        <f t="shared" si="139"/>
        <v>816000</v>
      </c>
      <c r="W196" s="1519">
        <f t="shared" si="140"/>
        <v>747000</v>
      </c>
      <c r="X196" s="1537">
        <f t="shared" si="141"/>
        <v>0</v>
      </c>
      <c r="Y196" s="1537">
        <f t="shared" si="142"/>
        <v>0</v>
      </c>
      <c r="Z196" s="1537">
        <f t="shared" si="143"/>
        <v>0</v>
      </c>
      <c r="AA196" s="1537">
        <f t="shared" si="144"/>
        <v>0</v>
      </c>
      <c r="AB196" s="1537">
        <f t="shared" si="145"/>
        <v>0</v>
      </c>
      <c r="AC196" s="1537">
        <f t="shared" si="146"/>
        <v>0</v>
      </c>
      <c r="AD196" s="1537">
        <f t="shared" si="147"/>
        <v>0</v>
      </c>
      <c r="AE196" s="1537">
        <f t="shared" si="148"/>
        <v>0</v>
      </c>
      <c r="AF196" s="1536">
        <f t="shared" si="149"/>
        <v>0</v>
      </c>
      <c r="AG196" s="1555"/>
      <c r="AH196" s="1537">
        <f t="shared" si="150"/>
        <v>748000</v>
      </c>
      <c r="AI196" s="1537">
        <f t="shared" si="151"/>
        <v>1000</v>
      </c>
      <c r="AJ196" s="1537">
        <f t="shared" si="152"/>
        <v>1000</v>
      </c>
      <c r="AK196" s="1537">
        <f t="shared" si="153"/>
        <v>1000</v>
      </c>
      <c r="AL196" s="1537">
        <f t="shared" si="154"/>
        <v>1000</v>
      </c>
      <c r="AM196" s="1537">
        <f t="shared" si="155"/>
        <v>1000</v>
      </c>
      <c r="AN196" s="1537">
        <f t="shared" si="156"/>
        <v>1000</v>
      </c>
      <c r="AO196" s="1537">
        <f t="shared" si="157"/>
        <v>1000</v>
      </c>
      <c r="AP196" s="1537">
        <f t="shared" si="158"/>
        <v>1000</v>
      </c>
      <c r="AQ196" s="1537">
        <f t="shared" si="159"/>
        <v>1000</v>
      </c>
      <c r="AR196" s="1537">
        <f t="shared" si="160"/>
        <v>1000</v>
      </c>
    </row>
    <row r="197" spans="3:44" x14ac:dyDescent="0.3">
      <c r="C197" s="1566" t="s">
        <v>3148</v>
      </c>
      <c r="D197" s="1563" t="s">
        <v>3385</v>
      </c>
      <c r="E197" s="1556">
        <v>5</v>
      </c>
      <c r="F197" s="1518">
        <f t="shared" si="130"/>
        <v>2</v>
      </c>
      <c r="G197" s="1532">
        <f t="shared" si="131"/>
        <v>0</v>
      </c>
      <c r="H197" s="1533">
        <f t="shared" si="132"/>
        <v>0</v>
      </c>
      <c r="I197" s="1534">
        <f t="shared" si="133"/>
        <v>0.2</v>
      </c>
      <c r="J197" s="1519">
        <v>2720000</v>
      </c>
      <c r="K197" s="1519">
        <v>1632000</v>
      </c>
      <c r="N197" s="1519">
        <f t="shared" si="134"/>
        <v>1088000</v>
      </c>
      <c r="Q197" s="1557">
        <v>498667</v>
      </c>
      <c r="R197" s="1519">
        <f t="shared" si="135"/>
        <v>2720000</v>
      </c>
      <c r="S197" s="1519">
        <f t="shared" si="136"/>
        <v>589333</v>
      </c>
      <c r="T197" s="1519">
        <f t="shared" si="137"/>
        <v>0</v>
      </c>
      <c r="U197" s="1535">
        <f t="shared" si="138"/>
        <v>45333.333333333336</v>
      </c>
      <c r="V197" s="1537">
        <f t="shared" si="139"/>
        <v>544000.33333333337</v>
      </c>
      <c r="W197" s="1519">
        <f t="shared" si="140"/>
        <v>542999.66666666663</v>
      </c>
      <c r="X197" s="1537">
        <f t="shared" si="141"/>
        <v>0</v>
      </c>
      <c r="Y197" s="1537">
        <f t="shared" si="142"/>
        <v>0</v>
      </c>
      <c r="Z197" s="1537">
        <f t="shared" si="143"/>
        <v>0</v>
      </c>
      <c r="AA197" s="1537">
        <f t="shared" si="144"/>
        <v>0</v>
      </c>
      <c r="AB197" s="1537">
        <f t="shared" si="145"/>
        <v>0</v>
      </c>
      <c r="AC197" s="1537">
        <f t="shared" si="146"/>
        <v>0</v>
      </c>
      <c r="AD197" s="1537">
        <f t="shared" si="147"/>
        <v>0</v>
      </c>
      <c r="AE197" s="1537">
        <f t="shared" si="148"/>
        <v>0</v>
      </c>
      <c r="AF197" s="1536">
        <f t="shared" si="149"/>
        <v>0</v>
      </c>
      <c r="AG197" s="1555"/>
      <c r="AH197" s="1537">
        <f t="shared" si="150"/>
        <v>543999.66666666663</v>
      </c>
      <c r="AI197" s="1537">
        <f t="shared" si="151"/>
        <v>1000</v>
      </c>
      <c r="AJ197" s="1537">
        <f t="shared" si="152"/>
        <v>1000</v>
      </c>
      <c r="AK197" s="1537">
        <f t="shared" si="153"/>
        <v>1000</v>
      </c>
      <c r="AL197" s="1537">
        <f t="shared" si="154"/>
        <v>1000</v>
      </c>
      <c r="AM197" s="1537">
        <f t="shared" si="155"/>
        <v>1000</v>
      </c>
      <c r="AN197" s="1537">
        <f t="shared" si="156"/>
        <v>1000</v>
      </c>
      <c r="AO197" s="1537">
        <f t="shared" si="157"/>
        <v>1000</v>
      </c>
      <c r="AP197" s="1537">
        <f t="shared" si="158"/>
        <v>1000</v>
      </c>
      <c r="AQ197" s="1537">
        <f t="shared" si="159"/>
        <v>1000</v>
      </c>
      <c r="AR197" s="1537">
        <f t="shared" si="160"/>
        <v>1000</v>
      </c>
    </row>
    <row r="198" spans="3:44" x14ac:dyDescent="0.3">
      <c r="C198" s="1566" t="s">
        <v>3149</v>
      </c>
      <c r="D198" s="1563" t="s">
        <v>3386</v>
      </c>
      <c r="E198" s="1556">
        <v>5</v>
      </c>
      <c r="F198" s="1518">
        <f t="shared" si="130"/>
        <v>2</v>
      </c>
      <c r="G198" s="1532">
        <f t="shared" si="131"/>
        <v>0</v>
      </c>
      <c r="H198" s="1533">
        <f t="shared" si="132"/>
        <v>0</v>
      </c>
      <c r="I198" s="1534">
        <f t="shared" si="133"/>
        <v>0.2</v>
      </c>
      <c r="J198" s="1519">
        <v>1360000</v>
      </c>
      <c r="K198" s="1519">
        <v>816000</v>
      </c>
      <c r="N198" s="1519">
        <f t="shared" si="134"/>
        <v>544000</v>
      </c>
      <c r="Q198" s="1557">
        <v>249333</v>
      </c>
      <c r="R198" s="1519">
        <f t="shared" si="135"/>
        <v>1360000</v>
      </c>
      <c r="S198" s="1519">
        <f t="shared" si="136"/>
        <v>294667</v>
      </c>
      <c r="T198" s="1519">
        <f t="shared" si="137"/>
        <v>0</v>
      </c>
      <c r="U198" s="1535">
        <f t="shared" si="138"/>
        <v>22666.666666666668</v>
      </c>
      <c r="V198" s="1537">
        <f t="shared" si="139"/>
        <v>271999.66666666669</v>
      </c>
      <c r="W198" s="1519">
        <f t="shared" si="140"/>
        <v>271000.33333333331</v>
      </c>
      <c r="X198" s="1537">
        <f t="shared" si="141"/>
        <v>0</v>
      </c>
      <c r="Y198" s="1537">
        <f t="shared" si="142"/>
        <v>0</v>
      </c>
      <c r="Z198" s="1537">
        <f t="shared" si="143"/>
        <v>0</v>
      </c>
      <c r="AA198" s="1537">
        <f t="shared" si="144"/>
        <v>0</v>
      </c>
      <c r="AB198" s="1537">
        <f t="shared" si="145"/>
        <v>0</v>
      </c>
      <c r="AC198" s="1537">
        <f t="shared" si="146"/>
        <v>0</v>
      </c>
      <c r="AD198" s="1537">
        <f t="shared" si="147"/>
        <v>0</v>
      </c>
      <c r="AE198" s="1537">
        <f t="shared" si="148"/>
        <v>0</v>
      </c>
      <c r="AF198" s="1536">
        <f t="shared" si="149"/>
        <v>0</v>
      </c>
      <c r="AG198" s="1555"/>
      <c r="AH198" s="1537">
        <f t="shared" si="150"/>
        <v>272000.33333333331</v>
      </c>
      <c r="AI198" s="1537">
        <f t="shared" si="151"/>
        <v>1000</v>
      </c>
      <c r="AJ198" s="1537">
        <f t="shared" si="152"/>
        <v>1000</v>
      </c>
      <c r="AK198" s="1537">
        <f t="shared" si="153"/>
        <v>1000</v>
      </c>
      <c r="AL198" s="1537">
        <f t="shared" si="154"/>
        <v>1000</v>
      </c>
      <c r="AM198" s="1537">
        <f t="shared" si="155"/>
        <v>1000</v>
      </c>
      <c r="AN198" s="1537">
        <f t="shared" si="156"/>
        <v>1000</v>
      </c>
      <c r="AO198" s="1537">
        <f t="shared" si="157"/>
        <v>1000</v>
      </c>
      <c r="AP198" s="1537">
        <f t="shared" si="158"/>
        <v>1000</v>
      </c>
      <c r="AQ198" s="1537">
        <f t="shared" si="159"/>
        <v>1000</v>
      </c>
      <c r="AR198" s="1537">
        <f t="shared" si="160"/>
        <v>1000</v>
      </c>
    </row>
    <row r="199" spans="3:44" x14ac:dyDescent="0.3">
      <c r="C199" s="1566" t="s">
        <v>3150</v>
      </c>
      <c r="D199" s="1563" t="s">
        <v>3387</v>
      </c>
      <c r="E199" s="1556">
        <v>5</v>
      </c>
      <c r="F199" s="1518">
        <f t="shared" si="130"/>
        <v>2</v>
      </c>
      <c r="G199" s="1532">
        <f t="shared" si="131"/>
        <v>0</v>
      </c>
      <c r="H199" s="1533">
        <f t="shared" si="132"/>
        <v>0</v>
      </c>
      <c r="I199" s="1534">
        <f t="shared" si="133"/>
        <v>0.2</v>
      </c>
      <c r="J199" s="1519">
        <v>1400000</v>
      </c>
      <c r="K199" s="1519">
        <v>840000</v>
      </c>
      <c r="N199" s="1519">
        <f t="shared" si="134"/>
        <v>560000</v>
      </c>
      <c r="Q199" s="1557">
        <v>256667</v>
      </c>
      <c r="R199" s="1519">
        <f t="shared" si="135"/>
        <v>1400000</v>
      </c>
      <c r="S199" s="1519">
        <f t="shared" si="136"/>
        <v>303333</v>
      </c>
      <c r="T199" s="1519">
        <f t="shared" si="137"/>
        <v>0</v>
      </c>
      <c r="U199" s="1535">
        <f t="shared" si="138"/>
        <v>23333.333333333332</v>
      </c>
      <c r="V199" s="1537">
        <f t="shared" si="139"/>
        <v>280000.33333333331</v>
      </c>
      <c r="W199" s="1519">
        <f t="shared" si="140"/>
        <v>278999.66666666669</v>
      </c>
      <c r="X199" s="1537">
        <f t="shared" si="141"/>
        <v>0</v>
      </c>
      <c r="Y199" s="1537">
        <f t="shared" si="142"/>
        <v>0</v>
      </c>
      <c r="Z199" s="1537">
        <f t="shared" si="143"/>
        <v>0</v>
      </c>
      <c r="AA199" s="1537">
        <f t="shared" si="144"/>
        <v>0</v>
      </c>
      <c r="AB199" s="1537">
        <f t="shared" si="145"/>
        <v>0</v>
      </c>
      <c r="AC199" s="1537">
        <f t="shared" si="146"/>
        <v>0</v>
      </c>
      <c r="AD199" s="1537">
        <f t="shared" si="147"/>
        <v>0</v>
      </c>
      <c r="AE199" s="1537">
        <f t="shared" si="148"/>
        <v>0</v>
      </c>
      <c r="AF199" s="1536">
        <f t="shared" si="149"/>
        <v>0</v>
      </c>
      <c r="AG199" s="1555"/>
      <c r="AH199" s="1537">
        <f t="shared" si="150"/>
        <v>279999.66666666669</v>
      </c>
      <c r="AI199" s="1537">
        <f t="shared" si="151"/>
        <v>1000</v>
      </c>
      <c r="AJ199" s="1537">
        <f t="shared" si="152"/>
        <v>1000</v>
      </c>
      <c r="AK199" s="1537">
        <f t="shared" si="153"/>
        <v>1000</v>
      </c>
      <c r="AL199" s="1537">
        <f t="shared" si="154"/>
        <v>1000</v>
      </c>
      <c r="AM199" s="1537">
        <f t="shared" si="155"/>
        <v>1000</v>
      </c>
      <c r="AN199" s="1537">
        <f t="shared" si="156"/>
        <v>1000</v>
      </c>
      <c r="AO199" s="1537">
        <f t="shared" si="157"/>
        <v>1000</v>
      </c>
      <c r="AP199" s="1537">
        <f t="shared" si="158"/>
        <v>1000</v>
      </c>
      <c r="AQ199" s="1537">
        <f t="shared" si="159"/>
        <v>1000</v>
      </c>
      <c r="AR199" s="1537">
        <f t="shared" si="160"/>
        <v>1000</v>
      </c>
    </row>
    <row r="200" spans="3:44" x14ac:dyDescent="0.3">
      <c r="C200" s="1566" t="s">
        <v>3147</v>
      </c>
      <c r="D200" s="1563" t="s">
        <v>3388</v>
      </c>
      <c r="E200" s="1556">
        <v>5</v>
      </c>
      <c r="F200" s="1518">
        <f t="shared" si="130"/>
        <v>2</v>
      </c>
      <c r="G200" s="1532">
        <f t="shared" si="131"/>
        <v>0</v>
      </c>
      <c r="H200" s="1533">
        <f t="shared" si="132"/>
        <v>0</v>
      </c>
      <c r="I200" s="1534">
        <f t="shared" si="133"/>
        <v>0.2</v>
      </c>
      <c r="J200" s="1519">
        <v>4080000</v>
      </c>
      <c r="K200" s="1519">
        <v>2448000</v>
      </c>
      <c r="N200" s="1519">
        <f t="shared" si="134"/>
        <v>1632000</v>
      </c>
      <c r="Q200" s="1557">
        <v>748000</v>
      </c>
      <c r="R200" s="1519">
        <f t="shared" si="135"/>
        <v>4080000</v>
      </c>
      <c r="S200" s="1519">
        <f t="shared" si="136"/>
        <v>884000</v>
      </c>
      <c r="T200" s="1519">
        <f t="shared" si="137"/>
        <v>0</v>
      </c>
      <c r="U200" s="1535">
        <f t="shared" si="138"/>
        <v>68000</v>
      </c>
      <c r="V200" s="1537">
        <f t="shared" si="139"/>
        <v>816000</v>
      </c>
      <c r="W200" s="1519">
        <f t="shared" si="140"/>
        <v>815000</v>
      </c>
      <c r="X200" s="1537">
        <f t="shared" si="141"/>
        <v>0</v>
      </c>
      <c r="Y200" s="1537">
        <f t="shared" si="142"/>
        <v>0</v>
      </c>
      <c r="Z200" s="1537">
        <f t="shared" si="143"/>
        <v>0</v>
      </c>
      <c r="AA200" s="1537">
        <f t="shared" si="144"/>
        <v>0</v>
      </c>
      <c r="AB200" s="1537">
        <f t="shared" si="145"/>
        <v>0</v>
      </c>
      <c r="AC200" s="1537">
        <f t="shared" si="146"/>
        <v>0</v>
      </c>
      <c r="AD200" s="1537">
        <f t="shared" si="147"/>
        <v>0</v>
      </c>
      <c r="AE200" s="1537">
        <f t="shared" si="148"/>
        <v>0</v>
      </c>
      <c r="AF200" s="1536">
        <f t="shared" si="149"/>
        <v>0</v>
      </c>
      <c r="AG200" s="1555"/>
      <c r="AH200" s="1537">
        <f t="shared" si="150"/>
        <v>816000</v>
      </c>
      <c r="AI200" s="1537">
        <f t="shared" si="151"/>
        <v>1000</v>
      </c>
      <c r="AJ200" s="1537">
        <f t="shared" si="152"/>
        <v>1000</v>
      </c>
      <c r="AK200" s="1537">
        <f t="shared" si="153"/>
        <v>1000</v>
      </c>
      <c r="AL200" s="1537">
        <f t="shared" si="154"/>
        <v>1000</v>
      </c>
      <c r="AM200" s="1537">
        <f t="shared" si="155"/>
        <v>1000</v>
      </c>
      <c r="AN200" s="1537">
        <f t="shared" si="156"/>
        <v>1000</v>
      </c>
      <c r="AO200" s="1537">
        <f t="shared" si="157"/>
        <v>1000</v>
      </c>
      <c r="AP200" s="1537">
        <f t="shared" si="158"/>
        <v>1000</v>
      </c>
      <c r="AQ200" s="1537">
        <f t="shared" si="159"/>
        <v>1000</v>
      </c>
      <c r="AR200" s="1537">
        <f t="shared" si="160"/>
        <v>1000</v>
      </c>
    </row>
    <row r="201" spans="3:44" x14ac:dyDescent="0.3">
      <c r="C201" s="1566" t="s">
        <v>3140</v>
      </c>
      <c r="D201" s="1563" t="s">
        <v>3388</v>
      </c>
      <c r="E201" s="1556">
        <v>5</v>
      </c>
      <c r="F201" s="1518">
        <f t="shared" si="130"/>
        <v>2</v>
      </c>
      <c r="G201" s="1532">
        <f t="shared" si="131"/>
        <v>0</v>
      </c>
      <c r="H201" s="1533">
        <f t="shared" si="132"/>
        <v>0</v>
      </c>
      <c r="I201" s="1534">
        <f t="shared" si="133"/>
        <v>0.2</v>
      </c>
      <c r="J201" s="1519">
        <v>1390000</v>
      </c>
      <c r="K201" s="1519">
        <v>834000</v>
      </c>
      <c r="N201" s="1519">
        <f t="shared" si="134"/>
        <v>556000</v>
      </c>
      <c r="Q201" s="1557">
        <v>254833</v>
      </c>
      <c r="R201" s="1519">
        <f t="shared" si="135"/>
        <v>1390000</v>
      </c>
      <c r="S201" s="1519">
        <f t="shared" si="136"/>
        <v>301167</v>
      </c>
      <c r="T201" s="1519">
        <f t="shared" si="137"/>
        <v>0</v>
      </c>
      <c r="U201" s="1535">
        <f t="shared" si="138"/>
        <v>23166.666666666668</v>
      </c>
      <c r="V201" s="1537">
        <f t="shared" si="139"/>
        <v>277999.66666666669</v>
      </c>
      <c r="W201" s="1519">
        <f t="shared" si="140"/>
        <v>277000.33333333331</v>
      </c>
      <c r="X201" s="1537">
        <f t="shared" si="141"/>
        <v>0</v>
      </c>
      <c r="Y201" s="1537">
        <f t="shared" si="142"/>
        <v>0</v>
      </c>
      <c r="Z201" s="1537">
        <f t="shared" si="143"/>
        <v>0</v>
      </c>
      <c r="AA201" s="1537">
        <f t="shared" si="144"/>
        <v>0</v>
      </c>
      <c r="AB201" s="1537">
        <f t="shared" si="145"/>
        <v>0</v>
      </c>
      <c r="AC201" s="1537">
        <f t="shared" si="146"/>
        <v>0</v>
      </c>
      <c r="AD201" s="1537">
        <f t="shared" si="147"/>
        <v>0</v>
      </c>
      <c r="AE201" s="1537">
        <f t="shared" si="148"/>
        <v>0</v>
      </c>
      <c r="AF201" s="1536">
        <f t="shared" si="149"/>
        <v>0</v>
      </c>
      <c r="AG201" s="1555"/>
      <c r="AH201" s="1537">
        <f t="shared" si="150"/>
        <v>278000.33333333331</v>
      </c>
      <c r="AI201" s="1537">
        <f t="shared" si="151"/>
        <v>1000</v>
      </c>
      <c r="AJ201" s="1537">
        <f t="shared" si="152"/>
        <v>1000</v>
      </c>
      <c r="AK201" s="1537">
        <f t="shared" si="153"/>
        <v>1000</v>
      </c>
      <c r="AL201" s="1537">
        <f t="shared" si="154"/>
        <v>1000</v>
      </c>
      <c r="AM201" s="1537">
        <f t="shared" si="155"/>
        <v>1000</v>
      </c>
      <c r="AN201" s="1537">
        <f t="shared" si="156"/>
        <v>1000</v>
      </c>
      <c r="AO201" s="1537">
        <f t="shared" si="157"/>
        <v>1000</v>
      </c>
      <c r="AP201" s="1537">
        <f t="shared" si="158"/>
        <v>1000</v>
      </c>
      <c r="AQ201" s="1537">
        <f t="shared" si="159"/>
        <v>1000</v>
      </c>
      <c r="AR201" s="1537">
        <f t="shared" si="160"/>
        <v>1000</v>
      </c>
    </row>
    <row r="202" spans="3:44" x14ac:dyDescent="0.3">
      <c r="C202" s="1566" t="s">
        <v>3151</v>
      </c>
      <c r="D202" s="1563" t="s">
        <v>3389</v>
      </c>
      <c r="E202" s="1556">
        <v>5</v>
      </c>
      <c r="F202" s="1518">
        <f t="shared" si="130"/>
        <v>2</v>
      </c>
      <c r="G202" s="1532">
        <f t="shared" si="131"/>
        <v>0</v>
      </c>
      <c r="H202" s="1533">
        <f t="shared" si="132"/>
        <v>0</v>
      </c>
      <c r="I202" s="1534">
        <f t="shared" si="133"/>
        <v>0.2</v>
      </c>
      <c r="J202" s="1519">
        <v>1450000</v>
      </c>
      <c r="K202" s="1519">
        <v>870000</v>
      </c>
      <c r="N202" s="1519">
        <f t="shared" si="134"/>
        <v>580000</v>
      </c>
      <c r="Q202" s="1557">
        <v>265833</v>
      </c>
      <c r="R202" s="1519">
        <f t="shared" si="135"/>
        <v>1450000</v>
      </c>
      <c r="S202" s="1519">
        <f t="shared" si="136"/>
        <v>314167</v>
      </c>
      <c r="T202" s="1519">
        <f t="shared" si="137"/>
        <v>0</v>
      </c>
      <c r="U202" s="1535">
        <f t="shared" si="138"/>
        <v>24166.666666666668</v>
      </c>
      <c r="V202" s="1537">
        <f t="shared" si="139"/>
        <v>289999.66666666669</v>
      </c>
      <c r="W202" s="1519">
        <f t="shared" si="140"/>
        <v>289000.33333333331</v>
      </c>
      <c r="X202" s="1537">
        <f t="shared" si="141"/>
        <v>0</v>
      </c>
      <c r="Y202" s="1537">
        <f t="shared" si="142"/>
        <v>0</v>
      </c>
      <c r="Z202" s="1537">
        <f t="shared" si="143"/>
        <v>0</v>
      </c>
      <c r="AA202" s="1537">
        <f t="shared" si="144"/>
        <v>0</v>
      </c>
      <c r="AB202" s="1537">
        <f t="shared" si="145"/>
        <v>0</v>
      </c>
      <c r="AC202" s="1537">
        <f t="shared" si="146"/>
        <v>0</v>
      </c>
      <c r="AD202" s="1537">
        <f t="shared" si="147"/>
        <v>0</v>
      </c>
      <c r="AE202" s="1537">
        <f t="shared" si="148"/>
        <v>0</v>
      </c>
      <c r="AF202" s="1536">
        <f t="shared" si="149"/>
        <v>0</v>
      </c>
      <c r="AG202" s="1555"/>
      <c r="AH202" s="1537">
        <f t="shared" si="150"/>
        <v>290000.33333333331</v>
      </c>
      <c r="AI202" s="1537">
        <f t="shared" si="151"/>
        <v>1000</v>
      </c>
      <c r="AJ202" s="1537">
        <f t="shared" si="152"/>
        <v>1000</v>
      </c>
      <c r="AK202" s="1537">
        <f t="shared" si="153"/>
        <v>1000</v>
      </c>
      <c r="AL202" s="1537">
        <f t="shared" si="154"/>
        <v>1000</v>
      </c>
      <c r="AM202" s="1537">
        <f t="shared" si="155"/>
        <v>1000</v>
      </c>
      <c r="AN202" s="1537">
        <f t="shared" si="156"/>
        <v>1000</v>
      </c>
      <c r="AO202" s="1537">
        <f t="shared" si="157"/>
        <v>1000</v>
      </c>
      <c r="AP202" s="1537">
        <f t="shared" si="158"/>
        <v>1000</v>
      </c>
      <c r="AQ202" s="1537">
        <f t="shared" si="159"/>
        <v>1000</v>
      </c>
      <c r="AR202" s="1537">
        <f t="shared" si="160"/>
        <v>1000</v>
      </c>
    </row>
    <row r="203" spans="3:44" x14ac:dyDescent="0.3">
      <c r="C203" s="1566" t="s">
        <v>3152</v>
      </c>
      <c r="D203" s="1563" t="s">
        <v>3390</v>
      </c>
      <c r="E203" s="1556">
        <v>5</v>
      </c>
      <c r="F203" s="1518">
        <f t="shared" si="130"/>
        <v>2</v>
      </c>
      <c r="G203" s="1532">
        <f t="shared" si="131"/>
        <v>0</v>
      </c>
      <c r="H203" s="1533">
        <f t="shared" si="132"/>
        <v>0</v>
      </c>
      <c r="I203" s="1534">
        <f t="shared" si="133"/>
        <v>0.2</v>
      </c>
      <c r="J203" s="1519">
        <v>3858000</v>
      </c>
      <c r="K203" s="1519">
        <v>2314800</v>
      </c>
      <c r="N203" s="1519">
        <f t="shared" si="134"/>
        <v>1543200</v>
      </c>
      <c r="Q203" s="1557">
        <v>707300</v>
      </c>
      <c r="R203" s="1519">
        <f t="shared" si="135"/>
        <v>3858000</v>
      </c>
      <c r="S203" s="1519">
        <f t="shared" si="136"/>
        <v>835900</v>
      </c>
      <c r="T203" s="1519">
        <f t="shared" si="137"/>
        <v>0</v>
      </c>
      <c r="U203" s="1535">
        <f t="shared" si="138"/>
        <v>64300</v>
      </c>
      <c r="V203" s="1537">
        <f t="shared" si="139"/>
        <v>771600</v>
      </c>
      <c r="W203" s="1519">
        <f t="shared" si="140"/>
        <v>770600</v>
      </c>
      <c r="X203" s="1537">
        <f t="shared" si="141"/>
        <v>0</v>
      </c>
      <c r="Y203" s="1537">
        <f t="shared" si="142"/>
        <v>0</v>
      </c>
      <c r="Z203" s="1537">
        <f t="shared" si="143"/>
        <v>0</v>
      </c>
      <c r="AA203" s="1537">
        <f t="shared" si="144"/>
        <v>0</v>
      </c>
      <c r="AB203" s="1537">
        <f t="shared" si="145"/>
        <v>0</v>
      </c>
      <c r="AC203" s="1537">
        <f t="shared" si="146"/>
        <v>0</v>
      </c>
      <c r="AD203" s="1537">
        <f t="shared" si="147"/>
        <v>0</v>
      </c>
      <c r="AE203" s="1537">
        <f t="shared" si="148"/>
        <v>0</v>
      </c>
      <c r="AF203" s="1536">
        <f t="shared" si="149"/>
        <v>0</v>
      </c>
      <c r="AG203" s="1555"/>
      <c r="AH203" s="1537">
        <f t="shared" si="150"/>
        <v>771600</v>
      </c>
      <c r="AI203" s="1537">
        <f t="shared" si="151"/>
        <v>1000</v>
      </c>
      <c r="AJ203" s="1537">
        <f t="shared" si="152"/>
        <v>1000</v>
      </c>
      <c r="AK203" s="1537">
        <f t="shared" si="153"/>
        <v>1000</v>
      </c>
      <c r="AL203" s="1537">
        <f t="shared" si="154"/>
        <v>1000</v>
      </c>
      <c r="AM203" s="1537">
        <f t="shared" si="155"/>
        <v>1000</v>
      </c>
      <c r="AN203" s="1537">
        <f t="shared" si="156"/>
        <v>1000</v>
      </c>
      <c r="AO203" s="1537">
        <f t="shared" si="157"/>
        <v>1000</v>
      </c>
      <c r="AP203" s="1537">
        <f t="shared" si="158"/>
        <v>1000</v>
      </c>
      <c r="AQ203" s="1537">
        <f t="shared" si="159"/>
        <v>1000</v>
      </c>
      <c r="AR203" s="1537">
        <f t="shared" si="160"/>
        <v>1000</v>
      </c>
    </row>
    <row r="204" spans="3:44" x14ac:dyDescent="0.3">
      <c r="C204" s="1566" t="s">
        <v>3140</v>
      </c>
      <c r="D204" s="1563" t="s">
        <v>3391</v>
      </c>
      <c r="E204" s="1556">
        <v>5</v>
      </c>
      <c r="F204" s="1518">
        <f t="shared" si="130"/>
        <v>2</v>
      </c>
      <c r="G204" s="1532">
        <f t="shared" si="131"/>
        <v>0</v>
      </c>
      <c r="H204" s="1533">
        <f t="shared" si="132"/>
        <v>0</v>
      </c>
      <c r="I204" s="1534">
        <f t="shared" si="133"/>
        <v>0.2</v>
      </c>
      <c r="J204" s="1519">
        <v>1390000</v>
      </c>
      <c r="K204" s="1519">
        <v>810833</v>
      </c>
      <c r="N204" s="1519">
        <f t="shared" si="134"/>
        <v>579167</v>
      </c>
      <c r="Q204" s="1557">
        <v>254833</v>
      </c>
      <c r="R204" s="1519">
        <f t="shared" si="135"/>
        <v>1390000</v>
      </c>
      <c r="S204" s="1519">
        <f t="shared" si="136"/>
        <v>324334</v>
      </c>
      <c r="T204" s="1519">
        <f t="shared" si="137"/>
        <v>0</v>
      </c>
      <c r="U204" s="1535">
        <f t="shared" si="138"/>
        <v>23166.666666666668</v>
      </c>
      <c r="V204" s="1537">
        <f t="shared" si="139"/>
        <v>277999.66666666669</v>
      </c>
      <c r="W204" s="1519">
        <f t="shared" si="140"/>
        <v>278000</v>
      </c>
      <c r="X204" s="1537">
        <f t="shared" si="141"/>
        <v>22167.333333333314</v>
      </c>
      <c r="Y204" s="1537">
        <f t="shared" si="142"/>
        <v>0</v>
      </c>
      <c r="Z204" s="1537">
        <f t="shared" si="143"/>
        <v>0</v>
      </c>
      <c r="AA204" s="1537">
        <f t="shared" si="144"/>
        <v>0</v>
      </c>
      <c r="AB204" s="1537">
        <f t="shared" si="145"/>
        <v>0</v>
      </c>
      <c r="AC204" s="1537">
        <f t="shared" si="146"/>
        <v>0</v>
      </c>
      <c r="AD204" s="1537">
        <f t="shared" si="147"/>
        <v>0</v>
      </c>
      <c r="AE204" s="1537">
        <f t="shared" si="148"/>
        <v>0</v>
      </c>
      <c r="AF204" s="1536">
        <f t="shared" si="149"/>
        <v>0</v>
      </c>
      <c r="AG204" s="1555"/>
      <c r="AH204" s="1537">
        <f t="shared" si="150"/>
        <v>301167.33333333331</v>
      </c>
      <c r="AI204" s="1537">
        <f t="shared" si="151"/>
        <v>23167.333333333314</v>
      </c>
      <c r="AJ204" s="1537">
        <f t="shared" si="152"/>
        <v>1000</v>
      </c>
      <c r="AK204" s="1537">
        <f t="shared" si="153"/>
        <v>1000</v>
      </c>
      <c r="AL204" s="1537">
        <f t="shared" si="154"/>
        <v>1000</v>
      </c>
      <c r="AM204" s="1537">
        <f t="shared" si="155"/>
        <v>1000</v>
      </c>
      <c r="AN204" s="1537">
        <f t="shared" si="156"/>
        <v>1000</v>
      </c>
      <c r="AO204" s="1537">
        <f t="shared" si="157"/>
        <v>1000</v>
      </c>
      <c r="AP204" s="1537">
        <f t="shared" si="158"/>
        <v>1000</v>
      </c>
      <c r="AQ204" s="1537">
        <f t="shared" si="159"/>
        <v>1000</v>
      </c>
      <c r="AR204" s="1537">
        <f t="shared" si="160"/>
        <v>1000</v>
      </c>
    </row>
    <row r="205" spans="3:44" x14ac:dyDescent="0.3">
      <c r="C205" s="1566" t="s">
        <v>3140</v>
      </c>
      <c r="D205" s="1563" t="s">
        <v>3391</v>
      </c>
      <c r="E205" s="1556">
        <v>5</v>
      </c>
      <c r="F205" s="1518">
        <f t="shared" si="130"/>
        <v>2</v>
      </c>
      <c r="G205" s="1532">
        <f t="shared" si="131"/>
        <v>0</v>
      </c>
      <c r="H205" s="1533">
        <f t="shared" si="132"/>
        <v>0</v>
      </c>
      <c r="I205" s="1534">
        <f t="shared" si="133"/>
        <v>0.2</v>
      </c>
      <c r="J205" s="1519">
        <v>1390000</v>
      </c>
      <c r="K205" s="1519">
        <v>810833</v>
      </c>
      <c r="N205" s="1519">
        <f t="shared" si="134"/>
        <v>579167</v>
      </c>
      <c r="Q205" s="1557">
        <v>254833</v>
      </c>
      <c r="R205" s="1519">
        <f t="shared" si="135"/>
        <v>1390000</v>
      </c>
      <c r="S205" s="1519">
        <f t="shared" si="136"/>
        <v>324334</v>
      </c>
      <c r="T205" s="1519">
        <f t="shared" si="137"/>
        <v>0</v>
      </c>
      <c r="U205" s="1535">
        <f t="shared" si="138"/>
        <v>23166.666666666668</v>
      </c>
      <c r="V205" s="1537">
        <f t="shared" si="139"/>
        <v>277999.66666666669</v>
      </c>
      <c r="W205" s="1519">
        <f t="shared" si="140"/>
        <v>278000</v>
      </c>
      <c r="X205" s="1537">
        <f t="shared" si="141"/>
        <v>22167.333333333314</v>
      </c>
      <c r="Y205" s="1537">
        <f t="shared" si="142"/>
        <v>0</v>
      </c>
      <c r="Z205" s="1537">
        <f t="shared" si="143"/>
        <v>0</v>
      </c>
      <c r="AA205" s="1537">
        <f t="shared" si="144"/>
        <v>0</v>
      </c>
      <c r="AB205" s="1537">
        <f t="shared" si="145"/>
        <v>0</v>
      </c>
      <c r="AC205" s="1537">
        <f t="shared" si="146"/>
        <v>0</v>
      </c>
      <c r="AD205" s="1537">
        <f t="shared" si="147"/>
        <v>0</v>
      </c>
      <c r="AE205" s="1537">
        <f t="shared" si="148"/>
        <v>0</v>
      </c>
      <c r="AF205" s="1536">
        <f t="shared" si="149"/>
        <v>0</v>
      </c>
      <c r="AG205" s="1555"/>
      <c r="AH205" s="1537">
        <f t="shared" si="150"/>
        <v>301167.33333333331</v>
      </c>
      <c r="AI205" s="1537">
        <f t="shared" si="151"/>
        <v>23167.333333333314</v>
      </c>
      <c r="AJ205" s="1537">
        <f t="shared" si="152"/>
        <v>1000</v>
      </c>
      <c r="AK205" s="1537">
        <f t="shared" si="153"/>
        <v>1000</v>
      </c>
      <c r="AL205" s="1537">
        <f t="shared" si="154"/>
        <v>1000</v>
      </c>
      <c r="AM205" s="1537">
        <f t="shared" si="155"/>
        <v>1000</v>
      </c>
      <c r="AN205" s="1537">
        <f t="shared" si="156"/>
        <v>1000</v>
      </c>
      <c r="AO205" s="1537">
        <f t="shared" si="157"/>
        <v>1000</v>
      </c>
      <c r="AP205" s="1537">
        <f t="shared" si="158"/>
        <v>1000</v>
      </c>
      <c r="AQ205" s="1537">
        <f t="shared" si="159"/>
        <v>1000</v>
      </c>
      <c r="AR205" s="1537">
        <f t="shared" si="160"/>
        <v>1000</v>
      </c>
    </row>
    <row r="206" spans="3:44" x14ac:dyDescent="0.3">
      <c r="C206" s="1566" t="s">
        <v>3148</v>
      </c>
      <c r="D206" s="1563" t="s">
        <v>3392</v>
      </c>
      <c r="E206" s="1556">
        <v>5</v>
      </c>
      <c r="F206" s="1518">
        <f t="shared" si="130"/>
        <v>2</v>
      </c>
      <c r="G206" s="1532">
        <f t="shared" si="131"/>
        <v>0</v>
      </c>
      <c r="H206" s="1533">
        <f t="shared" si="132"/>
        <v>0</v>
      </c>
      <c r="I206" s="1534">
        <f t="shared" si="133"/>
        <v>0.2</v>
      </c>
      <c r="J206" s="1519">
        <v>2780000</v>
      </c>
      <c r="K206" s="1519">
        <v>1621667</v>
      </c>
      <c r="N206" s="1519">
        <f t="shared" si="134"/>
        <v>1158333</v>
      </c>
      <c r="Q206" s="1557">
        <v>509667</v>
      </c>
      <c r="R206" s="1519">
        <f t="shared" si="135"/>
        <v>2780000</v>
      </c>
      <c r="S206" s="1519">
        <f t="shared" si="136"/>
        <v>648666</v>
      </c>
      <c r="T206" s="1519">
        <f t="shared" si="137"/>
        <v>0</v>
      </c>
      <c r="U206" s="1535">
        <f t="shared" si="138"/>
        <v>46333.333333333336</v>
      </c>
      <c r="V206" s="1537">
        <f t="shared" si="139"/>
        <v>556000.33333333337</v>
      </c>
      <c r="W206" s="1519">
        <f t="shared" si="140"/>
        <v>556000</v>
      </c>
      <c r="X206" s="1537">
        <f t="shared" si="141"/>
        <v>45332.666666666628</v>
      </c>
      <c r="Y206" s="1537">
        <f t="shared" si="142"/>
        <v>0</v>
      </c>
      <c r="Z206" s="1537">
        <f t="shared" si="143"/>
        <v>0</v>
      </c>
      <c r="AA206" s="1537">
        <f t="shared" si="144"/>
        <v>0</v>
      </c>
      <c r="AB206" s="1537">
        <f t="shared" si="145"/>
        <v>0</v>
      </c>
      <c r="AC206" s="1537">
        <f t="shared" si="146"/>
        <v>0</v>
      </c>
      <c r="AD206" s="1537">
        <f t="shared" si="147"/>
        <v>0</v>
      </c>
      <c r="AE206" s="1537">
        <f t="shared" si="148"/>
        <v>0</v>
      </c>
      <c r="AF206" s="1536">
        <f t="shared" si="149"/>
        <v>0</v>
      </c>
      <c r="AG206" s="1555"/>
      <c r="AH206" s="1537">
        <f t="shared" si="150"/>
        <v>602332.66666666663</v>
      </c>
      <c r="AI206" s="1537">
        <f t="shared" si="151"/>
        <v>46332.666666666628</v>
      </c>
      <c r="AJ206" s="1537">
        <f t="shared" si="152"/>
        <v>1000</v>
      </c>
      <c r="AK206" s="1537">
        <f t="shared" si="153"/>
        <v>1000</v>
      </c>
      <c r="AL206" s="1537">
        <f t="shared" si="154"/>
        <v>1000</v>
      </c>
      <c r="AM206" s="1537">
        <f t="shared" si="155"/>
        <v>1000</v>
      </c>
      <c r="AN206" s="1537">
        <f t="shared" si="156"/>
        <v>1000</v>
      </c>
      <c r="AO206" s="1537">
        <f t="shared" si="157"/>
        <v>1000</v>
      </c>
      <c r="AP206" s="1537">
        <f t="shared" si="158"/>
        <v>1000</v>
      </c>
      <c r="AQ206" s="1537">
        <f t="shared" si="159"/>
        <v>1000</v>
      </c>
      <c r="AR206" s="1537">
        <f t="shared" si="160"/>
        <v>1000</v>
      </c>
    </row>
    <row r="207" spans="3:44" x14ac:dyDescent="0.3">
      <c r="C207" s="1566" t="s">
        <v>3153</v>
      </c>
      <c r="D207" s="1563" t="s">
        <v>3393</v>
      </c>
      <c r="E207" s="1556">
        <v>5</v>
      </c>
      <c r="F207" s="1518">
        <f t="shared" si="130"/>
        <v>2</v>
      </c>
      <c r="G207" s="1532">
        <f t="shared" si="131"/>
        <v>0</v>
      </c>
      <c r="H207" s="1533">
        <f t="shared" si="132"/>
        <v>0</v>
      </c>
      <c r="I207" s="1534">
        <f t="shared" si="133"/>
        <v>0.2</v>
      </c>
      <c r="J207" s="1519">
        <v>1610000</v>
      </c>
      <c r="K207" s="1519">
        <v>939167</v>
      </c>
      <c r="N207" s="1519">
        <f t="shared" si="134"/>
        <v>670833</v>
      </c>
      <c r="Q207" s="1557">
        <v>295167</v>
      </c>
      <c r="R207" s="1519">
        <f t="shared" si="135"/>
        <v>1610000</v>
      </c>
      <c r="S207" s="1519">
        <f t="shared" si="136"/>
        <v>375666</v>
      </c>
      <c r="T207" s="1519">
        <f t="shared" si="137"/>
        <v>0</v>
      </c>
      <c r="U207" s="1535">
        <f t="shared" si="138"/>
        <v>26833.333333333332</v>
      </c>
      <c r="V207" s="1537">
        <f t="shared" si="139"/>
        <v>322000.33333333331</v>
      </c>
      <c r="W207" s="1519">
        <f t="shared" si="140"/>
        <v>322000</v>
      </c>
      <c r="X207" s="1537">
        <f t="shared" si="141"/>
        <v>25832.666666666686</v>
      </c>
      <c r="Y207" s="1537">
        <f t="shared" si="142"/>
        <v>0</v>
      </c>
      <c r="Z207" s="1537">
        <f t="shared" si="143"/>
        <v>0</v>
      </c>
      <c r="AA207" s="1537">
        <f t="shared" si="144"/>
        <v>0</v>
      </c>
      <c r="AB207" s="1537">
        <f t="shared" si="145"/>
        <v>0</v>
      </c>
      <c r="AC207" s="1537">
        <f t="shared" si="146"/>
        <v>0</v>
      </c>
      <c r="AD207" s="1537">
        <f t="shared" si="147"/>
        <v>0</v>
      </c>
      <c r="AE207" s="1537">
        <f t="shared" si="148"/>
        <v>0</v>
      </c>
      <c r="AF207" s="1536">
        <f t="shared" si="149"/>
        <v>0</v>
      </c>
      <c r="AG207" s="1555"/>
      <c r="AH207" s="1537">
        <f t="shared" si="150"/>
        <v>348832.66666666669</v>
      </c>
      <c r="AI207" s="1537">
        <f t="shared" si="151"/>
        <v>26832.666666666686</v>
      </c>
      <c r="AJ207" s="1537">
        <f t="shared" si="152"/>
        <v>1000</v>
      </c>
      <c r="AK207" s="1537">
        <f t="shared" si="153"/>
        <v>1000</v>
      </c>
      <c r="AL207" s="1537">
        <f t="shared" si="154"/>
        <v>1000</v>
      </c>
      <c r="AM207" s="1537">
        <f t="shared" si="155"/>
        <v>1000</v>
      </c>
      <c r="AN207" s="1537">
        <f t="shared" si="156"/>
        <v>1000</v>
      </c>
      <c r="AO207" s="1537">
        <f t="shared" si="157"/>
        <v>1000</v>
      </c>
      <c r="AP207" s="1537">
        <f t="shared" si="158"/>
        <v>1000</v>
      </c>
      <c r="AQ207" s="1537">
        <f t="shared" si="159"/>
        <v>1000</v>
      </c>
      <c r="AR207" s="1537">
        <f t="shared" si="160"/>
        <v>1000</v>
      </c>
    </row>
    <row r="208" spans="3:44" x14ac:dyDescent="0.3">
      <c r="C208" s="1566" t="s">
        <v>3140</v>
      </c>
      <c r="D208" s="1563" t="s">
        <v>3394</v>
      </c>
      <c r="E208" s="1556">
        <v>5</v>
      </c>
      <c r="F208" s="1518">
        <f t="shared" si="130"/>
        <v>2</v>
      </c>
      <c r="G208" s="1532">
        <f t="shared" si="131"/>
        <v>0</v>
      </c>
      <c r="H208" s="1533">
        <f t="shared" si="132"/>
        <v>0</v>
      </c>
      <c r="I208" s="1534">
        <f t="shared" si="133"/>
        <v>0.2</v>
      </c>
      <c r="J208" s="1519">
        <v>1390000</v>
      </c>
      <c r="K208" s="1519">
        <v>787667</v>
      </c>
      <c r="N208" s="1519">
        <f t="shared" si="134"/>
        <v>602333</v>
      </c>
      <c r="Q208" s="1557">
        <v>254833</v>
      </c>
      <c r="R208" s="1519">
        <f t="shared" si="135"/>
        <v>1390000</v>
      </c>
      <c r="S208" s="1519">
        <f t="shared" si="136"/>
        <v>347500</v>
      </c>
      <c r="T208" s="1519">
        <f t="shared" si="137"/>
        <v>0</v>
      </c>
      <c r="U208" s="1535">
        <f t="shared" si="138"/>
        <v>23166.666666666668</v>
      </c>
      <c r="V208" s="1537">
        <f t="shared" si="139"/>
        <v>277999.66666666669</v>
      </c>
      <c r="W208" s="1519">
        <f t="shared" si="140"/>
        <v>278000</v>
      </c>
      <c r="X208" s="1537">
        <f t="shared" si="141"/>
        <v>45333.333333333314</v>
      </c>
      <c r="Y208" s="1537">
        <f t="shared" si="142"/>
        <v>0</v>
      </c>
      <c r="Z208" s="1537">
        <f t="shared" si="143"/>
        <v>0</v>
      </c>
      <c r="AA208" s="1537">
        <f t="shared" si="144"/>
        <v>0</v>
      </c>
      <c r="AB208" s="1537">
        <f t="shared" si="145"/>
        <v>0</v>
      </c>
      <c r="AC208" s="1537">
        <f t="shared" si="146"/>
        <v>0</v>
      </c>
      <c r="AD208" s="1537">
        <f t="shared" si="147"/>
        <v>0</v>
      </c>
      <c r="AE208" s="1537">
        <f t="shared" si="148"/>
        <v>0</v>
      </c>
      <c r="AF208" s="1536">
        <f t="shared" si="149"/>
        <v>0</v>
      </c>
      <c r="AG208" s="1555"/>
      <c r="AH208" s="1537">
        <f t="shared" si="150"/>
        <v>324333.33333333331</v>
      </c>
      <c r="AI208" s="1537">
        <f t="shared" si="151"/>
        <v>46333.333333333314</v>
      </c>
      <c r="AJ208" s="1537">
        <f t="shared" si="152"/>
        <v>1000</v>
      </c>
      <c r="AK208" s="1537">
        <f t="shared" si="153"/>
        <v>1000</v>
      </c>
      <c r="AL208" s="1537">
        <f t="shared" si="154"/>
        <v>1000</v>
      </c>
      <c r="AM208" s="1537">
        <f t="shared" si="155"/>
        <v>1000</v>
      </c>
      <c r="AN208" s="1537">
        <f t="shared" si="156"/>
        <v>1000</v>
      </c>
      <c r="AO208" s="1537">
        <f t="shared" si="157"/>
        <v>1000</v>
      </c>
      <c r="AP208" s="1537">
        <f t="shared" si="158"/>
        <v>1000</v>
      </c>
      <c r="AQ208" s="1537">
        <f t="shared" si="159"/>
        <v>1000</v>
      </c>
      <c r="AR208" s="1537">
        <f t="shared" si="160"/>
        <v>1000</v>
      </c>
    </row>
    <row r="209" spans="3:44" x14ac:dyDescent="0.3">
      <c r="C209" s="1566" t="s">
        <v>3154</v>
      </c>
      <c r="D209" s="1563" t="s">
        <v>3395</v>
      </c>
      <c r="E209" s="1556">
        <v>5</v>
      </c>
      <c r="F209" s="1518">
        <f t="shared" si="130"/>
        <v>2</v>
      </c>
      <c r="G209" s="1532">
        <f t="shared" si="131"/>
        <v>0</v>
      </c>
      <c r="H209" s="1533">
        <f t="shared" si="132"/>
        <v>0</v>
      </c>
      <c r="I209" s="1534">
        <f t="shared" si="133"/>
        <v>0.2</v>
      </c>
      <c r="J209" s="1519">
        <v>6950000</v>
      </c>
      <c r="K209" s="1519">
        <v>3938333</v>
      </c>
      <c r="N209" s="1519">
        <f t="shared" si="134"/>
        <v>3011667</v>
      </c>
      <c r="Q209" s="1557">
        <v>1274167</v>
      </c>
      <c r="R209" s="1519">
        <f t="shared" si="135"/>
        <v>6950000</v>
      </c>
      <c r="S209" s="1519">
        <f t="shared" si="136"/>
        <v>1737500</v>
      </c>
      <c r="T209" s="1519">
        <f t="shared" si="137"/>
        <v>0</v>
      </c>
      <c r="U209" s="1535">
        <f t="shared" si="138"/>
        <v>115833.33333333333</v>
      </c>
      <c r="V209" s="1537">
        <f t="shared" si="139"/>
        <v>1390000.3333333333</v>
      </c>
      <c r="W209" s="1519">
        <f t="shared" si="140"/>
        <v>1390000</v>
      </c>
      <c r="X209" s="1537">
        <f t="shared" si="141"/>
        <v>230666.66666666674</v>
      </c>
      <c r="Y209" s="1537">
        <f t="shared" si="142"/>
        <v>0</v>
      </c>
      <c r="Z209" s="1537">
        <f t="shared" si="143"/>
        <v>0</v>
      </c>
      <c r="AA209" s="1537">
        <f t="shared" si="144"/>
        <v>0</v>
      </c>
      <c r="AB209" s="1537">
        <f t="shared" si="145"/>
        <v>0</v>
      </c>
      <c r="AC209" s="1537">
        <f t="shared" si="146"/>
        <v>0</v>
      </c>
      <c r="AD209" s="1537">
        <f t="shared" si="147"/>
        <v>0</v>
      </c>
      <c r="AE209" s="1537">
        <f t="shared" si="148"/>
        <v>0</v>
      </c>
      <c r="AF209" s="1536">
        <f t="shared" si="149"/>
        <v>0</v>
      </c>
      <c r="AG209" s="1555"/>
      <c r="AH209" s="1537">
        <f t="shared" si="150"/>
        <v>1621666.6666666667</v>
      </c>
      <c r="AI209" s="1537">
        <f t="shared" si="151"/>
        <v>231666.66666666674</v>
      </c>
      <c r="AJ209" s="1537">
        <f t="shared" si="152"/>
        <v>1000</v>
      </c>
      <c r="AK209" s="1537">
        <f t="shared" si="153"/>
        <v>1000</v>
      </c>
      <c r="AL209" s="1537">
        <f t="shared" si="154"/>
        <v>1000</v>
      </c>
      <c r="AM209" s="1537">
        <f t="shared" si="155"/>
        <v>1000</v>
      </c>
      <c r="AN209" s="1537">
        <f t="shared" si="156"/>
        <v>1000</v>
      </c>
      <c r="AO209" s="1537">
        <f t="shared" si="157"/>
        <v>1000</v>
      </c>
      <c r="AP209" s="1537">
        <f t="shared" si="158"/>
        <v>1000</v>
      </c>
      <c r="AQ209" s="1537">
        <f t="shared" si="159"/>
        <v>1000</v>
      </c>
      <c r="AR209" s="1537">
        <f t="shared" si="160"/>
        <v>1000</v>
      </c>
    </row>
    <row r="210" spans="3:44" x14ac:dyDescent="0.3">
      <c r="C210" s="1566" t="s">
        <v>3155</v>
      </c>
      <c r="D210" s="1563" t="s">
        <v>3396</v>
      </c>
      <c r="E210" s="1556">
        <v>5</v>
      </c>
      <c r="F210" s="1518">
        <f t="shared" si="130"/>
        <v>2</v>
      </c>
      <c r="G210" s="1532">
        <f t="shared" si="131"/>
        <v>0</v>
      </c>
      <c r="H210" s="1533">
        <f t="shared" si="132"/>
        <v>0</v>
      </c>
      <c r="I210" s="1534">
        <f t="shared" si="133"/>
        <v>0.2</v>
      </c>
      <c r="J210" s="1519">
        <v>1306000</v>
      </c>
      <c r="K210" s="1519">
        <v>718300</v>
      </c>
      <c r="N210" s="1519">
        <f t="shared" si="134"/>
        <v>587700</v>
      </c>
      <c r="Q210" s="1557">
        <v>239433</v>
      </c>
      <c r="R210" s="1519">
        <f t="shared" si="135"/>
        <v>1306000</v>
      </c>
      <c r="S210" s="1519">
        <f t="shared" si="136"/>
        <v>348267</v>
      </c>
      <c r="T210" s="1519">
        <f t="shared" si="137"/>
        <v>0</v>
      </c>
      <c r="U210" s="1535">
        <f t="shared" si="138"/>
        <v>21766.666666666668</v>
      </c>
      <c r="V210" s="1537">
        <f t="shared" si="139"/>
        <v>261199.66666666666</v>
      </c>
      <c r="W210" s="1519">
        <f t="shared" si="140"/>
        <v>261200</v>
      </c>
      <c r="X210" s="1537">
        <f t="shared" si="141"/>
        <v>64300.333333333314</v>
      </c>
      <c r="Y210" s="1537">
        <f t="shared" si="142"/>
        <v>0</v>
      </c>
      <c r="Z210" s="1537">
        <f t="shared" si="143"/>
        <v>0</v>
      </c>
      <c r="AA210" s="1537">
        <f t="shared" si="144"/>
        <v>0</v>
      </c>
      <c r="AB210" s="1537">
        <f t="shared" si="145"/>
        <v>0</v>
      </c>
      <c r="AC210" s="1537">
        <f t="shared" si="146"/>
        <v>0</v>
      </c>
      <c r="AD210" s="1537">
        <f t="shared" si="147"/>
        <v>0</v>
      </c>
      <c r="AE210" s="1537">
        <f t="shared" si="148"/>
        <v>0</v>
      </c>
      <c r="AF210" s="1536">
        <f t="shared" si="149"/>
        <v>0</v>
      </c>
      <c r="AG210" s="1555"/>
      <c r="AH210" s="1537">
        <f t="shared" si="150"/>
        <v>326500.33333333331</v>
      </c>
      <c r="AI210" s="1537">
        <f t="shared" si="151"/>
        <v>65300.333333333314</v>
      </c>
      <c r="AJ210" s="1537">
        <f t="shared" si="152"/>
        <v>1000</v>
      </c>
      <c r="AK210" s="1537">
        <f t="shared" si="153"/>
        <v>1000</v>
      </c>
      <c r="AL210" s="1537">
        <f t="shared" si="154"/>
        <v>1000</v>
      </c>
      <c r="AM210" s="1537">
        <f t="shared" si="155"/>
        <v>1000</v>
      </c>
      <c r="AN210" s="1537">
        <f t="shared" si="156"/>
        <v>1000</v>
      </c>
      <c r="AO210" s="1537">
        <f t="shared" si="157"/>
        <v>1000</v>
      </c>
      <c r="AP210" s="1537">
        <f t="shared" si="158"/>
        <v>1000</v>
      </c>
      <c r="AQ210" s="1537">
        <f t="shared" si="159"/>
        <v>1000</v>
      </c>
      <c r="AR210" s="1537">
        <f t="shared" si="160"/>
        <v>1000</v>
      </c>
    </row>
    <row r="211" spans="3:44" x14ac:dyDescent="0.3">
      <c r="C211" s="1566" t="s">
        <v>3148</v>
      </c>
      <c r="D211" s="1563" t="s">
        <v>3397</v>
      </c>
      <c r="E211" s="1556">
        <v>5</v>
      </c>
      <c r="F211" s="1518">
        <f t="shared" si="130"/>
        <v>2</v>
      </c>
      <c r="G211" s="1532">
        <f t="shared" si="131"/>
        <v>0</v>
      </c>
      <c r="H211" s="1533">
        <f t="shared" si="132"/>
        <v>0</v>
      </c>
      <c r="I211" s="1534">
        <f t="shared" si="133"/>
        <v>0.2</v>
      </c>
      <c r="J211" s="1519">
        <v>2780000</v>
      </c>
      <c r="K211" s="1519">
        <v>1529000</v>
      </c>
      <c r="N211" s="1519">
        <f t="shared" si="134"/>
        <v>1251000</v>
      </c>
      <c r="Q211" s="1557">
        <v>509667</v>
      </c>
      <c r="R211" s="1519">
        <f t="shared" si="135"/>
        <v>2780000</v>
      </c>
      <c r="S211" s="1519">
        <f t="shared" si="136"/>
        <v>741333</v>
      </c>
      <c r="T211" s="1519">
        <f t="shared" si="137"/>
        <v>0</v>
      </c>
      <c r="U211" s="1535">
        <f t="shared" si="138"/>
        <v>46333.333333333336</v>
      </c>
      <c r="V211" s="1537">
        <f t="shared" si="139"/>
        <v>556000.33333333337</v>
      </c>
      <c r="W211" s="1519">
        <f t="shared" si="140"/>
        <v>556000</v>
      </c>
      <c r="X211" s="1537">
        <f t="shared" si="141"/>
        <v>137999.66666666663</v>
      </c>
      <c r="Y211" s="1537">
        <f t="shared" si="142"/>
        <v>0</v>
      </c>
      <c r="Z211" s="1537">
        <f t="shared" si="143"/>
        <v>0</v>
      </c>
      <c r="AA211" s="1537">
        <f t="shared" si="144"/>
        <v>0</v>
      </c>
      <c r="AB211" s="1537">
        <f t="shared" si="145"/>
        <v>0</v>
      </c>
      <c r="AC211" s="1537">
        <f t="shared" si="146"/>
        <v>0</v>
      </c>
      <c r="AD211" s="1537">
        <f t="shared" si="147"/>
        <v>0</v>
      </c>
      <c r="AE211" s="1537">
        <f t="shared" si="148"/>
        <v>0</v>
      </c>
      <c r="AF211" s="1536">
        <f t="shared" si="149"/>
        <v>0</v>
      </c>
      <c r="AG211" s="1555"/>
      <c r="AH211" s="1537">
        <f t="shared" si="150"/>
        <v>694999.66666666663</v>
      </c>
      <c r="AI211" s="1537">
        <f t="shared" si="151"/>
        <v>138999.66666666663</v>
      </c>
      <c r="AJ211" s="1537">
        <f t="shared" si="152"/>
        <v>1000</v>
      </c>
      <c r="AK211" s="1537">
        <f t="shared" si="153"/>
        <v>1000</v>
      </c>
      <c r="AL211" s="1537">
        <f t="shared" si="154"/>
        <v>1000</v>
      </c>
      <c r="AM211" s="1537">
        <f t="shared" si="155"/>
        <v>1000</v>
      </c>
      <c r="AN211" s="1537">
        <f t="shared" si="156"/>
        <v>1000</v>
      </c>
      <c r="AO211" s="1537">
        <f t="shared" si="157"/>
        <v>1000</v>
      </c>
      <c r="AP211" s="1537">
        <f t="shared" si="158"/>
        <v>1000</v>
      </c>
      <c r="AQ211" s="1537">
        <f t="shared" si="159"/>
        <v>1000</v>
      </c>
      <c r="AR211" s="1537">
        <f t="shared" si="160"/>
        <v>1000</v>
      </c>
    </row>
    <row r="212" spans="3:44" x14ac:dyDescent="0.3">
      <c r="C212" s="1566" t="s">
        <v>3154</v>
      </c>
      <c r="D212" s="1563" t="s">
        <v>3398</v>
      </c>
      <c r="E212" s="1556">
        <v>5</v>
      </c>
      <c r="F212" s="1518">
        <f t="shared" si="130"/>
        <v>2</v>
      </c>
      <c r="G212" s="1532">
        <f t="shared" si="131"/>
        <v>0</v>
      </c>
      <c r="H212" s="1533">
        <f t="shared" si="132"/>
        <v>0</v>
      </c>
      <c r="I212" s="1534">
        <f t="shared" si="133"/>
        <v>0.2</v>
      </c>
      <c r="J212" s="1519">
        <v>6950000</v>
      </c>
      <c r="K212" s="1519">
        <v>3822500</v>
      </c>
      <c r="N212" s="1519">
        <f t="shared" si="134"/>
        <v>3127500</v>
      </c>
      <c r="Q212" s="1557">
        <v>1274167</v>
      </c>
      <c r="R212" s="1519">
        <f t="shared" si="135"/>
        <v>6950000</v>
      </c>
      <c r="S212" s="1519">
        <f t="shared" si="136"/>
        <v>1853333</v>
      </c>
      <c r="T212" s="1519">
        <f t="shared" si="137"/>
        <v>0</v>
      </c>
      <c r="U212" s="1535">
        <f t="shared" si="138"/>
        <v>115833.33333333333</v>
      </c>
      <c r="V212" s="1537">
        <f t="shared" si="139"/>
        <v>1390000.3333333333</v>
      </c>
      <c r="W212" s="1519">
        <f t="shared" si="140"/>
        <v>1390000</v>
      </c>
      <c r="X212" s="1537">
        <f t="shared" si="141"/>
        <v>346499.66666666674</v>
      </c>
      <c r="Y212" s="1537">
        <f t="shared" si="142"/>
        <v>0</v>
      </c>
      <c r="Z212" s="1537">
        <f t="shared" si="143"/>
        <v>0</v>
      </c>
      <c r="AA212" s="1537">
        <f t="shared" si="144"/>
        <v>0</v>
      </c>
      <c r="AB212" s="1537">
        <f t="shared" si="145"/>
        <v>0</v>
      </c>
      <c r="AC212" s="1537">
        <f t="shared" si="146"/>
        <v>0</v>
      </c>
      <c r="AD212" s="1537">
        <f t="shared" si="147"/>
        <v>0</v>
      </c>
      <c r="AE212" s="1537">
        <f t="shared" si="148"/>
        <v>0</v>
      </c>
      <c r="AF212" s="1536">
        <f t="shared" si="149"/>
        <v>0</v>
      </c>
      <c r="AG212" s="1555"/>
      <c r="AH212" s="1537">
        <f t="shared" si="150"/>
        <v>1737499.6666666667</v>
      </c>
      <c r="AI212" s="1537">
        <f t="shared" si="151"/>
        <v>347499.66666666674</v>
      </c>
      <c r="AJ212" s="1537">
        <f t="shared" si="152"/>
        <v>1000</v>
      </c>
      <c r="AK212" s="1537">
        <f t="shared" si="153"/>
        <v>1000</v>
      </c>
      <c r="AL212" s="1537">
        <f t="shared" si="154"/>
        <v>1000</v>
      </c>
      <c r="AM212" s="1537">
        <f t="shared" si="155"/>
        <v>1000</v>
      </c>
      <c r="AN212" s="1537">
        <f t="shared" si="156"/>
        <v>1000</v>
      </c>
      <c r="AO212" s="1537">
        <f t="shared" si="157"/>
        <v>1000</v>
      </c>
      <c r="AP212" s="1537">
        <f t="shared" si="158"/>
        <v>1000</v>
      </c>
      <c r="AQ212" s="1537">
        <f t="shared" si="159"/>
        <v>1000</v>
      </c>
      <c r="AR212" s="1537">
        <f t="shared" si="160"/>
        <v>1000</v>
      </c>
    </row>
    <row r="213" spans="3:44" x14ac:dyDescent="0.3">
      <c r="C213" s="1566" t="s">
        <v>3140</v>
      </c>
      <c r="D213" s="1563" t="s">
        <v>3398</v>
      </c>
      <c r="E213" s="1556">
        <v>5</v>
      </c>
      <c r="F213" s="1518">
        <f t="shared" si="130"/>
        <v>2</v>
      </c>
      <c r="G213" s="1532">
        <f t="shared" si="131"/>
        <v>0</v>
      </c>
      <c r="H213" s="1533">
        <f t="shared" si="132"/>
        <v>0</v>
      </c>
      <c r="I213" s="1534">
        <f t="shared" si="133"/>
        <v>0.2</v>
      </c>
      <c r="J213" s="1519">
        <v>1390000</v>
      </c>
      <c r="K213" s="1519">
        <v>764500</v>
      </c>
      <c r="N213" s="1519">
        <f t="shared" si="134"/>
        <v>625500</v>
      </c>
      <c r="Q213" s="1557">
        <v>254833</v>
      </c>
      <c r="R213" s="1519">
        <f t="shared" si="135"/>
        <v>1390000</v>
      </c>
      <c r="S213" s="1519">
        <f t="shared" si="136"/>
        <v>370667</v>
      </c>
      <c r="T213" s="1519">
        <f t="shared" si="137"/>
        <v>0</v>
      </c>
      <c r="U213" s="1535">
        <f t="shared" si="138"/>
        <v>23166.666666666668</v>
      </c>
      <c r="V213" s="1537">
        <f t="shared" si="139"/>
        <v>277999.66666666669</v>
      </c>
      <c r="W213" s="1519">
        <f t="shared" si="140"/>
        <v>278000</v>
      </c>
      <c r="X213" s="1537">
        <f t="shared" si="141"/>
        <v>68500.333333333314</v>
      </c>
      <c r="Y213" s="1537">
        <f t="shared" si="142"/>
        <v>0</v>
      </c>
      <c r="Z213" s="1537">
        <f t="shared" si="143"/>
        <v>0</v>
      </c>
      <c r="AA213" s="1537">
        <f t="shared" si="144"/>
        <v>0</v>
      </c>
      <c r="AB213" s="1537">
        <f t="shared" si="145"/>
        <v>0</v>
      </c>
      <c r="AC213" s="1537">
        <f t="shared" si="146"/>
        <v>0</v>
      </c>
      <c r="AD213" s="1537">
        <f t="shared" si="147"/>
        <v>0</v>
      </c>
      <c r="AE213" s="1537">
        <f t="shared" si="148"/>
        <v>0</v>
      </c>
      <c r="AF213" s="1536">
        <f t="shared" si="149"/>
        <v>0</v>
      </c>
      <c r="AG213" s="1555"/>
      <c r="AH213" s="1537">
        <f t="shared" si="150"/>
        <v>347500.33333333331</v>
      </c>
      <c r="AI213" s="1537">
        <f t="shared" si="151"/>
        <v>69500.333333333314</v>
      </c>
      <c r="AJ213" s="1537">
        <f t="shared" si="152"/>
        <v>1000</v>
      </c>
      <c r="AK213" s="1537">
        <f t="shared" si="153"/>
        <v>1000</v>
      </c>
      <c r="AL213" s="1537">
        <f t="shared" si="154"/>
        <v>1000</v>
      </c>
      <c r="AM213" s="1537">
        <f t="shared" si="155"/>
        <v>1000</v>
      </c>
      <c r="AN213" s="1537">
        <f t="shared" si="156"/>
        <v>1000</v>
      </c>
      <c r="AO213" s="1537">
        <f t="shared" si="157"/>
        <v>1000</v>
      </c>
      <c r="AP213" s="1537">
        <f t="shared" si="158"/>
        <v>1000</v>
      </c>
      <c r="AQ213" s="1537">
        <f t="shared" si="159"/>
        <v>1000</v>
      </c>
      <c r="AR213" s="1537">
        <f t="shared" si="160"/>
        <v>1000</v>
      </c>
    </row>
    <row r="214" spans="3:44" x14ac:dyDescent="0.3">
      <c r="C214" s="1566" t="s">
        <v>3140</v>
      </c>
      <c r="D214" s="1563" t="s">
        <v>3399</v>
      </c>
      <c r="E214" s="1556">
        <v>5</v>
      </c>
      <c r="F214" s="1518">
        <f t="shared" si="130"/>
        <v>2</v>
      </c>
      <c r="G214" s="1532">
        <f t="shared" si="131"/>
        <v>0</v>
      </c>
      <c r="H214" s="1533">
        <f t="shared" si="132"/>
        <v>0</v>
      </c>
      <c r="I214" s="1534">
        <f t="shared" si="133"/>
        <v>0.2</v>
      </c>
      <c r="J214" s="1519">
        <v>1390000</v>
      </c>
      <c r="K214" s="1519">
        <v>764500</v>
      </c>
      <c r="N214" s="1519">
        <f t="shared" si="134"/>
        <v>625500</v>
      </c>
      <c r="Q214" s="1557">
        <v>254833</v>
      </c>
      <c r="R214" s="1519">
        <f t="shared" si="135"/>
        <v>1390000</v>
      </c>
      <c r="S214" s="1519">
        <f t="shared" si="136"/>
        <v>370667</v>
      </c>
      <c r="T214" s="1519">
        <f t="shared" si="137"/>
        <v>0</v>
      </c>
      <c r="U214" s="1535">
        <f t="shared" si="138"/>
        <v>23166.666666666668</v>
      </c>
      <c r="V214" s="1537">
        <f t="shared" si="139"/>
        <v>277999.66666666669</v>
      </c>
      <c r="W214" s="1519">
        <f t="shared" si="140"/>
        <v>278000</v>
      </c>
      <c r="X214" s="1537">
        <f t="shared" si="141"/>
        <v>68500.333333333314</v>
      </c>
      <c r="Y214" s="1537">
        <f t="shared" si="142"/>
        <v>0</v>
      </c>
      <c r="Z214" s="1537">
        <f t="shared" si="143"/>
        <v>0</v>
      </c>
      <c r="AA214" s="1537">
        <f t="shared" si="144"/>
        <v>0</v>
      </c>
      <c r="AB214" s="1537">
        <f t="shared" si="145"/>
        <v>0</v>
      </c>
      <c r="AC214" s="1537">
        <f t="shared" si="146"/>
        <v>0</v>
      </c>
      <c r="AD214" s="1537">
        <f t="shared" si="147"/>
        <v>0</v>
      </c>
      <c r="AE214" s="1537">
        <f t="shared" si="148"/>
        <v>0</v>
      </c>
      <c r="AF214" s="1536">
        <f t="shared" si="149"/>
        <v>0</v>
      </c>
      <c r="AG214" s="1555"/>
      <c r="AH214" s="1537">
        <f t="shared" si="150"/>
        <v>347500.33333333331</v>
      </c>
      <c r="AI214" s="1537">
        <f t="shared" si="151"/>
        <v>69500.333333333314</v>
      </c>
      <c r="AJ214" s="1537">
        <f t="shared" si="152"/>
        <v>1000</v>
      </c>
      <c r="AK214" s="1537">
        <f t="shared" si="153"/>
        <v>1000</v>
      </c>
      <c r="AL214" s="1537">
        <f t="shared" si="154"/>
        <v>1000</v>
      </c>
      <c r="AM214" s="1537">
        <f t="shared" si="155"/>
        <v>1000</v>
      </c>
      <c r="AN214" s="1537">
        <f t="shared" si="156"/>
        <v>1000</v>
      </c>
      <c r="AO214" s="1537">
        <f t="shared" si="157"/>
        <v>1000</v>
      </c>
      <c r="AP214" s="1537">
        <f t="shared" si="158"/>
        <v>1000</v>
      </c>
      <c r="AQ214" s="1537">
        <f t="shared" si="159"/>
        <v>1000</v>
      </c>
      <c r="AR214" s="1537">
        <f t="shared" si="160"/>
        <v>1000</v>
      </c>
    </row>
    <row r="215" spans="3:44" x14ac:dyDescent="0.3">
      <c r="C215" s="1566" t="s">
        <v>3148</v>
      </c>
      <c r="D215" s="1563" t="s">
        <v>3400</v>
      </c>
      <c r="E215" s="1556">
        <v>5</v>
      </c>
      <c r="F215" s="1518">
        <f t="shared" si="130"/>
        <v>2</v>
      </c>
      <c r="G215" s="1532">
        <f t="shared" si="131"/>
        <v>0</v>
      </c>
      <c r="H215" s="1533">
        <f t="shared" si="132"/>
        <v>0</v>
      </c>
      <c r="I215" s="1534">
        <f t="shared" si="133"/>
        <v>0.2</v>
      </c>
      <c r="J215" s="1519">
        <v>2780000</v>
      </c>
      <c r="K215" s="1519">
        <v>1529000</v>
      </c>
      <c r="N215" s="1519">
        <f t="shared" si="134"/>
        <v>1251000</v>
      </c>
      <c r="Q215" s="1557">
        <v>509667</v>
      </c>
      <c r="R215" s="1519">
        <f t="shared" si="135"/>
        <v>2780000</v>
      </c>
      <c r="S215" s="1519">
        <f t="shared" si="136"/>
        <v>741333</v>
      </c>
      <c r="T215" s="1519">
        <f t="shared" si="137"/>
        <v>0</v>
      </c>
      <c r="U215" s="1535">
        <f t="shared" si="138"/>
        <v>46333.333333333336</v>
      </c>
      <c r="V215" s="1537">
        <f t="shared" si="139"/>
        <v>556000.33333333337</v>
      </c>
      <c r="W215" s="1519">
        <f t="shared" si="140"/>
        <v>556000</v>
      </c>
      <c r="X215" s="1537">
        <f t="shared" si="141"/>
        <v>137999.66666666663</v>
      </c>
      <c r="Y215" s="1537">
        <f t="shared" si="142"/>
        <v>0</v>
      </c>
      <c r="Z215" s="1537">
        <f t="shared" si="143"/>
        <v>0</v>
      </c>
      <c r="AA215" s="1537">
        <f t="shared" si="144"/>
        <v>0</v>
      </c>
      <c r="AB215" s="1537">
        <f t="shared" si="145"/>
        <v>0</v>
      </c>
      <c r="AC215" s="1537">
        <f t="shared" si="146"/>
        <v>0</v>
      </c>
      <c r="AD215" s="1537">
        <f t="shared" si="147"/>
        <v>0</v>
      </c>
      <c r="AE215" s="1537">
        <f t="shared" si="148"/>
        <v>0</v>
      </c>
      <c r="AF215" s="1536">
        <f t="shared" si="149"/>
        <v>0</v>
      </c>
      <c r="AG215" s="1555"/>
      <c r="AH215" s="1537">
        <f t="shared" si="150"/>
        <v>694999.66666666663</v>
      </c>
      <c r="AI215" s="1537">
        <f t="shared" si="151"/>
        <v>138999.66666666663</v>
      </c>
      <c r="AJ215" s="1537">
        <f t="shared" si="152"/>
        <v>1000</v>
      </c>
      <c r="AK215" s="1537">
        <f t="shared" si="153"/>
        <v>1000</v>
      </c>
      <c r="AL215" s="1537">
        <f t="shared" si="154"/>
        <v>1000</v>
      </c>
      <c r="AM215" s="1537">
        <f t="shared" si="155"/>
        <v>1000</v>
      </c>
      <c r="AN215" s="1537">
        <f t="shared" si="156"/>
        <v>1000</v>
      </c>
      <c r="AO215" s="1537">
        <f t="shared" si="157"/>
        <v>1000</v>
      </c>
      <c r="AP215" s="1537">
        <f t="shared" si="158"/>
        <v>1000</v>
      </c>
      <c r="AQ215" s="1537">
        <f t="shared" si="159"/>
        <v>1000</v>
      </c>
      <c r="AR215" s="1537">
        <f t="shared" si="160"/>
        <v>1000</v>
      </c>
    </row>
    <row r="216" spans="3:44" x14ac:dyDescent="0.3">
      <c r="C216" s="1566" t="s">
        <v>3147</v>
      </c>
      <c r="D216" s="1563" t="s">
        <v>3400</v>
      </c>
      <c r="E216" s="1556">
        <v>5</v>
      </c>
      <c r="F216" s="1518">
        <f t="shared" si="130"/>
        <v>2</v>
      </c>
      <c r="G216" s="1532">
        <f t="shared" si="131"/>
        <v>0</v>
      </c>
      <c r="H216" s="1533">
        <f t="shared" si="132"/>
        <v>0</v>
      </c>
      <c r="I216" s="1534">
        <f t="shared" si="133"/>
        <v>0.2</v>
      </c>
      <c r="J216" s="1519">
        <v>4170000</v>
      </c>
      <c r="K216" s="1519">
        <v>2293500</v>
      </c>
      <c r="N216" s="1519">
        <f t="shared" si="134"/>
        <v>1876500</v>
      </c>
      <c r="Q216" s="1557">
        <v>764500</v>
      </c>
      <c r="R216" s="1519">
        <f t="shared" si="135"/>
        <v>4170000</v>
      </c>
      <c r="S216" s="1519">
        <f t="shared" si="136"/>
        <v>1112000</v>
      </c>
      <c r="T216" s="1519">
        <f t="shared" si="137"/>
        <v>0</v>
      </c>
      <c r="U216" s="1535">
        <f t="shared" si="138"/>
        <v>69500</v>
      </c>
      <c r="V216" s="1537">
        <f t="shared" si="139"/>
        <v>834000</v>
      </c>
      <c r="W216" s="1519">
        <f t="shared" si="140"/>
        <v>834000</v>
      </c>
      <c r="X216" s="1537">
        <f t="shared" si="141"/>
        <v>207500</v>
      </c>
      <c r="Y216" s="1537">
        <f t="shared" si="142"/>
        <v>0</v>
      </c>
      <c r="Z216" s="1537">
        <f t="shared" si="143"/>
        <v>0</v>
      </c>
      <c r="AA216" s="1537">
        <f t="shared" si="144"/>
        <v>0</v>
      </c>
      <c r="AB216" s="1537">
        <f t="shared" si="145"/>
        <v>0</v>
      </c>
      <c r="AC216" s="1537">
        <f t="shared" si="146"/>
        <v>0</v>
      </c>
      <c r="AD216" s="1537">
        <f t="shared" si="147"/>
        <v>0</v>
      </c>
      <c r="AE216" s="1537">
        <f t="shared" si="148"/>
        <v>0</v>
      </c>
      <c r="AF216" s="1536">
        <f t="shared" si="149"/>
        <v>0</v>
      </c>
      <c r="AG216" s="1555"/>
      <c r="AH216" s="1537">
        <f t="shared" si="150"/>
        <v>1042500</v>
      </c>
      <c r="AI216" s="1537">
        <f t="shared" si="151"/>
        <v>208500</v>
      </c>
      <c r="AJ216" s="1537">
        <f t="shared" si="152"/>
        <v>1000</v>
      </c>
      <c r="AK216" s="1537">
        <f t="shared" si="153"/>
        <v>1000</v>
      </c>
      <c r="AL216" s="1537">
        <f t="shared" si="154"/>
        <v>1000</v>
      </c>
      <c r="AM216" s="1537">
        <f t="shared" si="155"/>
        <v>1000</v>
      </c>
      <c r="AN216" s="1537">
        <f t="shared" si="156"/>
        <v>1000</v>
      </c>
      <c r="AO216" s="1537">
        <f t="shared" si="157"/>
        <v>1000</v>
      </c>
      <c r="AP216" s="1537">
        <f t="shared" si="158"/>
        <v>1000</v>
      </c>
      <c r="AQ216" s="1537">
        <f t="shared" si="159"/>
        <v>1000</v>
      </c>
      <c r="AR216" s="1537">
        <f t="shared" si="160"/>
        <v>1000</v>
      </c>
    </row>
    <row r="217" spans="3:44" x14ac:dyDescent="0.3">
      <c r="C217" s="1566" t="s">
        <v>3156</v>
      </c>
      <c r="D217" s="1563" t="s">
        <v>3399</v>
      </c>
      <c r="E217" s="1556">
        <v>5</v>
      </c>
      <c r="F217" s="1518">
        <f t="shared" si="130"/>
        <v>2</v>
      </c>
      <c r="G217" s="1532">
        <f t="shared" si="131"/>
        <v>0</v>
      </c>
      <c r="H217" s="1533">
        <f t="shared" si="132"/>
        <v>0</v>
      </c>
      <c r="I217" s="1534">
        <f t="shared" si="133"/>
        <v>0.2</v>
      </c>
      <c r="J217" s="1519">
        <v>1150000</v>
      </c>
      <c r="K217" s="1519">
        <v>632500</v>
      </c>
      <c r="N217" s="1519">
        <f t="shared" si="134"/>
        <v>517500</v>
      </c>
      <c r="Q217" s="1557">
        <v>210833</v>
      </c>
      <c r="R217" s="1519">
        <f t="shared" si="135"/>
        <v>1150000</v>
      </c>
      <c r="S217" s="1519">
        <f t="shared" si="136"/>
        <v>306667</v>
      </c>
      <c r="T217" s="1519">
        <f t="shared" si="137"/>
        <v>0</v>
      </c>
      <c r="U217" s="1535">
        <f t="shared" si="138"/>
        <v>19166.666666666668</v>
      </c>
      <c r="V217" s="1537">
        <f t="shared" si="139"/>
        <v>229999.66666666666</v>
      </c>
      <c r="W217" s="1519">
        <f t="shared" si="140"/>
        <v>230000</v>
      </c>
      <c r="X217" s="1537">
        <f t="shared" si="141"/>
        <v>56500.333333333314</v>
      </c>
      <c r="Y217" s="1537">
        <f t="shared" si="142"/>
        <v>0</v>
      </c>
      <c r="Z217" s="1537">
        <f t="shared" si="143"/>
        <v>0</v>
      </c>
      <c r="AA217" s="1537">
        <f t="shared" si="144"/>
        <v>0</v>
      </c>
      <c r="AB217" s="1537">
        <f t="shared" si="145"/>
        <v>0</v>
      </c>
      <c r="AC217" s="1537">
        <f t="shared" si="146"/>
        <v>0</v>
      </c>
      <c r="AD217" s="1537">
        <f t="shared" si="147"/>
        <v>0</v>
      </c>
      <c r="AE217" s="1537">
        <f t="shared" si="148"/>
        <v>0</v>
      </c>
      <c r="AF217" s="1536">
        <f t="shared" si="149"/>
        <v>0</v>
      </c>
      <c r="AG217" s="1555"/>
      <c r="AH217" s="1537">
        <f t="shared" si="150"/>
        <v>287500.33333333331</v>
      </c>
      <c r="AI217" s="1537">
        <f t="shared" si="151"/>
        <v>57500.333333333314</v>
      </c>
      <c r="AJ217" s="1537">
        <f t="shared" si="152"/>
        <v>1000</v>
      </c>
      <c r="AK217" s="1537">
        <f t="shared" si="153"/>
        <v>1000</v>
      </c>
      <c r="AL217" s="1537">
        <f t="shared" si="154"/>
        <v>1000</v>
      </c>
      <c r="AM217" s="1537">
        <f t="shared" si="155"/>
        <v>1000</v>
      </c>
      <c r="AN217" s="1537">
        <f t="shared" si="156"/>
        <v>1000</v>
      </c>
      <c r="AO217" s="1537">
        <f t="shared" si="157"/>
        <v>1000</v>
      </c>
      <c r="AP217" s="1537">
        <f t="shared" si="158"/>
        <v>1000</v>
      </c>
      <c r="AQ217" s="1537">
        <f t="shared" si="159"/>
        <v>1000</v>
      </c>
      <c r="AR217" s="1537">
        <f t="shared" si="160"/>
        <v>1000</v>
      </c>
    </row>
    <row r="218" spans="3:44" x14ac:dyDescent="0.3">
      <c r="C218" s="1566" t="s">
        <v>3140</v>
      </c>
      <c r="D218" s="1563" t="s">
        <v>3401</v>
      </c>
      <c r="E218" s="1556">
        <v>5</v>
      </c>
      <c r="F218" s="1518">
        <f t="shared" si="130"/>
        <v>2</v>
      </c>
      <c r="G218" s="1532">
        <f t="shared" si="131"/>
        <v>0</v>
      </c>
      <c r="H218" s="1533">
        <f t="shared" si="132"/>
        <v>0</v>
      </c>
      <c r="I218" s="1534">
        <f t="shared" si="133"/>
        <v>0.2</v>
      </c>
      <c r="J218" s="1519">
        <v>1460000</v>
      </c>
      <c r="K218" s="1519">
        <v>803000</v>
      </c>
      <c r="N218" s="1519">
        <f t="shared" si="134"/>
        <v>657000</v>
      </c>
      <c r="Q218" s="1557">
        <v>267667</v>
      </c>
      <c r="R218" s="1519">
        <f t="shared" si="135"/>
        <v>1460000</v>
      </c>
      <c r="S218" s="1519">
        <f t="shared" si="136"/>
        <v>389333</v>
      </c>
      <c r="T218" s="1519">
        <f t="shared" si="137"/>
        <v>0</v>
      </c>
      <c r="U218" s="1535">
        <f t="shared" si="138"/>
        <v>24333.333333333332</v>
      </c>
      <c r="V218" s="1537">
        <f t="shared" si="139"/>
        <v>292000.33333333331</v>
      </c>
      <c r="W218" s="1519">
        <f t="shared" si="140"/>
        <v>292000</v>
      </c>
      <c r="X218" s="1537">
        <f t="shared" si="141"/>
        <v>71999.666666666686</v>
      </c>
      <c r="Y218" s="1537">
        <f t="shared" si="142"/>
        <v>0</v>
      </c>
      <c r="Z218" s="1537">
        <f t="shared" si="143"/>
        <v>0</v>
      </c>
      <c r="AA218" s="1537">
        <f t="shared" si="144"/>
        <v>0</v>
      </c>
      <c r="AB218" s="1537">
        <f t="shared" si="145"/>
        <v>0</v>
      </c>
      <c r="AC218" s="1537">
        <f t="shared" si="146"/>
        <v>0</v>
      </c>
      <c r="AD218" s="1537">
        <f t="shared" si="147"/>
        <v>0</v>
      </c>
      <c r="AE218" s="1537">
        <f t="shared" si="148"/>
        <v>0</v>
      </c>
      <c r="AF218" s="1536">
        <f t="shared" si="149"/>
        <v>0</v>
      </c>
      <c r="AG218" s="1555"/>
      <c r="AH218" s="1537">
        <f t="shared" si="150"/>
        <v>364999.66666666669</v>
      </c>
      <c r="AI218" s="1537">
        <f t="shared" si="151"/>
        <v>72999.666666666686</v>
      </c>
      <c r="AJ218" s="1537">
        <f t="shared" si="152"/>
        <v>1000</v>
      </c>
      <c r="AK218" s="1537">
        <f t="shared" si="153"/>
        <v>1000</v>
      </c>
      <c r="AL218" s="1537">
        <f t="shared" si="154"/>
        <v>1000</v>
      </c>
      <c r="AM218" s="1537">
        <f t="shared" si="155"/>
        <v>1000</v>
      </c>
      <c r="AN218" s="1537">
        <f t="shared" si="156"/>
        <v>1000</v>
      </c>
      <c r="AO218" s="1537">
        <f t="shared" si="157"/>
        <v>1000</v>
      </c>
      <c r="AP218" s="1537">
        <f t="shared" si="158"/>
        <v>1000</v>
      </c>
      <c r="AQ218" s="1537">
        <f t="shared" si="159"/>
        <v>1000</v>
      </c>
      <c r="AR218" s="1537">
        <f t="shared" si="160"/>
        <v>1000</v>
      </c>
    </row>
    <row r="219" spans="3:44" x14ac:dyDescent="0.3">
      <c r="C219" s="1566" t="s">
        <v>3157</v>
      </c>
      <c r="D219" s="1563" t="s">
        <v>3402</v>
      </c>
      <c r="E219" s="1556">
        <v>5</v>
      </c>
      <c r="F219" s="1518">
        <f t="shared" si="130"/>
        <v>2</v>
      </c>
      <c r="G219" s="1532">
        <f t="shared" si="131"/>
        <v>0</v>
      </c>
      <c r="H219" s="1533">
        <f t="shared" si="132"/>
        <v>0</v>
      </c>
      <c r="I219" s="1534">
        <f t="shared" si="133"/>
        <v>0.2</v>
      </c>
      <c r="J219" s="1519">
        <v>1380000</v>
      </c>
      <c r="K219" s="1519">
        <v>759000</v>
      </c>
      <c r="N219" s="1519">
        <f t="shared" si="134"/>
        <v>621000</v>
      </c>
      <c r="Q219" s="1557">
        <v>253000</v>
      </c>
      <c r="R219" s="1519">
        <f t="shared" si="135"/>
        <v>1380000</v>
      </c>
      <c r="S219" s="1519">
        <f t="shared" si="136"/>
        <v>368000</v>
      </c>
      <c r="T219" s="1519">
        <f t="shared" si="137"/>
        <v>0</v>
      </c>
      <c r="U219" s="1535">
        <f t="shared" si="138"/>
        <v>23000</v>
      </c>
      <c r="V219" s="1537">
        <f t="shared" si="139"/>
        <v>276000</v>
      </c>
      <c r="W219" s="1519">
        <f t="shared" si="140"/>
        <v>276000</v>
      </c>
      <c r="X219" s="1537">
        <f t="shared" si="141"/>
        <v>68000</v>
      </c>
      <c r="Y219" s="1537">
        <f t="shared" si="142"/>
        <v>0</v>
      </c>
      <c r="Z219" s="1537">
        <f t="shared" si="143"/>
        <v>0</v>
      </c>
      <c r="AA219" s="1537">
        <f t="shared" si="144"/>
        <v>0</v>
      </c>
      <c r="AB219" s="1537">
        <f t="shared" si="145"/>
        <v>0</v>
      </c>
      <c r="AC219" s="1537">
        <f t="shared" si="146"/>
        <v>0</v>
      </c>
      <c r="AD219" s="1537">
        <f t="shared" si="147"/>
        <v>0</v>
      </c>
      <c r="AE219" s="1537">
        <f t="shared" si="148"/>
        <v>0</v>
      </c>
      <c r="AF219" s="1536">
        <f t="shared" si="149"/>
        <v>0</v>
      </c>
      <c r="AG219" s="1555"/>
      <c r="AH219" s="1537">
        <f t="shared" si="150"/>
        <v>345000</v>
      </c>
      <c r="AI219" s="1537">
        <f t="shared" si="151"/>
        <v>69000</v>
      </c>
      <c r="AJ219" s="1537">
        <f t="shared" si="152"/>
        <v>1000</v>
      </c>
      <c r="AK219" s="1537">
        <f t="shared" si="153"/>
        <v>1000</v>
      </c>
      <c r="AL219" s="1537">
        <f t="shared" si="154"/>
        <v>1000</v>
      </c>
      <c r="AM219" s="1537">
        <f t="shared" si="155"/>
        <v>1000</v>
      </c>
      <c r="AN219" s="1537">
        <f t="shared" si="156"/>
        <v>1000</v>
      </c>
      <c r="AO219" s="1537">
        <f t="shared" si="157"/>
        <v>1000</v>
      </c>
      <c r="AP219" s="1537">
        <f t="shared" si="158"/>
        <v>1000</v>
      </c>
      <c r="AQ219" s="1537">
        <f t="shared" si="159"/>
        <v>1000</v>
      </c>
      <c r="AR219" s="1537">
        <f t="shared" si="160"/>
        <v>1000</v>
      </c>
    </row>
    <row r="220" spans="3:44" x14ac:dyDescent="0.3">
      <c r="C220" s="1566" t="s">
        <v>3158</v>
      </c>
      <c r="D220" s="1563" t="s">
        <v>3400</v>
      </c>
      <c r="E220" s="1556">
        <v>5</v>
      </c>
      <c r="F220" s="1518">
        <f t="shared" ref="F220:F283" si="161">E220-(YEAR($E$4)-YEAR(D220))</f>
        <v>2</v>
      </c>
      <c r="G220" s="1532">
        <f t="shared" ref="G220:G283" si="162">IF(YEAR(D220)=YEAR($E$4),IF($E$2=$E$4,0,IF(D220&lt;$E$4,$E$2-$E$4,$E$2-D220)),$E$2-$E$4)</f>
        <v>0</v>
      </c>
      <c r="H220" s="1533">
        <f t="shared" ref="H220:H283" si="163">IF(YEAR(D220)=YEAR($E$4),G220/365,IF($E$2=$E$4,G220/365,($E$2-$E$4)/365))</f>
        <v>0</v>
      </c>
      <c r="I220" s="1534">
        <f t="shared" ref="I220:I283" si="164">1/E220</f>
        <v>0.2</v>
      </c>
      <c r="J220" s="1519">
        <v>4124000</v>
      </c>
      <c r="K220" s="1519">
        <v>2268200</v>
      </c>
      <c r="N220" s="1519">
        <f t="shared" ref="N220:N283" si="165">ROUND(J220-K220-L220+M220,)</f>
        <v>1855800</v>
      </c>
      <c r="Q220" s="1557">
        <v>756067</v>
      </c>
      <c r="R220" s="1519">
        <f t="shared" ref="R220:R283" si="166">J220+O220-P220</f>
        <v>4124000</v>
      </c>
      <c r="S220" s="1519">
        <f t="shared" ref="S220:S283" si="167">ROUND(N220+O220-P220-Q220,)</f>
        <v>1099733</v>
      </c>
      <c r="T220" s="1519">
        <f t="shared" ref="T220:T283" si="168">J220-K220-L220+M220+O220-P220-Q220-S220</f>
        <v>0</v>
      </c>
      <c r="U220" s="1535">
        <f t="shared" ref="U220:U283" si="169">IF(S220&gt;1000,IF(S220-R220*(1/12)*I220&gt;1000,R220*(1/12)*I220,S220-1000),)</f>
        <v>68733.333333333328</v>
      </c>
      <c r="V220" s="1537">
        <f t="shared" ref="V220:V283" si="170">Q220+U220</f>
        <v>824800.33333333337</v>
      </c>
      <c r="W220" s="1519">
        <f t="shared" ref="W220:W283" si="171">IF(AH220&gt;1000,IF(AH220-$I220*$R220&gt;1000,$I220*$R220,AH220-1000),)</f>
        <v>824800</v>
      </c>
      <c r="X220" s="1537">
        <f t="shared" ref="X220:X283" si="172">IF(AI220&gt;1000,IF(AI220-$I220*$R220&gt;1000,$I220*$R220,AI220-1000),)</f>
        <v>205199.66666666663</v>
      </c>
      <c r="Y220" s="1537">
        <f t="shared" ref="Y220:Y283" si="173">IF(AJ220&gt;1000,IF(AJ220-$I220*$R220&gt;1000,$I220*$R220,AJ220-1000),)</f>
        <v>0</v>
      </c>
      <c r="Z220" s="1537">
        <f t="shared" ref="Z220:Z283" si="174">IF(AK220&gt;1000,IF(AK220-$I220*$R220&gt;1000,$I220*$R220,AK220-1000),)</f>
        <v>0</v>
      </c>
      <c r="AA220" s="1537">
        <f t="shared" ref="AA220:AA283" si="175">IF(AL220&gt;1000,IF(AL220-$I220*$R220&gt;1000,$I220*$R220,AL220-1000),)</f>
        <v>0</v>
      </c>
      <c r="AB220" s="1537">
        <f t="shared" ref="AB220:AB283" si="176">IF(AM220&gt;1000,IF(AM220-$I220*$R220&gt;1000,$I220*$R220,AM220-1000),)</f>
        <v>0</v>
      </c>
      <c r="AC220" s="1537">
        <f t="shared" ref="AC220:AC283" si="177">IF(AN220&gt;1000,IF(AN220-$I220*$R220&gt;1000,$I220*$R220,AN220-1000),)</f>
        <v>0</v>
      </c>
      <c r="AD220" s="1537">
        <f t="shared" ref="AD220:AD283" si="178">IF(AO220&gt;1000,IF(AO220-$I220*$R220&gt;1000,$I220*$R220,AO220-1000),)</f>
        <v>0</v>
      </c>
      <c r="AE220" s="1537">
        <f t="shared" ref="AE220:AE283" si="179">IF(AP220&gt;1000,IF(AP220-$I220*$R220&gt;1000,$I220*$R220,AP220-1000),)</f>
        <v>0</v>
      </c>
      <c r="AF220" s="1536">
        <f t="shared" ref="AF220:AF283" si="180">IF(AQ220&gt;1000,IF(AQ220-$I220*$R220&gt;1000,$I220*$R220,AQ220-1000),)</f>
        <v>0</v>
      </c>
      <c r="AG220" s="1555"/>
      <c r="AH220" s="1537">
        <f t="shared" ref="AH220:AH283" si="181">S220-U220</f>
        <v>1030999.6666666666</v>
      </c>
      <c r="AI220" s="1537">
        <f t="shared" ref="AI220:AI283" si="182">AH220-W220</f>
        <v>206199.66666666663</v>
      </c>
      <c r="AJ220" s="1537">
        <f t="shared" ref="AJ220:AJ283" si="183">AI220-X220</f>
        <v>1000</v>
      </c>
      <c r="AK220" s="1537">
        <f t="shared" ref="AK220:AK283" si="184">AJ220-Y220</f>
        <v>1000</v>
      </c>
      <c r="AL220" s="1537">
        <f t="shared" ref="AL220:AL283" si="185">AK220-Z220</f>
        <v>1000</v>
      </c>
      <c r="AM220" s="1537">
        <f t="shared" ref="AM220:AM283" si="186">AL220-AA220</f>
        <v>1000</v>
      </c>
      <c r="AN220" s="1537">
        <f t="shared" ref="AN220:AN283" si="187">AM220-AB220</f>
        <v>1000</v>
      </c>
      <c r="AO220" s="1537">
        <f t="shared" ref="AO220:AO283" si="188">AN220-AC220</f>
        <v>1000</v>
      </c>
      <c r="AP220" s="1537">
        <f t="shared" ref="AP220:AP283" si="189">AO220-AD220</f>
        <v>1000</v>
      </c>
      <c r="AQ220" s="1537">
        <f t="shared" ref="AQ220:AQ283" si="190">AP220-AE220</f>
        <v>1000</v>
      </c>
      <c r="AR220" s="1537">
        <f t="shared" ref="AR220:AR283" si="191">AQ220-AF220</f>
        <v>1000</v>
      </c>
    </row>
    <row r="221" spans="3:44" x14ac:dyDescent="0.3">
      <c r="C221" s="1566" t="s">
        <v>3159</v>
      </c>
      <c r="D221" s="1563" t="s">
        <v>3403</v>
      </c>
      <c r="E221" s="1556">
        <v>5</v>
      </c>
      <c r="F221" s="1518">
        <f t="shared" si="161"/>
        <v>2</v>
      </c>
      <c r="G221" s="1532">
        <f t="shared" si="162"/>
        <v>0</v>
      </c>
      <c r="H221" s="1533">
        <f t="shared" si="163"/>
        <v>0</v>
      </c>
      <c r="I221" s="1534">
        <f t="shared" si="164"/>
        <v>0.2</v>
      </c>
      <c r="J221" s="1519">
        <v>18980000</v>
      </c>
      <c r="K221" s="1519">
        <v>10122667</v>
      </c>
      <c r="N221" s="1519">
        <f t="shared" si="165"/>
        <v>8857333</v>
      </c>
      <c r="Q221" s="1557">
        <v>3479667</v>
      </c>
      <c r="R221" s="1519">
        <f t="shared" si="166"/>
        <v>18980000</v>
      </c>
      <c r="S221" s="1519">
        <f t="shared" si="167"/>
        <v>5377666</v>
      </c>
      <c r="T221" s="1519">
        <f t="shared" si="168"/>
        <v>0</v>
      </c>
      <c r="U221" s="1535">
        <f t="shared" si="169"/>
        <v>316333.33333333331</v>
      </c>
      <c r="V221" s="1537">
        <f t="shared" si="170"/>
        <v>3796000.3333333335</v>
      </c>
      <c r="W221" s="1519">
        <f t="shared" si="171"/>
        <v>3796000</v>
      </c>
      <c r="X221" s="1537">
        <f t="shared" si="172"/>
        <v>1264332.666666667</v>
      </c>
      <c r="Y221" s="1537">
        <f t="shared" si="173"/>
        <v>0</v>
      </c>
      <c r="Z221" s="1537">
        <f t="shared" si="174"/>
        <v>0</v>
      </c>
      <c r="AA221" s="1537">
        <f t="shared" si="175"/>
        <v>0</v>
      </c>
      <c r="AB221" s="1537">
        <f t="shared" si="176"/>
        <v>0</v>
      </c>
      <c r="AC221" s="1537">
        <f t="shared" si="177"/>
        <v>0</v>
      </c>
      <c r="AD221" s="1537">
        <f t="shared" si="178"/>
        <v>0</v>
      </c>
      <c r="AE221" s="1537">
        <f t="shared" si="179"/>
        <v>0</v>
      </c>
      <c r="AF221" s="1536">
        <f t="shared" si="180"/>
        <v>0</v>
      </c>
      <c r="AG221" s="1555"/>
      <c r="AH221" s="1537">
        <f t="shared" si="181"/>
        <v>5061332.666666667</v>
      </c>
      <c r="AI221" s="1537">
        <f t="shared" si="182"/>
        <v>1265332.666666667</v>
      </c>
      <c r="AJ221" s="1537">
        <f t="shared" si="183"/>
        <v>1000</v>
      </c>
      <c r="AK221" s="1537">
        <f t="shared" si="184"/>
        <v>1000</v>
      </c>
      <c r="AL221" s="1537">
        <f t="shared" si="185"/>
        <v>1000</v>
      </c>
      <c r="AM221" s="1537">
        <f t="shared" si="186"/>
        <v>1000</v>
      </c>
      <c r="AN221" s="1537">
        <f t="shared" si="187"/>
        <v>1000</v>
      </c>
      <c r="AO221" s="1537">
        <f t="shared" si="188"/>
        <v>1000</v>
      </c>
      <c r="AP221" s="1537">
        <f t="shared" si="189"/>
        <v>1000</v>
      </c>
      <c r="AQ221" s="1537">
        <f t="shared" si="190"/>
        <v>1000</v>
      </c>
      <c r="AR221" s="1537">
        <f t="shared" si="191"/>
        <v>1000</v>
      </c>
    </row>
    <row r="222" spans="3:44" x14ac:dyDescent="0.3">
      <c r="C222" s="1566" t="s">
        <v>3160</v>
      </c>
      <c r="D222" s="1563" t="s">
        <v>3404</v>
      </c>
      <c r="E222" s="1556">
        <v>5</v>
      </c>
      <c r="F222" s="1518">
        <f t="shared" si="161"/>
        <v>2</v>
      </c>
      <c r="G222" s="1532">
        <f t="shared" si="162"/>
        <v>0</v>
      </c>
      <c r="H222" s="1533">
        <f t="shared" si="163"/>
        <v>0</v>
      </c>
      <c r="I222" s="1534">
        <f t="shared" si="164"/>
        <v>0.2</v>
      </c>
      <c r="J222" s="1519">
        <v>1450000</v>
      </c>
      <c r="K222" s="1519">
        <v>773333</v>
      </c>
      <c r="N222" s="1519">
        <f t="shared" si="165"/>
        <v>676667</v>
      </c>
      <c r="Q222" s="1557">
        <v>265833</v>
      </c>
      <c r="R222" s="1519">
        <f t="shared" si="166"/>
        <v>1450000</v>
      </c>
      <c r="S222" s="1519">
        <f t="shared" si="167"/>
        <v>410834</v>
      </c>
      <c r="T222" s="1519">
        <f t="shared" si="168"/>
        <v>0</v>
      </c>
      <c r="U222" s="1535">
        <f t="shared" si="169"/>
        <v>24166.666666666668</v>
      </c>
      <c r="V222" s="1537">
        <f t="shared" si="170"/>
        <v>289999.66666666669</v>
      </c>
      <c r="W222" s="1519">
        <f t="shared" si="171"/>
        <v>290000</v>
      </c>
      <c r="X222" s="1537">
        <f t="shared" si="172"/>
        <v>95667.333333333314</v>
      </c>
      <c r="Y222" s="1537">
        <f t="shared" si="173"/>
        <v>0</v>
      </c>
      <c r="Z222" s="1537">
        <f t="shared" si="174"/>
        <v>0</v>
      </c>
      <c r="AA222" s="1537">
        <f t="shared" si="175"/>
        <v>0</v>
      </c>
      <c r="AB222" s="1537">
        <f t="shared" si="176"/>
        <v>0</v>
      </c>
      <c r="AC222" s="1537">
        <f t="shared" si="177"/>
        <v>0</v>
      </c>
      <c r="AD222" s="1537">
        <f t="shared" si="178"/>
        <v>0</v>
      </c>
      <c r="AE222" s="1537">
        <f t="shared" si="179"/>
        <v>0</v>
      </c>
      <c r="AF222" s="1536">
        <f t="shared" si="180"/>
        <v>0</v>
      </c>
      <c r="AG222" s="1555"/>
      <c r="AH222" s="1537">
        <f t="shared" si="181"/>
        <v>386667.33333333331</v>
      </c>
      <c r="AI222" s="1537">
        <f t="shared" si="182"/>
        <v>96667.333333333314</v>
      </c>
      <c r="AJ222" s="1537">
        <f t="shared" si="183"/>
        <v>1000</v>
      </c>
      <c r="AK222" s="1537">
        <f t="shared" si="184"/>
        <v>1000</v>
      </c>
      <c r="AL222" s="1537">
        <f t="shared" si="185"/>
        <v>1000</v>
      </c>
      <c r="AM222" s="1537">
        <f t="shared" si="186"/>
        <v>1000</v>
      </c>
      <c r="AN222" s="1537">
        <f t="shared" si="187"/>
        <v>1000</v>
      </c>
      <c r="AO222" s="1537">
        <f t="shared" si="188"/>
        <v>1000</v>
      </c>
      <c r="AP222" s="1537">
        <f t="shared" si="189"/>
        <v>1000</v>
      </c>
      <c r="AQ222" s="1537">
        <f t="shared" si="190"/>
        <v>1000</v>
      </c>
      <c r="AR222" s="1537">
        <f t="shared" si="191"/>
        <v>1000</v>
      </c>
    </row>
    <row r="223" spans="3:44" x14ac:dyDescent="0.3">
      <c r="C223" s="1566" t="s">
        <v>3161</v>
      </c>
      <c r="D223" s="1563" t="s">
        <v>3405</v>
      </c>
      <c r="E223" s="1556">
        <v>5</v>
      </c>
      <c r="F223" s="1518">
        <f t="shared" si="161"/>
        <v>2</v>
      </c>
      <c r="G223" s="1532">
        <f t="shared" si="162"/>
        <v>0</v>
      </c>
      <c r="H223" s="1533">
        <f t="shared" si="163"/>
        <v>0</v>
      </c>
      <c r="I223" s="1534">
        <f t="shared" si="164"/>
        <v>0.2</v>
      </c>
      <c r="J223" s="1519">
        <v>2840000</v>
      </c>
      <c r="K223" s="1519">
        <v>1514667</v>
      </c>
      <c r="N223" s="1519">
        <f t="shared" si="165"/>
        <v>1325333</v>
      </c>
      <c r="Q223" s="1557">
        <v>520667</v>
      </c>
      <c r="R223" s="1519">
        <f t="shared" si="166"/>
        <v>2840000</v>
      </c>
      <c r="S223" s="1519">
        <f t="shared" si="167"/>
        <v>804666</v>
      </c>
      <c r="T223" s="1519">
        <f t="shared" si="168"/>
        <v>0</v>
      </c>
      <c r="U223" s="1535">
        <f t="shared" si="169"/>
        <v>47333.333333333336</v>
      </c>
      <c r="V223" s="1537">
        <f t="shared" si="170"/>
        <v>568000.33333333337</v>
      </c>
      <c r="W223" s="1519">
        <f t="shared" si="171"/>
        <v>568000</v>
      </c>
      <c r="X223" s="1537">
        <f t="shared" si="172"/>
        <v>188332.66666666663</v>
      </c>
      <c r="Y223" s="1537">
        <f t="shared" si="173"/>
        <v>0</v>
      </c>
      <c r="Z223" s="1537">
        <f t="shared" si="174"/>
        <v>0</v>
      </c>
      <c r="AA223" s="1537">
        <f t="shared" si="175"/>
        <v>0</v>
      </c>
      <c r="AB223" s="1537">
        <f t="shared" si="176"/>
        <v>0</v>
      </c>
      <c r="AC223" s="1537">
        <f t="shared" si="177"/>
        <v>0</v>
      </c>
      <c r="AD223" s="1537">
        <f t="shared" si="178"/>
        <v>0</v>
      </c>
      <c r="AE223" s="1537">
        <f t="shared" si="179"/>
        <v>0</v>
      </c>
      <c r="AF223" s="1536">
        <f t="shared" si="180"/>
        <v>0</v>
      </c>
      <c r="AG223" s="1555"/>
      <c r="AH223" s="1537">
        <f t="shared" si="181"/>
        <v>757332.66666666663</v>
      </c>
      <c r="AI223" s="1537">
        <f t="shared" si="182"/>
        <v>189332.66666666663</v>
      </c>
      <c r="AJ223" s="1537">
        <f t="shared" si="183"/>
        <v>1000</v>
      </c>
      <c r="AK223" s="1537">
        <f t="shared" si="184"/>
        <v>1000</v>
      </c>
      <c r="AL223" s="1537">
        <f t="shared" si="185"/>
        <v>1000</v>
      </c>
      <c r="AM223" s="1537">
        <f t="shared" si="186"/>
        <v>1000</v>
      </c>
      <c r="AN223" s="1537">
        <f t="shared" si="187"/>
        <v>1000</v>
      </c>
      <c r="AO223" s="1537">
        <f t="shared" si="188"/>
        <v>1000</v>
      </c>
      <c r="AP223" s="1537">
        <f t="shared" si="189"/>
        <v>1000</v>
      </c>
      <c r="AQ223" s="1537">
        <f t="shared" si="190"/>
        <v>1000</v>
      </c>
      <c r="AR223" s="1537">
        <f t="shared" si="191"/>
        <v>1000</v>
      </c>
    </row>
    <row r="224" spans="3:44" x14ac:dyDescent="0.3">
      <c r="C224" s="1566" t="s">
        <v>3162</v>
      </c>
      <c r="D224" s="1563" t="s">
        <v>3406</v>
      </c>
      <c r="E224" s="1556">
        <v>5</v>
      </c>
      <c r="F224" s="1518">
        <f t="shared" si="161"/>
        <v>2</v>
      </c>
      <c r="G224" s="1532">
        <f t="shared" si="162"/>
        <v>0</v>
      </c>
      <c r="H224" s="1533">
        <f t="shared" si="163"/>
        <v>0</v>
      </c>
      <c r="I224" s="1534">
        <f t="shared" si="164"/>
        <v>0.2</v>
      </c>
      <c r="J224" s="1519">
        <v>1320000</v>
      </c>
      <c r="K224" s="1519">
        <v>704000</v>
      </c>
      <c r="N224" s="1519">
        <f t="shared" si="165"/>
        <v>616000</v>
      </c>
      <c r="Q224" s="1557">
        <v>242000</v>
      </c>
      <c r="R224" s="1519">
        <f t="shared" si="166"/>
        <v>1320000</v>
      </c>
      <c r="S224" s="1519">
        <f t="shared" si="167"/>
        <v>374000</v>
      </c>
      <c r="T224" s="1519">
        <f t="shared" si="168"/>
        <v>0</v>
      </c>
      <c r="U224" s="1535">
        <f t="shared" si="169"/>
        <v>22000</v>
      </c>
      <c r="V224" s="1537">
        <f t="shared" si="170"/>
        <v>264000</v>
      </c>
      <c r="W224" s="1519">
        <f t="shared" si="171"/>
        <v>264000</v>
      </c>
      <c r="X224" s="1537">
        <f t="shared" si="172"/>
        <v>87000</v>
      </c>
      <c r="Y224" s="1537">
        <f t="shared" si="173"/>
        <v>0</v>
      </c>
      <c r="Z224" s="1537">
        <f t="shared" si="174"/>
        <v>0</v>
      </c>
      <c r="AA224" s="1537">
        <f t="shared" si="175"/>
        <v>0</v>
      </c>
      <c r="AB224" s="1537">
        <f t="shared" si="176"/>
        <v>0</v>
      </c>
      <c r="AC224" s="1537">
        <f t="shared" si="177"/>
        <v>0</v>
      </c>
      <c r="AD224" s="1537">
        <f t="shared" si="178"/>
        <v>0</v>
      </c>
      <c r="AE224" s="1537">
        <f t="shared" si="179"/>
        <v>0</v>
      </c>
      <c r="AF224" s="1536">
        <f t="shared" si="180"/>
        <v>0</v>
      </c>
      <c r="AG224" s="1555"/>
      <c r="AH224" s="1537">
        <f t="shared" si="181"/>
        <v>352000</v>
      </c>
      <c r="AI224" s="1537">
        <f t="shared" si="182"/>
        <v>88000</v>
      </c>
      <c r="AJ224" s="1537">
        <f t="shared" si="183"/>
        <v>1000</v>
      </c>
      <c r="AK224" s="1537">
        <f t="shared" si="184"/>
        <v>1000</v>
      </c>
      <c r="AL224" s="1537">
        <f t="shared" si="185"/>
        <v>1000</v>
      </c>
      <c r="AM224" s="1537">
        <f t="shared" si="186"/>
        <v>1000</v>
      </c>
      <c r="AN224" s="1537">
        <f t="shared" si="187"/>
        <v>1000</v>
      </c>
      <c r="AO224" s="1537">
        <f t="shared" si="188"/>
        <v>1000</v>
      </c>
      <c r="AP224" s="1537">
        <f t="shared" si="189"/>
        <v>1000</v>
      </c>
      <c r="AQ224" s="1537">
        <f t="shared" si="190"/>
        <v>1000</v>
      </c>
      <c r="AR224" s="1537">
        <f t="shared" si="191"/>
        <v>1000</v>
      </c>
    </row>
    <row r="225" spans="3:44" x14ac:dyDescent="0.3">
      <c r="C225" s="1566" t="s">
        <v>3163</v>
      </c>
      <c r="D225" s="1563" t="s">
        <v>3407</v>
      </c>
      <c r="E225" s="1556">
        <v>5</v>
      </c>
      <c r="F225" s="1518">
        <f t="shared" si="161"/>
        <v>2</v>
      </c>
      <c r="G225" s="1532">
        <f t="shared" si="162"/>
        <v>0</v>
      </c>
      <c r="H225" s="1533">
        <f t="shared" si="163"/>
        <v>0</v>
      </c>
      <c r="I225" s="1534">
        <f t="shared" si="164"/>
        <v>0.2</v>
      </c>
      <c r="J225" s="1519">
        <v>4400000</v>
      </c>
      <c r="K225" s="1519">
        <v>2346667</v>
      </c>
      <c r="N225" s="1519">
        <f t="shared" si="165"/>
        <v>2053333</v>
      </c>
      <c r="Q225" s="1557">
        <v>806667</v>
      </c>
      <c r="R225" s="1519">
        <f t="shared" si="166"/>
        <v>4400000</v>
      </c>
      <c r="S225" s="1519">
        <f t="shared" si="167"/>
        <v>1246666</v>
      </c>
      <c r="T225" s="1519">
        <f t="shared" si="168"/>
        <v>0</v>
      </c>
      <c r="U225" s="1535">
        <f t="shared" si="169"/>
        <v>73333.333333333328</v>
      </c>
      <c r="V225" s="1537">
        <f t="shared" si="170"/>
        <v>880000.33333333337</v>
      </c>
      <c r="W225" s="1519">
        <f t="shared" si="171"/>
        <v>880000</v>
      </c>
      <c r="X225" s="1537">
        <f t="shared" si="172"/>
        <v>292332.66666666674</v>
      </c>
      <c r="Y225" s="1537">
        <f t="shared" si="173"/>
        <v>0</v>
      </c>
      <c r="Z225" s="1537">
        <f t="shared" si="174"/>
        <v>0</v>
      </c>
      <c r="AA225" s="1537">
        <f t="shared" si="175"/>
        <v>0</v>
      </c>
      <c r="AB225" s="1537">
        <f t="shared" si="176"/>
        <v>0</v>
      </c>
      <c r="AC225" s="1537">
        <f t="shared" si="177"/>
        <v>0</v>
      </c>
      <c r="AD225" s="1537">
        <f t="shared" si="178"/>
        <v>0</v>
      </c>
      <c r="AE225" s="1537">
        <f t="shared" si="179"/>
        <v>0</v>
      </c>
      <c r="AF225" s="1536">
        <f t="shared" si="180"/>
        <v>0</v>
      </c>
      <c r="AG225" s="1555"/>
      <c r="AH225" s="1537">
        <f t="shared" si="181"/>
        <v>1173332.6666666667</v>
      </c>
      <c r="AI225" s="1537">
        <f t="shared" si="182"/>
        <v>293332.66666666674</v>
      </c>
      <c r="AJ225" s="1537">
        <f t="shared" si="183"/>
        <v>1000</v>
      </c>
      <c r="AK225" s="1537">
        <f t="shared" si="184"/>
        <v>1000</v>
      </c>
      <c r="AL225" s="1537">
        <f t="shared" si="185"/>
        <v>1000</v>
      </c>
      <c r="AM225" s="1537">
        <f t="shared" si="186"/>
        <v>1000</v>
      </c>
      <c r="AN225" s="1537">
        <f t="shared" si="187"/>
        <v>1000</v>
      </c>
      <c r="AO225" s="1537">
        <f t="shared" si="188"/>
        <v>1000</v>
      </c>
      <c r="AP225" s="1537">
        <f t="shared" si="189"/>
        <v>1000</v>
      </c>
      <c r="AQ225" s="1537">
        <f t="shared" si="190"/>
        <v>1000</v>
      </c>
      <c r="AR225" s="1537">
        <f t="shared" si="191"/>
        <v>1000</v>
      </c>
    </row>
    <row r="226" spans="3:44" x14ac:dyDescent="0.3">
      <c r="C226" s="1566" t="s">
        <v>3164</v>
      </c>
      <c r="D226" s="1563" t="s">
        <v>3408</v>
      </c>
      <c r="E226" s="1556">
        <v>5</v>
      </c>
      <c r="F226" s="1518">
        <f t="shared" si="161"/>
        <v>2</v>
      </c>
      <c r="G226" s="1532">
        <f t="shared" si="162"/>
        <v>0</v>
      </c>
      <c r="H226" s="1533">
        <f t="shared" si="163"/>
        <v>0</v>
      </c>
      <c r="I226" s="1534">
        <f t="shared" si="164"/>
        <v>0.2</v>
      </c>
      <c r="J226" s="1519">
        <v>7300000</v>
      </c>
      <c r="K226" s="1519">
        <v>3771667</v>
      </c>
      <c r="N226" s="1519">
        <f t="shared" si="165"/>
        <v>3528333</v>
      </c>
      <c r="Q226" s="1557">
        <v>1338333</v>
      </c>
      <c r="R226" s="1519">
        <f t="shared" si="166"/>
        <v>7300000</v>
      </c>
      <c r="S226" s="1519">
        <f t="shared" si="167"/>
        <v>2190000</v>
      </c>
      <c r="T226" s="1519">
        <f t="shared" si="168"/>
        <v>0</v>
      </c>
      <c r="U226" s="1535">
        <f t="shared" si="169"/>
        <v>121666.66666666666</v>
      </c>
      <c r="V226" s="1537">
        <f t="shared" si="170"/>
        <v>1459999.6666666667</v>
      </c>
      <c r="W226" s="1519">
        <f t="shared" si="171"/>
        <v>1460000</v>
      </c>
      <c r="X226" s="1537">
        <f t="shared" si="172"/>
        <v>607333.33333333326</v>
      </c>
      <c r="Y226" s="1537">
        <f t="shared" si="173"/>
        <v>0</v>
      </c>
      <c r="Z226" s="1537">
        <f t="shared" si="174"/>
        <v>0</v>
      </c>
      <c r="AA226" s="1537">
        <f t="shared" si="175"/>
        <v>0</v>
      </c>
      <c r="AB226" s="1537">
        <f t="shared" si="176"/>
        <v>0</v>
      </c>
      <c r="AC226" s="1537">
        <f t="shared" si="177"/>
        <v>0</v>
      </c>
      <c r="AD226" s="1537">
        <f t="shared" si="178"/>
        <v>0</v>
      </c>
      <c r="AE226" s="1537">
        <f t="shared" si="179"/>
        <v>0</v>
      </c>
      <c r="AF226" s="1536">
        <f t="shared" si="180"/>
        <v>0</v>
      </c>
      <c r="AG226" s="1555"/>
      <c r="AH226" s="1537">
        <f t="shared" si="181"/>
        <v>2068333.3333333333</v>
      </c>
      <c r="AI226" s="1537">
        <f t="shared" si="182"/>
        <v>608333.33333333326</v>
      </c>
      <c r="AJ226" s="1537">
        <f t="shared" si="183"/>
        <v>1000</v>
      </c>
      <c r="AK226" s="1537">
        <f t="shared" si="184"/>
        <v>1000</v>
      </c>
      <c r="AL226" s="1537">
        <f t="shared" si="185"/>
        <v>1000</v>
      </c>
      <c r="AM226" s="1537">
        <f t="shared" si="186"/>
        <v>1000</v>
      </c>
      <c r="AN226" s="1537">
        <f t="shared" si="187"/>
        <v>1000</v>
      </c>
      <c r="AO226" s="1537">
        <f t="shared" si="188"/>
        <v>1000</v>
      </c>
      <c r="AP226" s="1537">
        <f t="shared" si="189"/>
        <v>1000</v>
      </c>
      <c r="AQ226" s="1537">
        <f t="shared" si="190"/>
        <v>1000</v>
      </c>
      <c r="AR226" s="1537">
        <f t="shared" si="191"/>
        <v>1000</v>
      </c>
    </row>
    <row r="227" spans="3:44" x14ac:dyDescent="0.3">
      <c r="C227" s="1566" t="s">
        <v>3165</v>
      </c>
      <c r="D227" s="1563" t="s">
        <v>3409</v>
      </c>
      <c r="E227" s="1556">
        <v>5</v>
      </c>
      <c r="F227" s="1518">
        <f t="shared" si="161"/>
        <v>2</v>
      </c>
      <c r="G227" s="1532">
        <f t="shared" si="162"/>
        <v>0</v>
      </c>
      <c r="H227" s="1533">
        <f t="shared" si="163"/>
        <v>0</v>
      </c>
      <c r="I227" s="1534">
        <f t="shared" si="164"/>
        <v>0.2</v>
      </c>
      <c r="J227" s="1519">
        <v>1680000</v>
      </c>
      <c r="K227" s="1519">
        <v>868000</v>
      </c>
      <c r="N227" s="1519">
        <f t="shared" si="165"/>
        <v>812000</v>
      </c>
      <c r="Q227" s="1557">
        <v>308000</v>
      </c>
      <c r="R227" s="1519">
        <f t="shared" si="166"/>
        <v>1680000</v>
      </c>
      <c r="S227" s="1519">
        <f t="shared" si="167"/>
        <v>504000</v>
      </c>
      <c r="T227" s="1519">
        <f t="shared" si="168"/>
        <v>0</v>
      </c>
      <c r="U227" s="1535">
        <f t="shared" si="169"/>
        <v>28000</v>
      </c>
      <c r="V227" s="1537">
        <f t="shared" si="170"/>
        <v>336000</v>
      </c>
      <c r="W227" s="1519">
        <f t="shared" si="171"/>
        <v>336000</v>
      </c>
      <c r="X227" s="1537">
        <f t="shared" si="172"/>
        <v>139000</v>
      </c>
      <c r="Y227" s="1537">
        <f t="shared" si="173"/>
        <v>0</v>
      </c>
      <c r="Z227" s="1537">
        <f t="shared" si="174"/>
        <v>0</v>
      </c>
      <c r="AA227" s="1537">
        <f t="shared" si="175"/>
        <v>0</v>
      </c>
      <c r="AB227" s="1537">
        <f t="shared" si="176"/>
        <v>0</v>
      </c>
      <c r="AC227" s="1537">
        <f t="shared" si="177"/>
        <v>0</v>
      </c>
      <c r="AD227" s="1537">
        <f t="shared" si="178"/>
        <v>0</v>
      </c>
      <c r="AE227" s="1537">
        <f t="shared" si="179"/>
        <v>0</v>
      </c>
      <c r="AF227" s="1536">
        <f t="shared" si="180"/>
        <v>0</v>
      </c>
      <c r="AG227" s="1555"/>
      <c r="AH227" s="1537">
        <f t="shared" si="181"/>
        <v>476000</v>
      </c>
      <c r="AI227" s="1537">
        <f t="shared" si="182"/>
        <v>140000</v>
      </c>
      <c r="AJ227" s="1537">
        <f t="shared" si="183"/>
        <v>1000</v>
      </c>
      <c r="AK227" s="1537">
        <f t="shared" si="184"/>
        <v>1000</v>
      </c>
      <c r="AL227" s="1537">
        <f t="shared" si="185"/>
        <v>1000</v>
      </c>
      <c r="AM227" s="1537">
        <f t="shared" si="186"/>
        <v>1000</v>
      </c>
      <c r="AN227" s="1537">
        <f t="shared" si="187"/>
        <v>1000</v>
      </c>
      <c r="AO227" s="1537">
        <f t="shared" si="188"/>
        <v>1000</v>
      </c>
      <c r="AP227" s="1537">
        <f t="shared" si="189"/>
        <v>1000</v>
      </c>
      <c r="AQ227" s="1537">
        <f t="shared" si="190"/>
        <v>1000</v>
      </c>
      <c r="AR227" s="1537">
        <f t="shared" si="191"/>
        <v>1000</v>
      </c>
    </row>
    <row r="228" spans="3:44" x14ac:dyDescent="0.3">
      <c r="C228" s="1566" t="s">
        <v>3166</v>
      </c>
      <c r="D228" s="1563" t="s">
        <v>3410</v>
      </c>
      <c r="E228" s="1556">
        <v>5</v>
      </c>
      <c r="F228" s="1518">
        <f t="shared" si="161"/>
        <v>2</v>
      </c>
      <c r="G228" s="1532">
        <f t="shared" si="162"/>
        <v>0</v>
      </c>
      <c r="H228" s="1533">
        <f t="shared" si="163"/>
        <v>0</v>
      </c>
      <c r="I228" s="1534">
        <f t="shared" si="164"/>
        <v>0.2</v>
      </c>
      <c r="J228" s="1519">
        <v>2840000</v>
      </c>
      <c r="K228" s="1519">
        <v>1467333</v>
      </c>
      <c r="N228" s="1519">
        <f t="shared" si="165"/>
        <v>1372667</v>
      </c>
      <c r="Q228" s="1557">
        <v>520667</v>
      </c>
      <c r="R228" s="1519">
        <f t="shared" si="166"/>
        <v>2840000</v>
      </c>
      <c r="S228" s="1519">
        <f t="shared" si="167"/>
        <v>852000</v>
      </c>
      <c r="T228" s="1519">
        <f t="shared" si="168"/>
        <v>0</v>
      </c>
      <c r="U228" s="1535">
        <f t="shared" si="169"/>
        <v>47333.333333333336</v>
      </c>
      <c r="V228" s="1537">
        <f t="shared" si="170"/>
        <v>568000.33333333337</v>
      </c>
      <c r="W228" s="1519">
        <f t="shared" si="171"/>
        <v>568000</v>
      </c>
      <c r="X228" s="1537">
        <f t="shared" si="172"/>
        <v>235666.66666666663</v>
      </c>
      <c r="Y228" s="1537">
        <f t="shared" si="173"/>
        <v>0</v>
      </c>
      <c r="Z228" s="1537">
        <f t="shared" si="174"/>
        <v>0</v>
      </c>
      <c r="AA228" s="1537">
        <f t="shared" si="175"/>
        <v>0</v>
      </c>
      <c r="AB228" s="1537">
        <f t="shared" si="176"/>
        <v>0</v>
      </c>
      <c r="AC228" s="1537">
        <f t="shared" si="177"/>
        <v>0</v>
      </c>
      <c r="AD228" s="1537">
        <f t="shared" si="178"/>
        <v>0</v>
      </c>
      <c r="AE228" s="1537">
        <f t="shared" si="179"/>
        <v>0</v>
      </c>
      <c r="AF228" s="1536">
        <f t="shared" si="180"/>
        <v>0</v>
      </c>
      <c r="AG228" s="1555"/>
      <c r="AH228" s="1537">
        <f t="shared" si="181"/>
        <v>804666.66666666663</v>
      </c>
      <c r="AI228" s="1537">
        <f t="shared" si="182"/>
        <v>236666.66666666663</v>
      </c>
      <c r="AJ228" s="1537">
        <f t="shared" si="183"/>
        <v>1000</v>
      </c>
      <c r="AK228" s="1537">
        <f t="shared" si="184"/>
        <v>1000</v>
      </c>
      <c r="AL228" s="1537">
        <f t="shared" si="185"/>
        <v>1000</v>
      </c>
      <c r="AM228" s="1537">
        <f t="shared" si="186"/>
        <v>1000</v>
      </c>
      <c r="AN228" s="1537">
        <f t="shared" si="187"/>
        <v>1000</v>
      </c>
      <c r="AO228" s="1537">
        <f t="shared" si="188"/>
        <v>1000</v>
      </c>
      <c r="AP228" s="1537">
        <f t="shared" si="189"/>
        <v>1000</v>
      </c>
      <c r="AQ228" s="1537">
        <f t="shared" si="190"/>
        <v>1000</v>
      </c>
      <c r="AR228" s="1537">
        <f t="shared" si="191"/>
        <v>1000</v>
      </c>
    </row>
    <row r="229" spans="3:44" x14ac:dyDescent="0.3">
      <c r="C229" s="1566" t="s">
        <v>3167</v>
      </c>
      <c r="D229" s="1563" t="s">
        <v>3411</v>
      </c>
      <c r="E229" s="1556">
        <v>5</v>
      </c>
      <c r="F229" s="1518">
        <f t="shared" si="161"/>
        <v>2</v>
      </c>
      <c r="G229" s="1532">
        <f t="shared" si="162"/>
        <v>0</v>
      </c>
      <c r="H229" s="1533">
        <f t="shared" si="163"/>
        <v>0</v>
      </c>
      <c r="I229" s="1534">
        <f t="shared" si="164"/>
        <v>0.2</v>
      </c>
      <c r="J229" s="1519">
        <v>5840000</v>
      </c>
      <c r="K229" s="1519">
        <v>3017333</v>
      </c>
      <c r="N229" s="1519">
        <f t="shared" si="165"/>
        <v>2822667</v>
      </c>
      <c r="Q229" s="1557">
        <v>1070667</v>
      </c>
      <c r="R229" s="1519">
        <f t="shared" si="166"/>
        <v>5840000</v>
      </c>
      <c r="S229" s="1519">
        <f t="shared" si="167"/>
        <v>1752000</v>
      </c>
      <c r="T229" s="1519">
        <f t="shared" si="168"/>
        <v>0</v>
      </c>
      <c r="U229" s="1535">
        <f t="shared" si="169"/>
        <v>97333.333333333328</v>
      </c>
      <c r="V229" s="1537">
        <f t="shared" si="170"/>
        <v>1168000.3333333333</v>
      </c>
      <c r="W229" s="1519">
        <f t="shared" si="171"/>
        <v>1168000</v>
      </c>
      <c r="X229" s="1537">
        <f t="shared" si="172"/>
        <v>485666.66666666674</v>
      </c>
      <c r="Y229" s="1537">
        <f t="shared" si="173"/>
        <v>0</v>
      </c>
      <c r="Z229" s="1537">
        <f t="shared" si="174"/>
        <v>0</v>
      </c>
      <c r="AA229" s="1537">
        <f t="shared" si="175"/>
        <v>0</v>
      </c>
      <c r="AB229" s="1537">
        <f t="shared" si="176"/>
        <v>0</v>
      </c>
      <c r="AC229" s="1537">
        <f t="shared" si="177"/>
        <v>0</v>
      </c>
      <c r="AD229" s="1537">
        <f t="shared" si="178"/>
        <v>0</v>
      </c>
      <c r="AE229" s="1537">
        <f t="shared" si="179"/>
        <v>0</v>
      </c>
      <c r="AF229" s="1536">
        <f t="shared" si="180"/>
        <v>0</v>
      </c>
      <c r="AG229" s="1555"/>
      <c r="AH229" s="1537">
        <f t="shared" si="181"/>
        <v>1654666.6666666667</v>
      </c>
      <c r="AI229" s="1537">
        <f t="shared" si="182"/>
        <v>486666.66666666674</v>
      </c>
      <c r="AJ229" s="1537">
        <f t="shared" si="183"/>
        <v>1000</v>
      </c>
      <c r="AK229" s="1537">
        <f t="shared" si="184"/>
        <v>1000</v>
      </c>
      <c r="AL229" s="1537">
        <f t="shared" si="185"/>
        <v>1000</v>
      </c>
      <c r="AM229" s="1537">
        <f t="shared" si="186"/>
        <v>1000</v>
      </c>
      <c r="AN229" s="1537">
        <f t="shared" si="187"/>
        <v>1000</v>
      </c>
      <c r="AO229" s="1537">
        <f t="shared" si="188"/>
        <v>1000</v>
      </c>
      <c r="AP229" s="1537">
        <f t="shared" si="189"/>
        <v>1000</v>
      </c>
      <c r="AQ229" s="1537">
        <f t="shared" si="190"/>
        <v>1000</v>
      </c>
      <c r="AR229" s="1537">
        <f t="shared" si="191"/>
        <v>1000</v>
      </c>
    </row>
    <row r="230" spans="3:44" x14ac:dyDescent="0.3">
      <c r="C230" s="1566" t="s">
        <v>3168</v>
      </c>
      <c r="D230" s="1563" t="s">
        <v>3412</v>
      </c>
      <c r="E230" s="1556">
        <v>5</v>
      </c>
      <c r="F230" s="1518">
        <f t="shared" si="161"/>
        <v>2</v>
      </c>
      <c r="G230" s="1532">
        <f t="shared" si="162"/>
        <v>0</v>
      </c>
      <c r="H230" s="1533">
        <f t="shared" si="163"/>
        <v>0</v>
      </c>
      <c r="I230" s="1534">
        <f t="shared" si="164"/>
        <v>0.2</v>
      </c>
      <c r="J230" s="1519">
        <v>8760000</v>
      </c>
      <c r="K230" s="1519">
        <v>4526000</v>
      </c>
      <c r="N230" s="1519">
        <f t="shared" si="165"/>
        <v>4234000</v>
      </c>
      <c r="Q230" s="1557">
        <v>1606000</v>
      </c>
      <c r="R230" s="1519">
        <f t="shared" si="166"/>
        <v>8760000</v>
      </c>
      <c r="S230" s="1519">
        <f t="shared" si="167"/>
        <v>2628000</v>
      </c>
      <c r="T230" s="1519">
        <f t="shared" si="168"/>
        <v>0</v>
      </c>
      <c r="U230" s="1535">
        <f t="shared" si="169"/>
        <v>146000</v>
      </c>
      <c r="V230" s="1537">
        <f t="shared" si="170"/>
        <v>1752000</v>
      </c>
      <c r="W230" s="1519">
        <f t="shared" si="171"/>
        <v>1752000</v>
      </c>
      <c r="X230" s="1537">
        <f t="shared" si="172"/>
        <v>729000</v>
      </c>
      <c r="Y230" s="1537">
        <f t="shared" si="173"/>
        <v>0</v>
      </c>
      <c r="Z230" s="1537">
        <f t="shared" si="174"/>
        <v>0</v>
      </c>
      <c r="AA230" s="1537">
        <f t="shared" si="175"/>
        <v>0</v>
      </c>
      <c r="AB230" s="1537">
        <f t="shared" si="176"/>
        <v>0</v>
      </c>
      <c r="AC230" s="1537">
        <f t="shared" si="177"/>
        <v>0</v>
      </c>
      <c r="AD230" s="1537">
        <f t="shared" si="178"/>
        <v>0</v>
      </c>
      <c r="AE230" s="1537">
        <f t="shared" si="179"/>
        <v>0</v>
      </c>
      <c r="AF230" s="1536">
        <f t="shared" si="180"/>
        <v>0</v>
      </c>
      <c r="AG230" s="1555"/>
      <c r="AH230" s="1537">
        <f t="shared" si="181"/>
        <v>2482000</v>
      </c>
      <c r="AI230" s="1537">
        <f t="shared" si="182"/>
        <v>730000</v>
      </c>
      <c r="AJ230" s="1537">
        <f t="shared" si="183"/>
        <v>1000</v>
      </c>
      <c r="AK230" s="1537">
        <f t="shared" si="184"/>
        <v>1000</v>
      </c>
      <c r="AL230" s="1537">
        <f t="shared" si="185"/>
        <v>1000</v>
      </c>
      <c r="AM230" s="1537">
        <f t="shared" si="186"/>
        <v>1000</v>
      </c>
      <c r="AN230" s="1537">
        <f t="shared" si="187"/>
        <v>1000</v>
      </c>
      <c r="AO230" s="1537">
        <f t="shared" si="188"/>
        <v>1000</v>
      </c>
      <c r="AP230" s="1537">
        <f t="shared" si="189"/>
        <v>1000</v>
      </c>
      <c r="AQ230" s="1537">
        <f t="shared" si="190"/>
        <v>1000</v>
      </c>
      <c r="AR230" s="1537">
        <f t="shared" si="191"/>
        <v>1000</v>
      </c>
    </row>
    <row r="231" spans="3:44" x14ac:dyDescent="0.3">
      <c r="C231" s="1566" t="s">
        <v>3169</v>
      </c>
      <c r="D231" s="1563" t="s">
        <v>3413</v>
      </c>
      <c r="E231" s="1556">
        <v>5</v>
      </c>
      <c r="F231" s="1518">
        <f t="shared" si="161"/>
        <v>2</v>
      </c>
      <c r="G231" s="1532">
        <f t="shared" si="162"/>
        <v>0</v>
      </c>
      <c r="H231" s="1533">
        <f t="shared" si="163"/>
        <v>0</v>
      </c>
      <c r="I231" s="1534">
        <f t="shared" si="164"/>
        <v>0.2</v>
      </c>
      <c r="J231" s="1519">
        <v>15330000</v>
      </c>
      <c r="K231" s="1519">
        <v>7665000</v>
      </c>
      <c r="N231" s="1519">
        <f t="shared" si="165"/>
        <v>7665000</v>
      </c>
      <c r="Q231" s="1557">
        <v>2810500</v>
      </c>
      <c r="R231" s="1519">
        <f t="shared" si="166"/>
        <v>15330000</v>
      </c>
      <c r="S231" s="1519">
        <f t="shared" si="167"/>
        <v>4854500</v>
      </c>
      <c r="T231" s="1519">
        <f t="shared" si="168"/>
        <v>0</v>
      </c>
      <c r="U231" s="1535">
        <f t="shared" si="169"/>
        <v>255500</v>
      </c>
      <c r="V231" s="1537">
        <f t="shared" si="170"/>
        <v>3066000</v>
      </c>
      <c r="W231" s="1519">
        <f t="shared" si="171"/>
        <v>3066000</v>
      </c>
      <c r="X231" s="1537">
        <f t="shared" si="172"/>
        <v>1532000</v>
      </c>
      <c r="Y231" s="1537">
        <f t="shared" si="173"/>
        <v>0</v>
      </c>
      <c r="Z231" s="1537">
        <f t="shared" si="174"/>
        <v>0</v>
      </c>
      <c r="AA231" s="1537">
        <f t="shared" si="175"/>
        <v>0</v>
      </c>
      <c r="AB231" s="1537">
        <f t="shared" si="176"/>
        <v>0</v>
      </c>
      <c r="AC231" s="1537">
        <f t="shared" si="177"/>
        <v>0</v>
      </c>
      <c r="AD231" s="1537">
        <f t="shared" si="178"/>
        <v>0</v>
      </c>
      <c r="AE231" s="1537">
        <f t="shared" si="179"/>
        <v>0</v>
      </c>
      <c r="AF231" s="1536">
        <f t="shared" si="180"/>
        <v>0</v>
      </c>
      <c r="AG231" s="1555"/>
      <c r="AH231" s="1537">
        <f t="shared" si="181"/>
        <v>4599000</v>
      </c>
      <c r="AI231" s="1537">
        <f t="shared" si="182"/>
        <v>1533000</v>
      </c>
      <c r="AJ231" s="1537">
        <f t="shared" si="183"/>
        <v>1000</v>
      </c>
      <c r="AK231" s="1537">
        <f t="shared" si="184"/>
        <v>1000</v>
      </c>
      <c r="AL231" s="1537">
        <f t="shared" si="185"/>
        <v>1000</v>
      </c>
      <c r="AM231" s="1537">
        <f t="shared" si="186"/>
        <v>1000</v>
      </c>
      <c r="AN231" s="1537">
        <f t="shared" si="187"/>
        <v>1000</v>
      </c>
      <c r="AO231" s="1537">
        <f t="shared" si="188"/>
        <v>1000</v>
      </c>
      <c r="AP231" s="1537">
        <f t="shared" si="189"/>
        <v>1000</v>
      </c>
      <c r="AQ231" s="1537">
        <f t="shared" si="190"/>
        <v>1000</v>
      </c>
      <c r="AR231" s="1537">
        <f t="shared" si="191"/>
        <v>1000</v>
      </c>
    </row>
    <row r="232" spans="3:44" x14ac:dyDescent="0.3">
      <c r="C232" s="1566" t="s">
        <v>3170</v>
      </c>
      <c r="D232" s="1563" t="s">
        <v>3414</v>
      </c>
      <c r="E232" s="1556">
        <v>5</v>
      </c>
      <c r="F232" s="1518">
        <f t="shared" si="161"/>
        <v>2</v>
      </c>
      <c r="G232" s="1532">
        <f t="shared" si="162"/>
        <v>0</v>
      </c>
      <c r="H232" s="1533">
        <f t="shared" si="163"/>
        <v>0</v>
      </c>
      <c r="I232" s="1534">
        <f t="shared" si="164"/>
        <v>0.2</v>
      </c>
      <c r="J232" s="1519">
        <v>1380000</v>
      </c>
      <c r="K232" s="1519">
        <v>690000</v>
      </c>
      <c r="N232" s="1519">
        <f t="shared" si="165"/>
        <v>690000</v>
      </c>
      <c r="Q232" s="1557">
        <v>253000</v>
      </c>
      <c r="R232" s="1519">
        <f t="shared" si="166"/>
        <v>1380000</v>
      </c>
      <c r="S232" s="1519">
        <f t="shared" si="167"/>
        <v>437000</v>
      </c>
      <c r="T232" s="1519">
        <f t="shared" si="168"/>
        <v>0</v>
      </c>
      <c r="U232" s="1535">
        <f t="shared" si="169"/>
        <v>23000</v>
      </c>
      <c r="V232" s="1537">
        <f t="shared" si="170"/>
        <v>276000</v>
      </c>
      <c r="W232" s="1519">
        <f t="shared" si="171"/>
        <v>276000</v>
      </c>
      <c r="X232" s="1537">
        <f t="shared" si="172"/>
        <v>137000</v>
      </c>
      <c r="Y232" s="1537">
        <f t="shared" si="173"/>
        <v>0</v>
      </c>
      <c r="Z232" s="1537">
        <f t="shared" si="174"/>
        <v>0</v>
      </c>
      <c r="AA232" s="1537">
        <f t="shared" si="175"/>
        <v>0</v>
      </c>
      <c r="AB232" s="1537">
        <f t="shared" si="176"/>
        <v>0</v>
      </c>
      <c r="AC232" s="1537">
        <f t="shared" si="177"/>
        <v>0</v>
      </c>
      <c r="AD232" s="1537">
        <f t="shared" si="178"/>
        <v>0</v>
      </c>
      <c r="AE232" s="1537">
        <f t="shared" si="179"/>
        <v>0</v>
      </c>
      <c r="AF232" s="1536">
        <f t="shared" si="180"/>
        <v>0</v>
      </c>
      <c r="AG232" s="1555"/>
      <c r="AH232" s="1537">
        <f t="shared" si="181"/>
        <v>414000</v>
      </c>
      <c r="AI232" s="1537">
        <f t="shared" si="182"/>
        <v>138000</v>
      </c>
      <c r="AJ232" s="1537">
        <f t="shared" si="183"/>
        <v>1000</v>
      </c>
      <c r="AK232" s="1537">
        <f t="shared" si="184"/>
        <v>1000</v>
      </c>
      <c r="AL232" s="1537">
        <f t="shared" si="185"/>
        <v>1000</v>
      </c>
      <c r="AM232" s="1537">
        <f t="shared" si="186"/>
        <v>1000</v>
      </c>
      <c r="AN232" s="1537">
        <f t="shared" si="187"/>
        <v>1000</v>
      </c>
      <c r="AO232" s="1537">
        <f t="shared" si="188"/>
        <v>1000</v>
      </c>
      <c r="AP232" s="1537">
        <f t="shared" si="189"/>
        <v>1000</v>
      </c>
      <c r="AQ232" s="1537">
        <f t="shared" si="190"/>
        <v>1000</v>
      </c>
      <c r="AR232" s="1537">
        <f t="shared" si="191"/>
        <v>1000</v>
      </c>
    </row>
    <row r="233" spans="3:44" x14ac:dyDescent="0.3">
      <c r="C233" s="1566" t="s">
        <v>3171</v>
      </c>
      <c r="D233" s="1563" t="s">
        <v>3415</v>
      </c>
      <c r="E233" s="1556">
        <v>5</v>
      </c>
      <c r="F233" s="1518">
        <f t="shared" si="161"/>
        <v>2</v>
      </c>
      <c r="G233" s="1532">
        <f t="shared" si="162"/>
        <v>0</v>
      </c>
      <c r="H233" s="1533">
        <f t="shared" si="163"/>
        <v>0</v>
      </c>
      <c r="I233" s="1534">
        <f t="shared" si="164"/>
        <v>0.2</v>
      </c>
      <c r="J233" s="1519">
        <v>1650000</v>
      </c>
      <c r="K233" s="1519">
        <v>797500</v>
      </c>
      <c r="N233" s="1519">
        <f t="shared" si="165"/>
        <v>852500</v>
      </c>
      <c r="Q233" s="1557">
        <v>302500</v>
      </c>
      <c r="R233" s="1519">
        <f t="shared" si="166"/>
        <v>1650000</v>
      </c>
      <c r="S233" s="1519">
        <f t="shared" si="167"/>
        <v>550000</v>
      </c>
      <c r="T233" s="1519">
        <f t="shared" si="168"/>
        <v>0</v>
      </c>
      <c r="U233" s="1535">
        <f t="shared" si="169"/>
        <v>27500</v>
      </c>
      <c r="V233" s="1537">
        <f t="shared" si="170"/>
        <v>330000</v>
      </c>
      <c r="W233" s="1519">
        <f t="shared" si="171"/>
        <v>330000</v>
      </c>
      <c r="X233" s="1537">
        <f t="shared" si="172"/>
        <v>191500</v>
      </c>
      <c r="Y233" s="1537">
        <f t="shared" si="173"/>
        <v>0</v>
      </c>
      <c r="Z233" s="1537">
        <f t="shared" si="174"/>
        <v>0</v>
      </c>
      <c r="AA233" s="1537">
        <f t="shared" si="175"/>
        <v>0</v>
      </c>
      <c r="AB233" s="1537">
        <f t="shared" si="176"/>
        <v>0</v>
      </c>
      <c r="AC233" s="1537">
        <f t="shared" si="177"/>
        <v>0</v>
      </c>
      <c r="AD233" s="1537">
        <f t="shared" si="178"/>
        <v>0</v>
      </c>
      <c r="AE233" s="1537">
        <f t="shared" si="179"/>
        <v>0</v>
      </c>
      <c r="AF233" s="1536">
        <f t="shared" si="180"/>
        <v>0</v>
      </c>
      <c r="AG233" s="1555"/>
      <c r="AH233" s="1537">
        <f t="shared" si="181"/>
        <v>522500</v>
      </c>
      <c r="AI233" s="1537">
        <f t="shared" si="182"/>
        <v>192500</v>
      </c>
      <c r="AJ233" s="1537">
        <f t="shared" si="183"/>
        <v>1000</v>
      </c>
      <c r="AK233" s="1537">
        <f t="shared" si="184"/>
        <v>1000</v>
      </c>
      <c r="AL233" s="1537">
        <f t="shared" si="185"/>
        <v>1000</v>
      </c>
      <c r="AM233" s="1537">
        <f t="shared" si="186"/>
        <v>1000</v>
      </c>
      <c r="AN233" s="1537">
        <f t="shared" si="187"/>
        <v>1000</v>
      </c>
      <c r="AO233" s="1537">
        <f t="shared" si="188"/>
        <v>1000</v>
      </c>
      <c r="AP233" s="1537">
        <f t="shared" si="189"/>
        <v>1000</v>
      </c>
      <c r="AQ233" s="1537">
        <f t="shared" si="190"/>
        <v>1000</v>
      </c>
      <c r="AR233" s="1537">
        <f t="shared" si="191"/>
        <v>1000</v>
      </c>
    </row>
    <row r="234" spans="3:44" x14ac:dyDescent="0.3">
      <c r="C234" s="1566" t="s">
        <v>3172</v>
      </c>
      <c r="D234" s="1563" t="s">
        <v>3416</v>
      </c>
      <c r="E234" s="1556">
        <v>5</v>
      </c>
      <c r="F234" s="1518">
        <f t="shared" si="161"/>
        <v>2</v>
      </c>
      <c r="G234" s="1532">
        <f t="shared" si="162"/>
        <v>0</v>
      </c>
      <c r="H234" s="1533">
        <f t="shared" si="163"/>
        <v>0</v>
      </c>
      <c r="I234" s="1534">
        <f t="shared" si="164"/>
        <v>0.2</v>
      </c>
      <c r="J234" s="1519">
        <v>1880000</v>
      </c>
      <c r="K234" s="1519">
        <v>877333</v>
      </c>
      <c r="N234" s="1519">
        <f t="shared" si="165"/>
        <v>1002667</v>
      </c>
      <c r="Q234" s="1557">
        <v>344667</v>
      </c>
      <c r="R234" s="1519">
        <f t="shared" si="166"/>
        <v>1880000</v>
      </c>
      <c r="S234" s="1519">
        <f t="shared" si="167"/>
        <v>658000</v>
      </c>
      <c r="T234" s="1519">
        <f t="shared" si="168"/>
        <v>0</v>
      </c>
      <c r="U234" s="1535">
        <f t="shared" si="169"/>
        <v>31333.333333333332</v>
      </c>
      <c r="V234" s="1537">
        <f t="shared" si="170"/>
        <v>376000.33333333331</v>
      </c>
      <c r="W234" s="1519">
        <f t="shared" si="171"/>
        <v>376000</v>
      </c>
      <c r="X234" s="1537">
        <f t="shared" si="172"/>
        <v>249666.66666666663</v>
      </c>
      <c r="Y234" s="1537">
        <f t="shared" si="173"/>
        <v>0</v>
      </c>
      <c r="Z234" s="1537">
        <f t="shared" si="174"/>
        <v>0</v>
      </c>
      <c r="AA234" s="1537">
        <f t="shared" si="175"/>
        <v>0</v>
      </c>
      <c r="AB234" s="1537">
        <f t="shared" si="176"/>
        <v>0</v>
      </c>
      <c r="AC234" s="1537">
        <f t="shared" si="177"/>
        <v>0</v>
      </c>
      <c r="AD234" s="1537">
        <f t="shared" si="178"/>
        <v>0</v>
      </c>
      <c r="AE234" s="1537">
        <f t="shared" si="179"/>
        <v>0</v>
      </c>
      <c r="AF234" s="1536">
        <f t="shared" si="180"/>
        <v>0</v>
      </c>
      <c r="AG234" s="1555"/>
      <c r="AH234" s="1537">
        <f t="shared" si="181"/>
        <v>626666.66666666663</v>
      </c>
      <c r="AI234" s="1537">
        <f t="shared" si="182"/>
        <v>250666.66666666663</v>
      </c>
      <c r="AJ234" s="1537">
        <f t="shared" si="183"/>
        <v>1000</v>
      </c>
      <c r="AK234" s="1537">
        <f t="shared" si="184"/>
        <v>1000</v>
      </c>
      <c r="AL234" s="1537">
        <f t="shared" si="185"/>
        <v>1000</v>
      </c>
      <c r="AM234" s="1537">
        <f t="shared" si="186"/>
        <v>1000</v>
      </c>
      <c r="AN234" s="1537">
        <f t="shared" si="187"/>
        <v>1000</v>
      </c>
      <c r="AO234" s="1537">
        <f t="shared" si="188"/>
        <v>1000</v>
      </c>
      <c r="AP234" s="1537">
        <f t="shared" si="189"/>
        <v>1000</v>
      </c>
      <c r="AQ234" s="1537">
        <f t="shared" si="190"/>
        <v>1000</v>
      </c>
      <c r="AR234" s="1537">
        <f t="shared" si="191"/>
        <v>1000</v>
      </c>
    </row>
    <row r="235" spans="3:44" x14ac:dyDescent="0.3">
      <c r="C235" s="1566" t="s">
        <v>3173</v>
      </c>
      <c r="D235" s="1563" t="s">
        <v>3417</v>
      </c>
      <c r="E235" s="1556">
        <v>5</v>
      </c>
      <c r="F235" s="1518">
        <f t="shared" si="161"/>
        <v>2</v>
      </c>
      <c r="G235" s="1532">
        <f t="shared" si="162"/>
        <v>0</v>
      </c>
      <c r="H235" s="1533">
        <f t="shared" si="163"/>
        <v>0</v>
      </c>
      <c r="I235" s="1534">
        <f t="shared" si="164"/>
        <v>0.2</v>
      </c>
      <c r="J235" s="1519">
        <v>1149000</v>
      </c>
      <c r="K235" s="1519">
        <v>536200</v>
      </c>
      <c r="N235" s="1519">
        <f t="shared" si="165"/>
        <v>612800</v>
      </c>
      <c r="Q235" s="1557">
        <v>210650</v>
      </c>
      <c r="R235" s="1519">
        <f t="shared" si="166"/>
        <v>1149000</v>
      </c>
      <c r="S235" s="1519">
        <f t="shared" si="167"/>
        <v>402150</v>
      </c>
      <c r="T235" s="1519">
        <f t="shared" si="168"/>
        <v>0</v>
      </c>
      <c r="U235" s="1535">
        <f t="shared" si="169"/>
        <v>19150</v>
      </c>
      <c r="V235" s="1537">
        <f t="shared" si="170"/>
        <v>229800</v>
      </c>
      <c r="W235" s="1519">
        <f t="shared" si="171"/>
        <v>229800</v>
      </c>
      <c r="X235" s="1537">
        <f t="shared" si="172"/>
        <v>152200</v>
      </c>
      <c r="Y235" s="1537">
        <f t="shared" si="173"/>
        <v>0</v>
      </c>
      <c r="Z235" s="1537">
        <f t="shared" si="174"/>
        <v>0</v>
      </c>
      <c r="AA235" s="1537">
        <f t="shared" si="175"/>
        <v>0</v>
      </c>
      <c r="AB235" s="1537">
        <f t="shared" si="176"/>
        <v>0</v>
      </c>
      <c r="AC235" s="1537">
        <f t="shared" si="177"/>
        <v>0</v>
      </c>
      <c r="AD235" s="1537">
        <f t="shared" si="178"/>
        <v>0</v>
      </c>
      <c r="AE235" s="1537">
        <f t="shared" si="179"/>
        <v>0</v>
      </c>
      <c r="AF235" s="1536">
        <f t="shared" si="180"/>
        <v>0</v>
      </c>
      <c r="AG235" s="1555"/>
      <c r="AH235" s="1537">
        <f t="shared" si="181"/>
        <v>383000</v>
      </c>
      <c r="AI235" s="1537">
        <f t="shared" si="182"/>
        <v>153200</v>
      </c>
      <c r="AJ235" s="1537">
        <f t="shared" si="183"/>
        <v>1000</v>
      </c>
      <c r="AK235" s="1537">
        <f t="shared" si="184"/>
        <v>1000</v>
      </c>
      <c r="AL235" s="1537">
        <f t="shared" si="185"/>
        <v>1000</v>
      </c>
      <c r="AM235" s="1537">
        <f t="shared" si="186"/>
        <v>1000</v>
      </c>
      <c r="AN235" s="1537">
        <f t="shared" si="187"/>
        <v>1000</v>
      </c>
      <c r="AO235" s="1537">
        <f t="shared" si="188"/>
        <v>1000</v>
      </c>
      <c r="AP235" s="1537">
        <f t="shared" si="189"/>
        <v>1000</v>
      </c>
      <c r="AQ235" s="1537">
        <f t="shared" si="190"/>
        <v>1000</v>
      </c>
      <c r="AR235" s="1537">
        <f t="shared" si="191"/>
        <v>1000</v>
      </c>
    </row>
    <row r="236" spans="3:44" x14ac:dyDescent="0.3">
      <c r="C236" s="1566" t="s">
        <v>3174</v>
      </c>
      <c r="D236" s="1563" t="s">
        <v>3418</v>
      </c>
      <c r="E236" s="1556">
        <v>5</v>
      </c>
      <c r="F236" s="1518">
        <f t="shared" si="161"/>
        <v>2</v>
      </c>
      <c r="G236" s="1532">
        <f t="shared" si="162"/>
        <v>0</v>
      </c>
      <c r="H236" s="1533">
        <f t="shared" si="163"/>
        <v>0</v>
      </c>
      <c r="I236" s="1534">
        <f t="shared" si="164"/>
        <v>0.2</v>
      </c>
      <c r="J236" s="1519">
        <v>1646000</v>
      </c>
      <c r="K236" s="1519">
        <v>768133</v>
      </c>
      <c r="N236" s="1519">
        <f t="shared" si="165"/>
        <v>877867</v>
      </c>
      <c r="Q236" s="1557">
        <v>301767</v>
      </c>
      <c r="R236" s="1519">
        <f t="shared" si="166"/>
        <v>1646000</v>
      </c>
      <c r="S236" s="1519">
        <f t="shared" si="167"/>
        <v>576100</v>
      </c>
      <c r="T236" s="1519">
        <f t="shared" si="168"/>
        <v>0</v>
      </c>
      <c r="U236" s="1535">
        <f t="shared" si="169"/>
        <v>27433.333333333332</v>
      </c>
      <c r="V236" s="1537">
        <f t="shared" si="170"/>
        <v>329200.33333333331</v>
      </c>
      <c r="W236" s="1519">
        <f t="shared" si="171"/>
        <v>329200</v>
      </c>
      <c r="X236" s="1537">
        <f t="shared" si="172"/>
        <v>218466.66666666663</v>
      </c>
      <c r="Y236" s="1537">
        <f t="shared" si="173"/>
        <v>0</v>
      </c>
      <c r="Z236" s="1537">
        <f t="shared" si="174"/>
        <v>0</v>
      </c>
      <c r="AA236" s="1537">
        <f t="shared" si="175"/>
        <v>0</v>
      </c>
      <c r="AB236" s="1537">
        <f t="shared" si="176"/>
        <v>0</v>
      </c>
      <c r="AC236" s="1537">
        <f t="shared" si="177"/>
        <v>0</v>
      </c>
      <c r="AD236" s="1537">
        <f t="shared" si="178"/>
        <v>0</v>
      </c>
      <c r="AE236" s="1537">
        <f t="shared" si="179"/>
        <v>0</v>
      </c>
      <c r="AF236" s="1536">
        <f t="shared" si="180"/>
        <v>0</v>
      </c>
      <c r="AG236" s="1555"/>
      <c r="AH236" s="1537">
        <f t="shared" si="181"/>
        <v>548666.66666666663</v>
      </c>
      <c r="AI236" s="1537">
        <f t="shared" si="182"/>
        <v>219466.66666666663</v>
      </c>
      <c r="AJ236" s="1537">
        <f t="shared" si="183"/>
        <v>1000</v>
      </c>
      <c r="AK236" s="1537">
        <f t="shared" si="184"/>
        <v>1000</v>
      </c>
      <c r="AL236" s="1537">
        <f t="shared" si="185"/>
        <v>1000</v>
      </c>
      <c r="AM236" s="1537">
        <f t="shared" si="186"/>
        <v>1000</v>
      </c>
      <c r="AN236" s="1537">
        <f t="shared" si="187"/>
        <v>1000</v>
      </c>
      <c r="AO236" s="1537">
        <f t="shared" si="188"/>
        <v>1000</v>
      </c>
      <c r="AP236" s="1537">
        <f t="shared" si="189"/>
        <v>1000</v>
      </c>
      <c r="AQ236" s="1537">
        <f t="shared" si="190"/>
        <v>1000</v>
      </c>
      <c r="AR236" s="1537">
        <f t="shared" si="191"/>
        <v>1000</v>
      </c>
    </row>
    <row r="237" spans="3:44" x14ac:dyDescent="0.3">
      <c r="C237" s="1566" t="s">
        <v>3175</v>
      </c>
      <c r="D237" s="1563" t="s">
        <v>3418</v>
      </c>
      <c r="E237" s="1556">
        <v>5</v>
      </c>
      <c r="F237" s="1518">
        <f t="shared" si="161"/>
        <v>2</v>
      </c>
      <c r="G237" s="1532">
        <f t="shared" si="162"/>
        <v>0</v>
      </c>
      <c r="H237" s="1533">
        <f t="shared" si="163"/>
        <v>0</v>
      </c>
      <c r="I237" s="1534">
        <f t="shared" si="164"/>
        <v>0.2</v>
      </c>
      <c r="J237" s="1519">
        <v>3000000</v>
      </c>
      <c r="K237" s="1519">
        <v>1400000</v>
      </c>
      <c r="N237" s="1519">
        <f t="shared" si="165"/>
        <v>1600000</v>
      </c>
      <c r="Q237" s="1557">
        <v>550000</v>
      </c>
      <c r="R237" s="1519">
        <f t="shared" si="166"/>
        <v>3000000</v>
      </c>
      <c r="S237" s="1519">
        <f t="shared" si="167"/>
        <v>1050000</v>
      </c>
      <c r="T237" s="1519">
        <f t="shared" si="168"/>
        <v>0</v>
      </c>
      <c r="U237" s="1535">
        <f t="shared" si="169"/>
        <v>50000</v>
      </c>
      <c r="V237" s="1537">
        <f t="shared" si="170"/>
        <v>600000</v>
      </c>
      <c r="W237" s="1519">
        <f t="shared" si="171"/>
        <v>600000</v>
      </c>
      <c r="X237" s="1537">
        <f t="shared" si="172"/>
        <v>399000</v>
      </c>
      <c r="Y237" s="1537">
        <f t="shared" si="173"/>
        <v>0</v>
      </c>
      <c r="Z237" s="1537">
        <f t="shared" si="174"/>
        <v>0</v>
      </c>
      <c r="AA237" s="1537">
        <f t="shared" si="175"/>
        <v>0</v>
      </c>
      <c r="AB237" s="1537">
        <f t="shared" si="176"/>
        <v>0</v>
      </c>
      <c r="AC237" s="1537">
        <f t="shared" si="177"/>
        <v>0</v>
      </c>
      <c r="AD237" s="1537">
        <f t="shared" si="178"/>
        <v>0</v>
      </c>
      <c r="AE237" s="1537">
        <f t="shared" si="179"/>
        <v>0</v>
      </c>
      <c r="AF237" s="1536">
        <f t="shared" si="180"/>
        <v>0</v>
      </c>
      <c r="AG237" s="1555"/>
      <c r="AH237" s="1537">
        <f t="shared" si="181"/>
        <v>1000000</v>
      </c>
      <c r="AI237" s="1537">
        <f t="shared" si="182"/>
        <v>400000</v>
      </c>
      <c r="AJ237" s="1537">
        <f t="shared" si="183"/>
        <v>1000</v>
      </c>
      <c r="AK237" s="1537">
        <f t="shared" si="184"/>
        <v>1000</v>
      </c>
      <c r="AL237" s="1537">
        <f t="shared" si="185"/>
        <v>1000</v>
      </c>
      <c r="AM237" s="1537">
        <f t="shared" si="186"/>
        <v>1000</v>
      </c>
      <c r="AN237" s="1537">
        <f t="shared" si="187"/>
        <v>1000</v>
      </c>
      <c r="AO237" s="1537">
        <f t="shared" si="188"/>
        <v>1000</v>
      </c>
      <c r="AP237" s="1537">
        <f t="shared" si="189"/>
        <v>1000</v>
      </c>
      <c r="AQ237" s="1537">
        <f t="shared" si="190"/>
        <v>1000</v>
      </c>
      <c r="AR237" s="1537">
        <f t="shared" si="191"/>
        <v>1000</v>
      </c>
    </row>
    <row r="238" spans="3:44" x14ac:dyDescent="0.3">
      <c r="C238" s="1566" t="s">
        <v>3176</v>
      </c>
      <c r="D238" s="1563" t="s">
        <v>3419</v>
      </c>
      <c r="E238" s="1556">
        <v>5</v>
      </c>
      <c r="F238" s="1518">
        <f t="shared" si="161"/>
        <v>2</v>
      </c>
      <c r="G238" s="1532">
        <f t="shared" si="162"/>
        <v>0</v>
      </c>
      <c r="H238" s="1533">
        <f t="shared" si="163"/>
        <v>0</v>
      </c>
      <c r="I238" s="1534">
        <f t="shared" si="164"/>
        <v>0.2</v>
      </c>
      <c r="J238" s="1519">
        <v>2040000</v>
      </c>
      <c r="K238" s="1519">
        <v>952000</v>
      </c>
      <c r="N238" s="1519">
        <f t="shared" si="165"/>
        <v>1088000</v>
      </c>
      <c r="Q238" s="1557">
        <v>374000</v>
      </c>
      <c r="R238" s="1519">
        <f t="shared" si="166"/>
        <v>2040000</v>
      </c>
      <c r="S238" s="1519">
        <f t="shared" si="167"/>
        <v>714000</v>
      </c>
      <c r="T238" s="1519">
        <f t="shared" si="168"/>
        <v>0</v>
      </c>
      <c r="U238" s="1535">
        <f t="shared" si="169"/>
        <v>34000</v>
      </c>
      <c r="V238" s="1537">
        <f t="shared" si="170"/>
        <v>408000</v>
      </c>
      <c r="W238" s="1519">
        <f t="shared" si="171"/>
        <v>408000</v>
      </c>
      <c r="X238" s="1537">
        <f t="shared" si="172"/>
        <v>271000</v>
      </c>
      <c r="Y238" s="1537">
        <f t="shared" si="173"/>
        <v>0</v>
      </c>
      <c r="Z238" s="1537">
        <f t="shared" si="174"/>
        <v>0</v>
      </c>
      <c r="AA238" s="1537">
        <f t="shared" si="175"/>
        <v>0</v>
      </c>
      <c r="AB238" s="1537">
        <f t="shared" si="176"/>
        <v>0</v>
      </c>
      <c r="AC238" s="1537">
        <f t="shared" si="177"/>
        <v>0</v>
      </c>
      <c r="AD238" s="1537">
        <f t="shared" si="178"/>
        <v>0</v>
      </c>
      <c r="AE238" s="1537">
        <f t="shared" si="179"/>
        <v>0</v>
      </c>
      <c r="AF238" s="1536">
        <f t="shared" si="180"/>
        <v>0</v>
      </c>
      <c r="AG238" s="1555"/>
      <c r="AH238" s="1537">
        <f t="shared" si="181"/>
        <v>680000</v>
      </c>
      <c r="AI238" s="1537">
        <f t="shared" si="182"/>
        <v>272000</v>
      </c>
      <c r="AJ238" s="1537">
        <f t="shared" si="183"/>
        <v>1000</v>
      </c>
      <c r="AK238" s="1537">
        <f t="shared" si="184"/>
        <v>1000</v>
      </c>
      <c r="AL238" s="1537">
        <f t="shared" si="185"/>
        <v>1000</v>
      </c>
      <c r="AM238" s="1537">
        <f t="shared" si="186"/>
        <v>1000</v>
      </c>
      <c r="AN238" s="1537">
        <f t="shared" si="187"/>
        <v>1000</v>
      </c>
      <c r="AO238" s="1537">
        <f t="shared" si="188"/>
        <v>1000</v>
      </c>
      <c r="AP238" s="1537">
        <f t="shared" si="189"/>
        <v>1000</v>
      </c>
      <c r="AQ238" s="1537">
        <f t="shared" si="190"/>
        <v>1000</v>
      </c>
      <c r="AR238" s="1537">
        <f t="shared" si="191"/>
        <v>1000</v>
      </c>
    </row>
    <row r="239" spans="3:44" x14ac:dyDescent="0.3">
      <c r="C239" s="1566" t="s">
        <v>3177</v>
      </c>
      <c r="D239" s="1563" t="s">
        <v>3420</v>
      </c>
      <c r="E239" s="1556">
        <v>5</v>
      </c>
      <c r="F239" s="1518">
        <f t="shared" si="161"/>
        <v>2</v>
      </c>
      <c r="G239" s="1532">
        <f t="shared" si="162"/>
        <v>0</v>
      </c>
      <c r="H239" s="1533">
        <f t="shared" si="163"/>
        <v>0</v>
      </c>
      <c r="I239" s="1534">
        <f t="shared" si="164"/>
        <v>0.2</v>
      </c>
      <c r="J239" s="1519">
        <v>3680000</v>
      </c>
      <c r="K239" s="1519">
        <v>1656000</v>
      </c>
      <c r="N239" s="1519">
        <f t="shared" si="165"/>
        <v>2024000</v>
      </c>
      <c r="Q239" s="1557">
        <v>674667</v>
      </c>
      <c r="R239" s="1519">
        <f t="shared" si="166"/>
        <v>3680000</v>
      </c>
      <c r="S239" s="1519">
        <f t="shared" si="167"/>
        <v>1349333</v>
      </c>
      <c r="T239" s="1519">
        <f t="shared" si="168"/>
        <v>0</v>
      </c>
      <c r="U239" s="1535">
        <f t="shared" si="169"/>
        <v>61333.333333333328</v>
      </c>
      <c r="V239" s="1537">
        <f t="shared" si="170"/>
        <v>736000.33333333337</v>
      </c>
      <c r="W239" s="1519">
        <f t="shared" si="171"/>
        <v>736000</v>
      </c>
      <c r="X239" s="1537">
        <f t="shared" si="172"/>
        <v>550999.66666666674</v>
      </c>
      <c r="Y239" s="1537">
        <f t="shared" si="173"/>
        <v>0</v>
      </c>
      <c r="Z239" s="1537">
        <f t="shared" si="174"/>
        <v>0</v>
      </c>
      <c r="AA239" s="1537">
        <f t="shared" si="175"/>
        <v>0</v>
      </c>
      <c r="AB239" s="1537">
        <f t="shared" si="176"/>
        <v>0</v>
      </c>
      <c r="AC239" s="1537">
        <f t="shared" si="177"/>
        <v>0</v>
      </c>
      <c r="AD239" s="1537">
        <f t="shared" si="178"/>
        <v>0</v>
      </c>
      <c r="AE239" s="1537">
        <f t="shared" si="179"/>
        <v>0</v>
      </c>
      <c r="AF239" s="1536">
        <f t="shared" si="180"/>
        <v>0</v>
      </c>
      <c r="AG239" s="1555"/>
      <c r="AH239" s="1537">
        <f t="shared" si="181"/>
        <v>1287999.6666666667</v>
      </c>
      <c r="AI239" s="1537">
        <f t="shared" si="182"/>
        <v>551999.66666666674</v>
      </c>
      <c r="AJ239" s="1537">
        <f t="shared" si="183"/>
        <v>1000</v>
      </c>
      <c r="AK239" s="1537">
        <f t="shared" si="184"/>
        <v>1000</v>
      </c>
      <c r="AL239" s="1537">
        <f t="shared" si="185"/>
        <v>1000</v>
      </c>
      <c r="AM239" s="1537">
        <f t="shared" si="186"/>
        <v>1000</v>
      </c>
      <c r="AN239" s="1537">
        <f t="shared" si="187"/>
        <v>1000</v>
      </c>
      <c r="AO239" s="1537">
        <f t="shared" si="188"/>
        <v>1000</v>
      </c>
      <c r="AP239" s="1537">
        <f t="shared" si="189"/>
        <v>1000</v>
      </c>
      <c r="AQ239" s="1537">
        <f t="shared" si="190"/>
        <v>1000</v>
      </c>
      <c r="AR239" s="1537">
        <f t="shared" si="191"/>
        <v>1000</v>
      </c>
    </row>
    <row r="240" spans="3:44" x14ac:dyDescent="0.3">
      <c r="C240" s="1566" t="s">
        <v>3178</v>
      </c>
      <c r="D240" s="1563" t="s">
        <v>3421</v>
      </c>
      <c r="E240" s="1556">
        <v>5</v>
      </c>
      <c r="F240" s="1518">
        <f t="shared" si="161"/>
        <v>2</v>
      </c>
      <c r="G240" s="1532">
        <f t="shared" si="162"/>
        <v>0</v>
      </c>
      <c r="H240" s="1533">
        <f t="shared" si="163"/>
        <v>0</v>
      </c>
      <c r="I240" s="1534">
        <f t="shared" si="164"/>
        <v>0.2</v>
      </c>
      <c r="J240" s="1519">
        <v>1650000</v>
      </c>
      <c r="K240" s="1519">
        <v>715000</v>
      </c>
      <c r="N240" s="1519">
        <f t="shared" si="165"/>
        <v>935000</v>
      </c>
      <c r="Q240" s="1557">
        <v>302500</v>
      </c>
      <c r="R240" s="1519">
        <f t="shared" si="166"/>
        <v>1650000</v>
      </c>
      <c r="S240" s="1519">
        <f t="shared" si="167"/>
        <v>632500</v>
      </c>
      <c r="T240" s="1519">
        <f t="shared" si="168"/>
        <v>0</v>
      </c>
      <c r="U240" s="1535">
        <f t="shared" si="169"/>
        <v>27500</v>
      </c>
      <c r="V240" s="1537">
        <f t="shared" si="170"/>
        <v>330000</v>
      </c>
      <c r="W240" s="1519">
        <f t="shared" si="171"/>
        <v>330000</v>
      </c>
      <c r="X240" s="1537">
        <f t="shared" si="172"/>
        <v>274000</v>
      </c>
      <c r="Y240" s="1537">
        <f t="shared" si="173"/>
        <v>0</v>
      </c>
      <c r="Z240" s="1537">
        <f t="shared" si="174"/>
        <v>0</v>
      </c>
      <c r="AA240" s="1537">
        <f t="shared" si="175"/>
        <v>0</v>
      </c>
      <c r="AB240" s="1537">
        <f t="shared" si="176"/>
        <v>0</v>
      </c>
      <c r="AC240" s="1537">
        <f t="shared" si="177"/>
        <v>0</v>
      </c>
      <c r="AD240" s="1537">
        <f t="shared" si="178"/>
        <v>0</v>
      </c>
      <c r="AE240" s="1537">
        <f t="shared" si="179"/>
        <v>0</v>
      </c>
      <c r="AF240" s="1536">
        <f t="shared" si="180"/>
        <v>0</v>
      </c>
      <c r="AG240" s="1555"/>
      <c r="AH240" s="1537">
        <f t="shared" si="181"/>
        <v>605000</v>
      </c>
      <c r="AI240" s="1537">
        <f t="shared" si="182"/>
        <v>275000</v>
      </c>
      <c r="AJ240" s="1537">
        <f t="shared" si="183"/>
        <v>1000</v>
      </c>
      <c r="AK240" s="1537">
        <f t="shared" si="184"/>
        <v>1000</v>
      </c>
      <c r="AL240" s="1537">
        <f t="shared" si="185"/>
        <v>1000</v>
      </c>
      <c r="AM240" s="1537">
        <f t="shared" si="186"/>
        <v>1000</v>
      </c>
      <c r="AN240" s="1537">
        <f t="shared" si="187"/>
        <v>1000</v>
      </c>
      <c r="AO240" s="1537">
        <f t="shared" si="188"/>
        <v>1000</v>
      </c>
      <c r="AP240" s="1537">
        <f t="shared" si="189"/>
        <v>1000</v>
      </c>
      <c r="AQ240" s="1537">
        <f t="shared" si="190"/>
        <v>1000</v>
      </c>
      <c r="AR240" s="1537">
        <f t="shared" si="191"/>
        <v>1000</v>
      </c>
    </row>
    <row r="241" spans="3:44" x14ac:dyDescent="0.3">
      <c r="C241" s="1566" t="s">
        <v>3179</v>
      </c>
      <c r="D241" s="1563" t="s">
        <v>3421</v>
      </c>
      <c r="E241" s="1556">
        <v>5</v>
      </c>
      <c r="F241" s="1518">
        <f t="shared" si="161"/>
        <v>2</v>
      </c>
      <c r="G241" s="1532">
        <f t="shared" si="162"/>
        <v>0</v>
      </c>
      <c r="H241" s="1533">
        <f t="shared" si="163"/>
        <v>0</v>
      </c>
      <c r="I241" s="1534">
        <f t="shared" si="164"/>
        <v>0.2</v>
      </c>
      <c r="J241" s="1519">
        <v>1280000</v>
      </c>
      <c r="K241" s="1519">
        <v>554667</v>
      </c>
      <c r="N241" s="1519">
        <f t="shared" si="165"/>
        <v>725333</v>
      </c>
      <c r="Q241" s="1557">
        <v>234667</v>
      </c>
      <c r="R241" s="1519">
        <f t="shared" si="166"/>
        <v>1280000</v>
      </c>
      <c r="S241" s="1519">
        <f t="shared" si="167"/>
        <v>490666</v>
      </c>
      <c r="T241" s="1519">
        <f t="shared" si="168"/>
        <v>0</v>
      </c>
      <c r="U241" s="1535">
        <f t="shared" si="169"/>
        <v>21333.333333333332</v>
      </c>
      <c r="V241" s="1537">
        <f t="shared" si="170"/>
        <v>256000.33333333334</v>
      </c>
      <c r="W241" s="1519">
        <f t="shared" si="171"/>
        <v>256000</v>
      </c>
      <c r="X241" s="1537">
        <f t="shared" si="172"/>
        <v>212332.66666666669</v>
      </c>
      <c r="Y241" s="1537">
        <f t="shared" si="173"/>
        <v>0</v>
      </c>
      <c r="Z241" s="1537">
        <f t="shared" si="174"/>
        <v>0</v>
      </c>
      <c r="AA241" s="1537">
        <f t="shared" si="175"/>
        <v>0</v>
      </c>
      <c r="AB241" s="1537">
        <f t="shared" si="176"/>
        <v>0</v>
      </c>
      <c r="AC241" s="1537">
        <f t="shared" si="177"/>
        <v>0</v>
      </c>
      <c r="AD241" s="1537">
        <f t="shared" si="178"/>
        <v>0</v>
      </c>
      <c r="AE241" s="1537">
        <f t="shared" si="179"/>
        <v>0</v>
      </c>
      <c r="AF241" s="1536">
        <f t="shared" si="180"/>
        <v>0</v>
      </c>
      <c r="AG241" s="1555"/>
      <c r="AH241" s="1537">
        <f t="shared" si="181"/>
        <v>469332.66666666669</v>
      </c>
      <c r="AI241" s="1537">
        <f t="shared" si="182"/>
        <v>213332.66666666669</v>
      </c>
      <c r="AJ241" s="1537">
        <f t="shared" si="183"/>
        <v>1000</v>
      </c>
      <c r="AK241" s="1537">
        <f t="shared" si="184"/>
        <v>1000</v>
      </c>
      <c r="AL241" s="1537">
        <f t="shared" si="185"/>
        <v>1000</v>
      </c>
      <c r="AM241" s="1537">
        <f t="shared" si="186"/>
        <v>1000</v>
      </c>
      <c r="AN241" s="1537">
        <f t="shared" si="187"/>
        <v>1000</v>
      </c>
      <c r="AO241" s="1537">
        <f t="shared" si="188"/>
        <v>1000</v>
      </c>
      <c r="AP241" s="1537">
        <f t="shared" si="189"/>
        <v>1000</v>
      </c>
      <c r="AQ241" s="1537">
        <f t="shared" si="190"/>
        <v>1000</v>
      </c>
      <c r="AR241" s="1537">
        <f t="shared" si="191"/>
        <v>1000</v>
      </c>
    </row>
    <row r="242" spans="3:44" x14ac:dyDescent="0.3">
      <c r="C242" s="1566" t="s">
        <v>3180</v>
      </c>
      <c r="D242" s="1563" t="s">
        <v>3422</v>
      </c>
      <c r="E242" s="1556">
        <v>5</v>
      </c>
      <c r="F242" s="1518">
        <f t="shared" si="161"/>
        <v>2</v>
      </c>
      <c r="G242" s="1532">
        <f t="shared" si="162"/>
        <v>0</v>
      </c>
      <c r="H242" s="1533">
        <f t="shared" si="163"/>
        <v>0</v>
      </c>
      <c r="I242" s="1534">
        <f t="shared" si="164"/>
        <v>0.2</v>
      </c>
      <c r="J242" s="1519">
        <v>1046000</v>
      </c>
      <c r="K242" s="1519">
        <v>453267</v>
      </c>
      <c r="N242" s="1519">
        <f t="shared" si="165"/>
        <v>592733</v>
      </c>
      <c r="Q242" s="1557">
        <v>191767</v>
      </c>
      <c r="R242" s="1519">
        <f t="shared" si="166"/>
        <v>1046000</v>
      </c>
      <c r="S242" s="1519">
        <f t="shared" si="167"/>
        <v>400966</v>
      </c>
      <c r="T242" s="1519">
        <f t="shared" si="168"/>
        <v>0</v>
      </c>
      <c r="U242" s="1535">
        <f t="shared" si="169"/>
        <v>17433.333333333332</v>
      </c>
      <c r="V242" s="1537">
        <f t="shared" si="170"/>
        <v>209200.33333333334</v>
      </c>
      <c r="W242" s="1519">
        <f t="shared" si="171"/>
        <v>209200</v>
      </c>
      <c r="X242" s="1537">
        <f t="shared" si="172"/>
        <v>173332.66666666669</v>
      </c>
      <c r="Y242" s="1537">
        <f t="shared" si="173"/>
        <v>0</v>
      </c>
      <c r="Z242" s="1537">
        <f t="shared" si="174"/>
        <v>0</v>
      </c>
      <c r="AA242" s="1537">
        <f t="shared" si="175"/>
        <v>0</v>
      </c>
      <c r="AB242" s="1537">
        <f t="shared" si="176"/>
        <v>0</v>
      </c>
      <c r="AC242" s="1537">
        <f t="shared" si="177"/>
        <v>0</v>
      </c>
      <c r="AD242" s="1537">
        <f t="shared" si="178"/>
        <v>0</v>
      </c>
      <c r="AE242" s="1537">
        <f t="shared" si="179"/>
        <v>0</v>
      </c>
      <c r="AF242" s="1536">
        <f t="shared" si="180"/>
        <v>0</v>
      </c>
      <c r="AG242" s="1555"/>
      <c r="AH242" s="1537">
        <f t="shared" si="181"/>
        <v>383532.66666666669</v>
      </c>
      <c r="AI242" s="1537">
        <f t="shared" si="182"/>
        <v>174332.66666666669</v>
      </c>
      <c r="AJ242" s="1537">
        <f t="shared" si="183"/>
        <v>1000</v>
      </c>
      <c r="AK242" s="1537">
        <f t="shared" si="184"/>
        <v>1000</v>
      </c>
      <c r="AL242" s="1537">
        <f t="shared" si="185"/>
        <v>1000</v>
      </c>
      <c r="AM242" s="1537">
        <f t="shared" si="186"/>
        <v>1000</v>
      </c>
      <c r="AN242" s="1537">
        <f t="shared" si="187"/>
        <v>1000</v>
      </c>
      <c r="AO242" s="1537">
        <f t="shared" si="188"/>
        <v>1000</v>
      </c>
      <c r="AP242" s="1537">
        <f t="shared" si="189"/>
        <v>1000</v>
      </c>
      <c r="AQ242" s="1537">
        <f t="shared" si="190"/>
        <v>1000</v>
      </c>
      <c r="AR242" s="1537">
        <f t="shared" si="191"/>
        <v>1000</v>
      </c>
    </row>
    <row r="243" spans="3:44" x14ac:dyDescent="0.3">
      <c r="C243" s="1566" t="s">
        <v>3181</v>
      </c>
      <c r="D243" s="1563" t="s">
        <v>3423</v>
      </c>
      <c r="E243" s="1556">
        <v>5</v>
      </c>
      <c r="F243" s="1518">
        <f t="shared" si="161"/>
        <v>2</v>
      </c>
      <c r="G243" s="1532">
        <f t="shared" si="162"/>
        <v>0</v>
      </c>
      <c r="H243" s="1533">
        <f t="shared" si="163"/>
        <v>0</v>
      </c>
      <c r="I243" s="1534">
        <f t="shared" si="164"/>
        <v>0.2</v>
      </c>
      <c r="J243" s="1519">
        <v>1793000</v>
      </c>
      <c r="K243" s="1519">
        <v>747083</v>
      </c>
      <c r="N243" s="1519">
        <f t="shared" si="165"/>
        <v>1045917</v>
      </c>
      <c r="Q243" s="1557">
        <v>328717</v>
      </c>
      <c r="R243" s="1519">
        <f t="shared" si="166"/>
        <v>1793000</v>
      </c>
      <c r="S243" s="1519">
        <f t="shared" si="167"/>
        <v>717200</v>
      </c>
      <c r="T243" s="1519">
        <f t="shared" si="168"/>
        <v>0</v>
      </c>
      <c r="U243" s="1535">
        <f t="shared" si="169"/>
        <v>29883.333333333332</v>
      </c>
      <c r="V243" s="1537">
        <f t="shared" si="170"/>
        <v>358600.33333333331</v>
      </c>
      <c r="W243" s="1519">
        <f t="shared" si="171"/>
        <v>358600</v>
      </c>
      <c r="X243" s="1537">
        <f t="shared" si="172"/>
        <v>327716.66666666663</v>
      </c>
      <c r="Y243" s="1537">
        <f t="shared" si="173"/>
        <v>0</v>
      </c>
      <c r="Z243" s="1537">
        <f t="shared" si="174"/>
        <v>0</v>
      </c>
      <c r="AA243" s="1537">
        <f t="shared" si="175"/>
        <v>0</v>
      </c>
      <c r="AB243" s="1537">
        <f t="shared" si="176"/>
        <v>0</v>
      </c>
      <c r="AC243" s="1537">
        <f t="shared" si="177"/>
        <v>0</v>
      </c>
      <c r="AD243" s="1537">
        <f t="shared" si="178"/>
        <v>0</v>
      </c>
      <c r="AE243" s="1537">
        <f t="shared" si="179"/>
        <v>0</v>
      </c>
      <c r="AF243" s="1536">
        <f t="shared" si="180"/>
        <v>0</v>
      </c>
      <c r="AG243" s="1555"/>
      <c r="AH243" s="1537">
        <f t="shared" si="181"/>
        <v>687316.66666666663</v>
      </c>
      <c r="AI243" s="1537">
        <f t="shared" si="182"/>
        <v>328716.66666666663</v>
      </c>
      <c r="AJ243" s="1537">
        <f t="shared" si="183"/>
        <v>1000</v>
      </c>
      <c r="AK243" s="1537">
        <f t="shared" si="184"/>
        <v>1000</v>
      </c>
      <c r="AL243" s="1537">
        <f t="shared" si="185"/>
        <v>1000</v>
      </c>
      <c r="AM243" s="1537">
        <f t="shared" si="186"/>
        <v>1000</v>
      </c>
      <c r="AN243" s="1537">
        <f t="shared" si="187"/>
        <v>1000</v>
      </c>
      <c r="AO243" s="1537">
        <f t="shared" si="188"/>
        <v>1000</v>
      </c>
      <c r="AP243" s="1537">
        <f t="shared" si="189"/>
        <v>1000</v>
      </c>
      <c r="AQ243" s="1537">
        <f t="shared" si="190"/>
        <v>1000</v>
      </c>
      <c r="AR243" s="1537">
        <f t="shared" si="191"/>
        <v>1000</v>
      </c>
    </row>
    <row r="244" spans="3:44" x14ac:dyDescent="0.3">
      <c r="C244" s="1566" t="s">
        <v>3182</v>
      </c>
      <c r="D244" s="1563" t="s">
        <v>3424</v>
      </c>
      <c r="E244" s="1556">
        <v>5</v>
      </c>
      <c r="F244" s="1518">
        <f t="shared" si="161"/>
        <v>2</v>
      </c>
      <c r="G244" s="1532">
        <f t="shared" si="162"/>
        <v>0</v>
      </c>
      <c r="H244" s="1533">
        <f t="shared" si="163"/>
        <v>0</v>
      </c>
      <c r="I244" s="1534">
        <f t="shared" si="164"/>
        <v>0.2</v>
      </c>
      <c r="J244" s="1519">
        <v>2780000</v>
      </c>
      <c r="K244" s="1519">
        <v>1158333</v>
      </c>
      <c r="N244" s="1519">
        <f t="shared" si="165"/>
        <v>1621667</v>
      </c>
      <c r="Q244" s="1557">
        <v>509667</v>
      </c>
      <c r="R244" s="1519">
        <f t="shared" si="166"/>
        <v>2780000</v>
      </c>
      <c r="S244" s="1519">
        <f t="shared" si="167"/>
        <v>1112000</v>
      </c>
      <c r="T244" s="1519">
        <f t="shared" si="168"/>
        <v>0</v>
      </c>
      <c r="U244" s="1535">
        <f t="shared" si="169"/>
        <v>46333.333333333336</v>
      </c>
      <c r="V244" s="1537">
        <f t="shared" si="170"/>
        <v>556000.33333333337</v>
      </c>
      <c r="W244" s="1519">
        <f t="shared" si="171"/>
        <v>556000</v>
      </c>
      <c r="X244" s="1537">
        <f t="shared" si="172"/>
        <v>508666.66666666674</v>
      </c>
      <c r="Y244" s="1537">
        <f t="shared" si="173"/>
        <v>0</v>
      </c>
      <c r="Z244" s="1537">
        <f t="shared" si="174"/>
        <v>0</v>
      </c>
      <c r="AA244" s="1537">
        <f t="shared" si="175"/>
        <v>0</v>
      </c>
      <c r="AB244" s="1537">
        <f t="shared" si="176"/>
        <v>0</v>
      </c>
      <c r="AC244" s="1537">
        <f t="shared" si="177"/>
        <v>0</v>
      </c>
      <c r="AD244" s="1537">
        <f t="shared" si="178"/>
        <v>0</v>
      </c>
      <c r="AE244" s="1537">
        <f t="shared" si="179"/>
        <v>0</v>
      </c>
      <c r="AF244" s="1536">
        <f t="shared" si="180"/>
        <v>0</v>
      </c>
      <c r="AG244" s="1555"/>
      <c r="AH244" s="1537">
        <f t="shared" si="181"/>
        <v>1065666.6666666667</v>
      </c>
      <c r="AI244" s="1537">
        <f t="shared" si="182"/>
        <v>509666.66666666674</v>
      </c>
      <c r="AJ244" s="1537">
        <f t="shared" si="183"/>
        <v>1000</v>
      </c>
      <c r="AK244" s="1537">
        <f t="shared" si="184"/>
        <v>1000</v>
      </c>
      <c r="AL244" s="1537">
        <f t="shared" si="185"/>
        <v>1000</v>
      </c>
      <c r="AM244" s="1537">
        <f t="shared" si="186"/>
        <v>1000</v>
      </c>
      <c r="AN244" s="1537">
        <f t="shared" si="187"/>
        <v>1000</v>
      </c>
      <c r="AO244" s="1537">
        <f t="shared" si="188"/>
        <v>1000</v>
      </c>
      <c r="AP244" s="1537">
        <f t="shared" si="189"/>
        <v>1000</v>
      </c>
      <c r="AQ244" s="1537">
        <f t="shared" si="190"/>
        <v>1000</v>
      </c>
      <c r="AR244" s="1537">
        <f t="shared" si="191"/>
        <v>1000</v>
      </c>
    </row>
    <row r="245" spans="3:44" x14ac:dyDescent="0.3">
      <c r="C245" s="1566" t="s">
        <v>3183</v>
      </c>
      <c r="D245" s="1563" t="s">
        <v>3425</v>
      </c>
      <c r="E245" s="1556">
        <v>5</v>
      </c>
      <c r="F245" s="1518">
        <f t="shared" si="161"/>
        <v>2</v>
      </c>
      <c r="G245" s="1532">
        <f t="shared" si="162"/>
        <v>0</v>
      </c>
      <c r="H245" s="1533">
        <f t="shared" si="163"/>
        <v>0</v>
      </c>
      <c r="I245" s="1534">
        <f t="shared" si="164"/>
        <v>0.2</v>
      </c>
      <c r="J245" s="1519">
        <v>4170000</v>
      </c>
      <c r="K245" s="1519">
        <v>1737500</v>
      </c>
      <c r="N245" s="1519">
        <f t="shared" si="165"/>
        <v>2432500</v>
      </c>
      <c r="Q245" s="1557">
        <v>764500</v>
      </c>
      <c r="R245" s="1519">
        <f t="shared" si="166"/>
        <v>4170000</v>
      </c>
      <c r="S245" s="1519">
        <f t="shared" si="167"/>
        <v>1668000</v>
      </c>
      <c r="T245" s="1519">
        <f t="shared" si="168"/>
        <v>0</v>
      </c>
      <c r="U245" s="1535">
        <f t="shared" si="169"/>
        <v>69500</v>
      </c>
      <c r="V245" s="1537">
        <f t="shared" si="170"/>
        <v>834000</v>
      </c>
      <c r="W245" s="1519">
        <f t="shared" si="171"/>
        <v>834000</v>
      </c>
      <c r="X245" s="1537">
        <f t="shared" si="172"/>
        <v>763500</v>
      </c>
      <c r="Y245" s="1537">
        <f t="shared" si="173"/>
        <v>0</v>
      </c>
      <c r="Z245" s="1537">
        <f t="shared" si="174"/>
        <v>0</v>
      </c>
      <c r="AA245" s="1537">
        <f t="shared" si="175"/>
        <v>0</v>
      </c>
      <c r="AB245" s="1537">
        <f t="shared" si="176"/>
        <v>0</v>
      </c>
      <c r="AC245" s="1537">
        <f t="shared" si="177"/>
        <v>0</v>
      </c>
      <c r="AD245" s="1537">
        <f t="shared" si="178"/>
        <v>0</v>
      </c>
      <c r="AE245" s="1537">
        <f t="shared" si="179"/>
        <v>0</v>
      </c>
      <c r="AF245" s="1536">
        <f t="shared" si="180"/>
        <v>0</v>
      </c>
      <c r="AG245" s="1555"/>
      <c r="AH245" s="1537">
        <f t="shared" si="181"/>
        <v>1598500</v>
      </c>
      <c r="AI245" s="1537">
        <f t="shared" si="182"/>
        <v>764500</v>
      </c>
      <c r="AJ245" s="1537">
        <f t="shared" si="183"/>
        <v>1000</v>
      </c>
      <c r="AK245" s="1537">
        <f t="shared" si="184"/>
        <v>1000</v>
      </c>
      <c r="AL245" s="1537">
        <f t="shared" si="185"/>
        <v>1000</v>
      </c>
      <c r="AM245" s="1537">
        <f t="shared" si="186"/>
        <v>1000</v>
      </c>
      <c r="AN245" s="1537">
        <f t="shared" si="187"/>
        <v>1000</v>
      </c>
      <c r="AO245" s="1537">
        <f t="shared" si="188"/>
        <v>1000</v>
      </c>
      <c r="AP245" s="1537">
        <f t="shared" si="189"/>
        <v>1000</v>
      </c>
      <c r="AQ245" s="1537">
        <f t="shared" si="190"/>
        <v>1000</v>
      </c>
      <c r="AR245" s="1537">
        <f t="shared" si="191"/>
        <v>1000</v>
      </c>
    </row>
    <row r="246" spans="3:44" x14ac:dyDescent="0.3">
      <c r="C246" s="1566" t="s">
        <v>3184</v>
      </c>
      <c r="D246" s="1563" t="s">
        <v>3425</v>
      </c>
      <c r="E246" s="1556">
        <v>5</v>
      </c>
      <c r="F246" s="1518">
        <f t="shared" si="161"/>
        <v>2</v>
      </c>
      <c r="G246" s="1532">
        <f t="shared" si="162"/>
        <v>0</v>
      </c>
      <c r="H246" s="1533">
        <f t="shared" si="163"/>
        <v>0</v>
      </c>
      <c r="I246" s="1534">
        <f t="shared" si="164"/>
        <v>0.2</v>
      </c>
      <c r="J246" s="1519">
        <v>2540000</v>
      </c>
      <c r="K246" s="1519">
        <v>1058333</v>
      </c>
      <c r="N246" s="1519">
        <f t="shared" si="165"/>
        <v>1481667</v>
      </c>
      <c r="Q246" s="1557">
        <v>465667</v>
      </c>
      <c r="R246" s="1519">
        <f t="shared" si="166"/>
        <v>2540000</v>
      </c>
      <c r="S246" s="1519">
        <f t="shared" si="167"/>
        <v>1016000</v>
      </c>
      <c r="T246" s="1519">
        <f t="shared" si="168"/>
        <v>0</v>
      </c>
      <c r="U246" s="1535">
        <f t="shared" si="169"/>
        <v>42333.333333333336</v>
      </c>
      <c r="V246" s="1537">
        <f t="shared" si="170"/>
        <v>508000.33333333331</v>
      </c>
      <c r="W246" s="1519">
        <f t="shared" si="171"/>
        <v>508000</v>
      </c>
      <c r="X246" s="1537">
        <f t="shared" si="172"/>
        <v>464666.66666666663</v>
      </c>
      <c r="Y246" s="1537">
        <f t="shared" si="173"/>
        <v>0</v>
      </c>
      <c r="Z246" s="1537">
        <f t="shared" si="174"/>
        <v>0</v>
      </c>
      <c r="AA246" s="1537">
        <f t="shared" si="175"/>
        <v>0</v>
      </c>
      <c r="AB246" s="1537">
        <f t="shared" si="176"/>
        <v>0</v>
      </c>
      <c r="AC246" s="1537">
        <f t="shared" si="177"/>
        <v>0</v>
      </c>
      <c r="AD246" s="1537">
        <f t="shared" si="178"/>
        <v>0</v>
      </c>
      <c r="AE246" s="1537">
        <f t="shared" si="179"/>
        <v>0</v>
      </c>
      <c r="AF246" s="1536">
        <f t="shared" si="180"/>
        <v>0</v>
      </c>
      <c r="AG246" s="1555"/>
      <c r="AH246" s="1537">
        <f t="shared" si="181"/>
        <v>973666.66666666663</v>
      </c>
      <c r="AI246" s="1537">
        <f t="shared" si="182"/>
        <v>465666.66666666663</v>
      </c>
      <c r="AJ246" s="1537">
        <f t="shared" si="183"/>
        <v>1000</v>
      </c>
      <c r="AK246" s="1537">
        <f t="shared" si="184"/>
        <v>1000</v>
      </c>
      <c r="AL246" s="1537">
        <f t="shared" si="185"/>
        <v>1000</v>
      </c>
      <c r="AM246" s="1537">
        <f t="shared" si="186"/>
        <v>1000</v>
      </c>
      <c r="AN246" s="1537">
        <f t="shared" si="187"/>
        <v>1000</v>
      </c>
      <c r="AO246" s="1537">
        <f t="shared" si="188"/>
        <v>1000</v>
      </c>
      <c r="AP246" s="1537">
        <f t="shared" si="189"/>
        <v>1000</v>
      </c>
      <c r="AQ246" s="1537">
        <f t="shared" si="190"/>
        <v>1000</v>
      </c>
      <c r="AR246" s="1537">
        <f t="shared" si="191"/>
        <v>1000</v>
      </c>
    </row>
    <row r="247" spans="3:44" x14ac:dyDescent="0.3">
      <c r="C247" s="1566" t="s">
        <v>3185</v>
      </c>
      <c r="D247" s="1563" t="s">
        <v>3426</v>
      </c>
      <c r="E247" s="1556">
        <v>5</v>
      </c>
      <c r="F247" s="1518">
        <f t="shared" si="161"/>
        <v>2</v>
      </c>
      <c r="G247" s="1532">
        <f t="shared" si="162"/>
        <v>0</v>
      </c>
      <c r="H247" s="1533">
        <f t="shared" si="163"/>
        <v>0</v>
      </c>
      <c r="I247" s="1534">
        <f t="shared" si="164"/>
        <v>0.2</v>
      </c>
      <c r="J247" s="1519">
        <v>5205000</v>
      </c>
      <c r="K247" s="1519">
        <v>2168750</v>
      </c>
      <c r="N247" s="1519">
        <f t="shared" si="165"/>
        <v>3036250</v>
      </c>
      <c r="Q247" s="1557">
        <v>954250</v>
      </c>
      <c r="R247" s="1519">
        <f t="shared" si="166"/>
        <v>5205000</v>
      </c>
      <c r="S247" s="1519">
        <f t="shared" si="167"/>
        <v>2082000</v>
      </c>
      <c r="T247" s="1519">
        <f t="shared" si="168"/>
        <v>0</v>
      </c>
      <c r="U247" s="1535">
        <f t="shared" si="169"/>
        <v>86750</v>
      </c>
      <c r="V247" s="1537">
        <f t="shared" si="170"/>
        <v>1041000</v>
      </c>
      <c r="W247" s="1519">
        <f t="shared" si="171"/>
        <v>1041000</v>
      </c>
      <c r="X247" s="1537">
        <f t="shared" si="172"/>
        <v>953250</v>
      </c>
      <c r="Y247" s="1537">
        <f t="shared" si="173"/>
        <v>0</v>
      </c>
      <c r="Z247" s="1537">
        <f t="shared" si="174"/>
        <v>0</v>
      </c>
      <c r="AA247" s="1537">
        <f t="shared" si="175"/>
        <v>0</v>
      </c>
      <c r="AB247" s="1537">
        <f t="shared" si="176"/>
        <v>0</v>
      </c>
      <c r="AC247" s="1537">
        <f t="shared" si="177"/>
        <v>0</v>
      </c>
      <c r="AD247" s="1537">
        <f t="shared" si="178"/>
        <v>0</v>
      </c>
      <c r="AE247" s="1537">
        <f t="shared" si="179"/>
        <v>0</v>
      </c>
      <c r="AF247" s="1536">
        <f t="shared" si="180"/>
        <v>0</v>
      </c>
      <c r="AG247" s="1555"/>
      <c r="AH247" s="1537">
        <f t="shared" si="181"/>
        <v>1995250</v>
      </c>
      <c r="AI247" s="1537">
        <f t="shared" si="182"/>
        <v>954250</v>
      </c>
      <c r="AJ247" s="1537">
        <f t="shared" si="183"/>
        <v>1000</v>
      </c>
      <c r="AK247" s="1537">
        <f t="shared" si="184"/>
        <v>1000</v>
      </c>
      <c r="AL247" s="1537">
        <f t="shared" si="185"/>
        <v>1000</v>
      </c>
      <c r="AM247" s="1537">
        <f t="shared" si="186"/>
        <v>1000</v>
      </c>
      <c r="AN247" s="1537">
        <f t="shared" si="187"/>
        <v>1000</v>
      </c>
      <c r="AO247" s="1537">
        <f t="shared" si="188"/>
        <v>1000</v>
      </c>
      <c r="AP247" s="1537">
        <f t="shared" si="189"/>
        <v>1000</v>
      </c>
      <c r="AQ247" s="1537">
        <f t="shared" si="190"/>
        <v>1000</v>
      </c>
      <c r="AR247" s="1537">
        <f t="shared" si="191"/>
        <v>1000</v>
      </c>
    </row>
    <row r="248" spans="3:44" x14ac:dyDescent="0.3">
      <c r="C248" s="1566" t="s">
        <v>3186</v>
      </c>
      <c r="D248" s="1563" t="s">
        <v>3427</v>
      </c>
      <c r="E248" s="1556">
        <v>5</v>
      </c>
      <c r="F248" s="1518">
        <f t="shared" si="161"/>
        <v>2</v>
      </c>
      <c r="G248" s="1532">
        <f t="shared" si="162"/>
        <v>0</v>
      </c>
      <c r="H248" s="1533">
        <f t="shared" si="163"/>
        <v>0</v>
      </c>
      <c r="I248" s="1534">
        <f t="shared" si="164"/>
        <v>0.2</v>
      </c>
      <c r="J248" s="1519">
        <v>3810000</v>
      </c>
      <c r="K248" s="1519">
        <v>1587500</v>
      </c>
      <c r="N248" s="1519">
        <f t="shared" si="165"/>
        <v>2222500</v>
      </c>
      <c r="Q248" s="1557">
        <v>698500</v>
      </c>
      <c r="R248" s="1519">
        <f t="shared" si="166"/>
        <v>3810000</v>
      </c>
      <c r="S248" s="1519">
        <f t="shared" si="167"/>
        <v>1524000</v>
      </c>
      <c r="T248" s="1519">
        <f t="shared" si="168"/>
        <v>0</v>
      </c>
      <c r="U248" s="1535">
        <f t="shared" si="169"/>
        <v>63500</v>
      </c>
      <c r="V248" s="1537">
        <f t="shared" si="170"/>
        <v>762000</v>
      </c>
      <c r="W248" s="1519">
        <f t="shared" si="171"/>
        <v>762000</v>
      </c>
      <c r="X248" s="1537">
        <f t="shared" si="172"/>
        <v>697500</v>
      </c>
      <c r="Y248" s="1537">
        <f t="shared" si="173"/>
        <v>0</v>
      </c>
      <c r="Z248" s="1537">
        <f t="shared" si="174"/>
        <v>0</v>
      </c>
      <c r="AA248" s="1537">
        <f t="shared" si="175"/>
        <v>0</v>
      </c>
      <c r="AB248" s="1537">
        <f t="shared" si="176"/>
        <v>0</v>
      </c>
      <c r="AC248" s="1537">
        <f t="shared" si="177"/>
        <v>0</v>
      </c>
      <c r="AD248" s="1537">
        <f t="shared" si="178"/>
        <v>0</v>
      </c>
      <c r="AE248" s="1537">
        <f t="shared" si="179"/>
        <v>0</v>
      </c>
      <c r="AF248" s="1536">
        <f t="shared" si="180"/>
        <v>0</v>
      </c>
      <c r="AG248" s="1555"/>
      <c r="AH248" s="1537">
        <f t="shared" si="181"/>
        <v>1460500</v>
      </c>
      <c r="AI248" s="1537">
        <f t="shared" si="182"/>
        <v>698500</v>
      </c>
      <c r="AJ248" s="1537">
        <f t="shared" si="183"/>
        <v>1000</v>
      </c>
      <c r="AK248" s="1537">
        <f t="shared" si="184"/>
        <v>1000</v>
      </c>
      <c r="AL248" s="1537">
        <f t="shared" si="185"/>
        <v>1000</v>
      </c>
      <c r="AM248" s="1537">
        <f t="shared" si="186"/>
        <v>1000</v>
      </c>
      <c r="AN248" s="1537">
        <f t="shared" si="187"/>
        <v>1000</v>
      </c>
      <c r="AO248" s="1537">
        <f t="shared" si="188"/>
        <v>1000</v>
      </c>
      <c r="AP248" s="1537">
        <f t="shared" si="189"/>
        <v>1000</v>
      </c>
      <c r="AQ248" s="1537">
        <f t="shared" si="190"/>
        <v>1000</v>
      </c>
      <c r="AR248" s="1537">
        <f t="shared" si="191"/>
        <v>1000</v>
      </c>
    </row>
    <row r="249" spans="3:44" x14ac:dyDescent="0.3">
      <c r="C249" s="1566" t="s">
        <v>3187</v>
      </c>
      <c r="D249" s="1563" t="s">
        <v>3427</v>
      </c>
      <c r="E249" s="1556">
        <v>5</v>
      </c>
      <c r="F249" s="1518">
        <f t="shared" si="161"/>
        <v>2</v>
      </c>
      <c r="G249" s="1532">
        <f t="shared" si="162"/>
        <v>0</v>
      </c>
      <c r="H249" s="1533">
        <f t="shared" si="163"/>
        <v>0</v>
      </c>
      <c r="I249" s="1534">
        <f t="shared" si="164"/>
        <v>0.2</v>
      </c>
      <c r="J249" s="1519">
        <v>1180000</v>
      </c>
      <c r="K249" s="1519">
        <v>491667</v>
      </c>
      <c r="N249" s="1519">
        <f t="shared" si="165"/>
        <v>688333</v>
      </c>
      <c r="Q249" s="1557">
        <v>216333</v>
      </c>
      <c r="R249" s="1519">
        <f t="shared" si="166"/>
        <v>1180000</v>
      </c>
      <c r="S249" s="1519">
        <f t="shared" si="167"/>
        <v>472000</v>
      </c>
      <c r="T249" s="1519">
        <f t="shared" si="168"/>
        <v>0</v>
      </c>
      <c r="U249" s="1535">
        <f t="shared" si="169"/>
        <v>19666.666666666668</v>
      </c>
      <c r="V249" s="1537">
        <f t="shared" si="170"/>
        <v>235999.66666666666</v>
      </c>
      <c r="W249" s="1519">
        <f t="shared" si="171"/>
        <v>236000</v>
      </c>
      <c r="X249" s="1537">
        <f t="shared" si="172"/>
        <v>215333.33333333331</v>
      </c>
      <c r="Y249" s="1537">
        <f t="shared" si="173"/>
        <v>0</v>
      </c>
      <c r="Z249" s="1537">
        <f t="shared" si="174"/>
        <v>0</v>
      </c>
      <c r="AA249" s="1537">
        <f t="shared" si="175"/>
        <v>0</v>
      </c>
      <c r="AB249" s="1537">
        <f t="shared" si="176"/>
        <v>0</v>
      </c>
      <c r="AC249" s="1537">
        <f t="shared" si="177"/>
        <v>0</v>
      </c>
      <c r="AD249" s="1537">
        <f t="shared" si="178"/>
        <v>0</v>
      </c>
      <c r="AE249" s="1537">
        <f t="shared" si="179"/>
        <v>0</v>
      </c>
      <c r="AF249" s="1536">
        <f t="shared" si="180"/>
        <v>0</v>
      </c>
      <c r="AG249" s="1555"/>
      <c r="AH249" s="1537">
        <f t="shared" si="181"/>
        <v>452333.33333333331</v>
      </c>
      <c r="AI249" s="1537">
        <f t="shared" si="182"/>
        <v>216333.33333333331</v>
      </c>
      <c r="AJ249" s="1537">
        <f t="shared" si="183"/>
        <v>1000</v>
      </c>
      <c r="AK249" s="1537">
        <f t="shared" si="184"/>
        <v>1000</v>
      </c>
      <c r="AL249" s="1537">
        <f t="shared" si="185"/>
        <v>1000</v>
      </c>
      <c r="AM249" s="1537">
        <f t="shared" si="186"/>
        <v>1000</v>
      </c>
      <c r="AN249" s="1537">
        <f t="shared" si="187"/>
        <v>1000</v>
      </c>
      <c r="AO249" s="1537">
        <f t="shared" si="188"/>
        <v>1000</v>
      </c>
      <c r="AP249" s="1537">
        <f t="shared" si="189"/>
        <v>1000</v>
      </c>
      <c r="AQ249" s="1537">
        <f t="shared" si="190"/>
        <v>1000</v>
      </c>
      <c r="AR249" s="1537">
        <f t="shared" si="191"/>
        <v>1000</v>
      </c>
    </row>
    <row r="250" spans="3:44" x14ac:dyDescent="0.3">
      <c r="C250" s="1566" t="s">
        <v>3181</v>
      </c>
      <c r="D250" s="1563" t="s">
        <v>3428</v>
      </c>
      <c r="E250" s="1556">
        <v>5</v>
      </c>
      <c r="F250" s="1518">
        <f t="shared" si="161"/>
        <v>3</v>
      </c>
      <c r="G250" s="1532">
        <f t="shared" si="162"/>
        <v>0</v>
      </c>
      <c r="H250" s="1533">
        <f t="shared" si="163"/>
        <v>0</v>
      </c>
      <c r="I250" s="1534">
        <f t="shared" si="164"/>
        <v>0.2</v>
      </c>
      <c r="J250" s="1519">
        <v>1870000</v>
      </c>
      <c r="K250" s="1519">
        <v>748000</v>
      </c>
      <c r="N250" s="1519">
        <f t="shared" si="165"/>
        <v>1122000</v>
      </c>
      <c r="Q250" s="1557">
        <v>342833</v>
      </c>
      <c r="R250" s="1519">
        <f t="shared" si="166"/>
        <v>1870000</v>
      </c>
      <c r="S250" s="1519">
        <f t="shared" si="167"/>
        <v>779167</v>
      </c>
      <c r="T250" s="1519">
        <f t="shared" si="168"/>
        <v>0</v>
      </c>
      <c r="U250" s="1535">
        <f t="shared" si="169"/>
        <v>31166.666666666664</v>
      </c>
      <c r="V250" s="1537">
        <f t="shared" si="170"/>
        <v>373999.66666666669</v>
      </c>
      <c r="W250" s="1519">
        <f t="shared" si="171"/>
        <v>374000</v>
      </c>
      <c r="X250" s="1537">
        <f t="shared" si="172"/>
        <v>373000.33333333337</v>
      </c>
      <c r="Y250" s="1537">
        <f t="shared" si="173"/>
        <v>0</v>
      </c>
      <c r="Z250" s="1537">
        <f t="shared" si="174"/>
        <v>0</v>
      </c>
      <c r="AA250" s="1537">
        <f t="shared" si="175"/>
        <v>0</v>
      </c>
      <c r="AB250" s="1537">
        <f t="shared" si="176"/>
        <v>0</v>
      </c>
      <c r="AC250" s="1537">
        <f t="shared" si="177"/>
        <v>0</v>
      </c>
      <c r="AD250" s="1537">
        <f t="shared" si="178"/>
        <v>0</v>
      </c>
      <c r="AE250" s="1537">
        <f t="shared" si="179"/>
        <v>0</v>
      </c>
      <c r="AF250" s="1536">
        <f t="shared" si="180"/>
        <v>0</v>
      </c>
      <c r="AG250" s="1555"/>
      <c r="AH250" s="1537">
        <f t="shared" si="181"/>
        <v>748000.33333333337</v>
      </c>
      <c r="AI250" s="1537">
        <f t="shared" si="182"/>
        <v>374000.33333333337</v>
      </c>
      <c r="AJ250" s="1537">
        <f t="shared" si="183"/>
        <v>1000</v>
      </c>
      <c r="AK250" s="1537">
        <f t="shared" si="184"/>
        <v>1000</v>
      </c>
      <c r="AL250" s="1537">
        <f t="shared" si="185"/>
        <v>1000</v>
      </c>
      <c r="AM250" s="1537">
        <f t="shared" si="186"/>
        <v>1000</v>
      </c>
      <c r="AN250" s="1537">
        <f t="shared" si="187"/>
        <v>1000</v>
      </c>
      <c r="AO250" s="1537">
        <f t="shared" si="188"/>
        <v>1000</v>
      </c>
      <c r="AP250" s="1537">
        <f t="shared" si="189"/>
        <v>1000</v>
      </c>
      <c r="AQ250" s="1537">
        <f t="shared" si="190"/>
        <v>1000</v>
      </c>
      <c r="AR250" s="1537">
        <f t="shared" si="191"/>
        <v>1000</v>
      </c>
    </row>
    <row r="251" spans="3:44" x14ac:dyDescent="0.3">
      <c r="C251" s="1566" t="s">
        <v>3188</v>
      </c>
      <c r="D251" s="1563" t="s">
        <v>3429</v>
      </c>
      <c r="E251" s="1556">
        <v>5</v>
      </c>
      <c r="F251" s="1518">
        <f t="shared" si="161"/>
        <v>3</v>
      </c>
      <c r="G251" s="1532">
        <f t="shared" si="162"/>
        <v>0</v>
      </c>
      <c r="H251" s="1533">
        <f t="shared" si="163"/>
        <v>0</v>
      </c>
      <c r="I251" s="1534">
        <f t="shared" si="164"/>
        <v>0.2</v>
      </c>
      <c r="J251" s="1519">
        <v>6940000</v>
      </c>
      <c r="K251" s="1519">
        <v>2776000</v>
      </c>
      <c r="N251" s="1519">
        <f t="shared" si="165"/>
        <v>4164000</v>
      </c>
      <c r="Q251" s="1557">
        <v>1272333</v>
      </c>
      <c r="R251" s="1519">
        <f t="shared" si="166"/>
        <v>6940000</v>
      </c>
      <c r="S251" s="1519">
        <f t="shared" si="167"/>
        <v>2891667</v>
      </c>
      <c r="T251" s="1519">
        <f t="shared" si="168"/>
        <v>0</v>
      </c>
      <c r="U251" s="1535">
        <f t="shared" si="169"/>
        <v>115666.66666666666</v>
      </c>
      <c r="V251" s="1537">
        <f t="shared" si="170"/>
        <v>1387999.6666666667</v>
      </c>
      <c r="W251" s="1519">
        <f t="shared" si="171"/>
        <v>1388000</v>
      </c>
      <c r="X251" s="1537">
        <f t="shared" si="172"/>
        <v>1387000.3333333335</v>
      </c>
      <c r="Y251" s="1537">
        <f t="shared" si="173"/>
        <v>0</v>
      </c>
      <c r="Z251" s="1537">
        <f t="shared" si="174"/>
        <v>0</v>
      </c>
      <c r="AA251" s="1537">
        <f t="shared" si="175"/>
        <v>0</v>
      </c>
      <c r="AB251" s="1537">
        <f t="shared" si="176"/>
        <v>0</v>
      </c>
      <c r="AC251" s="1537">
        <f t="shared" si="177"/>
        <v>0</v>
      </c>
      <c r="AD251" s="1537">
        <f t="shared" si="178"/>
        <v>0</v>
      </c>
      <c r="AE251" s="1537">
        <f t="shared" si="179"/>
        <v>0</v>
      </c>
      <c r="AF251" s="1536">
        <f t="shared" si="180"/>
        <v>0</v>
      </c>
      <c r="AG251" s="1555"/>
      <c r="AH251" s="1537">
        <f t="shared" si="181"/>
        <v>2776000.3333333335</v>
      </c>
      <c r="AI251" s="1537">
        <f t="shared" si="182"/>
        <v>1388000.3333333335</v>
      </c>
      <c r="AJ251" s="1537">
        <f t="shared" si="183"/>
        <v>1000</v>
      </c>
      <c r="AK251" s="1537">
        <f t="shared" si="184"/>
        <v>1000</v>
      </c>
      <c r="AL251" s="1537">
        <f t="shared" si="185"/>
        <v>1000</v>
      </c>
      <c r="AM251" s="1537">
        <f t="shared" si="186"/>
        <v>1000</v>
      </c>
      <c r="AN251" s="1537">
        <f t="shared" si="187"/>
        <v>1000</v>
      </c>
      <c r="AO251" s="1537">
        <f t="shared" si="188"/>
        <v>1000</v>
      </c>
      <c r="AP251" s="1537">
        <f t="shared" si="189"/>
        <v>1000</v>
      </c>
      <c r="AQ251" s="1537">
        <f t="shared" si="190"/>
        <v>1000</v>
      </c>
      <c r="AR251" s="1537">
        <f t="shared" si="191"/>
        <v>1000</v>
      </c>
    </row>
    <row r="252" spans="3:44" x14ac:dyDescent="0.3">
      <c r="C252" s="1566" t="s">
        <v>3189</v>
      </c>
      <c r="D252" s="1563" t="s">
        <v>3429</v>
      </c>
      <c r="E252" s="1556">
        <v>5</v>
      </c>
      <c r="F252" s="1518">
        <f t="shared" si="161"/>
        <v>3</v>
      </c>
      <c r="G252" s="1532">
        <f t="shared" si="162"/>
        <v>0</v>
      </c>
      <c r="H252" s="1533">
        <f t="shared" si="163"/>
        <v>0</v>
      </c>
      <c r="I252" s="1534">
        <f t="shared" si="164"/>
        <v>0.2</v>
      </c>
      <c r="J252" s="1519">
        <v>29400000</v>
      </c>
      <c r="K252" s="1519">
        <v>11760000</v>
      </c>
      <c r="N252" s="1519">
        <f t="shared" si="165"/>
        <v>17640000</v>
      </c>
      <c r="Q252" s="1557">
        <v>5390000</v>
      </c>
      <c r="R252" s="1519">
        <f t="shared" si="166"/>
        <v>29400000</v>
      </c>
      <c r="S252" s="1519">
        <f t="shared" si="167"/>
        <v>12250000</v>
      </c>
      <c r="T252" s="1519">
        <f t="shared" si="168"/>
        <v>0</v>
      </c>
      <c r="U252" s="1535">
        <f t="shared" si="169"/>
        <v>490000</v>
      </c>
      <c r="V252" s="1537">
        <f t="shared" si="170"/>
        <v>5880000</v>
      </c>
      <c r="W252" s="1519">
        <f t="shared" si="171"/>
        <v>5880000</v>
      </c>
      <c r="X252" s="1537">
        <f t="shared" si="172"/>
        <v>5879000</v>
      </c>
      <c r="Y252" s="1537">
        <f t="shared" si="173"/>
        <v>0</v>
      </c>
      <c r="Z252" s="1537">
        <f t="shared" si="174"/>
        <v>0</v>
      </c>
      <c r="AA252" s="1537">
        <f t="shared" si="175"/>
        <v>0</v>
      </c>
      <c r="AB252" s="1537">
        <f t="shared" si="176"/>
        <v>0</v>
      </c>
      <c r="AC252" s="1537">
        <f t="shared" si="177"/>
        <v>0</v>
      </c>
      <c r="AD252" s="1537">
        <f t="shared" si="178"/>
        <v>0</v>
      </c>
      <c r="AE252" s="1537">
        <f t="shared" si="179"/>
        <v>0</v>
      </c>
      <c r="AF252" s="1536">
        <f t="shared" si="180"/>
        <v>0</v>
      </c>
      <c r="AG252" s="1555"/>
      <c r="AH252" s="1537">
        <f t="shared" si="181"/>
        <v>11760000</v>
      </c>
      <c r="AI252" s="1537">
        <f t="shared" si="182"/>
        <v>5880000</v>
      </c>
      <c r="AJ252" s="1537">
        <f t="shared" si="183"/>
        <v>1000</v>
      </c>
      <c r="AK252" s="1537">
        <f t="shared" si="184"/>
        <v>1000</v>
      </c>
      <c r="AL252" s="1537">
        <f t="shared" si="185"/>
        <v>1000</v>
      </c>
      <c r="AM252" s="1537">
        <f t="shared" si="186"/>
        <v>1000</v>
      </c>
      <c r="AN252" s="1537">
        <f t="shared" si="187"/>
        <v>1000</v>
      </c>
      <c r="AO252" s="1537">
        <f t="shared" si="188"/>
        <v>1000</v>
      </c>
      <c r="AP252" s="1537">
        <f t="shared" si="189"/>
        <v>1000</v>
      </c>
      <c r="AQ252" s="1537">
        <f t="shared" si="190"/>
        <v>1000</v>
      </c>
      <c r="AR252" s="1537">
        <f t="shared" si="191"/>
        <v>1000</v>
      </c>
    </row>
    <row r="253" spans="3:44" x14ac:dyDescent="0.3">
      <c r="C253" s="1566" t="s">
        <v>3190</v>
      </c>
      <c r="D253" s="1563" t="s">
        <v>3430</v>
      </c>
      <c r="E253" s="1556">
        <v>5</v>
      </c>
      <c r="F253" s="1518">
        <f t="shared" si="161"/>
        <v>3</v>
      </c>
      <c r="G253" s="1532">
        <f t="shared" si="162"/>
        <v>0</v>
      </c>
      <c r="H253" s="1533">
        <f t="shared" si="163"/>
        <v>0</v>
      </c>
      <c r="I253" s="1534">
        <f t="shared" si="164"/>
        <v>0.2</v>
      </c>
      <c r="J253" s="1519">
        <v>1040000</v>
      </c>
      <c r="K253" s="1519">
        <v>416000</v>
      </c>
      <c r="N253" s="1519">
        <f t="shared" si="165"/>
        <v>624000</v>
      </c>
      <c r="Q253" s="1557">
        <v>190667</v>
      </c>
      <c r="R253" s="1519">
        <f t="shared" si="166"/>
        <v>1040000</v>
      </c>
      <c r="S253" s="1519">
        <f t="shared" si="167"/>
        <v>433333</v>
      </c>
      <c r="T253" s="1519">
        <f t="shared" si="168"/>
        <v>0</v>
      </c>
      <c r="U253" s="1535">
        <f t="shared" si="169"/>
        <v>17333.333333333332</v>
      </c>
      <c r="V253" s="1537">
        <f t="shared" si="170"/>
        <v>208000.33333333334</v>
      </c>
      <c r="W253" s="1519">
        <f t="shared" si="171"/>
        <v>208000</v>
      </c>
      <c r="X253" s="1537">
        <f t="shared" si="172"/>
        <v>206999.66666666669</v>
      </c>
      <c r="Y253" s="1537">
        <f t="shared" si="173"/>
        <v>0</v>
      </c>
      <c r="Z253" s="1537">
        <f t="shared" si="174"/>
        <v>0</v>
      </c>
      <c r="AA253" s="1537">
        <f t="shared" si="175"/>
        <v>0</v>
      </c>
      <c r="AB253" s="1537">
        <f t="shared" si="176"/>
        <v>0</v>
      </c>
      <c r="AC253" s="1537">
        <f t="shared" si="177"/>
        <v>0</v>
      </c>
      <c r="AD253" s="1537">
        <f t="shared" si="178"/>
        <v>0</v>
      </c>
      <c r="AE253" s="1537">
        <f t="shared" si="179"/>
        <v>0</v>
      </c>
      <c r="AF253" s="1536">
        <f t="shared" si="180"/>
        <v>0</v>
      </c>
      <c r="AG253" s="1555"/>
      <c r="AH253" s="1537">
        <f t="shared" si="181"/>
        <v>415999.66666666669</v>
      </c>
      <c r="AI253" s="1537">
        <f t="shared" si="182"/>
        <v>207999.66666666669</v>
      </c>
      <c r="AJ253" s="1537">
        <f t="shared" si="183"/>
        <v>1000</v>
      </c>
      <c r="AK253" s="1537">
        <f t="shared" si="184"/>
        <v>1000</v>
      </c>
      <c r="AL253" s="1537">
        <f t="shared" si="185"/>
        <v>1000</v>
      </c>
      <c r="AM253" s="1537">
        <f t="shared" si="186"/>
        <v>1000</v>
      </c>
      <c r="AN253" s="1537">
        <f t="shared" si="187"/>
        <v>1000</v>
      </c>
      <c r="AO253" s="1537">
        <f t="shared" si="188"/>
        <v>1000</v>
      </c>
      <c r="AP253" s="1537">
        <f t="shared" si="189"/>
        <v>1000</v>
      </c>
      <c r="AQ253" s="1537">
        <f t="shared" si="190"/>
        <v>1000</v>
      </c>
      <c r="AR253" s="1537">
        <f t="shared" si="191"/>
        <v>1000</v>
      </c>
    </row>
    <row r="254" spans="3:44" x14ac:dyDescent="0.3">
      <c r="C254" s="1566" t="s">
        <v>3191</v>
      </c>
      <c r="D254" s="1563" t="s">
        <v>3431</v>
      </c>
      <c r="E254" s="1556">
        <v>5</v>
      </c>
      <c r="F254" s="1518">
        <f t="shared" si="161"/>
        <v>3</v>
      </c>
      <c r="G254" s="1532">
        <f t="shared" si="162"/>
        <v>0</v>
      </c>
      <c r="H254" s="1533">
        <f t="shared" si="163"/>
        <v>0</v>
      </c>
      <c r="I254" s="1534">
        <f t="shared" si="164"/>
        <v>0.2</v>
      </c>
      <c r="J254" s="1519">
        <v>7500000</v>
      </c>
      <c r="K254" s="1519">
        <v>3000000</v>
      </c>
      <c r="N254" s="1519">
        <f t="shared" si="165"/>
        <v>4500000</v>
      </c>
      <c r="Q254" s="1557">
        <v>1375000</v>
      </c>
      <c r="R254" s="1519">
        <f t="shared" si="166"/>
        <v>7500000</v>
      </c>
      <c r="S254" s="1519">
        <f t="shared" si="167"/>
        <v>3125000</v>
      </c>
      <c r="T254" s="1519">
        <f t="shared" si="168"/>
        <v>0</v>
      </c>
      <c r="U254" s="1535">
        <f t="shared" si="169"/>
        <v>125000</v>
      </c>
      <c r="V254" s="1537">
        <f t="shared" si="170"/>
        <v>1500000</v>
      </c>
      <c r="W254" s="1519">
        <f t="shared" si="171"/>
        <v>1500000</v>
      </c>
      <c r="X254" s="1537">
        <f t="shared" si="172"/>
        <v>1499000</v>
      </c>
      <c r="Y254" s="1537">
        <f t="shared" si="173"/>
        <v>0</v>
      </c>
      <c r="Z254" s="1537">
        <f t="shared" si="174"/>
        <v>0</v>
      </c>
      <c r="AA254" s="1537">
        <f t="shared" si="175"/>
        <v>0</v>
      </c>
      <c r="AB254" s="1537">
        <f t="shared" si="176"/>
        <v>0</v>
      </c>
      <c r="AC254" s="1537">
        <f t="shared" si="177"/>
        <v>0</v>
      </c>
      <c r="AD254" s="1537">
        <f t="shared" si="178"/>
        <v>0</v>
      </c>
      <c r="AE254" s="1537">
        <f t="shared" si="179"/>
        <v>0</v>
      </c>
      <c r="AF254" s="1536">
        <f t="shared" si="180"/>
        <v>0</v>
      </c>
      <c r="AG254" s="1555"/>
      <c r="AH254" s="1537">
        <f t="shared" si="181"/>
        <v>3000000</v>
      </c>
      <c r="AI254" s="1537">
        <f t="shared" si="182"/>
        <v>1500000</v>
      </c>
      <c r="AJ254" s="1537">
        <f t="shared" si="183"/>
        <v>1000</v>
      </c>
      <c r="AK254" s="1537">
        <f t="shared" si="184"/>
        <v>1000</v>
      </c>
      <c r="AL254" s="1537">
        <f t="shared" si="185"/>
        <v>1000</v>
      </c>
      <c r="AM254" s="1537">
        <f t="shared" si="186"/>
        <v>1000</v>
      </c>
      <c r="AN254" s="1537">
        <f t="shared" si="187"/>
        <v>1000</v>
      </c>
      <c r="AO254" s="1537">
        <f t="shared" si="188"/>
        <v>1000</v>
      </c>
      <c r="AP254" s="1537">
        <f t="shared" si="189"/>
        <v>1000</v>
      </c>
      <c r="AQ254" s="1537">
        <f t="shared" si="190"/>
        <v>1000</v>
      </c>
      <c r="AR254" s="1537">
        <f t="shared" si="191"/>
        <v>1000</v>
      </c>
    </row>
    <row r="255" spans="3:44" x14ac:dyDescent="0.3">
      <c r="C255" s="1566" t="s">
        <v>3192</v>
      </c>
      <c r="D255" s="1563" t="s">
        <v>3429</v>
      </c>
      <c r="E255" s="1556">
        <v>5</v>
      </c>
      <c r="F255" s="1518">
        <f t="shared" si="161"/>
        <v>3</v>
      </c>
      <c r="G255" s="1532">
        <f t="shared" si="162"/>
        <v>0</v>
      </c>
      <c r="H255" s="1533">
        <f t="shared" si="163"/>
        <v>0</v>
      </c>
      <c r="I255" s="1534">
        <f t="shared" si="164"/>
        <v>0.2</v>
      </c>
      <c r="J255" s="1519">
        <v>3180000</v>
      </c>
      <c r="K255" s="1519">
        <v>1272000</v>
      </c>
      <c r="N255" s="1519">
        <f t="shared" si="165"/>
        <v>1908000</v>
      </c>
      <c r="Q255" s="1557">
        <v>583000</v>
      </c>
      <c r="R255" s="1519">
        <f t="shared" si="166"/>
        <v>3180000</v>
      </c>
      <c r="S255" s="1519">
        <f t="shared" si="167"/>
        <v>1325000</v>
      </c>
      <c r="T255" s="1519">
        <f t="shared" si="168"/>
        <v>0</v>
      </c>
      <c r="U255" s="1535">
        <f t="shared" si="169"/>
        <v>53000</v>
      </c>
      <c r="V255" s="1537">
        <f t="shared" si="170"/>
        <v>636000</v>
      </c>
      <c r="W255" s="1519">
        <f t="shared" si="171"/>
        <v>636000</v>
      </c>
      <c r="X255" s="1537">
        <f t="shared" si="172"/>
        <v>635000</v>
      </c>
      <c r="Y255" s="1537">
        <f t="shared" si="173"/>
        <v>0</v>
      </c>
      <c r="Z255" s="1537">
        <f t="shared" si="174"/>
        <v>0</v>
      </c>
      <c r="AA255" s="1537">
        <f t="shared" si="175"/>
        <v>0</v>
      </c>
      <c r="AB255" s="1537">
        <f t="shared" si="176"/>
        <v>0</v>
      </c>
      <c r="AC255" s="1537">
        <f t="shared" si="177"/>
        <v>0</v>
      </c>
      <c r="AD255" s="1537">
        <f t="shared" si="178"/>
        <v>0</v>
      </c>
      <c r="AE255" s="1537">
        <f t="shared" si="179"/>
        <v>0</v>
      </c>
      <c r="AF255" s="1536">
        <f t="shared" si="180"/>
        <v>0</v>
      </c>
      <c r="AG255" s="1555"/>
      <c r="AH255" s="1537">
        <f t="shared" si="181"/>
        <v>1272000</v>
      </c>
      <c r="AI255" s="1537">
        <f t="shared" si="182"/>
        <v>636000</v>
      </c>
      <c r="AJ255" s="1537">
        <f t="shared" si="183"/>
        <v>1000</v>
      </c>
      <c r="AK255" s="1537">
        <f t="shared" si="184"/>
        <v>1000</v>
      </c>
      <c r="AL255" s="1537">
        <f t="shared" si="185"/>
        <v>1000</v>
      </c>
      <c r="AM255" s="1537">
        <f t="shared" si="186"/>
        <v>1000</v>
      </c>
      <c r="AN255" s="1537">
        <f t="shared" si="187"/>
        <v>1000</v>
      </c>
      <c r="AO255" s="1537">
        <f t="shared" si="188"/>
        <v>1000</v>
      </c>
      <c r="AP255" s="1537">
        <f t="shared" si="189"/>
        <v>1000</v>
      </c>
      <c r="AQ255" s="1537">
        <f t="shared" si="190"/>
        <v>1000</v>
      </c>
      <c r="AR255" s="1537">
        <f t="shared" si="191"/>
        <v>1000</v>
      </c>
    </row>
    <row r="256" spans="3:44" x14ac:dyDescent="0.3">
      <c r="C256" s="1566" t="s">
        <v>3193</v>
      </c>
      <c r="D256" s="1563" t="s">
        <v>3054</v>
      </c>
      <c r="E256" s="1556">
        <v>5</v>
      </c>
      <c r="F256" s="1518">
        <f t="shared" si="161"/>
        <v>3</v>
      </c>
      <c r="G256" s="1532">
        <f t="shared" si="162"/>
        <v>0</v>
      </c>
      <c r="H256" s="1533">
        <f t="shared" si="163"/>
        <v>0</v>
      </c>
      <c r="I256" s="1534">
        <f t="shared" si="164"/>
        <v>0.2</v>
      </c>
      <c r="J256" s="1519">
        <v>2140000</v>
      </c>
      <c r="K256" s="1519">
        <v>820333</v>
      </c>
      <c r="N256" s="1519">
        <f t="shared" si="165"/>
        <v>1319667</v>
      </c>
      <c r="Q256" s="1557">
        <v>392333</v>
      </c>
      <c r="R256" s="1519">
        <f t="shared" si="166"/>
        <v>2140000</v>
      </c>
      <c r="S256" s="1519">
        <f t="shared" si="167"/>
        <v>927334</v>
      </c>
      <c r="T256" s="1519">
        <f t="shared" si="168"/>
        <v>0</v>
      </c>
      <c r="U256" s="1535">
        <f t="shared" si="169"/>
        <v>35666.666666666664</v>
      </c>
      <c r="V256" s="1537">
        <f t="shared" si="170"/>
        <v>427999.66666666669</v>
      </c>
      <c r="W256" s="1519">
        <f t="shared" si="171"/>
        <v>428000</v>
      </c>
      <c r="X256" s="1537">
        <f t="shared" si="172"/>
        <v>428000</v>
      </c>
      <c r="Y256" s="1537">
        <f t="shared" si="173"/>
        <v>34667.333333333372</v>
      </c>
      <c r="Z256" s="1537">
        <f t="shared" si="174"/>
        <v>0</v>
      </c>
      <c r="AA256" s="1537">
        <f t="shared" si="175"/>
        <v>0</v>
      </c>
      <c r="AB256" s="1537">
        <f t="shared" si="176"/>
        <v>0</v>
      </c>
      <c r="AC256" s="1537">
        <f t="shared" si="177"/>
        <v>0</v>
      </c>
      <c r="AD256" s="1537">
        <f t="shared" si="178"/>
        <v>0</v>
      </c>
      <c r="AE256" s="1537">
        <f t="shared" si="179"/>
        <v>0</v>
      </c>
      <c r="AF256" s="1536">
        <f t="shared" si="180"/>
        <v>0</v>
      </c>
      <c r="AG256" s="1555"/>
      <c r="AH256" s="1537">
        <f t="shared" si="181"/>
        <v>891667.33333333337</v>
      </c>
      <c r="AI256" s="1537">
        <f t="shared" si="182"/>
        <v>463667.33333333337</v>
      </c>
      <c r="AJ256" s="1537">
        <f t="shared" si="183"/>
        <v>35667.333333333372</v>
      </c>
      <c r="AK256" s="1537">
        <f t="shared" si="184"/>
        <v>1000</v>
      </c>
      <c r="AL256" s="1537">
        <f t="shared" si="185"/>
        <v>1000</v>
      </c>
      <c r="AM256" s="1537">
        <f t="shared" si="186"/>
        <v>1000</v>
      </c>
      <c r="AN256" s="1537">
        <f t="shared" si="187"/>
        <v>1000</v>
      </c>
      <c r="AO256" s="1537">
        <f t="shared" si="188"/>
        <v>1000</v>
      </c>
      <c r="AP256" s="1537">
        <f t="shared" si="189"/>
        <v>1000</v>
      </c>
      <c r="AQ256" s="1537">
        <f t="shared" si="190"/>
        <v>1000</v>
      </c>
      <c r="AR256" s="1537">
        <f t="shared" si="191"/>
        <v>1000</v>
      </c>
    </row>
    <row r="257" spans="3:44" x14ac:dyDescent="0.3">
      <c r="C257" s="1566" t="s">
        <v>3194</v>
      </c>
      <c r="D257" s="1563" t="s">
        <v>3432</v>
      </c>
      <c r="E257" s="1556">
        <v>5</v>
      </c>
      <c r="F257" s="1518">
        <f t="shared" si="161"/>
        <v>3</v>
      </c>
      <c r="G257" s="1532">
        <f t="shared" si="162"/>
        <v>0</v>
      </c>
      <c r="H257" s="1533">
        <f t="shared" si="163"/>
        <v>0</v>
      </c>
      <c r="I257" s="1534">
        <f t="shared" si="164"/>
        <v>0.2</v>
      </c>
      <c r="J257" s="1519">
        <v>1390000</v>
      </c>
      <c r="K257" s="1519">
        <v>532833</v>
      </c>
      <c r="N257" s="1519">
        <f t="shared" si="165"/>
        <v>857167</v>
      </c>
      <c r="Q257" s="1557">
        <v>254833</v>
      </c>
      <c r="R257" s="1519">
        <f t="shared" si="166"/>
        <v>1390000</v>
      </c>
      <c r="S257" s="1519">
        <f t="shared" si="167"/>
        <v>602334</v>
      </c>
      <c r="T257" s="1519">
        <f t="shared" si="168"/>
        <v>0</v>
      </c>
      <c r="U257" s="1535">
        <f t="shared" si="169"/>
        <v>23166.666666666668</v>
      </c>
      <c r="V257" s="1537">
        <f t="shared" si="170"/>
        <v>277999.66666666669</v>
      </c>
      <c r="W257" s="1519">
        <f t="shared" si="171"/>
        <v>278000</v>
      </c>
      <c r="X257" s="1537">
        <f t="shared" si="172"/>
        <v>278000</v>
      </c>
      <c r="Y257" s="1537">
        <f t="shared" si="173"/>
        <v>22167.333333333372</v>
      </c>
      <c r="Z257" s="1537">
        <f t="shared" si="174"/>
        <v>0</v>
      </c>
      <c r="AA257" s="1537">
        <f t="shared" si="175"/>
        <v>0</v>
      </c>
      <c r="AB257" s="1537">
        <f t="shared" si="176"/>
        <v>0</v>
      </c>
      <c r="AC257" s="1537">
        <f t="shared" si="177"/>
        <v>0</v>
      </c>
      <c r="AD257" s="1537">
        <f t="shared" si="178"/>
        <v>0</v>
      </c>
      <c r="AE257" s="1537">
        <f t="shared" si="179"/>
        <v>0</v>
      </c>
      <c r="AF257" s="1536">
        <f t="shared" si="180"/>
        <v>0</v>
      </c>
      <c r="AG257" s="1555"/>
      <c r="AH257" s="1537">
        <f t="shared" si="181"/>
        <v>579167.33333333337</v>
      </c>
      <c r="AI257" s="1537">
        <f t="shared" si="182"/>
        <v>301167.33333333337</v>
      </c>
      <c r="AJ257" s="1537">
        <f t="shared" si="183"/>
        <v>23167.333333333372</v>
      </c>
      <c r="AK257" s="1537">
        <f t="shared" si="184"/>
        <v>1000</v>
      </c>
      <c r="AL257" s="1537">
        <f t="shared" si="185"/>
        <v>1000</v>
      </c>
      <c r="AM257" s="1537">
        <f t="shared" si="186"/>
        <v>1000</v>
      </c>
      <c r="AN257" s="1537">
        <f t="shared" si="187"/>
        <v>1000</v>
      </c>
      <c r="AO257" s="1537">
        <f t="shared" si="188"/>
        <v>1000</v>
      </c>
      <c r="AP257" s="1537">
        <f t="shared" si="189"/>
        <v>1000</v>
      </c>
      <c r="AQ257" s="1537">
        <f t="shared" si="190"/>
        <v>1000</v>
      </c>
      <c r="AR257" s="1537">
        <f t="shared" si="191"/>
        <v>1000</v>
      </c>
    </row>
    <row r="258" spans="3:44" x14ac:dyDescent="0.3">
      <c r="C258" s="1566" t="s">
        <v>3194</v>
      </c>
      <c r="D258" s="1563" t="s">
        <v>3433</v>
      </c>
      <c r="E258" s="1556">
        <v>5</v>
      </c>
      <c r="F258" s="1518">
        <f t="shared" si="161"/>
        <v>3</v>
      </c>
      <c r="G258" s="1532">
        <f t="shared" si="162"/>
        <v>0</v>
      </c>
      <c r="H258" s="1533">
        <f t="shared" si="163"/>
        <v>0</v>
      </c>
      <c r="I258" s="1534">
        <f t="shared" si="164"/>
        <v>0.2</v>
      </c>
      <c r="J258" s="1519">
        <v>1390000</v>
      </c>
      <c r="K258" s="1519">
        <v>532833</v>
      </c>
      <c r="N258" s="1519">
        <f t="shared" si="165"/>
        <v>857167</v>
      </c>
      <c r="Q258" s="1557">
        <v>254833</v>
      </c>
      <c r="R258" s="1519">
        <f t="shared" si="166"/>
        <v>1390000</v>
      </c>
      <c r="S258" s="1519">
        <f t="shared" si="167"/>
        <v>602334</v>
      </c>
      <c r="T258" s="1519">
        <f t="shared" si="168"/>
        <v>0</v>
      </c>
      <c r="U258" s="1535">
        <f t="shared" si="169"/>
        <v>23166.666666666668</v>
      </c>
      <c r="V258" s="1537">
        <f t="shared" si="170"/>
        <v>277999.66666666669</v>
      </c>
      <c r="W258" s="1519">
        <f t="shared" si="171"/>
        <v>278000</v>
      </c>
      <c r="X258" s="1537">
        <f t="shared" si="172"/>
        <v>278000</v>
      </c>
      <c r="Y258" s="1537">
        <f t="shared" si="173"/>
        <v>22167.333333333372</v>
      </c>
      <c r="Z258" s="1537">
        <f t="shared" si="174"/>
        <v>0</v>
      </c>
      <c r="AA258" s="1537">
        <f t="shared" si="175"/>
        <v>0</v>
      </c>
      <c r="AB258" s="1537">
        <f t="shared" si="176"/>
        <v>0</v>
      </c>
      <c r="AC258" s="1537">
        <f t="shared" si="177"/>
        <v>0</v>
      </c>
      <c r="AD258" s="1537">
        <f t="shared" si="178"/>
        <v>0</v>
      </c>
      <c r="AE258" s="1537">
        <f t="shared" si="179"/>
        <v>0</v>
      </c>
      <c r="AF258" s="1536">
        <f t="shared" si="180"/>
        <v>0</v>
      </c>
      <c r="AG258" s="1555"/>
      <c r="AH258" s="1537">
        <f t="shared" si="181"/>
        <v>579167.33333333337</v>
      </c>
      <c r="AI258" s="1537">
        <f t="shared" si="182"/>
        <v>301167.33333333337</v>
      </c>
      <c r="AJ258" s="1537">
        <f t="shared" si="183"/>
        <v>23167.333333333372</v>
      </c>
      <c r="AK258" s="1537">
        <f t="shared" si="184"/>
        <v>1000</v>
      </c>
      <c r="AL258" s="1537">
        <f t="shared" si="185"/>
        <v>1000</v>
      </c>
      <c r="AM258" s="1537">
        <f t="shared" si="186"/>
        <v>1000</v>
      </c>
      <c r="AN258" s="1537">
        <f t="shared" si="187"/>
        <v>1000</v>
      </c>
      <c r="AO258" s="1537">
        <f t="shared" si="188"/>
        <v>1000</v>
      </c>
      <c r="AP258" s="1537">
        <f t="shared" si="189"/>
        <v>1000</v>
      </c>
      <c r="AQ258" s="1537">
        <f t="shared" si="190"/>
        <v>1000</v>
      </c>
      <c r="AR258" s="1537">
        <f t="shared" si="191"/>
        <v>1000</v>
      </c>
    </row>
    <row r="259" spans="3:44" x14ac:dyDescent="0.3">
      <c r="C259" s="1566" t="s">
        <v>3195</v>
      </c>
      <c r="D259" s="1563" t="s">
        <v>3434</v>
      </c>
      <c r="E259" s="1556">
        <v>5</v>
      </c>
      <c r="F259" s="1518">
        <f t="shared" si="161"/>
        <v>3</v>
      </c>
      <c r="G259" s="1532">
        <f t="shared" si="162"/>
        <v>0</v>
      </c>
      <c r="H259" s="1533">
        <f t="shared" si="163"/>
        <v>0</v>
      </c>
      <c r="I259" s="1534">
        <f t="shared" si="164"/>
        <v>0.2</v>
      </c>
      <c r="J259" s="1519">
        <v>480000</v>
      </c>
      <c r="K259" s="1519">
        <v>184000</v>
      </c>
      <c r="N259" s="1519">
        <f t="shared" si="165"/>
        <v>296000</v>
      </c>
      <c r="Q259" s="1557">
        <v>88000</v>
      </c>
      <c r="R259" s="1519">
        <f t="shared" si="166"/>
        <v>480000</v>
      </c>
      <c r="S259" s="1519">
        <f t="shared" si="167"/>
        <v>208000</v>
      </c>
      <c r="T259" s="1519">
        <f t="shared" si="168"/>
        <v>0</v>
      </c>
      <c r="U259" s="1535">
        <f t="shared" si="169"/>
        <v>8000</v>
      </c>
      <c r="V259" s="1537">
        <f t="shared" si="170"/>
        <v>96000</v>
      </c>
      <c r="W259" s="1519">
        <f t="shared" si="171"/>
        <v>96000</v>
      </c>
      <c r="X259" s="1537">
        <f t="shared" si="172"/>
        <v>96000</v>
      </c>
      <c r="Y259" s="1537">
        <f t="shared" si="173"/>
        <v>7000</v>
      </c>
      <c r="Z259" s="1537">
        <f t="shared" si="174"/>
        <v>0</v>
      </c>
      <c r="AA259" s="1537">
        <f t="shared" si="175"/>
        <v>0</v>
      </c>
      <c r="AB259" s="1537">
        <f t="shared" si="176"/>
        <v>0</v>
      </c>
      <c r="AC259" s="1537">
        <f t="shared" si="177"/>
        <v>0</v>
      </c>
      <c r="AD259" s="1537">
        <f t="shared" si="178"/>
        <v>0</v>
      </c>
      <c r="AE259" s="1537">
        <f t="shared" si="179"/>
        <v>0</v>
      </c>
      <c r="AF259" s="1536">
        <f t="shared" si="180"/>
        <v>0</v>
      </c>
      <c r="AG259" s="1555"/>
      <c r="AH259" s="1537">
        <f t="shared" si="181"/>
        <v>200000</v>
      </c>
      <c r="AI259" s="1537">
        <f t="shared" si="182"/>
        <v>104000</v>
      </c>
      <c r="AJ259" s="1537">
        <f t="shared" si="183"/>
        <v>8000</v>
      </c>
      <c r="AK259" s="1537">
        <f t="shared" si="184"/>
        <v>1000</v>
      </c>
      <c r="AL259" s="1537">
        <f t="shared" si="185"/>
        <v>1000</v>
      </c>
      <c r="AM259" s="1537">
        <f t="shared" si="186"/>
        <v>1000</v>
      </c>
      <c r="AN259" s="1537">
        <f t="shared" si="187"/>
        <v>1000</v>
      </c>
      <c r="AO259" s="1537">
        <f t="shared" si="188"/>
        <v>1000</v>
      </c>
      <c r="AP259" s="1537">
        <f t="shared" si="189"/>
        <v>1000</v>
      </c>
      <c r="AQ259" s="1537">
        <f t="shared" si="190"/>
        <v>1000</v>
      </c>
      <c r="AR259" s="1537">
        <f t="shared" si="191"/>
        <v>1000</v>
      </c>
    </row>
    <row r="260" spans="3:44" x14ac:dyDescent="0.3">
      <c r="C260" s="1566" t="s">
        <v>3196</v>
      </c>
      <c r="D260" s="1563" t="s">
        <v>3435</v>
      </c>
      <c r="E260" s="1556">
        <v>5</v>
      </c>
      <c r="F260" s="1518">
        <f t="shared" si="161"/>
        <v>3</v>
      </c>
      <c r="G260" s="1532">
        <f t="shared" si="162"/>
        <v>0</v>
      </c>
      <c r="H260" s="1533">
        <f t="shared" si="163"/>
        <v>0</v>
      </c>
      <c r="I260" s="1534">
        <f t="shared" si="164"/>
        <v>0.2</v>
      </c>
      <c r="J260" s="1519">
        <v>1450000</v>
      </c>
      <c r="K260" s="1519">
        <v>555833</v>
      </c>
      <c r="N260" s="1519">
        <f t="shared" si="165"/>
        <v>894167</v>
      </c>
      <c r="Q260" s="1557">
        <v>265833</v>
      </c>
      <c r="R260" s="1519">
        <f t="shared" si="166"/>
        <v>1450000</v>
      </c>
      <c r="S260" s="1519">
        <f t="shared" si="167"/>
        <v>628334</v>
      </c>
      <c r="T260" s="1519">
        <f t="shared" si="168"/>
        <v>0</v>
      </c>
      <c r="U260" s="1535">
        <f t="shared" si="169"/>
        <v>24166.666666666668</v>
      </c>
      <c r="V260" s="1537">
        <f t="shared" si="170"/>
        <v>289999.66666666669</v>
      </c>
      <c r="W260" s="1519">
        <f t="shared" si="171"/>
        <v>290000</v>
      </c>
      <c r="X260" s="1537">
        <f t="shared" si="172"/>
        <v>290000</v>
      </c>
      <c r="Y260" s="1537">
        <f t="shared" si="173"/>
        <v>23167.333333333372</v>
      </c>
      <c r="Z260" s="1537">
        <f t="shared" si="174"/>
        <v>0</v>
      </c>
      <c r="AA260" s="1537">
        <f t="shared" si="175"/>
        <v>0</v>
      </c>
      <c r="AB260" s="1537">
        <f t="shared" si="176"/>
        <v>0</v>
      </c>
      <c r="AC260" s="1537">
        <f t="shared" si="177"/>
        <v>0</v>
      </c>
      <c r="AD260" s="1537">
        <f t="shared" si="178"/>
        <v>0</v>
      </c>
      <c r="AE260" s="1537">
        <f t="shared" si="179"/>
        <v>0</v>
      </c>
      <c r="AF260" s="1536">
        <f t="shared" si="180"/>
        <v>0</v>
      </c>
      <c r="AG260" s="1555"/>
      <c r="AH260" s="1537">
        <f t="shared" si="181"/>
        <v>604167.33333333337</v>
      </c>
      <c r="AI260" s="1537">
        <f t="shared" si="182"/>
        <v>314167.33333333337</v>
      </c>
      <c r="AJ260" s="1537">
        <f t="shared" si="183"/>
        <v>24167.333333333372</v>
      </c>
      <c r="AK260" s="1537">
        <f t="shared" si="184"/>
        <v>1000</v>
      </c>
      <c r="AL260" s="1537">
        <f t="shared" si="185"/>
        <v>1000</v>
      </c>
      <c r="AM260" s="1537">
        <f t="shared" si="186"/>
        <v>1000</v>
      </c>
      <c r="AN260" s="1537">
        <f t="shared" si="187"/>
        <v>1000</v>
      </c>
      <c r="AO260" s="1537">
        <f t="shared" si="188"/>
        <v>1000</v>
      </c>
      <c r="AP260" s="1537">
        <f t="shared" si="189"/>
        <v>1000</v>
      </c>
      <c r="AQ260" s="1537">
        <f t="shared" si="190"/>
        <v>1000</v>
      </c>
      <c r="AR260" s="1537">
        <f t="shared" si="191"/>
        <v>1000</v>
      </c>
    </row>
    <row r="261" spans="3:44" x14ac:dyDescent="0.3">
      <c r="C261" s="1566" t="s">
        <v>3117</v>
      </c>
      <c r="D261" s="1563" t="s">
        <v>3435</v>
      </c>
      <c r="E261" s="1556">
        <v>5</v>
      </c>
      <c r="F261" s="1518">
        <f t="shared" si="161"/>
        <v>3</v>
      </c>
      <c r="G261" s="1532">
        <f t="shared" si="162"/>
        <v>0</v>
      </c>
      <c r="H261" s="1533">
        <f t="shared" si="163"/>
        <v>0</v>
      </c>
      <c r="I261" s="1534">
        <f t="shared" si="164"/>
        <v>0.2</v>
      </c>
      <c r="J261" s="1519">
        <v>3595000</v>
      </c>
      <c r="K261" s="1519">
        <v>1378083</v>
      </c>
      <c r="N261" s="1519">
        <f t="shared" si="165"/>
        <v>2216917</v>
      </c>
      <c r="Q261" s="1557">
        <v>659083</v>
      </c>
      <c r="R261" s="1519">
        <f t="shared" si="166"/>
        <v>3595000</v>
      </c>
      <c r="S261" s="1519">
        <f t="shared" si="167"/>
        <v>1557834</v>
      </c>
      <c r="T261" s="1519">
        <f t="shared" si="168"/>
        <v>0</v>
      </c>
      <c r="U261" s="1535">
        <f t="shared" si="169"/>
        <v>59916.666666666664</v>
      </c>
      <c r="V261" s="1537">
        <f t="shared" si="170"/>
        <v>718999.66666666663</v>
      </c>
      <c r="W261" s="1519">
        <f t="shared" si="171"/>
        <v>719000</v>
      </c>
      <c r="X261" s="1537">
        <f t="shared" si="172"/>
        <v>719000</v>
      </c>
      <c r="Y261" s="1537">
        <f t="shared" si="173"/>
        <v>58917.333333333256</v>
      </c>
      <c r="Z261" s="1537">
        <f t="shared" si="174"/>
        <v>0</v>
      </c>
      <c r="AA261" s="1537">
        <f t="shared" si="175"/>
        <v>0</v>
      </c>
      <c r="AB261" s="1537">
        <f t="shared" si="176"/>
        <v>0</v>
      </c>
      <c r="AC261" s="1537">
        <f t="shared" si="177"/>
        <v>0</v>
      </c>
      <c r="AD261" s="1537">
        <f t="shared" si="178"/>
        <v>0</v>
      </c>
      <c r="AE261" s="1537">
        <f t="shared" si="179"/>
        <v>0</v>
      </c>
      <c r="AF261" s="1536">
        <f t="shared" si="180"/>
        <v>0</v>
      </c>
      <c r="AG261" s="1555"/>
      <c r="AH261" s="1537">
        <f t="shared" si="181"/>
        <v>1497917.3333333333</v>
      </c>
      <c r="AI261" s="1537">
        <f t="shared" si="182"/>
        <v>778917.33333333326</v>
      </c>
      <c r="AJ261" s="1537">
        <f t="shared" si="183"/>
        <v>59917.333333333256</v>
      </c>
      <c r="AK261" s="1537">
        <f t="shared" si="184"/>
        <v>1000</v>
      </c>
      <c r="AL261" s="1537">
        <f t="shared" si="185"/>
        <v>1000</v>
      </c>
      <c r="AM261" s="1537">
        <f t="shared" si="186"/>
        <v>1000</v>
      </c>
      <c r="AN261" s="1537">
        <f t="shared" si="187"/>
        <v>1000</v>
      </c>
      <c r="AO261" s="1537">
        <f t="shared" si="188"/>
        <v>1000</v>
      </c>
      <c r="AP261" s="1537">
        <f t="shared" si="189"/>
        <v>1000</v>
      </c>
      <c r="AQ261" s="1537">
        <f t="shared" si="190"/>
        <v>1000</v>
      </c>
      <c r="AR261" s="1537">
        <f t="shared" si="191"/>
        <v>1000</v>
      </c>
    </row>
    <row r="262" spans="3:44" x14ac:dyDescent="0.3">
      <c r="C262" s="1566" t="s">
        <v>3192</v>
      </c>
      <c r="D262" s="1563" t="s">
        <v>3436</v>
      </c>
      <c r="E262" s="1556">
        <v>5</v>
      </c>
      <c r="F262" s="1518">
        <f t="shared" si="161"/>
        <v>3</v>
      </c>
      <c r="G262" s="1532">
        <f t="shared" si="162"/>
        <v>0</v>
      </c>
      <c r="H262" s="1533">
        <f t="shared" si="163"/>
        <v>0</v>
      </c>
      <c r="I262" s="1534">
        <f t="shared" si="164"/>
        <v>0.2</v>
      </c>
      <c r="J262" s="1519">
        <v>1280000</v>
      </c>
      <c r="K262" s="1519">
        <v>490667</v>
      </c>
      <c r="N262" s="1519">
        <f t="shared" si="165"/>
        <v>789333</v>
      </c>
      <c r="Q262" s="1557">
        <v>234667</v>
      </c>
      <c r="R262" s="1519">
        <f t="shared" si="166"/>
        <v>1280000</v>
      </c>
      <c r="S262" s="1519">
        <f t="shared" si="167"/>
        <v>554666</v>
      </c>
      <c r="T262" s="1519">
        <f t="shared" si="168"/>
        <v>0</v>
      </c>
      <c r="U262" s="1535">
        <f t="shared" si="169"/>
        <v>21333.333333333332</v>
      </c>
      <c r="V262" s="1537">
        <f t="shared" si="170"/>
        <v>256000.33333333334</v>
      </c>
      <c r="W262" s="1519">
        <f t="shared" si="171"/>
        <v>256000</v>
      </c>
      <c r="X262" s="1537">
        <f t="shared" si="172"/>
        <v>256000</v>
      </c>
      <c r="Y262" s="1537">
        <f t="shared" si="173"/>
        <v>20332.666666666628</v>
      </c>
      <c r="Z262" s="1537">
        <f t="shared" si="174"/>
        <v>0</v>
      </c>
      <c r="AA262" s="1537">
        <f t="shared" si="175"/>
        <v>0</v>
      </c>
      <c r="AB262" s="1537">
        <f t="shared" si="176"/>
        <v>0</v>
      </c>
      <c r="AC262" s="1537">
        <f t="shared" si="177"/>
        <v>0</v>
      </c>
      <c r="AD262" s="1537">
        <f t="shared" si="178"/>
        <v>0</v>
      </c>
      <c r="AE262" s="1537">
        <f t="shared" si="179"/>
        <v>0</v>
      </c>
      <c r="AF262" s="1536">
        <f t="shared" si="180"/>
        <v>0</v>
      </c>
      <c r="AG262" s="1555"/>
      <c r="AH262" s="1537">
        <f t="shared" si="181"/>
        <v>533332.66666666663</v>
      </c>
      <c r="AI262" s="1537">
        <f t="shared" si="182"/>
        <v>277332.66666666663</v>
      </c>
      <c r="AJ262" s="1537">
        <f t="shared" si="183"/>
        <v>21332.666666666628</v>
      </c>
      <c r="AK262" s="1537">
        <f t="shared" si="184"/>
        <v>1000</v>
      </c>
      <c r="AL262" s="1537">
        <f t="shared" si="185"/>
        <v>1000</v>
      </c>
      <c r="AM262" s="1537">
        <f t="shared" si="186"/>
        <v>1000</v>
      </c>
      <c r="AN262" s="1537">
        <f t="shared" si="187"/>
        <v>1000</v>
      </c>
      <c r="AO262" s="1537">
        <f t="shared" si="188"/>
        <v>1000</v>
      </c>
      <c r="AP262" s="1537">
        <f t="shared" si="189"/>
        <v>1000</v>
      </c>
      <c r="AQ262" s="1537">
        <f t="shared" si="190"/>
        <v>1000</v>
      </c>
      <c r="AR262" s="1537">
        <f t="shared" si="191"/>
        <v>1000</v>
      </c>
    </row>
    <row r="263" spans="3:44" x14ac:dyDescent="0.3">
      <c r="C263" s="1566" t="s">
        <v>3197</v>
      </c>
      <c r="D263" s="1563" t="s">
        <v>3437</v>
      </c>
      <c r="E263" s="1556">
        <v>5</v>
      </c>
      <c r="F263" s="1518">
        <f t="shared" si="161"/>
        <v>3</v>
      </c>
      <c r="G263" s="1532">
        <f t="shared" si="162"/>
        <v>0</v>
      </c>
      <c r="H263" s="1533">
        <f t="shared" si="163"/>
        <v>0</v>
      </c>
      <c r="I263" s="1534">
        <f t="shared" si="164"/>
        <v>0.2</v>
      </c>
      <c r="J263" s="1519">
        <v>2080000</v>
      </c>
      <c r="K263" s="1519">
        <v>797333</v>
      </c>
      <c r="N263" s="1519">
        <f t="shared" si="165"/>
        <v>1282667</v>
      </c>
      <c r="Q263" s="1557">
        <v>381333</v>
      </c>
      <c r="R263" s="1519">
        <f t="shared" si="166"/>
        <v>2080000</v>
      </c>
      <c r="S263" s="1519">
        <f t="shared" si="167"/>
        <v>901334</v>
      </c>
      <c r="T263" s="1519">
        <f t="shared" si="168"/>
        <v>0</v>
      </c>
      <c r="U263" s="1535">
        <f t="shared" si="169"/>
        <v>34666.666666666664</v>
      </c>
      <c r="V263" s="1537">
        <f t="shared" si="170"/>
        <v>415999.66666666669</v>
      </c>
      <c r="W263" s="1519">
        <f t="shared" si="171"/>
        <v>416000</v>
      </c>
      <c r="X263" s="1537">
        <f t="shared" si="172"/>
        <v>416000</v>
      </c>
      <c r="Y263" s="1537">
        <f t="shared" si="173"/>
        <v>33667.333333333372</v>
      </c>
      <c r="Z263" s="1537">
        <f t="shared" si="174"/>
        <v>0</v>
      </c>
      <c r="AA263" s="1537">
        <f t="shared" si="175"/>
        <v>0</v>
      </c>
      <c r="AB263" s="1537">
        <f t="shared" si="176"/>
        <v>0</v>
      </c>
      <c r="AC263" s="1537">
        <f t="shared" si="177"/>
        <v>0</v>
      </c>
      <c r="AD263" s="1537">
        <f t="shared" si="178"/>
        <v>0</v>
      </c>
      <c r="AE263" s="1537">
        <f t="shared" si="179"/>
        <v>0</v>
      </c>
      <c r="AF263" s="1536">
        <f t="shared" si="180"/>
        <v>0</v>
      </c>
      <c r="AG263" s="1555"/>
      <c r="AH263" s="1537">
        <f t="shared" si="181"/>
        <v>866667.33333333337</v>
      </c>
      <c r="AI263" s="1537">
        <f t="shared" si="182"/>
        <v>450667.33333333337</v>
      </c>
      <c r="AJ263" s="1537">
        <f t="shared" si="183"/>
        <v>34667.333333333372</v>
      </c>
      <c r="AK263" s="1537">
        <f t="shared" si="184"/>
        <v>1000</v>
      </c>
      <c r="AL263" s="1537">
        <f t="shared" si="185"/>
        <v>1000</v>
      </c>
      <c r="AM263" s="1537">
        <f t="shared" si="186"/>
        <v>1000</v>
      </c>
      <c r="AN263" s="1537">
        <f t="shared" si="187"/>
        <v>1000</v>
      </c>
      <c r="AO263" s="1537">
        <f t="shared" si="188"/>
        <v>1000</v>
      </c>
      <c r="AP263" s="1537">
        <f t="shared" si="189"/>
        <v>1000</v>
      </c>
      <c r="AQ263" s="1537">
        <f t="shared" si="190"/>
        <v>1000</v>
      </c>
      <c r="AR263" s="1537">
        <f t="shared" si="191"/>
        <v>1000</v>
      </c>
    </row>
    <row r="264" spans="3:44" x14ac:dyDescent="0.3">
      <c r="C264" s="1566" t="s">
        <v>3198</v>
      </c>
      <c r="D264" s="1563" t="s">
        <v>3434</v>
      </c>
      <c r="E264" s="1556">
        <v>5</v>
      </c>
      <c r="F264" s="1518">
        <f t="shared" si="161"/>
        <v>3</v>
      </c>
      <c r="G264" s="1532">
        <f t="shared" si="162"/>
        <v>0</v>
      </c>
      <c r="H264" s="1533">
        <f t="shared" si="163"/>
        <v>0</v>
      </c>
      <c r="I264" s="1534">
        <f t="shared" si="164"/>
        <v>0.2</v>
      </c>
      <c r="J264" s="1519">
        <v>120000</v>
      </c>
      <c r="K264" s="1519">
        <v>46000</v>
      </c>
      <c r="N264" s="1519">
        <f t="shared" si="165"/>
        <v>74000</v>
      </c>
      <c r="Q264" s="1557">
        <v>22000</v>
      </c>
      <c r="R264" s="1519">
        <f t="shared" si="166"/>
        <v>120000</v>
      </c>
      <c r="S264" s="1519">
        <f t="shared" si="167"/>
        <v>52000</v>
      </c>
      <c r="T264" s="1519">
        <f t="shared" si="168"/>
        <v>0</v>
      </c>
      <c r="U264" s="1535">
        <f t="shared" si="169"/>
        <v>2000</v>
      </c>
      <c r="V264" s="1537">
        <f t="shared" si="170"/>
        <v>24000</v>
      </c>
      <c r="W264" s="1519">
        <f t="shared" si="171"/>
        <v>24000</v>
      </c>
      <c r="X264" s="1537">
        <f t="shared" si="172"/>
        <v>24000</v>
      </c>
      <c r="Y264" s="1537">
        <f t="shared" si="173"/>
        <v>1000</v>
      </c>
      <c r="Z264" s="1537">
        <f t="shared" si="174"/>
        <v>0</v>
      </c>
      <c r="AA264" s="1537">
        <f t="shared" si="175"/>
        <v>0</v>
      </c>
      <c r="AB264" s="1537">
        <f t="shared" si="176"/>
        <v>0</v>
      </c>
      <c r="AC264" s="1537">
        <f t="shared" si="177"/>
        <v>0</v>
      </c>
      <c r="AD264" s="1537">
        <f t="shared" si="178"/>
        <v>0</v>
      </c>
      <c r="AE264" s="1537">
        <f t="shared" si="179"/>
        <v>0</v>
      </c>
      <c r="AF264" s="1536">
        <f t="shared" si="180"/>
        <v>0</v>
      </c>
      <c r="AG264" s="1555"/>
      <c r="AH264" s="1537">
        <f t="shared" si="181"/>
        <v>50000</v>
      </c>
      <c r="AI264" s="1537">
        <f t="shared" si="182"/>
        <v>26000</v>
      </c>
      <c r="AJ264" s="1537">
        <f t="shared" si="183"/>
        <v>2000</v>
      </c>
      <c r="AK264" s="1537">
        <f t="shared" si="184"/>
        <v>1000</v>
      </c>
      <c r="AL264" s="1537">
        <f t="shared" si="185"/>
        <v>1000</v>
      </c>
      <c r="AM264" s="1537">
        <f t="shared" si="186"/>
        <v>1000</v>
      </c>
      <c r="AN264" s="1537">
        <f t="shared" si="187"/>
        <v>1000</v>
      </c>
      <c r="AO264" s="1537">
        <f t="shared" si="188"/>
        <v>1000</v>
      </c>
      <c r="AP264" s="1537">
        <f t="shared" si="189"/>
        <v>1000</v>
      </c>
      <c r="AQ264" s="1537">
        <f t="shared" si="190"/>
        <v>1000</v>
      </c>
      <c r="AR264" s="1537">
        <f t="shared" si="191"/>
        <v>1000</v>
      </c>
    </row>
    <row r="265" spans="3:44" x14ac:dyDescent="0.3">
      <c r="C265" s="1566" t="s">
        <v>3199</v>
      </c>
      <c r="D265" s="1563" t="s">
        <v>3438</v>
      </c>
      <c r="E265" s="1556">
        <v>5</v>
      </c>
      <c r="F265" s="1518">
        <f t="shared" si="161"/>
        <v>3</v>
      </c>
      <c r="G265" s="1532">
        <f t="shared" si="162"/>
        <v>0</v>
      </c>
      <c r="H265" s="1533">
        <f t="shared" si="163"/>
        <v>0</v>
      </c>
      <c r="I265" s="1534">
        <f t="shared" si="164"/>
        <v>0.2</v>
      </c>
      <c r="J265" s="1519">
        <v>200000</v>
      </c>
      <c r="K265" s="1519">
        <v>76667</v>
      </c>
      <c r="N265" s="1519">
        <f t="shared" si="165"/>
        <v>123333</v>
      </c>
      <c r="Q265" s="1557">
        <v>36667</v>
      </c>
      <c r="R265" s="1519">
        <f t="shared" si="166"/>
        <v>200000</v>
      </c>
      <c r="S265" s="1519">
        <f t="shared" si="167"/>
        <v>86666</v>
      </c>
      <c r="T265" s="1519">
        <f t="shared" si="168"/>
        <v>0</v>
      </c>
      <c r="U265" s="1535">
        <f t="shared" si="169"/>
        <v>3333.333333333333</v>
      </c>
      <c r="V265" s="1537">
        <f t="shared" si="170"/>
        <v>40000.333333333336</v>
      </c>
      <c r="W265" s="1519">
        <f t="shared" si="171"/>
        <v>40000</v>
      </c>
      <c r="X265" s="1537">
        <f t="shared" si="172"/>
        <v>40000</v>
      </c>
      <c r="Y265" s="1537">
        <f t="shared" si="173"/>
        <v>2332.6666666666715</v>
      </c>
      <c r="Z265" s="1537">
        <f t="shared" si="174"/>
        <v>0</v>
      </c>
      <c r="AA265" s="1537">
        <f t="shared" si="175"/>
        <v>0</v>
      </c>
      <c r="AB265" s="1537">
        <f t="shared" si="176"/>
        <v>0</v>
      </c>
      <c r="AC265" s="1537">
        <f t="shared" si="177"/>
        <v>0</v>
      </c>
      <c r="AD265" s="1537">
        <f t="shared" si="178"/>
        <v>0</v>
      </c>
      <c r="AE265" s="1537">
        <f t="shared" si="179"/>
        <v>0</v>
      </c>
      <c r="AF265" s="1536">
        <f t="shared" si="180"/>
        <v>0</v>
      </c>
      <c r="AG265" s="1555"/>
      <c r="AH265" s="1537">
        <f t="shared" si="181"/>
        <v>83332.666666666672</v>
      </c>
      <c r="AI265" s="1537">
        <f t="shared" si="182"/>
        <v>43332.666666666672</v>
      </c>
      <c r="AJ265" s="1537">
        <f t="shared" si="183"/>
        <v>3332.6666666666715</v>
      </c>
      <c r="AK265" s="1537">
        <f t="shared" si="184"/>
        <v>1000</v>
      </c>
      <c r="AL265" s="1537">
        <f t="shared" si="185"/>
        <v>1000</v>
      </c>
      <c r="AM265" s="1537">
        <f t="shared" si="186"/>
        <v>1000</v>
      </c>
      <c r="AN265" s="1537">
        <f t="shared" si="187"/>
        <v>1000</v>
      </c>
      <c r="AO265" s="1537">
        <f t="shared" si="188"/>
        <v>1000</v>
      </c>
      <c r="AP265" s="1537">
        <f t="shared" si="189"/>
        <v>1000</v>
      </c>
      <c r="AQ265" s="1537">
        <f t="shared" si="190"/>
        <v>1000</v>
      </c>
      <c r="AR265" s="1537">
        <f t="shared" si="191"/>
        <v>1000</v>
      </c>
    </row>
    <row r="266" spans="3:44" x14ac:dyDescent="0.3">
      <c r="C266" s="1566" t="s">
        <v>3200</v>
      </c>
      <c r="D266" s="1563" t="s">
        <v>3439</v>
      </c>
      <c r="E266" s="1556">
        <v>5</v>
      </c>
      <c r="F266" s="1518">
        <f t="shared" si="161"/>
        <v>3</v>
      </c>
      <c r="G266" s="1532">
        <f t="shared" si="162"/>
        <v>0</v>
      </c>
      <c r="H266" s="1533">
        <f t="shared" si="163"/>
        <v>0</v>
      </c>
      <c r="I266" s="1534">
        <f t="shared" si="164"/>
        <v>0.2</v>
      </c>
      <c r="J266" s="1519">
        <v>330000</v>
      </c>
      <c r="K266" s="1519">
        <v>126500</v>
      </c>
      <c r="N266" s="1519">
        <f t="shared" si="165"/>
        <v>203500</v>
      </c>
      <c r="Q266" s="1557">
        <v>60500</v>
      </c>
      <c r="R266" s="1519">
        <f t="shared" si="166"/>
        <v>330000</v>
      </c>
      <c r="S266" s="1519">
        <f t="shared" si="167"/>
        <v>143000</v>
      </c>
      <c r="T266" s="1519">
        <f t="shared" si="168"/>
        <v>0</v>
      </c>
      <c r="U266" s="1535">
        <f t="shared" si="169"/>
        <v>5500</v>
      </c>
      <c r="V266" s="1537">
        <f t="shared" si="170"/>
        <v>66000</v>
      </c>
      <c r="W266" s="1519">
        <f t="shared" si="171"/>
        <v>66000</v>
      </c>
      <c r="X266" s="1537">
        <f t="shared" si="172"/>
        <v>66000</v>
      </c>
      <c r="Y266" s="1537">
        <f t="shared" si="173"/>
        <v>4500</v>
      </c>
      <c r="Z266" s="1537">
        <f t="shared" si="174"/>
        <v>0</v>
      </c>
      <c r="AA266" s="1537">
        <f t="shared" si="175"/>
        <v>0</v>
      </c>
      <c r="AB266" s="1537">
        <f t="shared" si="176"/>
        <v>0</v>
      </c>
      <c r="AC266" s="1537">
        <f t="shared" si="177"/>
        <v>0</v>
      </c>
      <c r="AD266" s="1537">
        <f t="shared" si="178"/>
        <v>0</v>
      </c>
      <c r="AE266" s="1537">
        <f t="shared" si="179"/>
        <v>0</v>
      </c>
      <c r="AF266" s="1536">
        <f t="shared" si="180"/>
        <v>0</v>
      </c>
      <c r="AG266" s="1555"/>
      <c r="AH266" s="1537">
        <f t="shared" si="181"/>
        <v>137500</v>
      </c>
      <c r="AI266" s="1537">
        <f t="shared" si="182"/>
        <v>71500</v>
      </c>
      <c r="AJ266" s="1537">
        <f t="shared" si="183"/>
        <v>5500</v>
      </c>
      <c r="AK266" s="1537">
        <f t="shared" si="184"/>
        <v>1000</v>
      </c>
      <c r="AL266" s="1537">
        <f t="shared" si="185"/>
        <v>1000</v>
      </c>
      <c r="AM266" s="1537">
        <f t="shared" si="186"/>
        <v>1000</v>
      </c>
      <c r="AN266" s="1537">
        <f t="shared" si="187"/>
        <v>1000</v>
      </c>
      <c r="AO266" s="1537">
        <f t="shared" si="188"/>
        <v>1000</v>
      </c>
      <c r="AP266" s="1537">
        <f t="shared" si="189"/>
        <v>1000</v>
      </c>
      <c r="AQ266" s="1537">
        <f t="shared" si="190"/>
        <v>1000</v>
      </c>
      <c r="AR266" s="1537">
        <f t="shared" si="191"/>
        <v>1000</v>
      </c>
    </row>
    <row r="267" spans="3:44" x14ac:dyDescent="0.3">
      <c r="C267" s="1566" t="s">
        <v>3196</v>
      </c>
      <c r="D267" s="1563" t="s">
        <v>3440</v>
      </c>
      <c r="E267" s="1556">
        <v>5</v>
      </c>
      <c r="F267" s="1518">
        <f t="shared" si="161"/>
        <v>3</v>
      </c>
      <c r="G267" s="1532">
        <f t="shared" si="162"/>
        <v>0</v>
      </c>
      <c r="H267" s="1533">
        <f t="shared" si="163"/>
        <v>0</v>
      </c>
      <c r="I267" s="1534">
        <f t="shared" si="164"/>
        <v>0.2</v>
      </c>
      <c r="J267" s="1519">
        <v>2450000</v>
      </c>
      <c r="K267" s="1519">
        <v>939167</v>
      </c>
      <c r="N267" s="1519">
        <f t="shared" si="165"/>
        <v>1510833</v>
      </c>
      <c r="Q267" s="1557">
        <v>449167</v>
      </c>
      <c r="R267" s="1519">
        <f t="shared" si="166"/>
        <v>2450000</v>
      </c>
      <c r="S267" s="1519">
        <f t="shared" si="167"/>
        <v>1061666</v>
      </c>
      <c r="T267" s="1519">
        <f t="shared" si="168"/>
        <v>0</v>
      </c>
      <c r="U267" s="1535">
        <f t="shared" si="169"/>
        <v>40833.333333333336</v>
      </c>
      <c r="V267" s="1537">
        <f t="shared" si="170"/>
        <v>490000.33333333331</v>
      </c>
      <c r="W267" s="1519">
        <f t="shared" si="171"/>
        <v>490000</v>
      </c>
      <c r="X267" s="1537">
        <f t="shared" si="172"/>
        <v>490000</v>
      </c>
      <c r="Y267" s="1537">
        <f t="shared" si="173"/>
        <v>39832.666666666628</v>
      </c>
      <c r="Z267" s="1537">
        <f t="shared" si="174"/>
        <v>0</v>
      </c>
      <c r="AA267" s="1537">
        <f t="shared" si="175"/>
        <v>0</v>
      </c>
      <c r="AB267" s="1537">
        <f t="shared" si="176"/>
        <v>0</v>
      </c>
      <c r="AC267" s="1537">
        <f t="shared" si="177"/>
        <v>0</v>
      </c>
      <c r="AD267" s="1537">
        <f t="shared" si="178"/>
        <v>0</v>
      </c>
      <c r="AE267" s="1537">
        <f t="shared" si="179"/>
        <v>0</v>
      </c>
      <c r="AF267" s="1536">
        <f t="shared" si="180"/>
        <v>0</v>
      </c>
      <c r="AG267" s="1555"/>
      <c r="AH267" s="1537">
        <f t="shared" si="181"/>
        <v>1020832.6666666666</v>
      </c>
      <c r="AI267" s="1537">
        <f t="shared" si="182"/>
        <v>530832.66666666663</v>
      </c>
      <c r="AJ267" s="1537">
        <f t="shared" si="183"/>
        <v>40832.666666666628</v>
      </c>
      <c r="AK267" s="1537">
        <f t="shared" si="184"/>
        <v>1000</v>
      </c>
      <c r="AL267" s="1537">
        <f t="shared" si="185"/>
        <v>1000</v>
      </c>
      <c r="AM267" s="1537">
        <f t="shared" si="186"/>
        <v>1000</v>
      </c>
      <c r="AN267" s="1537">
        <f t="shared" si="187"/>
        <v>1000</v>
      </c>
      <c r="AO267" s="1537">
        <f t="shared" si="188"/>
        <v>1000</v>
      </c>
      <c r="AP267" s="1537">
        <f t="shared" si="189"/>
        <v>1000</v>
      </c>
      <c r="AQ267" s="1537">
        <f t="shared" si="190"/>
        <v>1000</v>
      </c>
      <c r="AR267" s="1537">
        <f t="shared" si="191"/>
        <v>1000</v>
      </c>
    </row>
    <row r="268" spans="3:44" x14ac:dyDescent="0.3">
      <c r="C268" s="1566" t="s">
        <v>3201</v>
      </c>
      <c r="D268" s="1563" t="s">
        <v>3441</v>
      </c>
      <c r="E268" s="1556">
        <v>5</v>
      </c>
      <c r="F268" s="1518">
        <f t="shared" si="161"/>
        <v>3</v>
      </c>
      <c r="G268" s="1532">
        <f t="shared" si="162"/>
        <v>0</v>
      </c>
      <c r="H268" s="1533">
        <f t="shared" si="163"/>
        <v>0</v>
      </c>
      <c r="I268" s="1534">
        <f t="shared" si="164"/>
        <v>0.2</v>
      </c>
      <c r="J268" s="1519">
        <v>850000</v>
      </c>
      <c r="K268" s="1519">
        <v>325833</v>
      </c>
      <c r="N268" s="1519">
        <f t="shared" si="165"/>
        <v>524167</v>
      </c>
      <c r="Q268" s="1557">
        <v>155833</v>
      </c>
      <c r="R268" s="1519">
        <f t="shared" si="166"/>
        <v>850000</v>
      </c>
      <c r="S268" s="1519">
        <f t="shared" si="167"/>
        <v>368334</v>
      </c>
      <c r="T268" s="1519">
        <f t="shared" si="168"/>
        <v>0</v>
      </c>
      <c r="U268" s="1535">
        <f t="shared" si="169"/>
        <v>14166.666666666666</v>
      </c>
      <c r="V268" s="1537">
        <f t="shared" si="170"/>
        <v>169999.66666666666</v>
      </c>
      <c r="W268" s="1519">
        <f t="shared" si="171"/>
        <v>170000</v>
      </c>
      <c r="X268" s="1537">
        <f t="shared" si="172"/>
        <v>170000</v>
      </c>
      <c r="Y268" s="1537">
        <f t="shared" si="173"/>
        <v>13167.333333333314</v>
      </c>
      <c r="Z268" s="1537">
        <f t="shared" si="174"/>
        <v>0</v>
      </c>
      <c r="AA268" s="1537">
        <f t="shared" si="175"/>
        <v>0</v>
      </c>
      <c r="AB268" s="1537">
        <f t="shared" si="176"/>
        <v>0</v>
      </c>
      <c r="AC268" s="1537">
        <f t="shared" si="177"/>
        <v>0</v>
      </c>
      <c r="AD268" s="1537">
        <f t="shared" si="178"/>
        <v>0</v>
      </c>
      <c r="AE268" s="1537">
        <f t="shared" si="179"/>
        <v>0</v>
      </c>
      <c r="AF268" s="1536">
        <f t="shared" si="180"/>
        <v>0</v>
      </c>
      <c r="AG268" s="1555"/>
      <c r="AH268" s="1537">
        <f t="shared" si="181"/>
        <v>354167.33333333331</v>
      </c>
      <c r="AI268" s="1537">
        <f t="shared" si="182"/>
        <v>184167.33333333331</v>
      </c>
      <c r="AJ268" s="1537">
        <f t="shared" si="183"/>
        <v>14167.333333333314</v>
      </c>
      <c r="AK268" s="1537">
        <f t="shared" si="184"/>
        <v>1000</v>
      </c>
      <c r="AL268" s="1537">
        <f t="shared" si="185"/>
        <v>1000</v>
      </c>
      <c r="AM268" s="1537">
        <f t="shared" si="186"/>
        <v>1000</v>
      </c>
      <c r="AN268" s="1537">
        <f t="shared" si="187"/>
        <v>1000</v>
      </c>
      <c r="AO268" s="1537">
        <f t="shared" si="188"/>
        <v>1000</v>
      </c>
      <c r="AP268" s="1537">
        <f t="shared" si="189"/>
        <v>1000</v>
      </c>
      <c r="AQ268" s="1537">
        <f t="shared" si="190"/>
        <v>1000</v>
      </c>
      <c r="AR268" s="1537">
        <f t="shared" si="191"/>
        <v>1000</v>
      </c>
    </row>
    <row r="269" spans="3:44" x14ac:dyDescent="0.3">
      <c r="C269" s="1566" t="s">
        <v>3201</v>
      </c>
      <c r="D269" s="1563" t="s">
        <v>3441</v>
      </c>
      <c r="E269" s="1556">
        <v>5</v>
      </c>
      <c r="F269" s="1518">
        <f t="shared" si="161"/>
        <v>3</v>
      </c>
      <c r="G269" s="1532">
        <f t="shared" si="162"/>
        <v>0</v>
      </c>
      <c r="H269" s="1533">
        <f t="shared" si="163"/>
        <v>0</v>
      </c>
      <c r="I269" s="1534">
        <f t="shared" si="164"/>
        <v>0.2</v>
      </c>
      <c r="J269" s="1519">
        <v>1700000</v>
      </c>
      <c r="K269" s="1519">
        <v>651667</v>
      </c>
      <c r="N269" s="1519">
        <f t="shared" si="165"/>
        <v>1048333</v>
      </c>
      <c r="Q269" s="1557">
        <v>311667</v>
      </c>
      <c r="R269" s="1519">
        <f t="shared" si="166"/>
        <v>1700000</v>
      </c>
      <c r="S269" s="1519">
        <f t="shared" si="167"/>
        <v>736666</v>
      </c>
      <c r="T269" s="1519">
        <f t="shared" si="168"/>
        <v>0</v>
      </c>
      <c r="U269" s="1535">
        <f t="shared" si="169"/>
        <v>28333.333333333332</v>
      </c>
      <c r="V269" s="1537">
        <f t="shared" si="170"/>
        <v>340000.33333333331</v>
      </c>
      <c r="W269" s="1519">
        <f t="shared" si="171"/>
        <v>340000</v>
      </c>
      <c r="X269" s="1537">
        <f t="shared" si="172"/>
        <v>340000</v>
      </c>
      <c r="Y269" s="1537">
        <f t="shared" si="173"/>
        <v>27332.666666666628</v>
      </c>
      <c r="Z269" s="1537">
        <f t="shared" si="174"/>
        <v>0</v>
      </c>
      <c r="AA269" s="1537">
        <f t="shared" si="175"/>
        <v>0</v>
      </c>
      <c r="AB269" s="1537">
        <f t="shared" si="176"/>
        <v>0</v>
      </c>
      <c r="AC269" s="1537">
        <f t="shared" si="177"/>
        <v>0</v>
      </c>
      <c r="AD269" s="1537">
        <f t="shared" si="178"/>
        <v>0</v>
      </c>
      <c r="AE269" s="1537">
        <f t="shared" si="179"/>
        <v>0</v>
      </c>
      <c r="AF269" s="1536">
        <f t="shared" si="180"/>
        <v>0</v>
      </c>
      <c r="AG269" s="1555"/>
      <c r="AH269" s="1537">
        <f t="shared" si="181"/>
        <v>708332.66666666663</v>
      </c>
      <c r="AI269" s="1537">
        <f t="shared" si="182"/>
        <v>368332.66666666663</v>
      </c>
      <c r="AJ269" s="1537">
        <f t="shared" si="183"/>
        <v>28332.666666666628</v>
      </c>
      <c r="AK269" s="1537">
        <f t="shared" si="184"/>
        <v>1000</v>
      </c>
      <c r="AL269" s="1537">
        <f t="shared" si="185"/>
        <v>1000</v>
      </c>
      <c r="AM269" s="1537">
        <f t="shared" si="186"/>
        <v>1000</v>
      </c>
      <c r="AN269" s="1537">
        <f t="shared" si="187"/>
        <v>1000</v>
      </c>
      <c r="AO269" s="1537">
        <f t="shared" si="188"/>
        <v>1000</v>
      </c>
      <c r="AP269" s="1537">
        <f t="shared" si="189"/>
        <v>1000</v>
      </c>
      <c r="AQ269" s="1537">
        <f t="shared" si="190"/>
        <v>1000</v>
      </c>
      <c r="AR269" s="1537">
        <f t="shared" si="191"/>
        <v>1000</v>
      </c>
    </row>
    <row r="270" spans="3:44" x14ac:dyDescent="0.3">
      <c r="C270" s="1566" t="s">
        <v>3202</v>
      </c>
      <c r="D270" s="1563" t="s">
        <v>3442</v>
      </c>
      <c r="E270" s="1556">
        <v>5</v>
      </c>
      <c r="F270" s="1518">
        <f t="shared" si="161"/>
        <v>3</v>
      </c>
      <c r="G270" s="1532">
        <f t="shared" si="162"/>
        <v>0</v>
      </c>
      <c r="H270" s="1533">
        <f t="shared" si="163"/>
        <v>0</v>
      </c>
      <c r="I270" s="1534">
        <f t="shared" si="164"/>
        <v>0.2</v>
      </c>
      <c r="J270" s="1519">
        <v>1630000</v>
      </c>
      <c r="K270" s="1519">
        <v>624833</v>
      </c>
      <c r="N270" s="1519">
        <f t="shared" si="165"/>
        <v>1005167</v>
      </c>
      <c r="Q270" s="1557">
        <v>298833</v>
      </c>
      <c r="R270" s="1519">
        <f t="shared" si="166"/>
        <v>1630000</v>
      </c>
      <c r="S270" s="1519">
        <f t="shared" si="167"/>
        <v>706334</v>
      </c>
      <c r="T270" s="1519">
        <f t="shared" si="168"/>
        <v>0</v>
      </c>
      <c r="U270" s="1535">
        <f t="shared" si="169"/>
        <v>27166.666666666664</v>
      </c>
      <c r="V270" s="1537">
        <f t="shared" si="170"/>
        <v>325999.66666666669</v>
      </c>
      <c r="W270" s="1519">
        <f t="shared" si="171"/>
        <v>326000</v>
      </c>
      <c r="X270" s="1537">
        <f t="shared" si="172"/>
        <v>326000</v>
      </c>
      <c r="Y270" s="1537">
        <f t="shared" si="173"/>
        <v>26167.333333333372</v>
      </c>
      <c r="Z270" s="1537">
        <f t="shared" si="174"/>
        <v>0</v>
      </c>
      <c r="AA270" s="1537">
        <f t="shared" si="175"/>
        <v>0</v>
      </c>
      <c r="AB270" s="1537">
        <f t="shared" si="176"/>
        <v>0</v>
      </c>
      <c r="AC270" s="1537">
        <f t="shared" si="177"/>
        <v>0</v>
      </c>
      <c r="AD270" s="1537">
        <f t="shared" si="178"/>
        <v>0</v>
      </c>
      <c r="AE270" s="1537">
        <f t="shared" si="179"/>
        <v>0</v>
      </c>
      <c r="AF270" s="1536">
        <f t="shared" si="180"/>
        <v>0</v>
      </c>
      <c r="AG270" s="1555"/>
      <c r="AH270" s="1537">
        <f t="shared" si="181"/>
        <v>679167.33333333337</v>
      </c>
      <c r="AI270" s="1537">
        <f t="shared" si="182"/>
        <v>353167.33333333337</v>
      </c>
      <c r="AJ270" s="1537">
        <f t="shared" si="183"/>
        <v>27167.333333333372</v>
      </c>
      <c r="AK270" s="1537">
        <f t="shared" si="184"/>
        <v>1000</v>
      </c>
      <c r="AL270" s="1537">
        <f t="shared" si="185"/>
        <v>1000</v>
      </c>
      <c r="AM270" s="1537">
        <f t="shared" si="186"/>
        <v>1000</v>
      </c>
      <c r="AN270" s="1537">
        <f t="shared" si="187"/>
        <v>1000</v>
      </c>
      <c r="AO270" s="1537">
        <f t="shared" si="188"/>
        <v>1000</v>
      </c>
      <c r="AP270" s="1537">
        <f t="shared" si="189"/>
        <v>1000</v>
      </c>
      <c r="AQ270" s="1537">
        <f t="shared" si="190"/>
        <v>1000</v>
      </c>
      <c r="AR270" s="1537">
        <f t="shared" si="191"/>
        <v>1000</v>
      </c>
    </row>
    <row r="271" spans="3:44" x14ac:dyDescent="0.3">
      <c r="C271" s="1566" t="s">
        <v>3203</v>
      </c>
      <c r="D271" s="1563" t="s">
        <v>3443</v>
      </c>
      <c r="E271" s="1556">
        <v>5</v>
      </c>
      <c r="F271" s="1518">
        <f t="shared" si="161"/>
        <v>3</v>
      </c>
      <c r="G271" s="1532">
        <f t="shared" si="162"/>
        <v>0</v>
      </c>
      <c r="H271" s="1533">
        <f t="shared" si="163"/>
        <v>0</v>
      </c>
      <c r="I271" s="1534">
        <f t="shared" si="164"/>
        <v>0.2</v>
      </c>
      <c r="J271" s="1519">
        <v>815000</v>
      </c>
      <c r="K271" s="1519">
        <v>312417</v>
      </c>
      <c r="N271" s="1519">
        <f t="shared" si="165"/>
        <v>502583</v>
      </c>
      <c r="Q271" s="1557">
        <v>149417</v>
      </c>
      <c r="R271" s="1519">
        <f t="shared" si="166"/>
        <v>815000</v>
      </c>
      <c r="S271" s="1519">
        <f t="shared" si="167"/>
        <v>353166</v>
      </c>
      <c r="T271" s="1519">
        <f t="shared" si="168"/>
        <v>0</v>
      </c>
      <c r="U271" s="1535">
        <f t="shared" si="169"/>
        <v>13583.333333333332</v>
      </c>
      <c r="V271" s="1537">
        <f t="shared" si="170"/>
        <v>163000.33333333334</v>
      </c>
      <c r="W271" s="1519">
        <f t="shared" si="171"/>
        <v>163000</v>
      </c>
      <c r="X271" s="1537">
        <f t="shared" si="172"/>
        <v>163000</v>
      </c>
      <c r="Y271" s="1537">
        <f t="shared" si="173"/>
        <v>12582.666666666686</v>
      </c>
      <c r="Z271" s="1537">
        <f t="shared" si="174"/>
        <v>0</v>
      </c>
      <c r="AA271" s="1537">
        <f t="shared" si="175"/>
        <v>0</v>
      </c>
      <c r="AB271" s="1537">
        <f t="shared" si="176"/>
        <v>0</v>
      </c>
      <c r="AC271" s="1537">
        <f t="shared" si="177"/>
        <v>0</v>
      </c>
      <c r="AD271" s="1537">
        <f t="shared" si="178"/>
        <v>0</v>
      </c>
      <c r="AE271" s="1537">
        <f t="shared" si="179"/>
        <v>0</v>
      </c>
      <c r="AF271" s="1536">
        <f t="shared" si="180"/>
        <v>0</v>
      </c>
      <c r="AG271" s="1555"/>
      <c r="AH271" s="1537">
        <f t="shared" si="181"/>
        <v>339582.66666666669</v>
      </c>
      <c r="AI271" s="1537">
        <f t="shared" si="182"/>
        <v>176582.66666666669</v>
      </c>
      <c r="AJ271" s="1537">
        <f t="shared" si="183"/>
        <v>13582.666666666686</v>
      </c>
      <c r="AK271" s="1537">
        <f t="shared" si="184"/>
        <v>1000</v>
      </c>
      <c r="AL271" s="1537">
        <f t="shared" si="185"/>
        <v>1000</v>
      </c>
      <c r="AM271" s="1537">
        <f t="shared" si="186"/>
        <v>1000</v>
      </c>
      <c r="AN271" s="1537">
        <f t="shared" si="187"/>
        <v>1000</v>
      </c>
      <c r="AO271" s="1537">
        <f t="shared" si="188"/>
        <v>1000</v>
      </c>
      <c r="AP271" s="1537">
        <f t="shared" si="189"/>
        <v>1000</v>
      </c>
      <c r="AQ271" s="1537">
        <f t="shared" si="190"/>
        <v>1000</v>
      </c>
      <c r="AR271" s="1537">
        <f t="shared" si="191"/>
        <v>1000</v>
      </c>
    </row>
    <row r="272" spans="3:44" x14ac:dyDescent="0.3">
      <c r="C272" s="1566" t="s">
        <v>3193</v>
      </c>
      <c r="D272" s="1563" t="s">
        <v>3444</v>
      </c>
      <c r="E272" s="1556">
        <v>5</v>
      </c>
      <c r="F272" s="1518">
        <f t="shared" si="161"/>
        <v>3</v>
      </c>
      <c r="G272" s="1532">
        <f t="shared" si="162"/>
        <v>0</v>
      </c>
      <c r="H272" s="1533">
        <f t="shared" si="163"/>
        <v>0</v>
      </c>
      <c r="I272" s="1534">
        <f t="shared" si="164"/>
        <v>0.2</v>
      </c>
      <c r="J272" s="1519">
        <v>2110000</v>
      </c>
      <c r="K272" s="1519">
        <v>773667</v>
      </c>
      <c r="N272" s="1519">
        <f t="shared" si="165"/>
        <v>1336333</v>
      </c>
      <c r="Q272" s="1557">
        <v>386833</v>
      </c>
      <c r="R272" s="1519">
        <f t="shared" si="166"/>
        <v>2110000</v>
      </c>
      <c r="S272" s="1519">
        <f t="shared" si="167"/>
        <v>949500</v>
      </c>
      <c r="T272" s="1519">
        <f t="shared" si="168"/>
        <v>0</v>
      </c>
      <c r="U272" s="1535">
        <f t="shared" si="169"/>
        <v>35166.666666666664</v>
      </c>
      <c r="V272" s="1537">
        <f t="shared" si="170"/>
        <v>421999.66666666669</v>
      </c>
      <c r="W272" s="1519">
        <f t="shared" si="171"/>
        <v>422000</v>
      </c>
      <c r="X272" s="1537">
        <f t="shared" si="172"/>
        <v>422000</v>
      </c>
      <c r="Y272" s="1537">
        <f t="shared" si="173"/>
        <v>69333.333333333372</v>
      </c>
      <c r="Z272" s="1537">
        <f t="shared" si="174"/>
        <v>0</v>
      </c>
      <c r="AA272" s="1537">
        <f t="shared" si="175"/>
        <v>0</v>
      </c>
      <c r="AB272" s="1537">
        <f t="shared" si="176"/>
        <v>0</v>
      </c>
      <c r="AC272" s="1537">
        <f t="shared" si="177"/>
        <v>0</v>
      </c>
      <c r="AD272" s="1537">
        <f t="shared" si="178"/>
        <v>0</v>
      </c>
      <c r="AE272" s="1537">
        <f t="shared" si="179"/>
        <v>0</v>
      </c>
      <c r="AF272" s="1536">
        <f t="shared" si="180"/>
        <v>0</v>
      </c>
      <c r="AG272" s="1555"/>
      <c r="AH272" s="1537">
        <f t="shared" si="181"/>
        <v>914333.33333333337</v>
      </c>
      <c r="AI272" s="1537">
        <f t="shared" si="182"/>
        <v>492333.33333333337</v>
      </c>
      <c r="AJ272" s="1537">
        <f t="shared" si="183"/>
        <v>70333.333333333372</v>
      </c>
      <c r="AK272" s="1537">
        <f t="shared" si="184"/>
        <v>1000</v>
      </c>
      <c r="AL272" s="1537">
        <f t="shared" si="185"/>
        <v>1000</v>
      </c>
      <c r="AM272" s="1537">
        <f t="shared" si="186"/>
        <v>1000</v>
      </c>
      <c r="AN272" s="1537">
        <f t="shared" si="187"/>
        <v>1000</v>
      </c>
      <c r="AO272" s="1537">
        <f t="shared" si="188"/>
        <v>1000</v>
      </c>
      <c r="AP272" s="1537">
        <f t="shared" si="189"/>
        <v>1000</v>
      </c>
      <c r="AQ272" s="1537">
        <f t="shared" si="190"/>
        <v>1000</v>
      </c>
      <c r="AR272" s="1537">
        <f t="shared" si="191"/>
        <v>1000</v>
      </c>
    </row>
    <row r="273" spans="3:44" x14ac:dyDescent="0.3">
      <c r="C273" s="1566" t="s">
        <v>3193</v>
      </c>
      <c r="D273" s="1563" t="s">
        <v>3445</v>
      </c>
      <c r="E273" s="1556">
        <v>5</v>
      </c>
      <c r="F273" s="1518">
        <f t="shared" si="161"/>
        <v>3</v>
      </c>
      <c r="G273" s="1532">
        <f t="shared" si="162"/>
        <v>0</v>
      </c>
      <c r="H273" s="1533">
        <f t="shared" si="163"/>
        <v>0</v>
      </c>
      <c r="I273" s="1534">
        <f t="shared" si="164"/>
        <v>0.2</v>
      </c>
      <c r="J273" s="1519">
        <v>1070000</v>
      </c>
      <c r="K273" s="1519">
        <v>392333</v>
      </c>
      <c r="N273" s="1519">
        <f t="shared" si="165"/>
        <v>677667</v>
      </c>
      <c r="Q273" s="1557">
        <v>196167</v>
      </c>
      <c r="R273" s="1519">
        <f t="shared" si="166"/>
        <v>1070000</v>
      </c>
      <c r="S273" s="1519">
        <f t="shared" si="167"/>
        <v>481500</v>
      </c>
      <c r="T273" s="1519">
        <f t="shared" si="168"/>
        <v>0</v>
      </c>
      <c r="U273" s="1535">
        <f t="shared" si="169"/>
        <v>17833.333333333332</v>
      </c>
      <c r="V273" s="1537">
        <f t="shared" si="170"/>
        <v>214000.33333333334</v>
      </c>
      <c r="W273" s="1519">
        <f t="shared" si="171"/>
        <v>214000</v>
      </c>
      <c r="X273" s="1537">
        <f t="shared" si="172"/>
        <v>214000</v>
      </c>
      <c r="Y273" s="1537">
        <f t="shared" si="173"/>
        <v>34666.666666666686</v>
      </c>
      <c r="Z273" s="1537">
        <f t="shared" si="174"/>
        <v>0</v>
      </c>
      <c r="AA273" s="1537">
        <f t="shared" si="175"/>
        <v>0</v>
      </c>
      <c r="AB273" s="1537">
        <f t="shared" si="176"/>
        <v>0</v>
      </c>
      <c r="AC273" s="1537">
        <f t="shared" si="177"/>
        <v>0</v>
      </c>
      <c r="AD273" s="1537">
        <f t="shared" si="178"/>
        <v>0</v>
      </c>
      <c r="AE273" s="1537">
        <f t="shared" si="179"/>
        <v>0</v>
      </c>
      <c r="AF273" s="1536">
        <f t="shared" si="180"/>
        <v>0</v>
      </c>
      <c r="AG273" s="1555"/>
      <c r="AH273" s="1537">
        <f t="shared" si="181"/>
        <v>463666.66666666669</v>
      </c>
      <c r="AI273" s="1537">
        <f t="shared" si="182"/>
        <v>249666.66666666669</v>
      </c>
      <c r="AJ273" s="1537">
        <f t="shared" si="183"/>
        <v>35666.666666666686</v>
      </c>
      <c r="AK273" s="1537">
        <f t="shared" si="184"/>
        <v>1000</v>
      </c>
      <c r="AL273" s="1537">
        <f t="shared" si="185"/>
        <v>1000</v>
      </c>
      <c r="AM273" s="1537">
        <f t="shared" si="186"/>
        <v>1000</v>
      </c>
      <c r="AN273" s="1537">
        <f t="shared" si="187"/>
        <v>1000</v>
      </c>
      <c r="AO273" s="1537">
        <f t="shared" si="188"/>
        <v>1000</v>
      </c>
      <c r="AP273" s="1537">
        <f t="shared" si="189"/>
        <v>1000</v>
      </c>
      <c r="AQ273" s="1537">
        <f t="shared" si="190"/>
        <v>1000</v>
      </c>
      <c r="AR273" s="1537">
        <f t="shared" si="191"/>
        <v>1000</v>
      </c>
    </row>
    <row r="274" spans="3:44" x14ac:dyDescent="0.3">
      <c r="C274" s="1566" t="s">
        <v>3145</v>
      </c>
      <c r="D274" s="1563" t="s">
        <v>3444</v>
      </c>
      <c r="E274" s="1556">
        <v>5</v>
      </c>
      <c r="F274" s="1518">
        <f t="shared" si="161"/>
        <v>3</v>
      </c>
      <c r="G274" s="1532">
        <f t="shared" si="162"/>
        <v>0</v>
      </c>
      <c r="H274" s="1533">
        <f t="shared" si="163"/>
        <v>0</v>
      </c>
      <c r="I274" s="1534">
        <f t="shared" si="164"/>
        <v>0.2</v>
      </c>
      <c r="J274" s="1519">
        <v>8550000</v>
      </c>
      <c r="K274" s="1519">
        <v>3135000</v>
      </c>
      <c r="N274" s="1519">
        <f t="shared" si="165"/>
        <v>5415000</v>
      </c>
      <c r="Q274" s="1557">
        <v>1567500</v>
      </c>
      <c r="R274" s="1519">
        <f t="shared" si="166"/>
        <v>8550000</v>
      </c>
      <c r="S274" s="1519">
        <f t="shared" si="167"/>
        <v>3847500</v>
      </c>
      <c r="T274" s="1519">
        <f t="shared" si="168"/>
        <v>0</v>
      </c>
      <c r="U274" s="1535">
        <f t="shared" si="169"/>
        <v>142500</v>
      </c>
      <c r="V274" s="1537">
        <f t="shared" si="170"/>
        <v>1710000</v>
      </c>
      <c r="W274" s="1519">
        <f t="shared" si="171"/>
        <v>1710000</v>
      </c>
      <c r="X274" s="1537">
        <f t="shared" si="172"/>
        <v>1710000</v>
      </c>
      <c r="Y274" s="1537">
        <f t="shared" si="173"/>
        <v>284000</v>
      </c>
      <c r="Z274" s="1537">
        <f t="shared" si="174"/>
        <v>0</v>
      </c>
      <c r="AA274" s="1537">
        <f t="shared" si="175"/>
        <v>0</v>
      </c>
      <c r="AB274" s="1537">
        <f t="shared" si="176"/>
        <v>0</v>
      </c>
      <c r="AC274" s="1537">
        <f t="shared" si="177"/>
        <v>0</v>
      </c>
      <c r="AD274" s="1537">
        <f t="shared" si="178"/>
        <v>0</v>
      </c>
      <c r="AE274" s="1537">
        <f t="shared" si="179"/>
        <v>0</v>
      </c>
      <c r="AF274" s="1536">
        <f t="shared" si="180"/>
        <v>0</v>
      </c>
      <c r="AG274" s="1555"/>
      <c r="AH274" s="1537">
        <f t="shared" si="181"/>
        <v>3705000</v>
      </c>
      <c r="AI274" s="1537">
        <f t="shared" si="182"/>
        <v>1995000</v>
      </c>
      <c r="AJ274" s="1537">
        <f t="shared" si="183"/>
        <v>285000</v>
      </c>
      <c r="AK274" s="1537">
        <f t="shared" si="184"/>
        <v>1000</v>
      </c>
      <c r="AL274" s="1537">
        <f t="shared" si="185"/>
        <v>1000</v>
      </c>
      <c r="AM274" s="1537">
        <f t="shared" si="186"/>
        <v>1000</v>
      </c>
      <c r="AN274" s="1537">
        <f t="shared" si="187"/>
        <v>1000</v>
      </c>
      <c r="AO274" s="1537">
        <f t="shared" si="188"/>
        <v>1000</v>
      </c>
      <c r="AP274" s="1537">
        <f t="shared" si="189"/>
        <v>1000</v>
      </c>
      <c r="AQ274" s="1537">
        <f t="shared" si="190"/>
        <v>1000</v>
      </c>
      <c r="AR274" s="1537">
        <f t="shared" si="191"/>
        <v>1000</v>
      </c>
    </row>
    <row r="275" spans="3:44" x14ac:dyDescent="0.3">
      <c r="C275" s="1566" t="s">
        <v>3145</v>
      </c>
      <c r="D275" s="1563" t="s">
        <v>3446</v>
      </c>
      <c r="E275" s="1556">
        <v>5</v>
      </c>
      <c r="F275" s="1518">
        <f t="shared" si="161"/>
        <v>3</v>
      </c>
      <c r="G275" s="1532">
        <f t="shared" si="162"/>
        <v>0</v>
      </c>
      <c r="H275" s="1533">
        <f t="shared" si="163"/>
        <v>0</v>
      </c>
      <c r="I275" s="1534">
        <f t="shared" si="164"/>
        <v>0.2</v>
      </c>
      <c r="J275" s="1519">
        <v>14000000</v>
      </c>
      <c r="K275" s="1519">
        <v>5133333</v>
      </c>
      <c r="N275" s="1519">
        <f t="shared" si="165"/>
        <v>8866667</v>
      </c>
      <c r="Q275" s="1557">
        <v>2566667</v>
      </c>
      <c r="R275" s="1519">
        <f t="shared" si="166"/>
        <v>14000000</v>
      </c>
      <c r="S275" s="1519">
        <f t="shared" si="167"/>
        <v>6300000</v>
      </c>
      <c r="T275" s="1519">
        <f t="shared" si="168"/>
        <v>0</v>
      </c>
      <c r="U275" s="1535">
        <f t="shared" si="169"/>
        <v>233333.33333333331</v>
      </c>
      <c r="V275" s="1537">
        <f t="shared" si="170"/>
        <v>2800000.3333333335</v>
      </c>
      <c r="W275" s="1519">
        <f t="shared" si="171"/>
        <v>2800000</v>
      </c>
      <c r="X275" s="1537">
        <f t="shared" si="172"/>
        <v>2800000</v>
      </c>
      <c r="Y275" s="1537">
        <f t="shared" si="173"/>
        <v>465666.66666666698</v>
      </c>
      <c r="Z275" s="1537">
        <f t="shared" si="174"/>
        <v>0</v>
      </c>
      <c r="AA275" s="1537">
        <f t="shared" si="175"/>
        <v>0</v>
      </c>
      <c r="AB275" s="1537">
        <f t="shared" si="176"/>
        <v>0</v>
      </c>
      <c r="AC275" s="1537">
        <f t="shared" si="177"/>
        <v>0</v>
      </c>
      <c r="AD275" s="1537">
        <f t="shared" si="178"/>
        <v>0</v>
      </c>
      <c r="AE275" s="1537">
        <f t="shared" si="179"/>
        <v>0</v>
      </c>
      <c r="AF275" s="1536">
        <f t="shared" si="180"/>
        <v>0</v>
      </c>
      <c r="AG275" s="1555"/>
      <c r="AH275" s="1537">
        <f t="shared" si="181"/>
        <v>6066666.666666667</v>
      </c>
      <c r="AI275" s="1537">
        <f t="shared" si="182"/>
        <v>3266666.666666667</v>
      </c>
      <c r="AJ275" s="1537">
        <f t="shared" si="183"/>
        <v>466666.66666666698</v>
      </c>
      <c r="AK275" s="1537">
        <f t="shared" si="184"/>
        <v>1000</v>
      </c>
      <c r="AL275" s="1537">
        <f t="shared" si="185"/>
        <v>1000</v>
      </c>
      <c r="AM275" s="1537">
        <f t="shared" si="186"/>
        <v>1000</v>
      </c>
      <c r="AN275" s="1537">
        <f t="shared" si="187"/>
        <v>1000</v>
      </c>
      <c r="AO275" s="1537">
        <f t="shared" si="188"/>
        <v>1000</v>
      </c>
      <c r="AP275" s="1537">
        <f t="shared" si="189"/>
        <v>1000</v>
      </c>
      <c r="AQ275" s="1537">
        <f t="shared" si="190"/>
        <v>1000</v>
      </c>
      <c r="AR275" s="1537">
        <f t="shared" si="191"/>
        <v>1000</v>
      </c>
    </row>
    <row r="276" spans="3:44" x14ac:dyDescent="0.3">
      <c r="C276" s="1566" t="s">
        <v>3204</v>
      </c>
      <c r="D276" s="1563" t="s">
        <v>3447</v>
      </c>
      <c r="E276" s="1556">
        <v>5</v>
      </c>
      <c r="F276" s="1518">
        <f t="shared" si="161"/>
        <v>3</v>
      </c>
      <c r="G276" s="1532">
        <f t="shared" si="162"/>
        <v>0</v>
      </c>
      <c r="H276" s="1533">
        <f t="shared" si="163"/>
        <v>0</v>
      </c>
      <c r="I276" s="1534">
        <f t="shared" si="164"/>
        <v>0.2</v>
      </c>
      <c r="J276" s="1519">
        <v>800000</v>
      </c>
      <c r="K276" s="1519">
        <v>293333</v>
      </c>
      <c r="N276" s="1519">
        <f t="shared" si="165"/>
        <v>506667</v>
      </c>
      <c r="Q276" s="1557">
        <v>146667</v>
      </c>
      <c r="R276" s="1519">
        <f t="shared" si="166"/>
        <v>800000</v>
      </c>
      <c r="S276" s="1519">
        <f t="shared" si="167"/>
        <v>360000</v>
      </c>
      <c r="T276" s="1519">
        <f t="shared" si="168"/>
        <v>0</v>
      </c>
      <c r="U276" s="1535">
        <f t="shared" si="169"/>
        <v>13333.333333333332</v>
      </c>
      <c r="V276" s="1537">
        <f t="shared" si="170"/>
        <v>160000.33333333334</v>
      </c>
      <c r="W276" s="1519">
        <f t="shared" si="171"/>
        <v>160000</v>
      </c>
      <c r="X276" s="1537">
        <f t="shared" si="172"/>
        <v>160000</v>
      </c>
      <c r="Y276" s="1537">
        <f t="shared" si="173"/>
        <v>25666.666666666686</v>
      </c>
      <c r="Z276" s="1537">
        <f t="shared" si="174"/>
        <v>0</v>
      </c>
      <c r="AA276" s="1537">
        <f t="shared" si="175"/>
        <v>0</v>
      </c>
      <c r="AB276" s="1537">
        <f t="shared" si="176"/>
        <v>0</v>
      </c>
      <c r="AC276" s="1537">
        <f t="shared" si="177"/>
        <v>0</v>
      </c>
      <c r="AD276" s="1537">
        <f t="shared" si="178"/>
        <v>0</v>
      </c>
      <c r="AE276" s="1537">
        <f t="shared" si="179"/>
        <v>0</v>
      </c>
      <c r="AF276" s="1536">
        <f t="shared" si="180"/>
        <v>0</v>
      </c>
      <c r="AG276" s="1555"/>
      <c r="AH276" s="1537">
        <f t="shared" si="181"/>
        <v>346666.66666666669</v>
      </c>
      <c r="AI276" s="1537">
        <f t="shared" si="182"/>
        <v>186666.66666666669</v>
      </c>
      <c r="AJ276" s="1537">
        <f t="shared" si="183"/>
        <v>26666.666666666686</v>
      </c>
      <c r="AK276" s="1537">
        <f t="shared" si="184"/>
        <v>1000</v>
      </c>
      <c r="AL276" s="1537">
        <f t="shared" si="185"/>
        <v>1000</v>
      </c>
      <c r="AM276" s="1537">
        <f t="shared" si="186"/>
        <v>1000</v>
      </c>
      <c r="AN276" s="1537">
        <f t="shared" si="187"/>
        <v>1000</v>
      </c>
      <c r="AO276" s="1537">
        <f t="shared" si="188"/>
        <v>1000</v>
      </c>
      <c r="AP276" s="1537">
        <f t="shared" si="189"/>
        <v>1000</v>
      </c>
      <c r="AQ276" s="1537">
        <f t="shared" si="190"/>
        <v>1000</v>
      </c>
      <c r="AR276" s="1537">
        <f t="shared" si="191"/>
        <v>1000</v>
      </c>
    </row>
    <row r="277" spans="3:44" x14ac:dyDescent="0.3">
      <c r="C277" s="1566" t="s">
        <v>3205</v>
      </c>
      <c r="D277" s="1563" t="s">
        <v>3447</v>
      </c>
      <c r="E277" s="1556">
        <v>5</v>
      </c>
      <c r="F277" s="1518">
        <f t="shared" si="161"/>
        <v>3</v>
      </c>
      <c r="G277" s="1532">
        <f t="shared" si="162"/>
        <v>0</v>
      </c>
      <c r="H277" s="1533">
        <f t="shared" si="163"/>
        <v>0</v>
      </c>
      <c r="I277" s="1534">
        <f t="shared" si="164"/>
        <v>0.2</v>
      </c>
      <c r="J277" s="1519">
        <v>2840000</v>
      </c>
      <c r="K277" s="1519">
        <v>1041333</v>
      </c>
      <c r="N277" s="1519">
        <f t="shared" si="165"/>
        <v>1798667</v>
      </c>
      <c r="Q277" s="1557">
        <v>520667</v>
      </c>
      <c r="R277" s="1519">
        <f t="shared" si="166"/>
        <v>2840000</v>
      </c>
      <c r="S277" s="1519">
        <f t="shared" si="167"/>
        <v>1278000</v>
      </c>
      <c r="T277" s="1519">
        <f t="shared" si="168"/>
        <v>0</v>
      </c>
      <c r="U277" s="1535">
        <f t="shared" si="169"/>
        <v>47333.333333333336</v>
      </c>
      <c r="V277" s="1537">
        <f t="shared" si="170"/>
        <v>568000.33333333337</v>
      </c>
      <c r="W277" s="1519">
        <f t="shared" si="171"/>
        <v>568000</v>
      </c>
      <c r="X277" s="1537">
        <f t="shared" si="172"/>
        <v>568000</v>
      </c>
      <c r="Y277" s="1537">
        <f t="shared" si="173"/>
        <v>93666.666666666744</v>
      </c>
      <c r="Z277" s="1537">
        <f t="shared" si="174"/>
        <v>0</v>
      </c>
      <c r="AA277" s="1537">
        <f t="shared" si="175"/>
        <v>0</v>
      </c>
      <c r="AB277" s="1537">
        <f t="shared" si="176"/>
        <v>0</v>
      </c>
      <c r="AC277" s="1537">
        <f t="shared" si="177"/>
        <v>0</v>
      </c>
      <c r="AD277" s="1537">
        <f t="shared" si="178"/>
        <v>0</v>
      </c>
      <c r="AE277" s="1537">
        <f t="shared" si="179"/>
        <v>0</v>
      </c>
      <c r="AF277" s="1536">
        <f t="shared" si="180"/>
        <v>0</v>
      </c>
      <c r="AG277" s="1555"/>
      <c r="AH277" s="1537">
        <f t="shared" si="181"/>
        <v>1230666.6666666667</v>
      </c>
      <c r="AI277" s="1537">
        <f t="shared" si="182"/>
        <v>662666.66666666674</v>
      </c>
      <c r="AJ277" s="1537">
        <f t="shared" si="183"/>
        <v>94666.666666666744</v>
      </c>
      <c r="AK277" s="1537">
        <f t="shared" si="184"/>
        <v>1000</v>
      </c>
      <c r="AL277" s="1537">
        <f t="shared" si="185"/>
        <v>1000</v>
      </c>
      <c r="AM277" s="1537">
        <f t="shared" si="186"/>
        <v>1000</v>
      </c>
      <c r="AN277" s="1537">
        <f t="shared" si="187"/>
        <v>1000</v>
      </c>
      <c r="AO277" s="1537">
        <f t="shared" si="188"/>
        <v>1000</v>
      </c>
      <c r="AP277" s="1537">
        <f t="shared" si="189"/>
        <v>1000</v>
      </c>
      <c r="AQ277" s="1537">
        <f t="shared" si="190"/>
        <v>1000</v>
      </c>
      <c r="AR277" s="1537">
        <f t="shared" si="191"/>
        <v>1000</v>
      </c>
    </row>
    <row r="278" spans="3:44" x14ac:dyDescent="0.3">
      <c r="C278" s="1566" t="s">
        <v>3206</v>
      </c>
      <c r="D278" s="1563" t="s">
        <v>3448</v>
      </c>
      <c r="E278" s="1556">
        <v>5</v>
      </c>
      <c r="F278" s="1518">
        <f t="shared" si="161"/>
        <v>3</v>
      </c>
      <c r="G278" s="1532">
        <f t="shared" si="162"/>
        <v>0</v>
      </c>
      <c r="H278" s="1533">
        <f t="shared" si="163"/>
        <v>0</v>
      </c>
      <c r="I278" s="1534">
        <f t="shared" si="164"/>
        <v>0.2</v>
      </c>
      <c r="J278" s="1519">
        <v>925000</v>
      </c>
      <c r="K278" s="1519">
        <v>339167</v>
      </c>
      <c r="N278" s="1519">
        <f t="shared" si="165"/>
        <v>585833</v>
      </c>
      <c r="Q278" s="1557">
        <v>169583</v>
      </c>
      <c r="R278" s="1519">
        <f t="shared" si="166"/>
        <v>925000</v>
      </c>
      <c r="S278" s="1519">
        <f t="shared" si="167"/>
        <v>416250</v>
      </c>
      <c r="T278" s="1519">
        <f t="shared" si="168"/>
        <v>0</v>
      </c>
      <c r="U278" s="1535">
        <f t="shared" si="169"/>
        <v>15416.666666666666</v>
      </c>
      <c r="V278" s="1537">
        <f t="shared" si="170"/>
        <v>184999.66666666666</v>
      </c>
      <c r="W278" s="1519">
        <f t="shared" si="171"/>
        <v>185000</v>
      </c>
      <c r="X278" s="1537">
        <f t="shared" si="172"/>
        <v>185000</v>
      </c>
      <c r="Y278" s="1537">
        <f t="shared" si="173"/>
        <v>29833.333333333314</v>
      </c>
      <c r="Z278" s="1537">
        <f t="shared" si="174"/>
        <v>0</v>
      </c>
      <c r="AA278" s="1537">
        <f t="shared" si="175"/>
        <v>0</v>
      </c>
      <c r="AB278" s="1537">
        <f t="shared" si="176"/>
        <v>0</v>
      </c>
      <c r="AC278" s="1537">
        <f t="shared" si="177"/>
        <v>0</v>
      </c>
      <c r="AD278" s="1537">
        <f t="shared" si="178"/>
        <v>0</v>
      </c>
      <c r="AE278" s="1537">
        <f t="shared" si="179"/>
        <v>0</v>
      </c>
      <c r="AF278" s="1536">
        <f t="shared" si="180"/>
        <v>0</v>
      </c>
      <c r="AG278" s="1555"/>
      <c r="AH278" s="1537">
        <f t="shared" si="181"/>
        <v>400833.33333333331</v>
      </c>
      <c r="AI278" s="1537">
        <f t="shared" si="182"/>
        <v>215833.33333333331</v>
      </c>
      <c r="AJ278" s="1537">
        <f t="shared" si="183"/>
        <v>30833.333333333314</v>
      </c>
      <c r="AK278" s="1537">
        <f t="shared" si="184"/>
        <v>1000</v>
      </c>
      <c r="AL278" s="1537">
        <f t="shared" si="185"/>
        <v>1000</v>
      </c>
      <c r="AM278" s="1537">
        <f t="shared" si="186"/>
        <v>1000</v>
      </c>
      <c r="AN278" s="1537">
        <f t="shared" si="187"/>
        <v>1000</v>
      </c>
      <c r="AO278" s="1537">
        <f t="shared" si="188"/>
        <v>1000</v>
      </c>
      <c r="AP278" s="1537">
        <f t="shared" si="189"/>
        <v>1000</v>
      </c>
      <c r="AQ278" s="1537">
        <f t="shared" si="190"/>
        <v>1000</v>
      </c>
      <c r="AR278" s="1537">
        <f t="shared" si="191"/>
        <v>1000</v>
      </c>
    </row>
    <row r="279" spans="3:44" x14ac:dyDescent="0.3">
      <c r="C279" s="1566" t="s">
        <v>3206</v>
      </c>
      <c r="D279" s="1563" t="s">
        <v>3449</v>
      </c>
      <c r="E279" s="1556">
        <v>5</v>
      </c>
      <c r="F279" s="1518">
        <f t="shared" si="161"/>
        <v>3</v>
      </c>
      <c r="G279" s="1532">
        <f t="shared" si="162"/>
        <v>0</v>
      </c>
      <c r="H279" s="1533">
        <f t="shared" si="163"/>
        <v>0</v>
      </c>
      <c r="I279" s="1534">
        <f t="shared" si="164"/>
        <v>0.2</v>
      </c>
      <c r="J279" s="1519">
        <v>925000</v>
      </c>
      <c r="K279" s="1519">
        <v>339167</v>
      </c>
      <c r="N279" s="1519">
        <f t="shared" si="165"/>
        <v>585833</v>
      </c>
      <c r="Q279" s="1557">
        <v>169583</v>
      </c>
      <c r="R279" s="1519">
        <f t="shared" si="166"/>
        <v>925000</v>
      </c>
      <c r="S279" s="1519">
        <f t="shared" si="167"/>
        <v>416250</v>
      </c>
      <c r="T279" s="1519">
        <f t="shared" si="168"/>
        <v>0</v>
      </c>
      <c r="U279" s="1535">
        <f t="shared" si="169"/>
        <v>15416.666666666666</v>
      </c>
      <c r="V279" s="1537">
        <f t="shared" si="170"/>
        <v>184999.66666666666</v>
      </c>
      <c r="W279" s="1519">
        <f t="shared" si="171"/>
        <v>185000</v>
      </c>
      <c r="X279" s="1537">
        <f t="shared" si="172"/>
        <v>185000</v>
      </c>
      <c r="Y279" s="1537">
        <f t="shared" si="173"/>
        <v>29833.333333333314</v>
      </c>
      <c r="Z279" s="1537">
        <f t="shared" si="174"/>
        <v>0</v>
      </c>
      <c r="AA279" s="1537">
        <f t="shared" si="175"/>
        <v>0</v>
      </c>
      <c r="AB279" s="1537">
        <f t="shared" si="176"/>
        <v>0</v>
      </c>
      <c r="AC279" s="1537">
        <f t="shared" si="177"/>
        <v>0</v>
      </c>
      <c r="AD279" s="1537">
        <f t="shared" si="178"/>
        <v>0</v>
      </c>
      <c r="AE279" s="1537">
        <f t="shared" si="179"/>
        <v>0</v>
      </c>
      <c r="AF279" s="1536">
        <f t="shared" si="180"/>
        <v>0</v>
      </c>
      <c r="AG279" s="1555"/>
      <c r="AH279" s="1537">
        <f t="shared" si="181"/>
        <v>400833.33333333331</v>
      </c>
      <c r="AI279" s="1537">
        <f t="shared" si="182"/>
        <v>215833.33333333331</v>
      </c>
      <c r="AJ279" s="1537">
        <f t="shared" si="183"/>
        <v>30833.333333333314</v>
      </c>
      <c r="AK279" s="1537">
        <f t="shared" si="184"/>
        <v>1000</v>
      </c>
      <c r="AL279" s="1537">
        <f t="shared" si="185"/>
        <v>1000</v>
      </c>
      <c r="AM279" s="1537">
        <f t="shared" si="186"/>
        <v>1000</v>
      </c>
      <c r="AN279" s="1537">
        <f t="shared" si="187"/>
        <v>1000</v>
      </c>
      <c r="AO279" s="1537">
        <f t="shared" si="188"/>
        <v>1000</v>
      </c>
      <c r="AP279" s="1537">
        <f t="shared" si="189"/>
        <v>1000</v>
      </c>
      <c r="AQ279" s="1537">
        <f t="shared" si="190"/>
        <v>1000</v>
      </c>
      <c r="AR279" s="1537">
        <f t="shared" si="191"/>
        <v>1000</v>
      </c>
    </row>
    <row r="280" spans="3:44" x14ac:dyDescent="0.3">
      <c r="C280" s="1566" t="s">
        <v>3207</v>
      </c>
      <c r="D280" s="1563" t="s">
        <v>3444</v>
      </c>
      <c r="E280" s="1556">
        <v>5</v>
      </c>
      <c r="F280" s="1518">
        <f t="shared" si="161"/>
        <v>3</v>
      </c>
      <c r="G280" s="1532">
        <f t="shared" si="162"/>
        <v>0</v>
      </c>
      <c r="H280" s="1533">
        <f t="shared" si="163"/>
        <v>0</v>
      </c>
      <c r="I280" s="1534">
        <f t="shared" si="164"/>
        <v>0.2</v>
      </c>
      <c r="J280" s="1519">
        <v>2400000</v>
      </c>
      <c r="K280" s="1519">
        <v>880000</v>
      </c>
      <c r="N280" s="1519">
        <f t="shared" si="165"/>
        <v>1520000</v>
      </c>
      <c r="Q280" s="1557">
        <v>440000</v>
      </c>
      <c r="R280" s="1519">
        <f t="shared" si="166"/>
        <v>2400000</v>
      </c>
      <c r="S280" s="1519">
        <f t="shared" si="167"/>
        <v>1080000</v>
      </c>
      <c r="T280" s="1519">
        <f t="shared" si="168"/>
        <v>0</v>
      </c>
      <c r="U280" s="1535">
        <f t="shared" si="169"/>
        <v>40000</v>
      </c>
      <c r="V280" s="1537">
        <f t="shared" si="170"/>
        <v>480000</v>
      </c>
      <c r="W280" s="1519">
        <f t="shared" si="171"/>
        <v>480000</v>
      </c>
      <c r="X280" s="1537">
        <f t="shared" si="172"/>
        <v>480000</v>
      </c>
      <c r="Y280" s="1537">
        <f t="shared" si="173"/>
        <v>79000</v>
      </c>
      <c r="Z280" s="1537">
        <f t="shared" si="174"/>
        <v>0</v>
      </c>
      <c r="AA280" s="1537">
        <f t="shared" si="175"/>
        <v>0</v>
      </c>
      <c r="AB280" s="1537">
        <f t="shared" si="176"/>
        <v>0</v>
      </c>
      <c r="AC280" s="1537">
        <f t="shared" si="177"/>
        <v>0</v>
      </c>
      <c r="AD280" s="1537">
        <f t="shared" si="178"/>
        <v>0</v>
      </c>
      <c r="AE280" s="1537">
        <f t="shared" si="179"/>
        <v>0</v>
      </c>
      <c r="AF280" s="1536">
        <f t="shared" si="180"/>
        <v>0</v>
      </c>
      <c r="AG280" s="1555"/>
      <c r="AH280" s="1537">
        <f t="shared" si="181"/>
        <v>1040000</v>
      </c>
      <c r="AI280" s="1537">
        <f t="shared" si="182"/>
        <v>560000</v>
      </c>
      <c r="AJ280" s="1537">
        <f t="shared" si="183"/>
        <v>80000</v>
      </c>
      <c r="AK280" s="1537">
        <f t="shared" si="184"/>
        <v>1000</v>
      </c>
      <c r="AL280" s="1537">
        <f t="shared" si="185"/>
        <v>1000</v>
      </c>
      <c r="AM280" s="1537">
        <f t="shared" si="186"/>
        <v>1000</v>
      </c>
      <c r="AN280" s="1537">
        <f t="shared" si="187"/>
        <v>1000</v>
      </c>
      <c r="AO280" s="1537">
        <f t="shared" si="188"/>
        <v>1000</v>
      </c>
      <c r="AP280" s="1537">
        <f t="shared" si="189"/>
        <v>1000</v>
      </c>
      <c r="AQ280" s="1537">
        <f t="shared" si="190"/>
        <v>1000</v>
      </c>
      <c r="AR280" s="1537">
        <f t="shared" si="191"/>
        <v>1000</v>
      </c>
    </row>
    <row r="281" spans="3:44" x14ac:dyDescent="0.3">
      <c r="C281" s="1566" t="s">
        <v>3208</v>
      </c>
      <c r="D281" s="1563" t="s">
        <v>3450</v>
      </c>
      <c r="E281" s="1556">
        <v>5</v>
      </c>
      <c r="F281" s="1518">
        <f t="shared" si="161"/>
        <v>3</v>
      </c>
      <c r="G281" s="1532">
        <f t="shared" si="162"/>
        <v>0</v>
      </c>
      <c r="H281" s="1533">
        <f t="shared" si="163"/>
        <v>0</v>
      </c>
      <c r="I281" s="1534">
        <f t="shared" si="164"/>
        <v>0.2</v>
      </c>
      <c r="J281" s="1519">
        <v>4289000</v>
      </c>
      <c r="K281" s="1519">
        <v>1572633</v>
      </c>
      <c r="N281" s="1519">
        <f t="shared" si="165"/>
        <v>2716367</v>
      </c>
      <c r="Q281" s="1557">
        <v>786317</v>
      </c>
      <c r="R281" s="1519">
        <f t="shared" si="166"/>
        <v>4289000</v>
      </c>
      <c r="S281" s="1519">
        <f t="shared" si="167"/>
        <v>1930050</v>
      </c>
      <c r="T281" s="1519">
        <f t="shared" si="168"/>
        <v>0</v>
      </c>
      <c r="U281" s="1535">
        <f t="shared" si="169"/>
        <v>71483.333333333328</v>
      </c>
      <c r="V281" s="1537">
        <f t="shared" si="170"/>
        <v>857800.33333333337</v>
      </c>
      <c r="W281" s="1519">
        <f t="shared" si="171"/>
        <v>857800</v>
      </c>
      <c r="X281" s="1537">
        <f t="shared" si="172"/>
        <v>857800</v>
      </c>
      <c r="Y281" s="1537">
        <f t="shared" si="173"/>
        <v>141966.66666666674</v>
      </c>
      <c r="Z281" s="1537">
        <f t="shared" si="174"/>
        <v>0</v>
      </c>
      <c r="AA281" s="1537">
        <f t="shared" si="175"/>
        <v>0</v>
      </c>
      <c r="AB281" s="1537">
        <f t="shared" si="176"/>
        <v>0</v>
      </c>
      <c r="AC281" s="1537">
        <f t="shared" si="177"/>
        <v>0</v>
      </c>
      <c r="AD281" s="1537">
        <f t="shared" si="178"/>
        <v>0</v>
      </c>
      <c r="AE281" s="1537">
        <f t="shared" si="179"/>
        <v>0</v>
      </c>
      <c r="AF281" s="1536">
        <f t="shared" si="180"/>
        <v>0</v>
      </c>
      <c r="AG281" s="1555"/>
      <c r="AH281" s="1537">
        <f t="shared" si="181"/>
        <v>1858566.6666666667</v>
      </c>
      <c r="AI281" s="1537">
        <f t="shared" si="182"/>
        <v>1000766.6666666667</v>
      </c>
      <c r="AJ281" s="1537">
        <f t="shared" si="183"/>
        <v>142966.66666666674</v>
      </c>
      <c r="AK281" s="1537">
        <f t="shared" si="184"/>
        <v>1000</v>
      </c>
      <c r="AL281" s="1537">
        <f t="shared" si="185"/>
        <v>1000</v>
      </c>
      <c r="AM281" s="1537">
        <f t="shared" si="186"/>
        <v>1000</v>
      </c>
      <c r="AN281" s="1537">
        <f t="shared" si="187"/>
        <v>1000</v>
      </c>
      <c r="AO281" s="1537">
        <f t="shared" si="188"/>
        <v>1000</v>
      </c>
      <c r="AP281" s="1537">
        <f t="shared" si="189"/>
        <v>1000</v>
      </c>
      <c r="AQ281" s="1537">
        <f t="shared" si="190"/>
        <v>1000</v>
      </c>
      <c r="AR281" s="1537">
        <f t="shared" si="191"/>
        <v>1000</v>
      </c>
    </row>
    <row r="282" spans="3:44" x14ac:dyDescent="0.3">
      <c r="C282" s="1566" t="s">
        <v>3206</v>
      </c>
      <c r="D282" s="1563" t="s">
        <v>3451</v>
      </c>
      <c r="E282" s="1556">
        <v>5</v>
      </c>
      <c r="F282" s="1518">
        <f t="shared" si="161"/>
        <v>3</v>
      </c>
      <c r="G282" s="1532">
        <f t="shared" si="162"/>
        <v>0</v>
      </c>
      <c r="H282" s="1533">
        <f t="shared" si="163"/>
        <v>0</v>
      </c>
      <c r="I282" s="1534">
        <f t="shared" si="164"/>
        <v>0.2</v>
      </c>
      <c r="J282" s="1519">
        <v>1850000</v>
      </c>
      <c r="K282" s="1519">
        <v>678333</v>
      </c>
      <c r="N282" s="1519">
        <f t="shared" si="165"/>
        <v>1171667</v>
      </c>
      <c r="Q282" s="1557">
        <v>339167</v>
      </c>
      <c r="R282" s="1519">
        <f t="shared" si="166"/>
        <v>1850000</v>
      </c>
      <c r="S282" s="1519">
        <f t="shared" si="167"/>
        <v>832500</v>
      </c>
      <c r="T282" s="1519">
        <f t="shared" si="168"/>
        <v>0</v>
      </c>
      <c r="U282" s="1535">
        <f t="shared" si="169"/>
        <v>30833.333333333332</v>
      </c>
      <c r="V282" s="1537">
        <f t="shared" si="170"/>
        <v>370000.33333333331</v>
      </c>
      <c r="W282" s="1519">
        <f t="shared" si="171"/>
        <v>370000</v>
      </c>
      <c r="X282" s="1537">
        <f t="shared" si="172"/>
        <v>370000</v>
      </c>
      <c r="Y282" s="1537">
        <f t="shared" si="173"/>
        <v>60666.666666666628</v>
      </c>
      <c r="Z282" s="1537">
        <f t="shared" si="174"/>
        <v>0</v>
      </c>
      <c r="AA282" s="1537">
        <f t="shared" si="175"/>
        <v>0</v>
      </c>
      <c r="AB282" s="1537">
        <f t="shared" si="176"/>
        <v>0</v>
      </c>
      <c r="AC282" s="1537">
        <f t="shared" si="177"/>
        <v>0</v>
      </c>
      <c r="AD282" s="1537">
        <f t="shared" si="178"/>
        <v>0</v>
      </c>
      <c r="AE282" s="1537">
        <f t="shared" si="179"/>
        <v>0</v>
      </c>
      <c r="AF282" s="1536">
        <f t="shared" si="180"/>
        <v>0</v>
      </c>
      <c r="AG282" s="1555"/>
      <c r="AH282" s="1537">
        <f t="shared" si="181"/>
        <v>801666.66666666663</v>
      </c>
      <c r="AI282" s="1537">
        <f t="shared" si="182"/>
        <v>431666.66666666663</v>
      </c>
      <c r="AJ282" s="1537">
        <f t="shared" si="183"/>
        <v>61666.666666666628</v>
      </c>
      <c r="AK282" s="1537">
        <f t="shared" si="184"/>
        <v>1000</v>
      </c>
      <c r="AL282" s="1537">
        <f t="shared" si="185"/>
        <v>1000</v>
      </c>
      <c r="AM282" s="1537">
        <f t="shared" si="186"/>
        <v>1000</v>
      </c>
      <c r="AN282" s="1537">
        <f t="shared" si="187"/>
        <v>1000</v>
      </c>
      <c r="AO282" s="1537">
        <f t="shared" si="188"/>
        <v>1000</v>
      </c>
      <c r="AP282" s="1537">
        <f t="shared" si="189"/>
        <v>1000</v>
      </c>
      <c r="AQ282" s="1537">
        <f t="shared" si="190"/>
        <v>1000</v>
      </c>
      <c r="AR282" s="1537">
        <f t="shared" si="191"/>
        <v>1000</v>
      </c>
    </row>
    <row r="283" spans="3:44" x14ac:dyDescent="0.3">
      <c r="C283" s="1566" t="s">
        <v>3209</v>
      </c>
      <c r="D283" s="1563" t="s">
        <v>3452</v>
      </c>
      <c r="E283" s="1556">
        <v>5</v>
      </c>
      <c r="F283" s="1518">
        <f t="shared" si="161"/>
        <v>3</v>
      </c>
      <c r="G283" s="1532">
        <f t="shared" si="162"/>
        <v>0</v>
      </c>
      <c r="H283" s="1533">
        <f t="shared" si="163"/>
        <v>0</v>
      </c>
      <c r="I283" s="1534">
        <f t="shared" si="164"/>
        <v>0.2</v>
      </c>
      <c r="J283" s="1519">
        <v>5670000</v>
      </c>
      <c r="K283" s="1519">
        <v>1984500</v>
      </c>
      <c r="N283" s="1519">
        <f t="shared" si="165"/>
        <v>3685500</v>
      </c>
      <c r="Q283" s="1557">
        <v>1039500</v>
      </c>
      <c r="R283" s="1519">
        <f t="shared" si="166"/>
        <v>5670000</v>
      </c>
      <c r="S283" s="1519">
        <f t="shared" si="167"/>
        <v>2646000</v>
      </c>
      <c r="T283" s="1519">
        <f t="shared" si="168"/>
        <v>0</v>
      </c>
      <c r="U283" s="1535">
        <f t="shared" si="169"/>
        <v>94500</v>
      </c>
      <c r="V283" s="1537">
        <f t="shared" si="170"/>
        <v>1134000</v>
      </c>
      <c r="W283" s="1519">
        <f t="shared" si="171"/>
        <v>1134000</v>
      </c>
      <c r="X283" s="1537">
        <f t="shared" si="172"/>
        <v>1134000</v>
      </c>
      <c r="Y283" s="1537">
        <f t="shared" si="173"/>
        <v>282500</v>
      </c>
      <c r="Z283" s="1537">
        <f t="shared" si="174"/>
        <v>0</v>
      </c>
      <c r="AA283" s="1537">
        <f t="shared" si="175"/>
        <v>0</v>
      </c>
      <c r="AB283" s="1537">
        <f t="shared" si="176"/>
        <v>0</v>
      </c>
      <c r="AC283" s="1537">
        <f t="shared" si="177"/>
        <v>0</v>
      </c>
      <c r="AD283" s="1537">
        <f t="shared" si="178"/>
        <v>0</v>
      </c>
      <c r="AE283" s="1537">
        <f t="shared" si="179"/>
        <v>0</v>
      </c>
      <c r="AF283" s="1536">
        <f t="shared" si="180"/>
        <v>0</v>
      </c>
      <c r="AG283" s="1555"/>
      <c r="AH283" s="1537">
        <f t="shared" si="181"/>
        <v>2551500</v>
      </c>
      <c r="AI283" s="1537">
        <f t="shared" si="182"/>
        <v>1417500</v>
      </c>
      <c r="AJ283" s="1537">
        <f t="shared" si="183"/>
        <v>283500</v>
      </c>
      <c r="AK283" s="1537">
        <f t="shared" si="184"/>
        <v>1000</v>
      </c>
      <c r="AL283" s="1537">
        <f t="shared" si="185"/>
        <v>1000</v>
      </c>
      <c r="AM283" s="1537">
        <f t="shared" si="186"/>
        <v>1000</v>
      </c>
      <c r="AN283" s="1537">
        <f t="shared" si="187"/>
        <v>1000</v>
      </c>
      <c r="AO283" s="1537">
        <f t="shared" si="188"/>
        <v>1000</v>
      </c>
      <c r="AP283" s="1537">
        <f t="shared" si="189"/>
        <v>1000</v>
      </c>
      <c r="AQ283" s="1537">
        <f t="shared" si="190"/>
        <v>1000</v>
      </c>
      <c r="AR283" s="1537">
        <f t="shared" si="191"/>
        <v>1000</v>
      </c>
    </row>
    <row r="284" spans="3:44" x14ac:dyDescent="0.3">
      <c r="C284" s="1566" t="s">
        <v>3210</v>
      </c>
      <c r="D284" s="1563" t="s">
        <v>3452</v>
      </c>
      <c r="E284" s="1556">
        <v>5</v>
      </c>
      <c r="F284" s="1518">
        <f t="shared" ref="F284:F347" si="192">E284-(YEAR($E$4)-YEAR(D284))</f>
        <v>3</v>
      </c>
      <c r="G284" s="1532">
        <f t="shared" ref="G284:G347" si="193">IF(YEAR(D284)=YEAR($E$4),IF($E$2=$E$4,0,IF(D284&lt;$E$4,$E$2-$E$4,$E$2-D284)),$E$2-$E$4)</f>
        <v>0</v>
      </c>
      <c r="H284" s="1533">
        <f t="shared" ref="H284:H347" si="194">IF(YEAR(D284)=YEAR($E$4),G284/365,IF($E$2=$E$4,G284/365,($E$2-$E$4)/365))</f>
        <v>0</v>
      </c>
      <c r="I284" s="1534">
        <f t="shared" ref="I284:I347" si="195">1/E284</f>
        <v>0.2</v>
      </c>
      <c r="J284" s="1519">
        <v>8340000</v>
      </c>
      <c r="K284" s="1519">
        <v>2919000</v>
      </c>
      <c r="N284" s="1519">
        <f t="shared" ref="N284:N347" si="196">ROUND(J284-K284-L284+M284,)</f>
        <v>5421000</v>
      </c>
      <c r="Q284" s="1557">
        <v>1529000</v>
      </c>
      <c r="R284" s="1519">
        <f t="shared" ref="R284:R347" si="197">J284+O284-P284</f>
        <v>8340000</v>
      </c>
      <c r="S284" s="1519">
        <f t="shared" ref="S284:S347" si="198">ROUND(N284+O284-P284-Q284,)</f>
        <v>3892000</v>
      </c>
      <c r="T284" s="1519">
        <f t="shared" ref="T284:T347" si="199">J284-K284-L284+M284+O284-P284-Q284-S284</f>
        <v>0</v>
      </c>
      <c r="U284" s="1535">
        <f t="shared" ref="U284:U347" si="200">IF(S284&gt;1000,IF(S284-R284*(1/12)*I284&gt;1000,R284*(1/12)*I284,S284-1000),)</f>
        <v>139000</v>
      </c>
      <c r="V284" s="1537">
        <f t="shared" ref="V284:V347" si="201">Q284+U284</f>
        <v>1668000</v>
      </c>
      <c r="W284" s="1519">
        <f t="shared" ref="W284:W347" si="202">IF(AH284&gt;1000,IF(AH284-$I284*$R284&gt;1000,$I284*$R284,AH284-1000),)</f>
        <v>1668000</v>
      </c>
      <c r="X284" s="1537">
        <f t="shared" ref="X284:X347" si="203">IF(AI284&gt;1000,IF(AI284-$I284*$R284&gt;1000,$I284*$R284,AI284-1000),)</f>
        <v>1668000</v>
      </c>
      <c r="Y284" s="1537">
        <f t="shared" ref="Y284:Y347" si="204">IF(AJ284&gt;1000,IF(AJ284-$I284*$R284&gt;1000,$I284*$R284,AJ284-1000),)</f>
        <v>416000</v>
      </c>
      <c r="Z284" s="1537">
        <f t="shared" ref="Z284:Z347" si="205">IF(AK284&gt;1000,IF(AK284-$I284*$R284&gt;1000,$I284*$R284,AK284-1000),)</f>
        <v>0</v>
      </c>
      <c r="AA284" s="1537">
        <f t="shared" ref="AA284:AA347" si="206">IF(AL284&gt;1000,IF(AL284-$I284*$R284&gt;1000,$I284*$R284,AL284-1000),)</f>
        <v>0</v>
      </c>
      <c r="AB284" s="1537">
        <f t="shared" ref="AB284:AB347" si="207">IF(AM284&gt;1000,IF(AM284-$I284*$R284&gt;1000,$I284*$R284,AM284-1000),)</f>
        <v>0</v>
      </c>
      <c r="AC284" s="1537">
        <f t="shared" ref="AC284:AC347" si="208">IF(AN284&gt;1000,IF(AN284-$I284*$R284&gt;1000,$I284*$R284,AN284-1000),)</f>
        <v>0</v>
      </c>
      <c r="AD284" s="1537">
        <f t="shared" ref="AD284:AD347" si="209">IF(AO284&gt;1000,IF(AO284-$I284*$R284&gt;1000,$I284*$R284,AO284-1000),)</f>
        <v>0</v>
      </c>
      <c r="AE284" s="1537">
        <f t="shared" ref="AE284:AE347" si="210">IF(AP284&gt;1000,IF(AP284-$I284*$R284&gt;1000,$I284*$R284,AP284-1000),)</f>
        <v>0</v>
      </c>
      <c r="AF284" s="1536">
        <f t="shared" ref="AF284:AF347" si="211">IF(AQ284&gt;1000,IF(AQ284-$I284*$R284&gt;1000,$I284*$R284,AQ284-1000),)</f>
        <v>0</v>
      </c>
      <c r="AG284" s="1555"/>
      <c r="AH284" s="1537">
        <f t="shared" ref="AH284:AH347" si="212">S284-U284</f>
        <v>3753000</v>
      </c>
      <c r="AI284" s="1537">
        <f t="shared" ref="AI284:AI347" si="213">AH284-W284</f>
        <v>2085000</v>
      </c>
      <c r="AJ284" s="1537">
        <f t="shared" ref="AJ284:AJ347" si="214">AI284-X284</f>
        <v>417000</v>
      </c>
      <c r="AK284" s="1537">
        <f t="shared" ref="AK284:AK347" si="215">AJ284-Y284</f>
        <v>1000</v>
      </c>
      <c r="AL284" s="1537">
        <f t="shared" ref="AL284:AL347" si="216">AK284-Z284</f>
        <v>1000</v>
      </c>
      <c r="AM284" s="1537">
        <f t="shared" ref="AM284:AM347" si="217">AL284-AA284</f>
        <v>1000</v>
      </c>
      <c r="AN284" s="1537">
        <f t="shared" ref="AN284:AN347" si="218">AM284-AB284</f>
        <v>1000</v>
      </c>
      <c r="AO284" s="1537">
        <f t="shared" ref="AO284:AO347" si="219">AN284-AC284</f>
        <v>1000</v>
      </c>
      <c r="AP284" s="1537">
        <f t="shared" ref="AP284:AP347" si="220">AO284-AD284</f>
        <v>1000</v>
      </c>
      <c r="AQ284" s="1537">
        <f t="shared" ref="AQ284:AQ347" si="221">AP284-AE284</f>
        <v>1000</v>
      </c>
      <c r="AR284" s="1537">
        <f t="shared" ref="AR284:AR347" si="222">AQ284-AF284</f>
        <v>1000</v>
      </c>
    </row>
    <row r="285" spans="3:44" x14ac:dyDescent="0.3">
      <c r="C285" s="1566" t="s">
        <v>3211</v>
      </c>
      <c r="D285" s="1563" t="s">
        <v>3453</v>
      </c>
      <c r="E285" s="1556">
        <v>5</v>
      </c>
      <c r="F285" s="1518">
        <f t="shared" si="192"/>
        <v>3</v>
      </c>
      <c r="G285" s="1532">
        <f t="shared" si="193"/>
        <v>0</v>
      </c>
      <c r="H285" s="1533">
        <f t="shared" si="194"/>
        <v>0</v>
      </c>
      <c r="I285" s="1534">
        <f t="shared" si="195"/>
        <v>0.2</v>
      </c>
      <c r="J285" s="1519">
        <v>945000</v>
      </c>
      <c r="K285" s="1519">
        <v>330750</v>
      </c>
      <c r="N285" s="1519">
        <f t="shared" si="196"/>
        <v>614250</v>
      </c>
      <c r="Q285" s="1557">
        <v>173250</v>
      </c>
      <c r="R285" s="1519">
        <f t="shared" si="197"/>
        <v>945000</v>
      </c>
      <c r="S285" s="1519">
        <f t="shared" si="198"/>
        <v>441000</v>
      </c>
      <c r="T285" s="1519">
        <f t="shared" si="199"/>
        <v>0</v>
      </c>
      <c r="U285" s="1535">
        <f t="shared" si="200"/>
        <v>15750</v>
      </c>
      <c r="V285" s="1537">
        <f t="shared" si="201"/>
        <v>189000</v>
      </c>
      <c r="W285" s="1519">
        <f t="shared" si="202"/>
        <v>189000</v>
      </c>
      <c r="X285" s="1537">
        <f t="shared" si="203"/>
        <v>189000</v>
      </c>
      <c r="Y285" s="1537">
        <f t="shared" si="204"/>
        <v>46250</v>
      </c>
      <c r="Z285" s="1537">
        <f t="shared" si="205"/>
        <v>0</v>
      </c>
      <c r="AA285" s="1537">
        <f t="shared" si="206"/>
        <v>0</v>
      </c>
      <c r="AB285" s="1537">
        <f t="shared" si="207"/>
        <v>0</v>
      </c>
      <c r="AC285" s="1537">
        <f t="shared" si="208"/>
        <v>0</v>
      </c>
      <c r="AD285" s="1537">
        <f t="shared" si="209"/>
        <v>0</v>
      </c>
      <c r="AE285" s="1537">
        <f t="shared" si="210"/>
        <v>0</v>
      </c>
      <c r="AF285" s="1536">
        <f t="shared" si="211"/>
        <v>0</v>
      </c>
      <c r="AG285" s="1555"/>
      <c r="AH285" s="1537">
        <f t="shared" si="212"/>
        <v>425250</v>
      </c>
      <c r="AI285" s="1537">
        <f t="shared" si="213"/>
        <v>236250</v>
      </c>
      <c r="AJ285" s="1537">
        <f t="shared" si="214"/>
        <v>47250</v>
      </c>
      <c r="AK285" s="1537">
        <f t="shared" si="215"/>
        <v>1000</v>
      </c>
      <c r="AL285" s="1537">
        <f t="shared" si="216"/>
        <v>1000</v>
      </c>
      <c r="AM285" s="1537">
        <f t="shared" si="217"/>
        <v>1000</v>
      </c>
      <c r="AN285" s="1537">
        <f t="shared" si="218"/>
        <v>1000</v>
      </c>
      <c r="AO285" s="1537">
        <f t="shared" si="219"/>
        <v>1000</v>
      </c>
      <c r="AP285" s="1537">
        <f t="shared" si="220"/>
        <v>1000</v>
      </c>
      <c r="AQ285" s="1537">
        <f t="shared" si="221"/>
        <v>1000</v>
      </c>
      <c r="AR285" s="1537">
        <f t="shared" si="222"/>
        <v>1000</v>
      </c>
    </row>
    <row r="286" spans="3:44" x14ac:dyDescent="0.3">
      <c r="C286" s="1566" t="s">
        <v>3211</v>
      </c>
      <c r="D286" s="1563" t="s">
        <v>3454</v>
      </c>
      <c r="E286" s="1556">
        <v>5</v>
      </c>
      <c r="F286" s="1518">
        <f t="shared" si="192"/>
        <v>3</v>
      </c>
      <c r="G286" s="1532">
        <f t="shared" si="193"/>
        <v>0</v>
      </c>
      <c r="H286" s="1533">
        <f t="shared" si="194"/>
        <v>0</v>
      </c>
      <c r="I286" s="1534">
        <f t="shared" si="195"/>
        <v>0.2</v>
      </c>
      <c r="J286" s="1519">
        <v>1890000</v>
      </c>
      <c r="K286" s="1519">
        <v>661500</v>
      </c>
      <c r="N286" s="1519">
        <f t="shared" si="196"/>
        <v>1228500</v>
      </c>
      <c r="Q286" s="1557">
        <v>346500</v>
      </c>
      <c r="R286" s="1519">
        <f t="shared" si="197"/>
        <v>1890000</v>
      </c>
      <c r="S286" s="1519">
        <f t="shared" si="198"/>
        <v>882000</v>
      </c>
      <c r="T286" s="1519">
        <f t="shared" si="199"/>
        <v>0</v>
      </c>
      <c r="U286" s="1535">
        <f t="shared" si="200"/>
        <v>31500</v>
      </c>
      <c r="V286" s="1537">
        <f t="shared" si="201"/>
        <v>378000</v>
      </c>
      <c r="W286" s="1519">
        <f t="shared" si="202"/>
        <v>378000</v>
      </c>
      <c r="X286" s="1537">
        <f t="shared" si="203"/>
        <v>378000</v>
      </c>
      <c r="Y286" s="1537">
        <f t="shared" si="204"/>
        <v>93500</v>
      </c>
      <c r="Z286" s="1537">
        <f t="shared" si="205"/>
        <v>0</v>
      </c>
      <c r="AA286" s="1537">
        <f t="shared" si="206"/>
        <v>0</v>
      </c>
      <c r="AB286" s="1537">
        <f t="shared" si="207"/>
        <v>0</v>
      </c>
      <c r="AC286" s="1537">
        <f t="shared" si="208"/>
        <v>0</v>
      </c>
      <c r="AD286" s="1537">
        <f t="shared" si="209"/>
        <v>0</v>
      </c>
      <c r="AE286" s="1537">
        <f t="shared" si="210"/>
        <v>0</v>
      </c>
      <c r="AF286" s="1536">
        <f t="shared" si="211"/>
        <v>0</v>
      </c>
      <c r="AG286" s="1555"/>
      <c r="AH286" s="1537">
        <f t="shared" si="212"/>
        <v>850500</v>
      </c>
      <c r="AI286" s="1537">
        <f t="shared" si="213"/>
        <v>472500</v>
      </c>
      <c r="AJ286" s="1537">
        <f t="shared" si="214"/>
        <v>94500</v>
      </c>
      <c r="AK286" s="1537">
        <f t="shared" si="215"/>
        <v>1000</v>
      </c>
      <c r="AL286" s="1537">
        <f t="shared" si="216"/>
        <v>1000</v>
      </c>
      <c r="AM286" s="1537">
        <f t="shared" si="217"/>
        <v>1000</v>
      </c>
      <c r="AN286" s="1537">
        <f t="shared" si="218"/>
        <v>1000</v>
      </c>
      <c r="AO286" s="1537">
        <f t="shared" si="219"/>
        <v>1000</v>
      </c>
      <c r="AP286" s="1537">
        <f t="shared" si="220"/>
        <v>1000</v>
      </c>
      <c r="AQ286" s="1537">
        <f t="shared" si="221"/>
        <v>1000</v>
      </c>
      <c r="AR286" s="1537">
        <f t="shared" si="222"/>
        <v>1000</v>
      </c>
    </row>
    <row r="287" spans="3:44" x14ac:dyDescent="0.3">
      <c r="C287" s="1566" t="s">
        <v>3212</v>
      </c>
      <c r="D287" s="1563" t="s">
        <v>3453</v>
      </c>
      <c r="E287" s="1556">
        <v>5</v>
      </c>
      <c r="F287" s="1518">
        <f t="shared" si="192"/>
        <v>3</v>
      </c>
      <c r="G287" s="1532">
        <f t="shared" si="193"/>
        <v>0</v>
      </c>
      <c r="H287" s="1533">
        <f t="shared" si="194"/>
        <v>0</v>
      </c>
      <c r="I287" s="1534">
        <f t="shared" si="195"/>
        <v>0.2</v>
      </c>
      <c r="J287" s="1519">
        <v>1070000</v>
      </c>
      <c r="K287" s="1519">
        <v>374500</v>
      </c>
      <c r="N287" s="1519">
        <f t="shared" si="196"/>
        <v>695500</v>
      </c>
      <c r="Q287" s="1557">
        <v>196167</v>
      </c>
      <c r="R287" s="1519">
        <f t="shared" si="197"/>
        <v>1070000</v>
      </c>
      <c r="S287" s="1519">
        <f t="shared" si="198"/>
        <v>499333</v>
      </c>
      <c r="T287" s="1519">
        <f t="shared" si="199"/>
        <v>0</v>
      </c>
      <c r="U287" s="1535">
        <f t="shared" si="200"/>
        <v>17833.333333333332</v>
      </c>
      <c r="V287" s="1537">
        <f t="shared" si="201"/>
        <v>214000.33333333334</v>
      </c>
      <c r="W287" s="1519">
        <f t="shared" si="202"/>
        <v>214000</v>
      </c>
      <c r="X287" s="1537">
        <f t="shared" si="203"/>
        <v>214000</v>
      </c>
      <c r="Y287" s="1537">
        <f t="shared" si="204"/>
        <v>52499.666666666686</v>
      </c>
      <c r="Z287" s="1537">
        <f t="shared" si="205"/>
        <v>0</v>
      </c>
      <c r="AA287" s="1537">
        <f t="shared" si="206"/>
        <v>0</v>
      </c>
      <c r="AB287" s="1537">
        <f t="shared" si="207"/>
        <v>0</v>
      </c>
      <c r="AC287" s="1537">
        <f t="shared" si="208"/>
        <v>0</v>
      </c>
      <c r="AD287" s="1537">
        <f t="shared" si="209"/>
        <v>0</v>
      </c>
      <c r="AE287" s="1537">
        <f t="shared" si="210"/>
        <v>0</v>
      </c>
      <c r="AF287" s="1536">
        <f t="shared" si="211"/>
        <v>0</v>
      </c>
      <c r="AG287" s="1555"/>
      <c r="AH287" s="1537">
        <f t="shared" si="212"/>
        <v>481499.66666666669</v>
      </c>
      <c r="AI287" s="1537">
        <f t="shared" si="213"/>
        <v>267499.66666666669</v>
      </c>
      <c r="AJ287" s="1537">
        <f t="shared" si="214"/>
        <v>53499.666666666686</v>
      </c>
      <c r="AK287" s="1537">
        <f t="shared" si="215"/>
        <v>1000</v>
      </c>
      <c r="AL287" s="1537">
        <f t="shared" si="216"/>
        <v>1000</v>
      </c>
      <c r="AM287" s="1537">
        <f t="shared" si="217"/>
        <v>1000</v>
      </c>
      <c r="AN287" s="1537">
        <f t="shared" si="218"/>
        <v>1000</v>
      </c>
      <c r="AO287" s="1537">
        <f t="shared" si="219"/>
        <v>1000</v>
      </c>
      <c r="AP287" s="1537">
        <f t="shared" si="220"/>
        <v>1000</v>
      </c>
      <c r="AQ287" s="1537">
        <f t="shared" si="221"/>
        <v>1000</v>
      </c>
      <c r="AR287" s="1537">
        <f t="shared" si="222"/>
        <v>1000</v>
      </c>
    </row>
    <row r="288" spans="3:44" x14ac:dyDescent="0.3">
      <c r="C288" s="1566" t="s">
        <v>3183</v>
      </c>
      <c r="D288" s="1563" t="s">
        <v>3455</v>
      </c>
      <c r="E288" s="1556">
        <v>5</v>
      </c>
      <c r="F288" s="1518">
        <f t="shared" si="192"/>
        <v>3</v>
      </c>
      <c r="G288" s="1532">
        <f t="shared" si="193"/>
        <v>0</v>
      </c>
      <c r="H288" s="1533">
        <f t="shared" si="194"/>
        <v>0</v>
      </c>
      <c r="I288" s="1534">
        <f t="shared" si="195"/>
        <v>0.2</v>
      </c>
      <c r="J288" s="1519">
        <v>4170000</v>
      </c>
      <c r="K288" s="1519">
        <v>1459500</v>
      </c>
      <c r="N288" s="1519">
        <f t="shared" si="196"/>
        <v>2710500</v>
      </c>
      <c r="Q288" s="1557">
        <v>764500</v>
      </c>
      <c r="R288" s="1519">
        <f t="shared" si="197"/>
        <v>4170000</v>
      </c>
      <c r="S288" s="1519">
        <f t="shared" si="198"/>
        <v>1946000</v>
      </c>
      <c r="T288" s="1519">
        <f t="shared" si="199"/>
        <v>0</v>
      </c>
      <c r="U288" s="1535">
        <f t="shared" si="200"/>
        <v>69500</v>
      </c>
      <c r="V288" s="1537">
        <f t="shared" si="201"/>
        <v>834000</v>
      </c>
      <c r="W288" s="1519">
        <f t="shared" si="202"/>
        <v>834000</v>
      </c>
      <c r="X288" s="1537">
        <f t="shared" si="203"/>
        <v>834000</v>
      </c>
      <c r="Y288" s="1537">
        <f t="shared" si="204"/>
        <v>207500</v>
      </c>
      <c r="Z288" s="1537">
        <f t="shared" si="205"/>
        <v>0</v>
      </c>
      <c r="AA288" s="1537">
        <f t="shared" si="206"/>
        <v>0</v>
      </c>
      <c r="AB288" s="1537">
        <f t="shared" si="207"/>
        <v>0</v>
      </c>
      <c r="AC288" s="1537">
        <f t="shared" si="208"/>
        <v>0</v>
      </c>
      <c r="AD288" s="1537">
        <f t="shared" si="209"/>
        <v>0</v>
      </c>
      <c r="AE288" s="1537">
        <f t="shared" si="210"/>
        <v>0</v>
      </c>
      <c r="AF288" s="1536">
        <f t="shared" si="211"/>
        <v>0</v>
      </c>
      <c r="AG288" s="1555"/>
      <c r="AH288" s="1537">
        <f t="shared" si="212"/>
        <v>1876500</v>
      </c>
      <c r="AI288" s="1537">
        <f t="shared" si="213"/>
        <v>1042500</v>
      </c>
      <c r="AJ288" s="1537">
        <f t="shared" si="214"/>
        <v>208500</v>
      </c>
      <c r="AK288" s="1537">
        <f t="shared" si="215"/>
        <v>1000</v>
      </c>
      <c r="AL288" s="1537">
        <f t="shared" si="216"/>
        <v>1000</v>
      </c>
      <c r="AM288" s="1537">
        <f t="shared" si="217"/>
        <v>1000</v>
      </c>
      <c r="AN288" s="1537">
        <f t="shared" si="218"/>
        <v>1000</v>
      </c>
      <c r="AO288" s="1537">
        <f t="shared" si="219"/>
        <v>1000</v>
      </c>
      <c r="AP288" s="1537">
        <f t="shared" si="220"/>
        <v>1000</v>
      </c>
      <c r="AQ288" s="1537">
        <f t="shared" si="221"/>
        <v>1000</v>
      </c>
      <c r="AR288" s="1537">
        <f t="shared" si="222"/>
        <v>1000</v>
      </c>
    </row>
    <row r="289" spans="3:44" x14ac:dyDescent="0.3">
      <c r="C289" s="1566" t="s">
        <v>3213</v>
      </c>
      <c r="D289" s="1563" t="s">
        <v>3456</v>
      </c>
      <c r="E289" s="1556">
        <v>5</v>
      </c>
      <c r="F289" s="1518">
        <f t="shared" si="192"/>
        <v>3</v>
      </c>
      <c r="G289" s="1532">
        <f t="shared" si="193"/>
        <v>0</v>
      </c>
      <c r="H289" s="1533">
        <f t="shared" si="194"/>
        <v>0</v>
      </c>
      <c r="I289" s="1534">
        <f t="shared" si="195"/>
        <v>0.2</v>
      </c>
      <c r="J289" s="1519">
        <v>4170000</v>
      </c>
      <c r="K289" s="1519">
        <v>1390000</v>
      </c>
      <c r="N289" s="1519">
        <f t="shared" si="196"/>
        <v>2780000</v>
      </c>
      <c r="Q289" s="1557">
        <v>764500</v>
      </c>
      <c r="R289" s="1519">
        <f t="shared" si="197"/>
        <v>4170000</v>
      </c>
      <c r="S289" s="1519">
        <f t="shared" si="198"/>
        <v>2015500</v>
      </c>
      <c r="T289" s="1519">
        <f t="shared" si="199"/>
        <v>0</v>
      </c>
      <c r="U289" s="1535">
        <f t="shared" si="200"/>
        <v>69500</v>
      </c>
      <c r="V289" s="1537">
        <f t="shared" si="201"/>
        <v>834000</v>
      </c>
      <c r="W289" s="1519">
        <f t="shared" si="202"/>
        <v>834000</v>
      </c>
      <c r="X289" s="1537">
        <f t="shared" si="203"/>
        <v>834000</v>
      </c>
      <c r="Y289" s="1537">
        <f t="shared" si="204"/>
        <v>277000</v>
      </c>
      <c r="Z289" s="1537">
        <f t="shared" si="205"/>
        <v>0</v>
      </c>
      <c r="AA289" s="1537">
        <f t="shared" si="206"/>
        <v>0</v>
      </c>
      <c r="AB289" s="1537">
        <f t="shared" si="207"/>
        <v>0</v>
      </c>
      <c r="AC289" s="1537">
        <f t="shared" si="208"/>
        <v>0</v>
      </c>
      <c r="AD289" s="1537">
        <f t="shared" si="209"/>
        <v>0</v>
      </c>
      <c r="AE289" s="1537">
        <f t="shared" si="210"/>
        <v>0</v>
      </c>
      <c r="AF289" s="1536">
        <f t="shared" si="211"/>
        <v>0</v>
      </c>
      <c r="AG289" s="1555"/>
      <c r="AH289" s="1537">
        <f t="shared" si="212"/>
        <v>1946000</v>
      </c>
      <c r="AI289" s="1537">
        <f t="shared" si="213"/>
        <v>1112000</v>
      </c>
      <c r="AJ289" s="1537">
        <f t="shared" si="214"/>
        <v>278000</v>
      </c>
      <c r="AK289" s="1537">
        <f t="shared" si="215"/>
        <v>1000</v>
      </c>
      <c r="AL289" s="1537">
        <f t="shared" si="216"/>
        <v>1000</v>
      </c>
      <c r="AM289" s="1537">
        <f t="shared" si="217"/>
        <v>1000</v>
      </c>
      <c r="AN289" s="1537">
        <f t="shared" si="218"/>
        <v>1000</v>
      </c>
      <c r="AO289" s="1537">
        <f t="shared" si="219"/>
        <v>1000</v>
      </c>
      <c r="AP289" s="1537">
        <f t="shared" si="220"/>
        <v>1000</v>
      </c>
      <c r="AQ289" s="1537">
        <f t="shared" si="221"/>
        <v>1000</v>
      </c>
      <c r="AR289" s="1537">
        <f t="shared" si="222"/>
        <v>1000</v>
      </c>
    </row>
    <row r="290" spans="3:44" x14ac:dyDescent="0.3">
      <c r="C290" s="1566" t="s">
        <v>3214</v>
      </c>
      <c r="D290" s="1563" t="s">
        <v>3457</v>
      </c>
      <c r="E290" s="1556">
        <v>5</v>
      </c>
      <c r="F290" s="1518">
        <f t="shared" si="192"/>
        <v>3</v>
      </c>
      <c r="G290" s="1532">
        <f t="shared" si="193"/>
        <v>0</v>
      </c>
      <c r="H290" s="1533">
        <f t="shared" si="194"/>
        <v>0</v>
      </c>
      <c r="I290" s="1534">
        <f t="shared" si="195"/>
        <v>0.2</v>
      </c>
      <c r="J290" s="1519">
        <v>945000</v>
      </c>
      <c r="K290" s="1519">
        <v>315000</v>
      </c>
      <c r="N290" s="1519">
        <f t="shared" si="196"/>
        <v>630000</v>
      </c>
      <c r="Q290" s="1557">
        <v>173250</v>
      </c>
      <c r="R290" s="1519">
        <f t="shared" si="197"/>
        <v>945000</v>
      </c>
      <c r="S290" s="1519">
        <f t="shared" si="198"/>
        <v>456750</v>
      </c>
      <c r="T290" s="1519">
        <f t="shared" si="199"/>
        <v>0</v>
      </c>
      <c r="U290" s="1535">
        <f t="shared" si="200"/>
        <v>15750</v>
      </c>
      <c r="V290" s="1537">
        <f t="shared" si="201"/>
        <v>189000</v>
      </c>
      <c r="W290" s="1519">
        <f t="shared" si="202"/>
        <v>189000</v>
      </c>
      <c r="X290" s="1537">
        <f t="shared" si="203"/>
        <v>189000</v>
      </c>
      <c r="Y290" s="1537">
        <f t="shared" si="204"/>
        <v>62000</v>
      </c>
      <c r="Z290" s="1537">
        <f t="shared" si="205"/>
        <v>0</v>
      </c>
      <c r="AA290" s="1537">
        <f t="shared" si="206"/>
        <v>0</v>
      </c>
      <c r="AB290" s="1537">
        <f t="shared" si="207"/>
        <v>0</v>
      </c>
      <c r="AC290" s="1537">
        <f t="shared" si="208"/>
        <v>0</v>
      </c>
      <c r="AD290" s="1537">
        <f t="shared" si="209"/>
        <v>0</v>
      </c>
      <c r="AE290" s="1537">
        <f t="shared" si="210"/>
        <v>0</v>
      </c>
      <c r="AF290" s="1536">
        <f t="shared" si="211"/>
        <v>0</v>
      </c>
      <c r="AG290" s="1555"/>
      <c r="AH290" s="1537">
        <f t="shared" si="212"/>
        <v>441000</v>
      </c>
      <c r="AI290" s="1537">
        <f t="shared" si="213"/>
        <v>252000</v>
      </c>
      <c r="AJ290" s="1537">
        <f t="shared" si="214"/>
        <v>63000</v>
      </c>
      <c r="AK290" s="1537">
        <f t="shared" si="215"/>
        <v>1000</v>
      </c>
      <c r="AL290" s="1537">
        <f t="shared" si="216"/>
        <v>1000</v>
      </c>
      <c r="AM290" s="1537">
        <f t="shared" si="217"/>
        <v>1000</v>
      </c>
      <c r="AN290" s="1537">
        <f t="shared" si="218"/>
        <v>1000</v>
      </c>
      <c r="AO290" s="1537">
        <f t="shared" si="219"/>
        <v>1000</v>
      </c>
      <c r="AP290" s="1537">
        <f t="shared" si="220"/>
        <v>1000</v>
      </c>
      <c r="AQ290" s="1537">
        <f t="shared" si="221"/>
        <v>1000</v>
      </c>
      <c r="AR290" s="1537">
        <f t="shared" si="222"/>
        <v>1000</v>
      </c>
    </row>
    <row r="291" spans="3:44" x14ac:dyDescent="0.3">
      <c r="C291" s="1566" t="s">
        <v>3215</v>
      </c>
      <c r="D291" s="1563" t="s">
        <v>3458</v>
      </c>
      <c r="E291" s="1556">
        <v>5</v>
      </c>
      <c r="F291" s="1518">
        <f t="shared" si="192"/>
        <v>3</v>
      </c>
      <c r="G291" s="1532">
        <f t="shared" si="193"/>
        <v>0</v>
      </c>
      <c r="H291" s="1533">
        <f t="shared" si="194"/>
        <v>0</v>
      </c>
      <c r="I291" s="1534">
        <f t="shared" si="195"/>
        <v>0.2</v>
      </c>
      <c r="J291" s="1519">
        <v>400000</v>
      </c>
      <c r="K291" s="1519">
        <v>133333</v>
      </c>
      <c r="N291" s="1519">
        <f t="shared" si="196"/>
        <v>266667</v>
      </c>
      <c r="Q291" s="1557">
        <v>73333</v>
      </c>
      <c r="R291" s="1519">
        <f t="shared" si="197"/>
        <v>400000</v>
      </c>
      <c r="S291" s="1519">
        <f t="shared" si="198"/>
        <v>193334</v>
      </c>
      <c r="T291" s="1519">
        <f t="shared" si="199"/>
        <v>0</v>
      </c>
      <c r="U291" s="1535">
        <f t="shared" si="200"/>
        <v>6666.6666666666661</v>
      </c>
      <c r="V291" s="1537">
        <f t="shared" si="201"/>
        <v>79999.666666666672</v>
      </c>
      <c r="W291" s="1519">
        <f t="shared" si="202"/>
        <v>80000</v>
      </c>
      <c r="X291" s="1537">
        <f t="shared" si="203"/>
        <v>80000</v>
      </c>
      <c r="Y291" s="1537">
        <f t="shared" si="204"/>
        <v>25667.333333333343</v>
      </c>
      <c r="Z291" s="1537">
        <f t="shared" si="205"/>
        <v>0</v>
      </c>
      <c r="AA291" s="1537">
        <f t="shared" si="206"/>
        <v>0</v>
      </c>
      <c r="AB291" s="1537">
        <f t="shared" si="207"/>
        <v>0</v>
      </c>
      <c r="AC291" s="1537">
        <f t="shared" si="208"/>
        <v>0</v>
      </c>
      <c r="AD291" s="1537">
        <f t="shared" si="209"/>
        <v>0</v>
      </c>
      <c r="AE291" s="1537">
        <f t="shared" si="210"/>
        <v>0</v>
      </c>
      <c r="AF291" s="1536">
        <f t="shared" si="211"/>
        <v>0</v>
      </c>
      <c r="AG291" s="1555"/>
      <c r="AH291" s="1537">
        <f t="shared" si="212"/>
        <v>186667.33333333334</v>
      </c>
      <c r="AI291" s="1537">
        <f t="shared" si="213"/>
        <v>106667.33333333334</v>
      </c>
      <c r="AJ291" s="1537">
        <f t="shared" si="214"/>
        <v>26667.333333333343</v>
      </c>
      <c r="AK291" s="1537">
        <f t="shared" si="215"/>
        <v>1000</v>
      </c>
      <c r="AL291" s="1537">
        <f t="shared" si="216"/>
        <v>1000</v>
      </c>
      <c r="AM291" s="1537">
        <f t="shared" si="217"/>
        <v>1000</v>
      </c>
      <c r="AN291" s="1537">
        <f t="shared" si="218"/>
        <v>1000</v>
      </c>
      <c r="AO291" s="1537">
        <f t="shared" si="219"/>
        <v>1000</v>
      </c>
      <c r="AP291" s="1537">
        <f t="shared" si="220"/>
        <v>1000</v>
      </c>
      <c r="AQ291" s="1537">
        <f t="shared" si="221"/>
        <v>1000</v>
      </c>
      <c r="AR291" s="1537">
        <f t="shared" si="222"/>
        <v>1000</v>
      </c>
    </row>
    <row r="292" spans="3:44" x14ac:dyDescent="0.3">
      <c r="C292" s="1566" t="s">
        <v>3213</v>
      </c>
      <c r="D292" s="1563" t="s">
        <v>3458</v>
      </c>
      <c r="E292" s="1556">
        <v>5</v>
      </c>
      <c r="F292" s="1518">
        <f t="shared" si="192"/>
        <v>3</v>
      </c>
      <c r="G292" s="1532">
        <f t="shared" si="193"/>
        <v>0</v>
      </c>
      <c r="H292" s="1533">
        <f t="shared" si="194"/>
        <v>0</v>
      </c>
      <c r="I292" s="1534">
        <f t="shared" si="195"/>
        <v>0.2</v>
      </c>
      <c r="J292" s="1519">
        <v>4170000</v>
      </c>
      <c r="K292" s="1519">
        <v>1390000</v>
      </c>
      <c r="N292" s="1519">
        <f t="shared" si="196"/>
        <v>2780000</v>
      </c>
      <c r="Q292" s="1557">
        <v>764500</v>
      </c>
      <c r="R292" s="1519">
        <f t="shared" si="197"/>
        <v>4170000</v>
      </c>
      <c r="S292" s="1519">
        <f t="shared" si="198"/>
        <v>2015500</v>
      </c>
      <c r="T292" s="1519">
        <f t="shared" si="199"/>
        <v>0</v>
      </c>
      <c r="U292" s="1535">
        <f t="shared" si="200"/>
        <v>69500</v>
      </c>
      <c r="V292" s="1537">
        <f t="shared" si="201"/>
        <v>834000</v>
      </c>
      <c r="W292" s="1519">
        <f t="shared" si="202"/>
        <v>834000</v>
      </c>
      <c r="X292" s="1537">
        <f t="shared" si="203"/>
        <v>834000</v>
      </c>
      <c r="Y292" s="1537">
        <f t="shared" si="204"/>
        <v>277000</v>
      </c>
      <c r="Z292" s="1537">
        <f t="shared" si="205"/>
        <v>0</v>
      </c>
      <c r="AA292" s="1537">
        <f t="shared" si="206"/>
        <v>0</v>
      </c>
      <c r="AB292" s="1537">
        <f t="shared" si="207"/>
        <v>0</v>
      </c>
      <c r="AC292" s="1537">
        <f t="shared" si="208"/>
        <v>0</v>
      </c>
      <c r="AD292" s="1537">
        <f t="shared" si="209"/>
        <v>0</v>
      </c>
      <c r="AE292" s="1537">
        <f t="shared" si="210"/>
        <v>0</v>
      </c>
      <c r="AF292" s="1536">
        <f t="shared" si="211"/>
        <v>0</v>
      </c>
      <c r="AG292" s="1555"/>
      <c r="AH292" s="1537">
        <f t="shared" si="212"/>
        <v>1946000</v>
      </c>
      <c r="AI292" s="1537">
        <f t="shared" si="213"/>
        <v>1112000</v>
      </c>
      <c r="AJ292" s="1537">
        <f t="shared" si="214"/>
        <v>278000</v>
      </c>
      <c r="AK292" s="1537">
        <f t="shared" si="215"/>
        <v>1000</v>
      </c>
      <c r="AL292" s="1537">
        <f t="shared" si="216"/>
        <v>1000</v>
      </c>
      <c r="AM292" s="1537">
        <f t="shared" si="217"/>
        <v>1000</v>
      </c>
      <c r="AN292" s="1537">
        <f t="shared" si="218"/>
        <v>1000</v>
      </c>
      <c r="AO292" s="1537">
        <f t="shared" si="219"/>
        <v>1000</v>
      </c>
      <c r="AP292" s="1537">
        <f t="shared" si="220"/>
        <v>1000</v>
      </c>
      <c r="AQ292" s="1537">
        <f t="shared" si="221"/>
        <v>1000</v>
      </c>
      <c r="AR292" s="1537">
        <f t="shared" si="222"/>
        <v>1000</v>
      </c>
    </row>
    <row r="293" spans="3:44" x14ac:dyDescent="0.3">
      <c r="C293" s="1566" t="s">
        <v>3216</v>
      </c>
      <c r="D293" s="1563" t="s">
        <v>3459</v>
      </c>
      <c r="E293" s="1556">
        <v>5</v>
      </c>
      <c r="F293" s="1518">
        <f t="shared" si="192"/>
        <v>3</v>
      </c>
      <c r="G293" s="1532">
        <f t="shared" si="193"/>
        <v>0</v>
      </c>
      <c r="H293" s="1533">
        <f t="shared" si="194"/>
        <v>0</v>
      </c>
      <c r="I293" s="1534">
        <f t="shared" si="195"/>
        <v>0.2</v>
      </c>
      <c r="J293" s="1519">
        <v>400000</v>
      </c>
      <c r="K293" s="1519">
        <v>133333</v>
      </c>
      <c r="N293" s="1519">
        <f t="shared" si="196"/>
        <v>266667</v>
      </c>
      <c r="Q293" s="1557">
        <v>73333</v>
      </c>
      <c r="R293" s="1519">
        <f t="shared" si="197"/>
        <v>400000</v>
      </c>
      <c r="S293" s="1519">
        <f t="shared" si="198"/>
        <v>193334</v>
      </c>
      <c r="T293" s="1519">
        <f t="shared" si="199"/>
        <v>0</v>
      </c>
      <c r="U293" s="1535">
        <f t="shared" si="200"/>
        <v>6666.6666666666661</v>
      </c>
      <c r="V293" s="1537">
        <f t="shared" si="201"/>
        <v>79999.666666666672</v>
      </c>
      <c r="W293" s="1519">
        <f t="shared" si="202"/>
        <v>80000</v>
      </c>
      <c r="X293" s="1537">
        <f t="shared" si="203"/>
        <v>80000</v>
      </c>
      <c r="Y293" s="1537">
        <f t="shared" si="204"/>
        <v>25667.333333333343</v>
      </c>
      <c r="Z293" s="1537">
        <f t="shared" si="205"/>
        <v>0</v>
      </c>
      <c r="AA293" s="1537">
        <f t="shared" si="206"/>
        <v>0</v>
      </c>
      <c r="AB293" s="1537">
        <f t="shared" si="207"/>
        <v>0</v>
      </c>
      <c r="AC293" s="1537">
        <f t="shared" si="208"/>
        <v>0</v>
      </c>
      <c r="AD293" s="1537">
        <f t="shared" si="209"/>
        <v>0</v>
      </c>
      <c r="AE293" s="1537">
        <f t="shared" si="210"/>
        <v>0</v>
      </c>
      <c r="AF293" s="1536">
        <f t="shared" si="211"/>
        <v>0</v>
      </c>
      <c r="AG293" s="1555"/>
      <c r="AH293" s="1537">
        <f t="shared" si="212"/>
        <v>186667.33333333334</v>
      </c>
      <c r="AI293" s="1537">
        <f t="shared" si="213"/>
        <v>106667.33333333334</v>
      </c>
      <c r="AJ293" s="1537">
        <f t="shared" si="214"/>
        <v>26667.333333333343</v>
      </c>
      <c r="AK293" s="1537">
        <f t="shared" si="215"/>
        <v>1000</v>
      </c>
      <c r="AL293" s="1537">
        <f t="shared" si="216"/>
        <v>1000</v>
      </c>
      <c r="AM293" s="1537">
        <f t="shared" si="217"/>
        <v>1000</v>
      </c>
      <c r="AN293" s="1537">
        <f t="shared" si="218"/>
        <v>1000</v>
      </c>
      <c r="AO293" s="1537">
        <f t="shared" si="219"/>
        <v>1000</v>
      </c>
      <c r="AP293" s="1537">
        <f t="shared" si="220"/>
        <v>1000</v>
      </c>
      <c r="AQ293" s="1537">
        <f t="shared" si="221"/>
        <v>1000</v>
      </c>
      <c r="AR293" s="1537">
        <f t="shared" si="222"/>
        <v>1000</v>
      </c>
    </row>
    <row r="294" spans="3:44" x14ac:dyDescent="0.3">
      <c r="C294" s="1566" t="s">
        <v>3216</v>
      </c>
      <c r="D294" s="1563" t="s">
        <v>3459</v>
      </c>
      <c r="E294" s="1556">
        <v>5</v>
      </c>
      <c r="F294" s="1518">
        <f t="shared" si="192"/>
        <v>3</v>
      </c>
      <c r="G294" s="1532">
        <f t="shared" si="193"/>
        <v>0</v>
      </c>
      <c r="H294" s="1533">
        <f t="shared" si="194"/>
        <v>0</v>
      </c>
      <c r="I294" s="1534">
        <f t="shared" si="195"/>
        <v>0.2</v>
      </c>
      <c r="J294" s="1519">
        <v>400000</v>
      </c>
      <c r="K294" s="1519">
        <v>133333</v>
      </c>
      <c r="N294" s="1519">
        <f t="shared" si="196"/>
        <v>266667</v>
      </c>
      <c r="Q294" s="1557">
        <v>73333</v>
      </c>
      <c r="R294" s="1519">
        <f t="shared" si="197"/>
        <v>400000</v>
      </c>
      <c r="S294" s="1519">
        <f t="shared" si="198"/>
        <v>193334</v>
      </c>
      <c r="T294" s="1519">
        <f t="shared" si="199"/>
        <v>0</v>
      </c>
      <c r="U294" s="1535">
        <f t="shared" si="200"/>
        <v>6666.6666666666661</v>
      </c>
      <c r="V294" s="1537">
        <f t="shared" si="201"/>
        <v>79999.666666666672</v>
      </c>
      <c r="W294" s="1519">
        <f t="shared" si="202"/>
        <v>80000</v>
      </c>
      <c r="X294" s="1537">
        <f t="shared" si="203"/>
        <v>80000</v>
      </c>
      <c r="Y294" s="1537">
        <f t="shared" si="204"/>
        <v>25667.333333333343</v>
      </c>
      <c r="Z294" s="1537">
        <f t="shared" si="205"/>
        <v>0</v>
      </c>
      <c r="AA294" s="1537">
        <f t="shared" si="206"/>
        <v>0</v>
      </c>
      <c r="AB294" s="1537">
        <f t="shared" si="207"/>
        <v>0</v>
      </c>
      <c r="AC294" s="1537">
        <f t="shared" si="208"/>
        <v>0</v>
      </c>
      <c r="AD294" s="1537">
        <f t="shared" si="209"/>
        <v>0</v>
      </c>
      <c r="AE294" s="1537">
        <f t="shared" si="210"/>
        <v>0</v>
      </c>
      <c r="AF294" s="1536">
        <f t="shared" si="211"/>
        <v>0</v>
      </c>
      <c r="AG294" s="1555"/>
      <c r="AH294" s="1537">
        <f t="shared" si="212"/>
        <v>186667.33333333334</v>
      </c>
      <c r="AI294" s="1537">
        <f t="shared" si="213"/>
        <v>106667.33333333334</v>
      </c>
      <c r="AJ294" s="1537">
        <f t="shared" si="214"/>
        <v>26667.333333333343</v>
      </c>
      <c r="AK294" s="1537">
        <f t="shared" si="215"/>
        <v>1000</v>
      </c>
      <c r="AL294" s="1537">
        <f t="shared" si="216"/>
        <v>1000</v>
      </c>
      <c r="AM294" s="1537">
        <f t="shared" si="217"/>
        <v>1000</v>
      </c>
      <c r="AN294" s="1537">
        <f t="shared" si="218"/>
        <v>1000</v>
      </c>
      <c r="AO294" s="1537">
        <f t="shared" si="219"/>
        <v>1000</v>
      </c>
      <c r="AP294" s="1537">
        <f t="shared" si="220"/>
        <v>1000</v>
      </c>
      <c r="AQ294" s="1537">
        <f t="shared" si="221"/>
        <v>1000</v>
      </c>
      <c r="AR294" s="1537">
        <f t="shared" si="222"/>
        <v>1000</v>
      </c>
    </row>
    <row r="295" spans="3:44" x14ac:dyDescent="0.3">
      <c r="C295" s="1566" t="s">
        <v>3217</v>
      </c>
      <c r="D295" s="1563" t="s">
        <v>3460</v>
      </c>
      <c r="E295" s="1556">
        <v>5</v>
      </c>
      <c r="F295" s="1518">
        <f t="shared" si="192"/>
        <v>3</v>
      </c>
      <c r="G295" s="1532">
        <f t="shared" si="193"/>
        <v>0</v>
      </c>
      <c r="H295" s="1533">
        <f t="shared" si="194"/>
        <v>0</v>
      </c>
      <c r="I295" s="1534">
        <f t="shared" si="195"/>
        <v>0.2</v>
      </c>
      <c r="J295" s="1519">
        <v>5710000</v>
      </c>
      <c r="K295" s="1519">
        <v>1903333</v>
      </c>
      <c r="N295" s="1519">
        <f t="shared" si="196"/>
        <v>3806667</v>
      </c>
      <c r="Q295" s="1557">
        <v>1046833</v>
      </c>
      <c r="R295" s="1519">
        <f t="shared" si="197"/>
        <v>5710000</v>
      </c>
      <c r="S295" s="1519">
        <f t="shared" si="198"/>
        <v>2759834</v>
      </c>
      <c r="T295" s="1519">
        <f t="shared" si="199"/>
        <v>0</v>
      </c>
      <c r="U295" s="1535">
        <f t="shared" si="200"/>
        <v>95166.666666666672</v>
      </c>
      <c r="V295" s="1537">
        <f t="shared" si="201"/>
        <v>1141999.6666666667</v>
      </c>
      <c r="W295" s="1519">
        <f t="shared" si="202"/>
        <v>1142000</v>
      </c>
      <c r="X295" s="1537">
        <f t="shared" si="203"/>
        <v>1142000</v>
      </c>
      <c r="Y295" s="1537">
        <f t="shared" si="204"/>
        <v>379667.33333333349</v>
      </c>
      <c r="Z295" s="1537">
        <f t="shared" si="205"/>
        <v>0</v>
      </c>
      <c r="AA295" s="1537">
        <f t="shared" si="206"/>
        <v>0</v>
      </c>
      <c r="AB295" s="1537">
        <f t="shared" si="207"/>
        <v>0</v>
      </c>
      <c r="AC295" s="1537">
        <f t="shared" si="208"/>
        <v>0</v>
      </c>
      <c r="AD295" s="1537">
        <f t="shared" si="209"/>
        <v>0</v>
      </c>
      <c r="AE295" s="1537">
        <f t="shared" si="210"/>
        <v>0</v>
      </c>
      <c r="AF295" s="1536">
        <f t="shared" si="211"/>
        <v>0</v>
      </c>
      <c r="AG295" s="1555"/>
      <c r="AH295" s="1537">
        <f t="shared" si="212"/>
        <v>2664667.3333333335</v>
      </c>
      <c r="AI295" s="1537">
        <f t="shared" si="213"/>
        <v>1522667.3333333335</v>
      </c>
      <c r="AJ295" s="1537">
        <f t="shared" si="214"/>
        <v>380667.33333333349</v>
      </c>
      <c r="AK295" s="1537">
        <f t="shared" si="215"/>
        <v>1000</v>
      </c>
      <c r="AL295" s="1537">
        <f t="shared" si="216"/>
        <v>1000</v>
      </c>
      <c r="AM295" s="1537">
        <f t="shared" si="217"/>
        <v>1000</v>
      </c>
      <c r="AN295" s="1537">
        <f t="shared" si="218"/>
        <v>1000</v>
      </c>
      <c r="AO295" s="1537">
        <f t="shared" si="219"/>
        <v>1000</v>
      </c>
      <c r="AP295" s="1537">
        <f t="shared" si="220"/>
        <v>1000</v>
      </c>
      <c r="AQ295" s="1537">
        <f t="shared" si="221"/>
        <v>1000</v>
      </c>
      <c r="AR295" s="1537">
        <f t="shared" si="222"/>
        <v>1000</v>
      </c>
    </row>
    <row r="296" spans="3:44" x14ac:dyDescent="0.3">
      <c r="C296" s="1566" t="s">
        <v>3218</v>
      </c>
      <c r="D296" s="1563" t="s">
        <v>3461</v>
      </c>
      <c r="E296" s="1556">
        <v>5</v>
      </c>
      <c r="F296" s="1518">
        <f t="shared" si="192"/>
        <v>3</v>
      </c>
      <c r="G296" s="1532">
        <f t="shared" si="193"/>
        <v>0</v>
      </c>
      <c r="H296" s="1533">
        <f t="shared" si="194"/>
        <v>0</v>
      </c>
      <c r="I296" s="1534">
        <f t="shared" si="195"/>
        <v>0.2</v>
      </c>
      <c r="J296" s="1519">
        <v>5670000</v>
      </c>
      <c r="K296" s="1519">
        <v>1890000</v>
      </c>
      <c r="N296" s="1519">
        <f t="shared" si="196"/>
        <v>3780000</v>
      </c>
      <c r="Q296" s="1557">
        <v>1039500</v>
      </c>
      <c r="R296" s="1519">
        <f t="shared" si="197"/>
        <v>5670000</v>
      </c>
      <c r="S296" s="1519">
        <f t="shared" si="198"/>
        <v>2740500</v>
      </c>
      <c r="T296" s="1519">
        <f t="shared" si="199"/>
        <v>0</v>
      </c>
      <c r="U296" s="1535">
        <f t="shared" si="200"/>
        <v>94500</v>
      </c>
      <c r="V296" s="1537">
        <f t="shared" si="201"/>
        <v>1134000</v>
      </c>
      <c r="W296" s="1519">
        <f t="shared" si="202"/>
        <v>1134000</v>
      </c>
      <c r="X296" s="1537">
        <f t="shared" si="203"/>
        <v>1134000</v>
      </c>
      <c r="Y296" s="1537">
        <f t="shared" si="204"/>
        <v>377000</v>
      </c>
      <c r="Z296" s="1537">
        <f t="shared" si="205"/>
        <v>0</v>
      </c>
      <c r="AA296" s="1537">
        <f t="shared" si="206"/>
        <v>0</v>
      </c>
      <c r="AB296" s="1537">
        <f t="shared" si="207"/>
        <v>0</v>
      </c>
      <c r="AC296" s="1537">
        <f t="shared" si="208"/>
        <v>0</v>
      </c>
      <c r="AD296" s="1537">
        <f t="shared" si="209"/>
        <v>0</v>
      </c>
      <c r="AE296" s="1537">
        <f t="shared" si="210"/>
        <v>0</v>
      </c>
      <c r="AF296" s="1536">
        <f t="shared" si="211"/>
        <v>0</v>
      </c>
      <c r="AG296" s="1555"/>
      <c r="AH296" s="1537">
        <f t="shared" si="212"/>
        <v>2646000</v>
      </c>
      <c r="AI296" s="1537">
        <f t="shared" si="213"/>
        <v>1512000</v>
      </c>
      <c r="AJ296" s="1537">
        <f t="shared" si="214"/>
        <v>378000</v>
      </c>
      <c r="AK296" s="1537">
        <f t="shared" si="215"/>
        <v>1000</v>
      </c>
      <c r="AL296" s="1537">
        <f t="shared" si="216"/>
        <v>1000</v>
      </c>
      <c r="AM296" s="1537">
        <f t="shared" si="217"/>
        <v>1000</v>
      </c>
      <c r="AN296" s="1537">
        <f t="shared" si="218"/>
        <v>1000</v>
      </c>
      <c r="AO296" s="1537">
        <f t="shared" si="219"/>
        <v>1000</v>
      </c>
      <c r="AP296" s="1537">
        <f t="shared" si="220"/>
        <v>1000</v>
      </c>
      <c r="AQ296" s="1537">
        <f t="shared" si="221"/>
        <v>1000</v>
      </c>
      <c r="AR296" s="1537">
        <f t="shared" si="222"/>
        <v>1000</v>
      </c>
    </row>
    <row r="297" spans="3:44" x14ac:dyDescent="0.3">
      <c r="C297" s="1566" t="s">
        <v>3219</v>
      </c>
      <c r="D297" s="1563" t="s">
        <v>3462</v>
      </c>
      <c r="E297" s="1556">
        <v>5</v>
      </c>
      <c r="F297" s="1518">
        <f t="shared" si="192"/>
        <v>3</v>
      </c>
      <c r="G297" s="1532">
        <f t="shared" si="193"/>
        <v>0</v>
      </c>
      <c r="H297" s="1533">
        <f t="shared" si="194"/>
        <v>0</v>
      </c>
      <c r="I297" s="1534">
        <f t="shared" si="195"/>
        <v>0.2</v>
      </c>
      <c r="J297" s="1519">
        <v>1198000</v>
      </c>
      <c r="K297" s="1519">
        <v>399333</v>
      </c>
      <c r="N297" s="1519">
        <f t="shared" si="196"/>
        <v>798667</v>
      </c>
      <c r="Q297" s="1557">
        <v>219633</v>
      </c>
      <c r="R297" s="1519">
        <f t="shared" si="197"/>
        <v>1198000</v>
      </c>
      <c r="S297" s="1519">
        <f t="shared" si="198"/>
        <v>579034</v>
      </c>
      <c r="T297" s="1519">
        <f t="shared" si="199"/>
        <v>0</v>
      </c>
      <c r="U297" s="1535">
        <f t="shared" si="200"/>
        <v>19966.666666666668</v>
      </c>
      <c r="V297" s="1537">
        <f t="shared" si="201"/>
        <v>239599.66666666666</v>
      </c>
      <c r="W297" s="1519">
        <f t="shared" si="202"/>
        <v>239600</v>
      </c>
      <c r="X297" s="1537">
        <f t="shared" si="203"/>
        <v>239600</v>
      </c>
      <c r="Y297" s="1537">
        <f t="shared" si="204"/>
        <v>78867.333333333372</v>
      </c>
      <c r="Z297" s="1537">
        <f t="shared" si="205"/>
        <v>0</v>
      </c>
      <c r="AA297" s="1537">
        <f t="shared" si="206"/>
        <v>0</v>
      </c>
      <c r="AB297" s="1537">
        <f t="shared" si="207"/>
        <v>0</v>
      </c>
      <c r="AC297" s="1537">
        <f t="shared" si="208"/>
        <v>0</v>
      </c>
      <c r="AD297" s="1537">
        <f t="shared" si="209"/>
        <v>0</v>
      </c>
      <c r="AE297" s="1537">
        <f t="shared" si="210"/>
        <v>0</v>
      </c>
      <c r="AF297" s="1536">
        <f t="shared" si="211"/>
        <v>0</v>
      </c>
      <c r="AG297" s="1555"/>
      <c r="AH297" s="1537">
        <f t="shared" si="212"/>
        <v>559067.33333333337</v>
      </c>
      <c r="AI297" s="1537">
        <f t="shared" si="213"/>
        <v>319467.33333333337</v>
      </c>
      <c r="AJ297" s="1537">
        <f t="shared" si="214"/>
        <v>79867.333333333372</v>
      </c>
      <c r="AK297" s="1537">
        <f t="shared" si="215"/>
        <v>1000</v>
      </c>
      <c r="AL297" s="1537">
        <f t="shared" si="216"/>
        <v>1000</v>
      </c>
      <c r="AM297" s="1537">
        <f t="shared" si="217"/>
        <v>1000</v>
      </c>
      <c r="AN297" s="1537">
        <f t="shared" si="218"/>
        <v>1000</v>
      </c>
      <c r="AO297" s="1537">
        <f t="shared" si="219"/>
        <v>1000</v>
      </c>
      <c r="AP297" s="1537">
        <f t="shared" si="220"/>
        <v>1000</v>
      </c>
      <c r="AQ297" s="1537">
        <f t="shared" si="221"/>
        <v>1000</v>
      </c>
      <c r="AR297" s="1537">
        <f t="shared" si="222"/>
        <v>1000</v>
      </c>
    </row>
    <row r="298" spans="3:44" x14ac:dyDescent="0.3">
      <c r="C298" s="1566" t="s">
        <v>3183</v>
      </c>
      <c r="D298" s="1563" t="s">
        <v>3463</v>
      </c>
      <c r="E298" s="1556">
        <v>5</v>
      </c>
      <c r="F298" s="1518">
        <f t="shared" si="192"/>
        <v>3</v>
      </c>
      <c r="G298" s="1532">
        <f t="shared" si="193"/>
        <v>0</v>
      </c>
      <c r="H298" s="1533">
        <f t="shared" si="194"/>
        <v>0</v>
      </c>
      <c r="I298" s="1534">
        <f t="shared" si="195"/>
        <v>0.2</v>
      </c>
      <c r="J298" s="1519">
        <v>6950000</v>
      </c>
      <c r="K298" s="1519">
        <v>2316667</v>
      </c>
      <c r="N298" s="1519">
        <f t="shared" si="196"/>
        <v>4633333</v>
      </c>
      <c r="Q298" s="1557">
        <v>1274167</v>
      </c>
      <c r="R298" s="1519">
        <f t="shared" si="197"/>
        <v>6950000</v>
      </c>
      <c r="S298" s="1519">
        <f t="shared" si="198"/>
        <v>3359166</v>
      </c>
      <c r="T298" s="1519">
        <f t="shared" si="199"/>
        <v>0</v>
      </c>
      <c r="U298" s="1535">
        <f t="shared" si="200"/>
        <v>115833.33333333333</v>
      </c>
      <c r="V298" s="1537">
        <f t="shared" si="201"/>
        <v>1390000.3333333333</v>
      </c>
      <c r="W298" s="1519">
        <f t="shared" si="202"/>
        <v>1390000</v>
      </c>
      <c r="X298" s="1537">
        <f t="shared" si="203"/>
        <v>1390000</v>
      </c>
      <c r="Y298" s="1537">
        <f t="shared" si="204"/>
        <v>462332.66666666651</v>
      </c>
      <c r="Z298" s="1537">
        <f t="shared" si="205"/>
        <v>0</v>
      </c>
      <c r="AA298" s="1537">
        <f t="shared" si="206"/>
        <v>0</v>
      </c>
      <c r="AB298" s="1537">
        <f t="shared" si="207"/>
        <v>0</v>
      </c>
      <c r="AC298" s="1537">
        <f t="shared" si="208"/>
        <v>0</v>
      </c>
      <c r="AD298" s="1537">
        <f t="shared" si="209"/>
        <v>0</v>
      </c>
      <c r="AE298" s="1537">
        <f t="shared" si="210"/>
        <v>0</v>
      </c>
      <c r="AF298" s="1536">
        <f t="shared" si="211"/>
        <v>0</v>
      </c>
      <c r="AG298" s="1555"/>
      <c r="AH298" s="1537">
        <f t="shared" si="212"/>
        <v>3243332.6666666665</v>
      </c>
      <c r="AI298" s="1537">
        <f t="shared" si="213"/>
        <v>1853332.6666666665</v>
      </c>
      <c r="AJ298" s="1537">
        <f t="shared" si="214"/>
        <v>463332.66666666651</v>
      </c>
      <c r="AK298" s="1537">
        <f t="shared" si="215"/>
        <v>1000</v>
      </c>
      <c r="AL298" s="1537">
        <f t="shared" si="216"/>
        <v>1000</v>
      </c>
      <c r="AM298" s="1537">
        <f t="shared" si="217"/>
        <v>1000</v>
      </c>
      <c r="AN298" s="1537">
        <f t="shared" si="218"/>
        <v>1000</v>
      </c>
      <c r="AO298" s="1537">
        <f t="shared" si="219"/>
        <v>1000</v>
      </c>
      <c r="AP298" s="1537">
        <f t="shared" si="220"/>
        <v>1000</v>
      </c>
      <c r="AQ298" s="1537">
        <f t="shared" si="221"/>
        <v>1000</v>
      </c>
      <c r="AR298" s="1537">
        <f t="shared" si="222"/>
        <v>1000</v>
      </c>
    </row>
    <row r="299" spans="3:44" x14ac:dyDescent="0.3">
      <c r="C299" s="1566" t="s">
        <v>3220</v>
      </c>
      <c r="D299" s="1563" t="s">
        <v>3464</v>
      </c>
      <c r="E299" s="1556">
        <v>5</v>
      </c>
      <c r="F299" s="1518">
        <f t="shared" si="192"/>
        <v>3</v>
      </c>
      <c r="G299" s="1532">
        <f t="shared" si="193"/>
        <v>0</v>
      </c>
      <c r="H299" s="1533">
        <f t="shared" si="194"/>
        <v>0</v>
      </c>
      <c r="I299" s="1534">
        <f t="shared" si="195"/>
        <v>0.2</v>
      </c>
      <c r="J299" s="1519">
        <v>1050000</v>
      </c>
      <c r="K299" s="1519">
        <v>332500</v>
      </c>
      <c r="N299" s="1519">
        <f t="shared" si="196"/>
        <v>717500</v>
      </c>
      <c r="Q299" s="1557">
        <v>192500</v>
      </c>
      <c r="R299" s="1519">
        <f t="shared" si="197"/>
        <v>1050000</v>
      </c>
      <c r="S299" s="1519">
        <f t="shared" si="198"/>
        <v>525000</v>
      </c>
      <c r="T299" s="1519">
        <f t="shared" si="199"/>
        <v>0</v>
      </c>
      <c r="U299" s="1535">
        <f t="shared" si="200"/>
        <v>17500</v>
      </c>
      <c r="V299" s="1537">
        <f t="shared" si="201"/>
        <v>210000</v>
      </c>
      <c r="W299" s="1519">
        <f t="shared" si="202"/>
        <v>210000</v>
      </c>
      <c r="X299" s="1537">
        <f t="shared" si="203"/>
        <v>210000</v>
      </c>
      <c r="Y299" s="1537">
        <f t="shared" si="204"/>
        <v>86500</v>
      </c>
      <c r="Z299" s="1537">
        <f t="shared" si="205"/>
        <v>0</v>
      </c>
      <c r="AA299" s="1537">
        <f t="shared" si="206"/>
        <v>0</v>
      </c>
      <c r="AB299" s="1537">
        <f t="shared" si="207"/>
        <v>0</v>
      </c>
      <c r="AC299" s="1537">
        <f t="shared" si="208"/>
        <v>0</v>
      </c>
      <c r="AD299" s="1537">
        <f t="shared" si="209"/>
        <v>0</v>
      </c>
      <c r="AE299" s="1537">
        <f t="shared" si="210"/>
        <v>0</v>
      </c>
      <c r="AF299" s="1536">
        <f t="shared" si="211"/>
        <v>0</v>
      </c>
      <c r="AG299" s="1555"/>
      <c r="AH299" s="1537">
        <f t="shared" si="212"/>
        <v>507500</v>
      </c>
      <c r="AI299" s="1537">
        <f t="shared" si="213"/>
        <v>297500</v>
      </c>
      <c r="AJ299" s="1537">
        <f t="shared" si="214"/>
        <v>87500</v>
      </c>
      <c r="AK299" s="1537">
        <f t="shared" si="215"/>
        <v>1000</v>
      </c>
      <c r="AL299" s="1537">
        <f t="shared" si="216"/>
        <v>1000</v>
      </c>
      <c r="AM299" s="1537">
        <f t="shared" si="217"/>
        <v>1000</v>
      </c>
      <c r="AN299" s="1537">
        <f t="shared" si="218"/>
        <v>1000</v>
      </c>
      <c r="AO299" s="1537">
        <f t="shared" si="219"/>
        <v>1000</v>
      </c>
      <c r="AP299" s="1537">
        <f t="shared" si="220"/>
        <v>1000</v>
      </c>
      <c r="AQ299" s="1537">
        <f t="shared" si="221"/>
        <v>1000</v>
      </c>
      <c r="AR299" s="1537">
        <f t="shared" si="222"/>
        <v>1000</v>
      </c>
    </row>
    <row r="300" spans="3:44" x14ac:dyDescent="0.3">
      <c r="C300" s="1566" t="s">
        <v>3214</v>
      </c>
      <c r="D300" s="1563" t="s">
        <v>3464</v>
      </c>
      <c r="E300" s="1556">
        <v>5</v>
      </c>
      <c r="F300" s="1518">
        <f t="shared" si="192"/>
        <v>3</v>
      </c>
      <c r="G300" s="1532">
        <f t="shared" si="193"/>
        <v>0</v>
      </c>
      <c r="H300" s="1533">
        <f t="shared" si="194"/>
        <v>0</v>
      </c>
      <c r="I300" s="1534">
        <f t="shared" si="195"/>
        <v>0.2</v>
      </c>
      <c r="J300" s="1519">
        <v>1890000</v>
      </c>
      <c r="K300" s="1519">
        <v>598500</v>
      </c>
      <c r="N300" s="1519">
        <f t="shared" si="196"/>
        <v>1291500</v>
      </c>
      <c r="Q300" s="1557">
        <v>346500</v>
      </c>
      <c r="R300" s="1519">
        <f t="shared" si="197"/>
        <v>1890000</v>
      </c>
      <c r="S300" s="1519">
        <f t="shared" si="198"/>
        <v>945000</v>
      </c>
      <c r="T300" s="1519">
        <f t="shared" si="199"/>
        <v>0</v>
      </c>
      <c r="U300" s="1535">
        <f t="shared" si="200"/>
        <v>31500</v>
      </c>
      <c r="V300" s="1537">
        <f t="shared" si="201"/>
        <v>378000</v>
      </c>
      <c r="W300" s="1519">
        <f t="shared" si="202"/>
        <v>378000</v>
      </c>
      <c r="X300" s="1537">
        <f t="shared" si="203"/>
        <v>378000</v>
      </c>
      <c r="Y300" s="1537">
        <f t="shared" si="204"/>
        <v>156500</v>
      </c>
      <c r="Z300" s="1537">
        <f t="shared" si="205"/>
        <v>0</v>
      </c>
      <c r="AA300" s="1537">
        <f t="shared" si="206"/>
        <v>0</v>
      </c>
      <c r="AB300" s="1537">
        <f t="shared" si="207"/>
        <v>0</v>
      </c>
      <c r="AC300" s="1537">
        <f t="shared" si="208"/>
        <v>0</v>
      </c>
      <c r="AD300" s="1537">
        <f t="shared" si="209"/>
        <v>0</v>
      </c>
      <c r="AE300" s="1537">
        <f t="shared" si="210"/>
        <v>0</v>
      </c>
      <c r="AF300" s="1536">
        <f t="shared" si="211"/>
        <v>0</v>
      </c>
      <c r="AG300" s="1555"/>
      <c r="AH300" s="1537">
        <f t="shared" si="212"/>
        <v>913500</v>
      </c>
      <c r="AI300" s="1537">
        <f t="shared" si="213"/>
        <v>535500</v>
      </c>
      <c r="AJ300" s="1537">
        <f t="shared" si="214"/>
        <v>157500</v>
      </c>
      <c r="AK300" s="1537">
        <f t="shared" si="215"/>
        <v>1000</v>
      </c>
      <c r="AL300" s="1537">
        <f t="shared" si="216"/>
        <v>1000</v>
      </c>
      <c r="AM300" s="1537">
        <f t="shared" si="217"/>
        <v>1000</v>
      </c>
      <c r="AN300" s="1537">
        <f t="shared" si="218"/>
        <v>1000</v>
      </c>
      <c r="AO300" s="1537">
        <f t="shared" si="219"/>
        <v>1000</v>
      </c>
      <c r="AP300" s="1537">
        <f t="shared" si="220"/>
        <v>1000</v>
      </c>
      <c r="AQ300" s="1537">
        <f t="shared" si="221"/>
        <v>1000</v>
      </c>
      <c r="AR300" s="1537">
        <f t="shared" si="222"/>
        <v>1000</v>
      </c>
    </row>
    <row r="301" spans="3:44" x14ac:dyDescent="0.3">
      <c r="C301" s="1566" t="s">
        <v>3183</v>
      </c>
      <c r="D301" s="1563" t="s">
        <v>3464</v>
      </c>
      <c r="E301" s="1556">
        <v>5</v>
      </c>
      <c r="F301" s="1518">
        <f t="shared" si="192"/>
        <v>3</v>
      </c>
      <c r="G301" s="1532">
        <f t="shared" si="193"/>
        <v>0</v>
      </c>
      <c r="H301" s="1533">
        <f t="shared" si="194"/>
        <v>0</v>
      </c>
      <c r="I301" s="1534">
        <f t="shared" si="195"/>
        <v>0.2</v>
      </c>
      <c r="J301" s="1519">
        <v>1390000</v>
      </c>
      <c r="K301" s="1519">
        <v>440167</v>
      </c>
      <c r="N301" s="1519">
        <f t="shared" si="196"/>
        <v>949833</v>
      </c>
      <c r="Q301" s="1557">
        <v>254833</v>
      </c>
      <c r="R301" s="1519">
        <f t="shared" si="197"/>
        <v>1390000</v>
      </c>
      <c r="S301" s="1519">
        <f t="shared" si="198"/>
        <v>695000</v>
      </c>
      <c r="T301" s="1519">
        <f t="shared" si="199"/>
        <v>0</v>
      </c>
      <c r="U301" s="1535">
        <f t="shared" si="200"/>
        <v>23166.666666666668</v>
      </c>
      <c r="V301" s="1537">
        <f t="shared" si="201"/>
        <v>277999.66666666669</v>
      </c>
      <c r="W301" s="1519">
        <f t="shared" si="202"/>
        <v>278000</v>
      </c>
      <c r="X301" s="1537">
        <f t="shared" si="203"/>
        <v>278000</v>
      </c>
      <c r="Y301" s="1537">
        <f t="shared" si="204"/>
        <v>114833.33333333337</v>
      </c>
      <c r="Z301" s="1537">
        <f t="shared" si="205"/>
        <v>0</v>
      </c>
      <c r="AA301" s="1537">
        <f t="shared" si="206"/>
        <v>0</v>
      </c>
      <c r="AB301" s="1537">
        <f t="shared" si="207"/>
        <v>0</v>
      </c>
      <c r="AC301" s="1537">
        <f t="shared" si="208"/>
        <v>0</v>
      </c>
      <c r="AD301" s="1537">
        <f t="shared" si="209"/>
        <v>0</v>
      </c>
      <c r="AE301" s="1537">
        <f t="shared" si="210"/>
        <v>0</v>
      </c>
      <c r="AF301" s="1536">
        <f t="shared" si="211"/>
        <v>0</v>
      </c>
      <c r="AG301" s="1555"/>
      <c r="AH301" s="1537">
        <f t="shared" si="212"/>
        <v>671833.33333333337</v>
      </c>
      <c r="AI301" s="1537">
        <f t="shared" si="213"/>
        <v>393833.33333333337</v>
      </c>
      <c r="AJ301" s="1537">
        <f t="shared" si="214"/>
        <v>115833.33333333337</v>
      </c>
      <c r="AK301" s="1537">
        <f t="shared" si="215"/>
        <v>1000</v>
      </c>
      <c r="AL301" s="1537">
        <f t="shared" si="216"/>
        <v>1000</v>
      </c>
      <c r="AM301" s="1537">
        <f t="shared" si="217"/>
        <v>1000</v>
      </c>
      <c r="AN301" s="1537">
        <f t="shared" si="218"/>
        <v>1000</v>
      </c>
      <c r="AO301" s="1537">
        <f t="shared" si="219"/>
        <v>1000</v>
      </c>
      <c r="AP301" s="1537">
        <f t="shared" si="220"/>
        <v>1000</v>
      </c>
      <c r="AQ301" s="1537">
        <f t="shared" si="221"/>
        <v>1000</v>
      </c>
      <c r="AR301" s="1537">
        <f t="shared" si="222"/>
        <v>1000</v>
      </c>
    </row>
    <row r="302" spans="3:44" x14ac:dyDescent="0.3">
      <c r="C302" s="1566" t="s">
        <v>3183</v>
      </c>
      <c r="D302" s="1563" t="s">
        <v>3465</v>
      </c>
      <c r="E302" s="1556">
        <v>5</v>
      </c>
      <c r="F302" s="1518">
        <f t="shared" si="192"/>
        <v>3</v>
      </c>
      <c r="G302" s="1532">
        <f t="shared" si="193"/>
        <v>0</v>
      </c>
      <c r="H302" s="1533">
        <f t="shared" si="194"/>
        <v>0</v>
      </c>
      <c r="I302" s="1534">
        <f t="shared" si="195"/>
        <v>0.2</v>
      </c>
      <c r="J302" s="1519">
        <v>1390000</v>
      </c>
      <c r="K302" s="1519">
        <v>440167</v>
      </c>
      <c r="N302" s="1519">
        <f t="shared" si="196"/>
        <v>949833</v>
      </c>
      <c r="Q302" s="1557">
        <v>254833</v>
      </c>
      <c r="R302" s="1519">
        <f t="shared" si="197"/>
        <v>1390000</v>
      </c>
      <c r="S302" s="1519">
        <f t="shared" si="198"/>
        <v>695000</v>
      </c>
      <c r="T302" s="1519">
        <f t="shared" si="199"/>
        <v>0</v>
      </c>
      <c r="U302" s="1535">
        <f t="shared" si="200"/>
        <v>23166.666666666668</v>
      </c>
      <c r="V302" s="1537">
        <f t="shared" si="201"/>
        <v>277999.66666666669</v>
      </c>
      <c r="W302" s="1519">
        <f t="shared" si="202"/>
        <v>278000</v>
      </c>
      <c r="X302" s="1537">
        <f t="shared" si="203"/>
        <v>278000</v>
      </c>
      <c r="Y302" s="1537">
        <f t="shared" si="204"/>
        <v>114833.33333333337</v>
      </c>
      <c r="Z302" s="1537">
        <f t="shared" si="205"/>
        <v>0</v>
      </c>
      <c r="AA302" s="1537">
        <f t="shared" si="206"/>
        <v>0</v>
      </c>
      <c r="AB302" s="1537">
        <f t="shared" si="207"/>
        <v>0</v>
      </c>
      <c r="AC302" s="1537">
        <f t="shared" si="208"/>
        <v>0</v>
      </c>
      <c r="AD302" s="1537">
        <f t="shared" si="209"/>
        <v>0</v>
      </c>
      <c r="AE302" s="1537">
        <f t="shared" si="210"/>
        <v>0</v>
      </c>
      <c r="AF302" s="1536">
        <f t="shared" si="211"/>
        <v>0</v>
      </c>
      <c r="AG302" s="1555"/>
      <c r="AH302" s="1537">
        <f t="shared" si="212"/>
        <v>671833.33333333337</v>
      </c>
      <c r="AI302" s="1537">
        <f t="shared" si="213"/>
        <v>393833.33333333337</v>
      </c>
      <c r="AJ302" s="1537">
        <f t="shared" si="214"/>
        <v>115833.33333333337</v>
      </c>
      <c r="AK302" s="1537">
        <f t="shared" si="215"/>
        <v>1000</v>
      </c>
      <c r="AL302" s="1537">
        <f t="shared" si="216"/>
        <v>1000</v>
      </c>
      <c r="AM302" s="1537">
        <f t="shared" si="217"/>
        <v>1000</v>
      </c>
      <c r="AN302" s="1537">
        <f t="shared" si="218"/>
        <v>1000</v>
      </c>
      <c r="AO302" s="1537">
        <f t="shared" si="219"/>
        <v>1000</v>
      </c>
      <c r="AP302" s="1537">
        <f t="shared" si="220"/>
        <v>1000</v>
      </c>
      <c r="AQ302" s="1537">
        <f t="shared" si="221"/>
        <v>1000</v>
      </c>
      <c r="AR302" s="1537">
        <f t="shared" si="222"/>
        <v>1000</v>
      </c>
    </row>
    <row r="303" spans="3:44" x14ac:dyDescent="0.3">
      <c r="C303" s="1566" t="s">
        <v>3221</v>
      </c>
      <c r="D303" s="1563" t="s">
        <v>3466</v>
      </c>
      <c r="E303" s="1556">
        <v>5</v>
      </c>
      <c r="F303" s="1518">
        <f t="shared" si="192"/>
        <v>3</v>
      </c>
      <c r="G303" s="1532">
        <f t="shared" si="193"/>
        <v>0</v>
      </c>
      <c r="H303" s="1533">
        <f t="shared" si="194"/>
        <v>0</v>
      </c>
      <c r="I303" s="1534">
        <f t="shared" si="195"/>
        <v>0.2</v>
      </c>
      <c r="J303" s="1519">
        <v>2330000</v>
      </c>
      <c r="K303" s="1519">
        <v>737833</v>
      </c>
      <c r="N303" s="1519">
        <f t="shared" si="196"/>
        <v>1592167</v>
      </c>
      <c r="Q303" s="1557">
        <v>427167</v>
      </c>
      <c r="R303" s="1519">
        <f t="shared" si="197"/>
        <v>2330000</v>
      </c>
      <c r="S303" s="1519">
        <f t="shared" si="198"/>
        <v>1165000</v>
      </c>
      <c r="T303" s="1519">
        <f t="shared" si="199"/>
        <v>0</v>
      </c>
      <c r="U303" s="1535">
        <f t="shared" si="200"/>
        <v>38833.333333333336</v>
      </c>
      <c r="V303" s="1537">
        <f t="shared" si="201"/>
        <v>466000.33333333331</v>
      </c>
      <c r="W303" s="1519">
        <f t="shared" si="202"/>
        <v>466000</v>
      </c>
      <c r="X303" s="1537">
        <f t="shared" si="203"/>
        <v>466000</v>
      </c>
      <c r="Y303" s="1537">
        <f t="shared" si="204"/>
        <v>193166.66666666674</v>
      </c>
      <c r="Z303" s="1537">
        <f t="shared" si="205"/>
        <v>0</v>
      </c>
      <c r="AA303" s="1537">
        <f t="shared" si="206"/>
        <v>0</v>
      </c>
      <c r="AB303" s="1537">
        <f t="shared" si="207"/>
        <v>0</v>
      </c>
      <c r="AC303" s="1537">
        <f t="shared" si="208"/>
        <v>0</v>
      </c>
      <c r="AD303" s="1537">
        <f t="shared" si="209"/>
        <v>0</v>
      </c>
      <c r="AE303" s="1537">
        <f t="shared" si="210"/>
        <v>0</v>
      </c>
      <c r="AF303" s="1536">
        <f t="shared" si="211"/>
        <v>0</v>
      </c>
      <c r="AG303" s="1555"/>
      <c r="AH303" s="1537">
        <f t="shared" si="212"/>
        <v>1126166.6666666667</v>
      </c>
      <c r="AI303" s="1537">
        <f t="shared" si="213"/>
        <v>660166.66666666674</v>
      </c>
      <c r="AJ303" s="1537">
        <f t="shared" si="214"/>
        <v>194166.66666666674</v>
      </c>
      <c r="AK303" s="1537">
        <f t="shared" si="215"/>
        <v>1000</v>
      </c>
      <c r="AL303" s="1537">
        <f t="shared" si="216"/>
        <v>1000</v>
      </c>
      <c r="AM303" s="1537">
        <f t="shared" si="217"/>
        <v>1000</v>
      </c>
      <c r="AN303" s="1537">
        <f t="shared" si="218"/>
        <v>1000</v>
      </c>
      <c r="AO303" s="1537">
        <f t="shared" si="219"/>
        <v>1000</v>
      </c>
      <c r="AP303" s="1537">
        <f t="shared" si="220"/>
        <v>1000</v>
      </c>
      <c r="AQ303" s="1537">
        <f t="shared" si="221"/>
        <v>1000</v>
      </c>
      <c r="AR303" s="1537">
        <f t="shared" si="222"/>
        <v>1000</v>
      </c>
    </row>
    <row r="304" spans="3:44" x14ac:dyDescent="0.3">
      <c r="C304" s="1566" t="s">
        <v>3183</v>
      </c>
      <c r="D304" s="1563" t="s">
        <v>3467</v>
      </c>
      <c r="E304" s="1556">
        <v>5</v>
      </c>
      <c r="F304" s="1518">
        <f t="shared" si="192"/>
        <v>3</v>
      </c>
      <c r="G304" s="1532">
        <f t="shared" si="193"/>
        <v>0</v>
      </c>
      <c r="H304" s="1533">
        <f t="shared" si="194"/>
        <v>0</v>
      </c>
      <c r="I304" s="1534">
        <f t="shared" si="195"/>
        <v>0.2</v>
      </c>
      <c r="J304" s="1519">
        <v>4170000</v>
      </c>
      <c r="K304" s="1519">
        <v>1251000</v>
      </c>
      <c r="N304" s="1519">
        <f t="shared" si="196"/>
        <v>2919000</v>
      </c>
      <c r="Q304" s="1557">
        <v>764500</v>
      </c>
      <c r="R304" s="1519">
        <f t="shared" si="197"/>
        <v>4170000</v>
      </c>
      <c r="S304" s="1519">
        <f t="shared" si="198"/>
        <v>2154500</v>
      </c>
      <c r="T304" s="1519">
        <f t="shared" si="199"/>
        <v>0</v>
      </c>
      <c r="U304" s="1535">
        <f t="shared" si="200"/>
        <v>69500</v>
      </c>
      <c r="V304" s="1537">
        <f t="shared" si="201"/>
        <v>834000</v>
      </c>
      <c r="W304" s="1519">
        <f t="shared" si="202"/>
        <v>834000</v>
      </c>
      <c r="X304" s="1537">
        <f t="shared" si="203"/>
        <v>834000</v>
      </c>
      <c r="Y304" s="1537">
        <f t="shared" si="204"/>
        <v>416000</v>
      </c>
      <c r="Z304" s="1537">
        <f t="shared" si="205"/>
        <v>0</v>
      </c>
      <c r="AA304" s="1537">
        <f t="shared" si="206"/>
        <v>0</v>
      </c>
      <c r="AB304" s="1537">
        <f t="shared" si="207"/>
        <v>0</v>
      </c>
      <c r="AC304" s="1537">
        <f t="shared" si="208"/>
        <v>0</v>
      </c>
      <c r="AD304" s="1537">
        <f t="shared" si="209"/>
        <v>0</v>
      </c>
      <c r="AE304" s="1537">
        <f t="shared" si="210"/>
        <v>0</v>
      </c>
      <c r="AF304" s="1536">
        <f t="shared" si="211"/>
        <v>0</v>
      </c>
      <c r="AG304" s="1555"/>
      <c r="AH304" s="1537">
        <f t="shared" si="212"/>
        <v>2085000</v>
      </c>
      <c r="AI304" s="1537">
        <f t="shared" si="213"/>
        <v>1251000</v>
      </c>
      <c r="AJ304" s="1537">
        <f t="shared" si="214"/>
        <v>417000</v>
      </c>
      <c r="AK304" s="1537">
        <f t="shared" si="215"/>
        <v>1000</v>
      </c>
      <c r="AL304" s="1537">
        <f t="shared" si="216"/>
        <v>1000</v>
      </c>
      <c r="AM304" s="1537">
        <f t="shared" si="217"/>
        <v>1000</v>
      </c>
      <c r="AN304" s="1537">
        <f t="shared" si="218"/>
        <v>1000</v>
      </c>
      <c r="AO304" s="1537">
        <f t="shared" si="219"/>
        <v>1000</v>
      </c>
      <c r="AP304" s="1537">
        <f t="shared" si="220"/>
        <v>1000</v>
      </c>
      <c r="AQ304" s="1537">
        <f t="shared" si="221"/>
        <v>1000</v>
      </c>
      <c r="AR304" s="1537">
        <f t="shared" si="222"/>
        <v>1000</v>
      </c>
    </row>
    <row r="305" spans="3:44" x14ac:dyDescent="0.3">
      <c r="C305" s="1566" t="s">
        <v>3222</v>
      </c>
      <c r="D305" s="1563" t="s">
        <v>3468</v>
      </c>
      <c r="E305" s="1556">
        <v>5</v>
      </c>
      <c r="F305" s="1518">
        <f t="shared" si="192"/>
        <v>3</v>
      </c>
      <c r="G305" s="1532">
        <f t="shared" si="193"/>
        <v>0</v>
      </c>
      <c r="H305" s="1533">
        <f t="shared" si="194"/>
        <v>0</v>
      </c>
      <c r="I305" s="1534">
        <f t="shared" si="195"/>
        <v>0.2</v>
      </c>
      <c r="J305" s="1519">
        <v>920000</v>
      </c>
      <c r="K305" s="1519">
        <v>276000</v>
      </c>
      <c r="N305" s="1519">
        <f t="shared" si="196"/>
        <v>644000</v>
      </c>
      <c r="Q305" s="1557">
        <v>168667</v>
      </c>
      <c r="R305" s="1519">
        <f t="shared" si="197"/>
        <v>920000</v>
      </c>
      <c r="S305" s="1519">
        <f t="shared" si="198"/>
        <v>475333</v>
      </c>
      <c r="T305" s="1519">
        <f t="shared" si="199"/>
        <v>0</v>
      </c>
      <c r="U305" s="1535">
        <f t="shared" si="200"/>
        <v>15333.333333333332</v>
      </c>
      <c r="V305" s="1537">
        <f t="shared" si="201"/>
        <v>184000.33333333334</v>
      </c>
      <c r="W305" s="1519">
        <f t="shared" si="202"/>
        <v>184000</v>
      </c>
      <c r="X305" s="1537">
        <f t="shared" si="203"/>
        <v>184000</v>
      </c>
      <c r="Y305" s="1537">
        <f t="shared" si="204"/>
        <v>90999.666666666686</v>
      </c>
      <c r="Z305" s="1537">
        <f t="shared" si="205"/>
        <v>0</v>
      </c>
      <c r="AA305" s="1537">
        <f t="shared" si="206"/>
        <v>0</v>
      </c>
      <c r="AB305" s="1537">
        <f t="shared" si="207"/>
        <v>0</v>
      </c>
      <c r="AC305" s="1537">
        <f t="shared" si="208"/>
        <v>0</v>
      </c>
      <c r="AD305" s="1537">
        <f t="shared" si="209"/>
        <v>0</v>
      </c>
      <c r="AE305" s="1537">
        <f t="shared" si="210"/>
        <v>0</v>
      </c>
      <c r="AF305" s="1536">
        <f t="shared" si="211"/>
        <v>0</v>
      </c>
      <c r="AG305" s="1555"/>
      <c r="AH305" s="1537">
        <f t="shared" si="212"/>
        <v>459999.66666666669</v>
      </c>
      <c r="AI305" s="1537">
        <f t="shared" si="213"/>
        <v>275999.66666666669</v>
      </c>
      <c r="AJ305" s="1537">
        <f t="shared" si="214"/>
        <v>91999.666666666686</v>
      </c>
      <c r="AK305" s="1537">
        <f t="shared" si="215"/>
        <v>1000</v>
      </c>
      <c r="AL305" s="1537">
        <f t="shared" si="216"/>
        <v>1000</v>
      </c>
      <c r="AM305" s="1537">
        <f t="shared" si="217"/>
        <v>1000</v>
      </c>
      <c r="AN305" s="1537">
        <f t="shared" si="218"/>
        <v>1000</v>
      </c>
      <c r="AO305" s="1537">
        <f t="shared" si="219"/>
        <v>1000</v>
      </c>
      <c r="AP305" s="1537">
        <f t="shared" si="220"/>
        <v>1000</v>
      </c>
      <c r="AQ305" s="1537">
        <f t="shared" si="221"/>
        <v>1000</v>
      </c>
      <c r="AR305" s="1537">
        <f t="shared" si="222"/>
        <v>1000</v>
      </c>
    </row>
    <row r="306" spans="3:44" x14ac:dyDescent="0.3">
      <c r="C306" s="1566" t="s">
        <v>3223</v>
      </c>
      <c r="D306" s="1563" t="s">
        <v>3469</v>
      </c>
      <c r="E306" s="1556">
        <v>5</v>
      </c>
      <c r="F306" s="1518">
        <f t="shared" si="192"/>
        <v>3</v>
      </c>
      <c r="G306" s="1532">
        <f t="shared" si="193"/>
        <v>0</v>
      </c>
      <c r="H306" s="1533">
        <f t="shared" si="194"/>
        <v>0</v>
      </c>
      <c r="I306" s="1534">
        <f t="shared" si="195"/>
        <v>0.2</v>
      </c>
      <c r="J306" s="1519">
        <v>945000</v>
      </c>
      <c r="K306" s="1519">
        <v>283500</v>
      </c>
      <c r="N306" s="1519">
        <f t="shared" si="196"/>
        <v>661500</v>
      </c>
      <c r="Q306" s="1557">
        <v>173250</v>
      </c>
      <c r="R306" s="1519">
        <f t="shared" si="197"/>
        <v>945000</v>
      </c>
      <c r="S306" s="1519">
        <f t="shared" si="198"/>
        <v>488250</v>
      </c>
      <c r="T306" s="1519">
        <f t="shared" si="199"/>
        <v>0</v>
      </c>
      <c r="U306" s="1535">
        <f t="shared" si="200"/>
        <v>15750</v>
      </c>
      <c r="V306" s="1537">
        <f t="shared" si="201"/>
        <v>189000</v>
      </c>
      <c r="W306" s="1519">
        <f t="shared" si="202"/>
        <v>189000</v>
      </c>
      <c r="X306" s="1537">
        <f t="shared" si="203"/>
        <v>189000</v>
      </c>
      <c r="Y306" s="1537">
        <f t="shared" si="204"/>
        <v>93500</v>
      </c>
      <c r="Z306" s="1537">
        <f t="shared" si="205"/>
        <v>0</v>
      </c>
      <c r="AA306" s="1537">
        <f t="shared" si="206"/>
        <v>0</v>
      </c>
      <c r="AB306" s="1537">
        <f t="shared" si="207"/>
        <v>0</v>
      </c>
      <c r="AC306" s="1537">
        <f t="shared" si="208"/>
        <v>0</v>
      </c>
      <c r="AD306" s="1537">
        <f t="shared" si="209"/>
        <v>0</v>
      </c>
      <c r="AE306" s="1537">
        <f t="shared" si="210"/>
        <v>0</v>
      </c>
      <c r="AF306" s="1536">
        <f t="shared" si="211"/>
        <v>0</v>
      </c>
      <c r="AG306" s="1555"/>
      <c r="AH306" s="1537">
        <f t="shared" si="212"/>
        <v>472500</v>
      </c>
      <c r="AI306" s="1537">
        <f t="shared" si="213"/>
        <v>283500</v>
      </c>
      <c r="AJ306" s="1537">
        <f t="shared" si="214"/>
        <v>94500</v>
      </c>
      <c r="AK306" s="1537">
        <f t="shared" si="215"/>
        <v>1000</v>
      </c>
      <c r="AL306" s="1537">
        <f t="shared" si="216"/>
        <v>1000</v>
      </c>
      <c r="AM306" s="1537">
        <f t="shared" si="217"/>
        <v>1000</v>
      </c>
      <c r="AN306" s="1537">
        <f t="shared" si="218"/>
        <v>1000</v>
      </c>
      <c r="AO306" s="1537">
        <f t="shared" si="219"/>
        <v>1000</v>
      </c>
      <c r="AP306" s="1537">
        <f t="shared" si="220"/>
        <v>1000</v>
      </c>
      <c r="AQ306" s="1537">
        <f t="shared" si="221"/>
        <v>1000</v>
      </c>
      <c r="AR306" s="1537">
        <f t="shared" si="222"/>
        <v>1000</v>
      </c>
    </row>
    <row r="307" spans="3:44" x14ac:dyDescent="0.3">
      <c r="C307" s="1566" t="s">
        <v>3224</v>
      </c>
      <c r="D307" s="1563" t="s">
        <v>3470</v>
      </c>
      <c r="E307" s="1556">
        <v>5</v>
      </c>
      <c r="F307" s="1518">
        <f t="shared" si="192"/>
        <v>3</v>
      </c>
      <c r="G307" s="1532">
        <f t="shared" si="193"/>
        <v>0</v>
      </c>
      <c r="H307" s="1533">
        <f t="shared" si="194"/>
        <v>0</v>
      </c>
      <c r="I307" s="1534">
        <f t="shared" si="195"/>
        <v>0.2</v>
      </c>
      <c r="J307" s="1519">
        <v>945000</v>
      </c>
      <c r="K307" s="1519">
        <v>283500</v>
      </c>
      <c r="N307" s="1519">
        <f t="shared" si="196"/>
        <v>661500</v>
      </c>
      <c r="Q307" s="1557">
        <v>173250</v>
      </c>
      <c r="R307" s="1519">
        <f t="shared" si="197"/>
        <v>945000</v>
      </c>
      <c r="S307" s="1519">
        <f t="shared" si="198"/>
        <v>488250</v>
      </c>
      <c r="T307" s="1519">
        <f t="shared" si="199"/>
        <v>0</v>
      </c>
      <c r="U307" s="1535">
        <f t="shared" si="200"/>
        <v>15750</v>
      </c>
      <c r="V307" s="1537">
        <f t="shared" si="201"/>
        <v>189000</v>
      </c>
      <c r="W307" s="1519">
        <f t="shared" si="202"/>
        <v>189000</v>
      </c>
      <c r="X307" s="1537">
        <f t="shared" si="203"/>
        <v>189000</v>
      </c>
      <c r="Y307" s="1537">
        <f t="shared" si="204"/>
        <v>93500</v>
      </c>
      <c r="Z307" s="1537">
        <f t="shared" si="205"/>
        <v>0</v>
      </c>
      <c r="AA307" s="1537">
        <f t="shared" si="206"/>
        <v>0</v>
      </c>
      <c r="AB307" s="1537">
        <f t="shared" si="207"/>
        <v>0</v>
      </c>
      <c r="AC307" s="1537">
        <f t="shared" si="208"/>
        <v>0</v>
      </c>
      <c r="AD307" s="1537">
        <f t="shared" si="209"/>
        <v>0</v>
      </c>
      <c r="AE307" s="1537">
        <f t="shared" si="210"/>
        <v>0</v>
      </c>
      <c r="AF307" s="1536">
        <f t="shared" si="211"/>
        <v>0</v>
      </c>
      <c r="AG307" s="1555"/>
      <c r="AH307" s="1537">
        <f t="shared" si="212"/>
        <v>472500</v>
      </c>
      <c r="AI307" s="1537">
        <f t="shared" si="213"/>
        <v>283500</v>
      </c>
      <c r="AJ307" s="1537">
        <f t="shared" si="214"/>
        <v>94500</v>
      </c>
      <c r="AK307" s="1537">
        <f t="shared" si="215"/>
        <v>1000</v>
      </c>
      <c r="AL307" s="1537">
        <f t="shared" si="216"/>
        <v>1000</v>
      </c>
      <c r="AM307" s="1537">
        <f t="shared" si="217"/>
        <v>1000</v>
      </c>
      <c r="AN307" s="1537">
        <f t="shared" si="218"/>
        <v>1000</v>
      </c>
      <c r="AO307" s="1537">
        <f t="shared" si="219"/>
        <v>1000</v>
      </c>
      <c r="AP307" s="1537">
        <f t="shared" si="220"/>
        <v>1000</v>
      </c>
      <c r="AQ307" s="1537">
        <f t="shared" si="221"/>
        <v>1000</v>
      </c>
      <c r="AR307" s="1537">
        <f t="shared" si="222"/>
        <v>1000</v>
      </c>
    </row>
    <row r="308" spans="3:44" x14ac:dyDescent="0.3">
      <c r="C308" s="1566" t="s">
        <v>3225</v>
      </c>
      <c r="D308" s="1563" t="s">
        <v>3471</v>
      </c>
      <c r="E308" s="1556">
        <v>5</v>
      </c>
      <c r="F308" s="1518">
        <f t="shared" si="192"/>
        <v>3</v>
      </c>
      <c r="G308" s="1532">
        <f t="shared" si="193"/>
        <v>0</v>
      </c>
      <c r="H308" s="1533">
        <f t="shared" si="194"/>
        <v>0</v>
      </c>
      <c r="I308" s="1534">
        <f t="shared" si="195"/>
        <v>0.2</v>
      </c>
      <c r="J308" s="1519">
        <v>1350000</v>
      </c>
      <c r="K308" s="1519">
        <v>405000</v>
      </c>
      <c r="N308" s="1519">
        <f t="shared" si="196"/>
        <v>945000</v>
      </c>
      <c r="Q308" s="1557">
        <v>247500</v>
      </c>
      <c r="R308" s="1519">
        <f t="shared" si="197"/>
        <v>1350000</v>
      </c>
      <c r="S308" s="1519">
        <f t="shared" si="198"/>
        <v>697500</v>
      </c>
      <c r="T308" s="1519">
        <f t="shared" si="199"/>
        <v>0</v>
      </c>
      <c r="U308" s="1535">
        <f t="shared" si="200"/>
        <v>22500</v>
      </c>
      <c r="V308" s="1537">
        <f t="shared" si="201"/>
        <v>270000</v>
      </c>
      <c r="W308" s="1519">
        <f t="shared" si="202"/>
        <v>270000</v>
      </c>
      <c r="X308" s="1537">
        <f t="shared" si="203"/>
        <v>270000</v>
      </c>
      <c r="Y308" s="1537">
        <f t="shared" si="204"/>
        <v>134000</v>
      </c>
      <c r="Z308" s="1537">
        <f t="shared" si="205"/>
        <v>0</v>
      </c>
      <c r="AA308" s="1537">
        <f t="shared" si="206"/>
        <v>0</v>
      </c>
      <c r="AB308" s="1537">
        <f t="shared" si="207"/>
        <v>0</v>
      </c>
      <c r="AC308" s="1537">
        <f t="shared" si="208"/>
        <v>0</v>
      </c>
      <c r="AD308" s="1537">
        <f t="shared" si="209"/>
        <v>0</v>
      </c>
      <c r="AE308" s="1537">
        <f t="shared" si="210"/>
        <v>0</v>
      </c>
      <c r="AF308" s="1536">
        <f t="shared" si="211"/>
        <v>0</v>
      </c>
      <c r="AG308" s="1555"/>
      <c r="AH308" s="1537">
        <f t="shared" si="212"/>
        <v>675000</v>
      </c>
      <c r="AI308" s="1537">
        <f t="shared" si="213"/>
        <v>405000</v>
      </c>
      <c r="AJ308" s="1537">
        <f t="shared" si="214"/>
        <v>135000</v>
      </c>
      <c r="AK308" s="1537">
        <f t="shared" si="215"/>
        <v>1000</v>
      </c>
      <c r="AL308" s="1537">
        <f t="shared" si="216"/>
        <v>1000</v>
      </c>
      <c r="AM308" s="1537">
        <f t="shared" si="217"/>
        <v>1000</v>
      </c>
      <c r="AN308" s="1537">
        <f t="shared" si="218"/>
        <v>1000</v>
      </c>
      <c r="AO308" s="1537">
        <f t="shared" si="219"/>
        <v>1000</v>
      </c>
      <c r="AP308" s="1537">
        <f t="shared" si="220"/>
        <v>1000</v>
      </c>
      <c r="AQ308" s="1537">
        <f t="shared" si="221"/>
        <v>1000</v>
      </c>
      <c r="AR308" s="1537">
        <f t="shared" si="222"/>
        <v>1000</v>
      </c>
    </row>
    <row r="309" spans="3:44" x14ac:dyDescent="0.3">
      <c r="C309" s="1566" t="s">
        <v>3183</v>
      </c>
      <c r="D309" s="1563" t="s">
        <v>3472</v>
      </c>
      <c r="E309" s="1556">
        <v>5</v>
      </c>
      <c r="F309" s="1518">
        <f t="shared" si="192"/>
        <v>3</v>
      </c>
      <c r="G309" s="1532">
        <f t="shared" si="193"/>
        <v>0</v>
      </c>
      <c r="H309" s="1533">
        <f t="shared" si="194"/>
        <v>0</v>
      </c>
      <c r="I309" s="1534">
        <f t="shared" si="195"/>
        <v>0.2</v>
      </c>
      <c r="J309" s="1519">
        <v>1390000</v>
      </c>
      <c r="K309" s="1519">
        <v>417000</v>
      </c>
      <c r="N309" s="1519">
        <f t="shared" si="196"/>
        <v>973000</v>
      </c>
      <c r="Q309" s="1557">
        <v>254833</v>
      </c>
      <c r="R309" s="1519">
        <f t="shared" si="197"/>
        <v>1390000</v>
      </c>
      <c r="S309" s="1519">
        <f t="shared" si="198"/>
        <v>718167</v>
      </c>
      <c r="T309" s="1519">
        <f t="shared" si="199"/>
        <v>0</v>
      </c>
      <c r="U309" s="1535">
        <f t="shared" si="200"/>
        <v>23166.666666666668</v>
      </c>
      <c r="V309" s="1537">
        <f t="shared" si="201"/>
        <v>277999.66666666669</v>
      </c>
      <c r="W309" s="1519">
        <f t="shared" si="202"/>
        <v>278000</v>
      </c>
      <c r="X309" s="1537">
        <f t="shared" si="203"/>
        <v>278000</v>
      </c>
      <c r="Y309" s="1537">
        <f t="shared" si="204"/>
        <v>138000.33333333337</v>
      </c>
      <c r="Z309" s="1537">
        <f t="shared" si="205"/>
        <v>0</v>
      </c>
      <c r="AA309" s="1537">
        <f t="shared" si="206"/>
        <v>0</v>
      </c>
      <c r="AB309" s="1537">
        <f t="shared" si="207"/>
        <v>0</v>
      </c>
      <c r="AC309" s="1537">
        <f t="shared" si="208"/>
        <v>0</v>
      </c>
      <c r="AD309" s="1537">
        <f t="shared" si="209"/>
        <v>0</v>
      </c>
      <c r="AE309" s="1537">
        <f t="shared" si="210"/>
        <v>0</v>
      </c>
      <c r="AF309" s="1536">
        <f t="shared" si="211"/>
        <v>0</v>
      </c>
      <c r="AG309" s="1555"/>
      <c r="AH309" s="1537">
        <f t="shared" si="212"/>
        <v>695000.33333333337</v>
      </c>
      <c r="AI309" s="1537">
        <f t="shared" si="213"/>
        <v>417000.33333333337</v>
      </c>
      <c r="AJ309" s="1537">
        <f t="shared" si="214"/>
        <v>139000.33333333337</v>
      </c>
      <c r="AK309" s="1537">
        <f t="shared" si="215"/>
        <v>1000</v>
      </c>
      <c r="AL309" s="1537">
        <f t="shared" si="216"/>
        <v>1000</v>
      </c>
      <c r="AM309" s="1537">
        <f t="shared" si="217"/>
        <v>1000</v>
      </c>
      <c r="AN309" s="1537">
        <f t="shared" si="218"/>
        <v>1000</v>
      </c>
      <c r="AO309" s="1537">
        <f t="shared" si="219"/>
        <v>1000</v>
      </c>
      <c r="AP309" s="1537">
        <f t="shared" si="220"/>
        <v>1000</v>
      </c>
      <c r="AQ309" s="1537">
        <f t="shared" si="221"/>
        <v>1000</v>
      </c>
      <c r="AR309" s="1537">
        <f t="shared" si="222"/>
        <v>1000</v>
      </c>
    </row>
    <row r="310" spans="3:44" x14ac:dyDescent="0.3">
      <c r="C310" s="1566" t="s">
        <v>3183</v>
      </c>
      <c r="D310" s="1563" t="s">
        <v>3473</v>
      </c>
      <c r="E310" s="1556">
        <v>5</v>
      </c>
      <c r="F310" s="1518">
        <f t="shared" si="192"/>
        <v>3</v>
      </c>
      <c r="G310" s="1532">
        <f t="shared" si="193"/>
        <v>0</v>
      </c>
      <c r="H310" s="1533">
        <f t="shared" si="194"/>
        <v>0</v>
      </c>
      <c r="I310" s="1534">
        <f t="shared" si="195"/>
        <v>0.2</v>
      </c>
      <c r="J310" s="1519">
        <v>6950000</v>
      </c>
      <c r="K310" s="1519">
        <v>1969167</v>
      </c>
      <c r="N310" s="1519">
        <f t="shared" si="196"/>
        <v>4980833</v>
      </c>
      <c r="Q310" s="1557">
        <v>1274167</v>
      </c>
      <c r="R310" s="1519">
        <f t="shared" si="197"/>
        <v>6950000</v>
      </c>
      <c r="S310" s="1519">
        <f t="shared" si="198"/>
        <v>3706666</v>
      </c>
      <c r="T310" s="1519">
        <f t="shared" si="199"/>
        <v>0</v>
      </c>
      <c r="U310" s="1535">
        <f t="shared" si="200"/>
        <v>115833.33333333333</v>
      </c>
      <c r="V310" s="1537">
        <f t="shared" si="201"/>
        <v>1390000.3333333333</v>
      </c>
      <c r="W310" s="1519">
        <f t="shared" si="202"/>
        <v>1390000</v>
      </c>
      <c r="X310" s="1537">
        <f t="shared" si="203"/>
        <v>1390000</v>
      </c>
      <c r="Y310" s="1537">
        <f t="shared" si="204"/>
        <v>809832.66666666651</v>
      </c>
      <c r="Z310" s="1537">
        <f t="shared" si="205"/>
        <v>0</v>
      </c>
      <c r="AA310" s="1537">
        <f t="shared" si="206"/>
        <v>0</v>
      </c>
      <c r="AB310" s="1537">
        <f t="shared" si="207"/>
        <v>0</v>
      </c>
      <c r="AC310" s="1537">
        <f t="shared" si="208"/>
        <v>0</v>
      </c>
      <c r="AD310" s="1537">
        <f t="shared" si="209"/>
        <v>0</v>
      </c>
      <c r="AE310" s="1537">
        <f t="shared" si="210"/>
        <v>0</v>
      </c>
      <c r="AF310" s="1536">
        <f t="shared" si="211"/>
        <v>0</v>
      </c>
      <c r="AG310" s="1555"/>
      <c r="AH310" s="1537">
        <f t="shared" si="212"/>
        <v>3590832.6666666665</v>
      </c>
      <c r="AI310" s="1537">
        <f t="shared" si="213"/>
        <v>2200832.6666666665</v>
      </c>
      <c r="AJ310" s="1537">
        <f t="shared" si="214"/>
        <v>810832.66666666651</v>
      </c>
      <c r="AK310" s="1537">
        <f t="shared" si="215"/>
        <v>1000</v>
      </c>
      <c r="AL310" s="1537">
        <f t="shared" si="216"/>
        <v>1000</v>
      </c>
      <c r="AM310" s="1537">
        <f t="shared" si="217"/>
        <v>1000</v>
      </c>
      <c r="AN310" s="1537">
        <f t="shared" si="218"/>
        <v>1000</v>
      </c>
      <c r="AO310" s="1537">
        <f t="shared" si="219"/>
        <v>1000</v>
      </c>
      <c r="AP310" s="1537">
        <f t="shared" si="220"/>
        <v>1000</v>
      </c>
      <c r="AQ310" s="1537">
        <f t="shared" si="221"/>
        <v>1000</v>
      </c>
      <c r="AR310" s="1537">
        <f t="shared" si="222"/>
        <v>1000</v>
      </c>
    </row>
    <row r="311" spans="3:44" x14ac:dyDescent="0.3">
      <c r="C311" s="1566" t="s">
        <v>3225</v>
      </c>
      <c r="D311" s="1563" t="s">
        <v>3474</v>
      </c>
      <c r="E311" s="1556">
        <v>5</v>
      </c>
      <c r="F311" s="1518">
        <f t="shared" si="192"/>
        <v>3</v>
      </c>
      <c r="G311" s="1532">
        <f t="shared" si="193"/>
        <v>0</v>
      </c>
      <c r="H311" s="1533">
        <f t="shared" si="194"/>
        <v>0</v>
      </c>
      <c r="I311" s="1534">
        <f t="shared" si="195"/>
        <v>0.2</v>
      </c>
      <c r="J311" s="1519">
        <v>1350000</v>
      </c>
      <c r="K311" s="1519">
        <v>382500</v>
      </c>
      <c r="N311" s="1519">
        <f t="shared" si="196"/>
        <v>967500</v>
      </c>
      <c r="Q311" s="1557">
        <v>247500</v>
      </c>
      <c r="R311" s="1519">
        <f t="shared" si="197"/>
        <v>1350000</v>
      </c>
      <c r="S311" s="1519">
        <f t="shared" si="198"/>
        <v>720000</v>
      </c>
      <c r="T311" s="1519">
        <f t="shared" si="199"/>
        <v>0</v>
      </c>
      <c r="U311" s="1535">
        <f t="shared" si="200"/>
        <v>22500</v>
      </c>
      <c r="V311" s="1537">
        <f t="shared" si="201"/>
        <v>270000</v>
      </c>
      <c r="W311" s="1519">
        <f t="shared" si="202"/>
        <v>270000</v>
      </c>
      <c r="X311" s="1537">
        <f t="shared" si="203"/>
        <v>270000</v>
      </c>
      <c r="Y311" s="1537">
        <f t="shared" si="204"/>
        <v>156500</v>
      </c>
      <c r="Z311" s="1537">
        <f t="shared" si="205"/>
        <v>0</v>
      </c>
      <c r="AA311" s="1537">
        <f t="shared" si="206"/>
        <v>0</v>
      </c>
      <c r="AB311" s="1537">
        <f t="shared" si="207"/>
        <v>0</v>
      </c>
      <c r="AC311" s="1537">
        <f t="shared" si="208"/>
        <v>0</v>
      </c>
      <c r="AD311" s="1537">
        <f t="shared" si="209"/>
        <v>0</v>
      </c>
      <c r="AE311" s="1537">
        <f t="shared" si="210"/>
        <v>0</v>
      </c>
      <c r="AF311" s="1536">
        <f t="shared" si="211"/>
        <v>0</v>
      </c>
      <c r="AG311" s="1555"/>
      <c r="AH311" s="1537">
        <f t="shared" si="212"/>
        <v>697500</v>
      </c>
      <c r="AI311" s="1537">
        <f t="shared" si="213"/>
        <v>427500</v>
      </c>
      <c r="AJ311" s="1537">
        <f t="shared" si="214"/>
        <v>157500</v>
      </c>
      <c r="AK311" s="1537">
        <f t="shared" si="215"/>
        <v>1000</v>
      </c>
      <c r="AL311" s="1537">
        <f t="shared" si="216"/>
        <v>1000</v>
      </c>
      <c r="AM311" s="1537">
        <f t="shared" si="217"/>
        <v>1000</v>
      </c>
      <c r="AN311" s="1537">
        <f t="shared" si="218"/>
        <v>1000</v>
      </c>
      <c r="AO311" s="1537">
        <f t="shared" si="219"/>
        <v>1000</v>
      </c>
      <c r="AP311" s="1537">
        <f t="shared" si="220"/>
        <v>1000</v>
      </c>
      <c r="AQ311" s="1537">
        <f t="shared" si="221"/>
        <v>1000</v>
      </c>
      <c r="AR311" s="1537">
        <f t="shared" si="222"/>
        <v>1000</v>
      </c>
    </row>
    <row r="312" spans="3:44" x14ac:dyDescent="0.3">
      <c r="C312" s="1566" t="s">
        <v>3224</v>
      </c>
      <c r="D312" s="1563" t="s">
        <v>3475</v>
      </c>
      <c r="E312" s="1556">
        <v>5</v>
      </c>
      <c r="F312" s="1518">
        <f t="shared" si="192"/>
        <v>3</v>
      </c>
      <c r="G312" s="1532">
        <f t="shared" si="193"/>
        <v>0</v>
      </c>
      <c r="H312" s="1533">
        <f t="shared" si="194"/>
        <v>0</v>
      </c>
      <c r="I312" s="1534">
        <f t="shared" si="195"/>
        <v>0.2</v>
      </c>
      <c r="J312" s="1519">
        <v>1920000</v>
      </c>
      <c r="K312" s="1519">
        <v>512000</v>
      </c>
      <c r="N312" s="1519">
        <f t="shared" si="196"/>
        <v>1408000</v>
      </c>
      <c r="Q312" s="1557">
        <v>352000</v>
      </c>
      <c r="R312" s="1519">
        <f t="shared" si="197"/>
        <v>1920000</v>
      </c>
      <c r="S312" s="1519">
        <f t="shared" si="198"/>
        <v>1056000</v>
      </c>
      <c r="T312" s="1519">
        <f t="shared" si="199"/>
        <v>0</v>
      </c>
      <c r="U312" s="1535">
        <f t="shared" si="200"/>
        <v>32000</v>
      </c>
      <c r="V312" s="1537">
        <f t="shared" si="201"/>
        <v>384000</v>
      </c>
      <c r="W312" s="1519">
        <f t="shared" si="202"/>
        <v>384000</v>
      </c>
      <c r="X312" s="1537">
        <f t="shared" si="203"/>
        <v>384000</v>
      </c>
      <c r="Y312" s="1537">
        <f t="shared" si="204"/>
        <v>255000</v>
      </c>
      <c r="Z312" s="1537">
        <f t="shared" si="205"/>
        <v>0</v>
      </c>
      <c r="AA312" s="1537">
        <f t="shared" si="206"/>
        <v>0</v>
      </c>
      <c r="AB312" s="1537">
        <f t="shared" si="207"/>
        <v>0</v>
      </c>
      <c r="AC312" s="1537">
        <f t="shared" si="208"/>
        <v>0</v>
      </c>
      <c r="AD312" s="1537">
        <f t="shared" si="209"/>
        <v>0</v>
      </c>
      <c r="AE312" s="1537">
        <f t="shared" si="210"/>
        <v>0</v>
      </c>
      <c r="AF312" s="1536">
        <f t="shared" si="211"/>
        <v>0</v>
      </c>
      <c r="AG312" s="1555"/>
      <c r="AH312" s="1537">
        <f t="shared" si="212"/>
        <v>1024000</v>
      </c>
      <c r="AI312" s="1537">
        <f t="shared" si="213"/>
        <v>640000</v>
      </c>
      <c r="AJ312" s="1537">
        <f t="shared" si="214"/>
        <v>256000</v>
      </c>
      <c r="AK312" s="1537">
        <f t="shared" si="215"/>
        <v>1000</v>
      </c>
      <c r="AL312" s="1537">
        <f t="shared" si="216"/>
        <v>1000</v>
      </c>
      <c r="AM312" s="1537">
        <f t="shared" si="217"/>
        <v>1000</v>
      </c>
      <c r="AN312" s="1537">
        <f t="shared" si="218"/>
        <v>1000</v>
      </c>
      <c r="AO312" s="1537">
        <f t="shared" si="219"/>
        <v>1000</v>
      </c>
      <c r="AP312" s="1537">
        <f t="shared" si="220"/>
        <v>1000</v>
      </c>
      <c r="AQ312" s="1537">
        <f t="shared" si="221"/>
        <v>1000</v>
      </c>
      <c r="AR312" s="1537">
        <f t="shared" si="222"/>
        <v>1000</v>
      </c>
    </row>
    <row r="313" spans="3:44" x14ac:dyDescent="0.3">
      <c r="C313" s="1566" t="s">
        <v>3224</v>
      </c>
      <c r="D313" s="1563" t="s">
        <v>3476</v>
      </c>
      <c r="E313" s="1556">
        <v>5</v>
      </c>
      <c r="F313" s="1518">
        <f t="shared" si="192"/>
        <v>3</v>
      </c>
      <c r="G313" s="1532">
        <f t="shared" si="193"/>
        <v>0</v>
      </c>
      <c r="H313" s="1533">
        <f t="shared" si="194"/>
        <v>0</v>
      </c>
      <c r="I313" s="1534">
        <f t="shared" si="195"/>
        <v>0.2</v>
      </c>
      <c r="J313" s="1519">
        <v>960000</v>
      </c>
      <c r="K313" s="1519">
        <v>256000</v>
      </c>
      <c r="N313" s="1519">
        <f t="shared" si="196"/>
        <v>704000</v>
      </c>
      <c r="Q313" s="1557">
        <v>176000</v>
      </c>
      <c r="R313" s="1519">
        <f t="shared" si="197"/>
        <v>960000</v>
      </c>
      <c r="S313" s="1519">
        <f t="shared" si="198"/>
        <v>528000</v>
      </c>
      <c r="T313" s="1519">
        <f t="shared" si="199"/>
        <v>0</v>
      </c>
      <c r="U313" s="1535">
        <f t="shared" si="200"/>
        <v>16000</v>
      </c>
      <c r="V313" s="1537">
        <f t="shared" si="201"/>
        <v>192000</v>
      </c>
      <c r="W313" s="1519">
        <f t="shared" si="202"/>
        <v>192000</v>
      </c>
      <c r="X313" s="1537">
        <f t="shared" si="203"/>
        <v>192000</v>
      </c>
      <c r="Y313" s="1537">
        <f t="shared" si="204"/>
        <v>127000</v>
      </c>
      <c r="Z313" s="1537">
        <f t="shared" si="205"/>
        <v>0</v>
      </c>
      <c r="AA313" s="1537">
        <f t="shared" si="206"/>
        <v>0</v>
      </c>
      <c r="AB313" s="1537">
        <f t="shared" si="207"/>
        <v>0</v>
      </c>
      <c r="AC313" s="1537">
        <f t="shared" si="208"/>
        <v>0</v>
      </c>
      <c r="AD313" s="1537">
        <f t="shared" si="209"/>
        <v>0</v>
      </c>
      <c r="AE313" s="1537">
        <f t="shared" si="210"/>
        <v>0</v>
      </c>
      <c r="AF313" s="1536">
        <f t="shared" si="211"/>
        <v>0</v>
      </c>
      <c r="AG313" s="1555"/>
      <c r="AH313" s="1537">
        <f t="shared" si="212"/>
        <v>512000</v>
      </c>
      <c r="AI313" s="1537">
        <f t="shared" si="213"/>
        <v>320000</v>
      </c>
      <c r="AJ313" s="1537">
        <f t="shared" si="214"/>
        <v>128000</v>
      </c>
      <c r="AK313" s="1537">
        <f t="shared" si="215"/>
        <v>1000</v>
      </c>
      <c r="AL313" s="1537">
        <f t="shared" si="216"/>
        <v>1000</v>
      </c>
      <c r="AM313" s="1537">
        <f t="shared" si="217"/>
        <v>1000</v>
      </c>
      <c r="AN313" s="1537">
        <f t="shared" si="218"/>
        <v>1000</v>
      </c>
      <c r="AO313" s="1537">
        <f t="shared" si="219"/>
        <v>1000</v>
      </c>
      <c r="AP313" s="1537">
        <f t="shared" si="220"/>
        <v>1000</v>
      </c>
      <c r="AQ313" s="1537">
        <f t="shared" si="221"/>
        <v>1000</v>
      </c>
      <c r="AR313" s="1537">
        <f t="shared" si="222"/>
        <v>1000</v>
      </c>
    </row>
    <row r="314" spans="3:44" x14ac:dyDescent="0.3">
      <c r="C314" s="1566" t="s">
        <v>3226</v>
      </c>
      <c r="D314" s="1563" t="s">
        <v>3477</v>
      </c>
      <c r="E314" s="1556">
        <v>5</v>
      </c>
      <c r="F314" s="1518">
        <f t="shared" si="192"/>
        <v>3</v>
      </c>
      <c r="G314" s="1532">
        <f t="shared" si="193"/>
        <v>0</v>
      </c>
      <c r="H314" s="1533">
        <f t="shared" si="194"/>
        <v>0</v>
      </c>
      <c r="I314" s="1534">
        <f t="shared" si="195"/>
        <v>0.2</v>
      </c>
      <c r="J314" s="1519">
        <v>3270000</v>
      </c>
      <c r="K314" s="1519">
        <v>872000</v>
      </c>
      <c r="N314" s="1519">
        <f t="shared" si="196"/>
        <v>2398000</v>
      </c>
      <c r="Q314" s="1557">
        <v>599500</v>
      </c>
      <c r="R314" s="1519">
        <f t="shared" si="197"/>
        <v>3270000</v>
      </c>
      <c r="S314" s="1519">
        <f t="shared" si="198"/>
        <v>1798500</v>
      </c>
      <c r="T314" s="1519">
        <f t="shared" si="199"/>
        <v>0</v>
      </c>
      <c r="U314" s="1535">
        <f t="shared" si="200"/>
        <v>54500</v>
      </c>
      <c r="V314" s="1537">
        <f t="shared" si="201"/>
        <v>654000</v>
      </c>
      <c r="W314" s="1519">
        <f t="shared" si="202"/>
        <v>654000</v>
      </c>
      <c r="X314" s="1537">
        <f t="shared" si="203"/>
        <v>654000</v>
      </c>
      <c r="Y314" s="1537">
        <f t="shared" si="204"/>
        <v>435000</v>
      </c>
      <c r="Z314" s="1537">
        <f t="shared" si="205"/>
        <v>0</v>
      </c>
      <c r="AA314" s="1537">
        <f t="shared" si="206"/>
        <v>0</v>
      </c>
      <c r="AB314" s="1537">
        <f t="shared" si="207"/>
        <v>0</v>
      </c>
      <c r="AC314" s="1537">
        <f t="shared" si="208"/>
        <v>0</v>
      </c>
      <c r="AD314" s="1537">
        <f t="shared" si="209"/>
        <v>0</v>
      </c>
      <c r="AE314" s="1537">
        <f t="shared" si="210"/>
        <v>0</v>
      </c>
      <c r="AF314" s="1536">
        <f t="shared" si="211"/>
        <v>0</v>
      </c>
      <c r="AG314" s="1555"/>
      <c r="AH314" s="1537">
        <f t="shared" si="212"/>
        <v>1744000</v>
      </c>
      <c r="AI314" s="1537">
        <f t="shared" si="213"/>
        <v>1090000</v>
      </c>
      <c r="AJ314" s="1537">
        <f t="shared" si="214"/>
        <v>436000</v>
      </c>
      <c r="AK314" s="1537">
        <f t="shared" si="215"/>
        <v>1000</v>
      </c>
      <c r="AL314" s="1537">
        <f t="shared" si="216"/>
        <v>1000</v>
      </c>
      <c r="AM314" s="1537">
        <f t="shared" si="217"/>
        <v>1000</v>
      </c>
      <c r="AN314" s="1537">
        <f t="shared" si="218"/>
        <v>1000</v>
      </c>
      <c r="AO314" s="1537">
        <f t="shared" si="219"/>
        <v>1000</v>
      </c>
      <c r="AP314" s="1537">
        <f t="shared" si="220"/>
        <v>1000</v>
      </c>
      <c r="AQ314" s="1537">
        <f t="shared" si="221"/>
        <v>1000</v>
      </c>
      <c r="AR314" s="1537">
        <f t="shared" si="222"/>
        <v>1000</v>
      </c>
    </row>
    <row r="315" spans="3:44" x14ac:dyDescent="0.3">
      <c r="C315" s="1566" t="s">
        <v>3227</v>
      </c>
      <c r="D315" s="1563" t="s">
        <v>3478</v>
      </c>
      <c r="E315" s="1556">
        <v>5</v>
      </c>
      <c r="F315" s="1518">
        <f t="shared" si="192"/>
        <v>3</v>
      </c>
      <c r="G315" s="1532">
        <f t="shared" si="193"/>
        <v>0</v>
      </c>
      <c r="H315" s="1533">
        <f t="shared" si="194"/>
        <v>0</v>
      </c>
      <c r="I315" s="1534">
        <f t="shared" si="195"/>
        <v>0.2</v>
      </c>
      <c r="J315" s="1519">
        <v>2900000</v>
      </c>
      <c r="K315" s="1519">
        <v>725000</v>
      </c>
      <c r="N315" s="1519">
        <f t="shared" si="196"/>
        <v>2175000</v>
      </c>
      <c r="Q315" s="1557">
        <v>531667</v>
      </c>
      <c r="R315" s="1519">
        <f t="shared" si="197"/>
        <v>2900000</v>
      </c>
      <c r="S315" s="1519">
        <f t="shared" si="198"/>
        <v>1643333</v>
      </c>
      <c r="T315" s="1519">
        <f t="shared" si="199"/>
        <v>0</v>
      </c>
      <c r="U315" s="1535">
        <f t="shared" si="200"/>
        <v>48333.333333333336</v>
      </c>
      <c r="V315" s="1537">
        <f t="shared" si="201"/>
        <v>580000.33333333337</v>
      </c>
      <c r="W315" s="1519">
        <f t="shared" si="202"/>
        <v>580000</v>
      </c>
      <c r="X315" s="1537">
        <f t="shared" si="203"/>
        <v>580000</v>
      </c>
      <c r="Y315" s="1537">
        <f t="shared" si="204"/>
        <v>433999.66666666674</v>
      </c>
      <c r="Z315" s="1537">
        <f t="shared" si="205"/>
        <v>0</v>
      </c>
      <c r="AA315" s="1537">
        <f t="shared" si="206"/>
        <v>0</v>
      </c>
      <c r="AB315" s="1537">
        <f t="shared" si="207"/>
        <v>0</v>
      </c>
      <c r="AC315" s="1537">
        <f t="shared" si="208"/>
        <v>0</v>
      </c>
      <c r="AD315" s="1537">
        <f t="shared" si="209"/>
        <v>0</v>
      </c>
      <c r="AE315" s="1537">
        <f t="shared" si="210"/>
        <v>0</v>
      </c>
      <c r="AF315" s="1536">
        <f t="shared" si="211"/>
        <v>0</v>
      </c>
      <c r="AG315" s="1555"/>
      <c r="AH315" s="1537">
        <f t="shared" si="212"/>
        <v>1594999.6666666667</v>
      </c>
      <c r="AI315" s="1537">
        <f t="shared" si="213"/>
        <v>1014999.6666666667</v>
      </c>
      <c r="AJ315" s="1537">
        <f t="shared" si="214"/>
        <v>434999.66666666674</v>
      </c>
      <c r="AK315" s="1537">
        <f t="shared" si="215"/>
        <v>1000</v>
      </c>
      <c r="AL315" s="1537">
        <f t="shared" si="216"/>
        <v>1000</v>
      </c>
      <c r="AM315" s="1537">
        <f t="shared" si="217"/>
        <v>1000</v>
      </c>
      <c r="AN315" s="1537">
        <f t="shared" si="218"/>
        <v>1000</v>
      </c>
      <c r="AO315" s="1537">
        <f t="shared" si="219"/>
        <v>1000</v>
      </c>
      <c r="AP315" s="1537">
        <f t="shared" si="220"/>
        <v>1000</v>
      </c>
      <c r="AQ315" s="1537">
        <f t="shared" si="221"/>
        <v>1000</v>
      </c>
      <c r="AR315" s="1537">
        <f t="shared" si="222"/>
        <v>1000</v>
      </c>
    </row>
    <row r="316" spans="3:44" x14ac:dyDescent="0.3">
      <c r="C316" s="1566" t="s">
        <v>3228</v>
      </c>
      <c r="D316" s="1563" t="s">
        <v>3479</v>
      </c>
      <c r="E316" s="1556">
        <v>5</v>
      </c>
      <c r="F316" s="1518">
        <f t="shared" si="192"/>
        <v>3</v>
      </c>
      <c r="G316" s="1532">
        <f t="shared" si="193"/>
        <v>0</v>
      </c>
      <c r="H316" s="1533">
        <f t="shared" si="194"/>
        <v>0</v>
      </c>
      <c r="I316" s="1534">
        <f t="shared" si="195"/>
        <v>0.2</v>
      </c>
      <c r="J316" s="1519">
        <v>1552000</v>
      </c>
      <c r="K316" s="1519">
        <v>388000</v>
      </c>
      <c r="N316" s="1519">
        <f t="shared" si="196"/>
        <v>1164000</v>
      </c>
      <c r="Q316" s="1557">
        <v>284533</v>
      </c>
      <c r="R316" s="1519">
        <f t="shared" si="197"/>
        <v>1552000</v>
      </c>
      <c r="S316" s="1519">
        <f t="shared" si="198"/>
        <v>879467</v>
      </c>
      <c r="T316" s="1519">
        <f t="shared" si="199"/>
        <v>0</v>
      </c>
      <c r="U316" s="1535">
        <f t="shared" si="200"/>
        <v>25866.666666666668</v>
      </c>
      <c r="V316" s="1537">
        <f t="shared" si="201"/>
        <v>310399.66666666669</v>
      </c>
      <c r="W316" s="1519">
        <f t="shared" si="202"/>
        <v>310400</v>
      </c>
      <c r="X316" s="1537">
        <f t="shared" si="203"/>
        <v>310400</v>
      </c>
      <c r="Y316" s="1537">
        <f t="shared" si="204"/>
        <v>231800.33333333337</v>
      </c>
      <c r="Z316" s="1537">
        <f t="shared" si="205"/>
        <v>0</v>
      </c>
      <c r="AA316" s="1537">
        <f t="shared" si="206"/>
        <v>0</v>
      </c>
      <c r="AB316" s="1537">
        <f t="shared" si="207"/>
        <v>0</v>
      </c>
      <c r="AC316" s="1537">
        <f t="shared" si="208"/>
        <v>0</v>
      </c>
      <c r="AD316" s="1537">
        <f t="shared" si="209"/>
        <v>0</v>
      </c>
      <c r="AE316" s="1537">
        <f t="shared" si="210"/>
        <v>0</v>
      </c>
      <c r="AF316" s="1536">
        <f t="shared" si="211"/>
        <v>0</v>
      </c>
      <c r="AG316" s="1555"/>
      <c r="AH316" s="1537">
        <f t="shared" si="212"/>
        <v>853600.33333333337</v>
      </c>
      <c r="AI316" s="1537">
        <f t="shared" si="213"/>
        <v>543200.33333333337</v>
      </c>
      <c r="AJ316" s="1537">
        <f t="shared" si="214"/>
        <v>232800.33333333337</v>
      </c>
      <c r="AK316" s="1537">
        <f t="shared" si="215"/>
        <v>1000</v>
      </c>
      <c r="AL316" s="1537">
        <f t="shared" si="216"/>
        <v>1000</v>
      </c>
      <c r="AM316" s="1537">
        <f t="shared" si="217"/>
        <v>1000</v>
      </c>
      <c r="AN316" s="1537">
        <f t="shared" si="218"/>
        <v>1000</v>
      </c>
      <c r="AO316" s="1537">
        <f t="shared" si="219"/>
        <v>1000</v>
      </c>
      <c r="AP316" s="1537">
        <f t="shared" si="220"/>
        <v>1000</v>
      </c>
      <c r="AQ316" s="1537">
        <f t="shared" si="221"/>
        <v>1000</v>
      </c>
      <c r="AR316" s="1537">
        <f t="shared" si="222"/>
        <v>1000</v>
      </c>
    </row>
    <row r="317" spans="3:44" x14ac:dyDescent="0.3">
      <c r="C317" s="1566" t="s">
        <v>3229</v>
      </c>
      <c r="D317" s="1563" t="s">
        <v>3480</v>
      </c>
      <c r="E317" s="1556">
        <v>5</v>
      </c>
      <c r="F317" s="1518">
        <f t="shared" si="192"/>
        <v>3</v>
      </c>
      <c r="G317" s="1532">
        <f t="shared" si="193"/>
        <v>0</v>
      </c>
      <c r="H317" s="1533">
        <f t="shared" si="194"/>
        <v>0</v>
      </c>
      <c r="I317" s="1534">
        <f t="shared" si="195"/>
        <v>0.2</v>
      </c>
      <c r="J317" s="1519">
        <v>2300000</v>
      </c>
      <c r="K317" s="1519">
        <v>536667</v>
      </c>
      <c r="N317" s="1519">
        <f t="shared" si="196"/>
        <v>1763333</v>
      </c>
      <c r="Q317" s="1557">
        <v>421667</v>
      </c>
      <c r="R317" s="1519">
        <f t="shared" si="197"/>
        <v>2300000</v>
      </c>
      <c r="S317" s="1519">
        <f t="shared" si="198"/>
        <v>1341666</v>
      </c>
      <c r="T317" s="1519">
        <f t="shared" si="199"/>
        <v>0</v>
      </c>
      <c r="U317" s="1535">
        <f t="shared" si="200"/>
        <v>38333.333333333336</v>
      </c>
      <c r="V317" s="1537">
        <f t="shared" si="201"/>
        <v>460000.33333333331</v>
      </c>
      <c r="W317" s="1519">
        <f t="shared" si="202"/>
        <v>460000</v>
      </c>
      <c r="X317" s="1537">
        <f t="shared" si="203"/>
        <v>460000</v>
      </c>
      <c r="Y317" s="1537">
        <f t="shared" si="204"/>
        <v>382332.66666666674</v>
      </c>
      <c r="Z317" s="1537">
        <f t="shared" si="205"/>
        <v>0</v>
      </c>
      <c r="AA317" s="1537">
        <f t="shared" si="206"/>
        <v>0</v>
      </c>
      <c r="AB317" s="1537">
        <f t="shared" si="207"/>
        <v>0</v>
      </c>
      <c r="AC317" s="1537">
        <f t="shared" si="208"/>
        <v>0</v>
      </c>
      <c r="AD317" s="1537">
        <f t="shared" si="209"/>
        <v>0</v>
      </c>
      <c r="AE317" s="1537">
        <f t="shared" si="210"/>
        <v>0</v>
      </c>
      <c r="AF317" s="1536">
        <f t="shared" si="211"/>
        <v>0</v>
      </c>
      <c r="AG317" s="1555"/>
      <c r="AH317" s="1537">
        <f t="shared" si="212"/>
        <v>1303332.6666666667</v>
      </c>
      <c r="AI317" s="1537">
        <f t="shared" si="213"/>
        <v>843332.66666666674</v>
      </c>
      <c r="AJ317" s="1537">
        <f t="shared" si="214"/>
        <v>383332.66666666674</v>
      </c>
      <c r="AK317" s="1537">
        <f t="shared" si="215"/>
        <v>1000</v>
      </c>
      <c r="AL317" s="1537">
        <f t="shared" si="216"/>
        <v>1000</v>
      </c>
      <c r="AM317" s="1537">
        <f t="shared" si="217"/>
        <v>1000</v>
      </c>
      <c r="AN317" s="1537">
        <f t="shared" si="218"/>
        <v>1000</v>
      </c>
      <c r="AO317" s="1537">
        <f t="shared" si="219"/>
        <v>1000</v>
      </c>
      <c r="AP317" s="1537">
        <f t="shared" si="220"/>
        <v>1000</v>
      </c>
      <c r="AQ317" s="1537">
        <f t="shared" si="221"/>
        <v>1000</v>
      </c>
      <c r="AR317" s="1537">
        <f t="shared" si="222"/>
        <v>1000</v>
      </c>
    </row>
    <row r="318" spans="3:44" x14ac:dyDescent="0.3">
      <c r="C318" s="1566" t="s">
        <v>3230</v>
      </c>
      <c r="D318" s="1563" t="s">
        <v>3481</v>
      </c>
      <c r="E318" s="1556">
        <v>5</v>
      </c>
      <c r="F318" s="1518">
        <f t="shared" si="192"/>
        <v>3</v>
      </c>
      <c r="G318" s="1532">
        <f t="shared" si="193"/>
        <v>0</v>
      </c>
      <c r="H318" s="1533">
        <f t="shared" si="194"/>
        <v>0</v>
      </c>
      <c r="I318" s="1534">
        <f t="shared" si="195"/>
        <v>0.2</v>
      </c>
      <c r="J318" s="1519">
        <v>4731000</v>
      </c>
      <c r="K318" s="1519">
        <v>1025050</v>
      </c>
      <c r="N318" s="1519">
        <f t="shared" si="196"/>
        <v>3705950</v>
      </c>
      <c r="Q318" s="1557">
        <v>867350</v>
      </c>
      <c r="R318" s="1519">
        <f t="shared" si="197"/>
        <v>4731000</v>
      </c>
      <c r="S318" s="1519">
        <f t="shared" si="198"/>
        <v>2838600</v>
      </c>
      <c r="T318" s="1519">
        <f t="shared" si="199"/>
        <v>0</v>
      </c>
      <c r="U318" s="1535">
        <f t="shared" si="200"/>
        <v>78850</v>
      </c>
      <c r="V318" s="1537">
        <f t="shared" si="201"/>
        <v>946200</v>
      </c>
      <c r="W318" s="1519">
        <f t="shared" si="202"/>
        <v>946200</v>
      </c>
      <c r="X318" s="1537">
        <f t="shared" si="203"/>
        <v>946200</v>
      </c>
      <c r="Y318" s="1537">
        <f t="shared" si="204"/>
        <v>866350</v>
      </c>
      <c r="Z318" s="1537">
        <f t="shared" si="205"/>
        <v>0</v>
      </c>
      <c r="AA318" s="1537">
        <f t="shared" si="206"/>
        <v>0</v>
      </c>
      <c r="AB318" s="1537">
        <f t="shared" si="207"/>
        <v>0</v>
      </c>
      <c r="AC318" s="1537">
        <f t="shared" si="208"/>
        <v>0</v>
      </c>
      <c r="AD318" s="1537">
        <f t="shared" si="209"/>
        <v>0</v>
      </c>
      <c r="AE318" s="1537">
        <f t="shared" si="210"/>
        <v>0</v>
      </c>
      <c r="AF318" s="1536">
        <f t="shared" si="211"/>
        <v>0</v>
      </c>
      <c r="AG318" s="1555"/>
      <c r="AH318" s="1537">
        <f t="shared" si="212"/>
        <v>2759750</v>
      </c>
      <c r="AI318" s="1537">
        <f t="shared" si="213"/>
        <v>1813550</v>
      </c>
      <c r="AJ318" s="1537">
        <f t="shared" si="214"/>
        <v>867350</v>
      </c>
      <c r="AK318" s="1537">
        <f t="shared" si="215"/>
        <v>1000</v>
      </c>
      <c r="AL318" s="1537">
        <f t="shared" si="216"/>
        <v>1000</v>
      </c>
      <c r="AM318" s="1537">
        <f t="shared" si="217"/>
        <v>1000</v>
      </c>
      <c r="AN318" s="1537">
        <f t="shared" si="218"/>
        <v>1000</v>
      </c>
      <c r="AO318" s="1537">
        <f t="shared" si="219"/>
        <v>1000</v>
      </c>
      <c r="AP318" s="1537">
        <f t="shared" si="220"/>
        <v>1000</v>
      </c>
      <c r="AQ318" s="1537">
        <f t="shared" si="221"/>
        <v>1000</v>
      </c>
      <c r="AR318" s="1537">
        <f t="shared" si="222"/>
        <v>1000</v>
      </c>
    </row>
    <row r="319" spans="3:44" x14ac:dyDescent="0.3">
      <c r="C319" s="1566" t="s">
        <v>3231</v>
      </c>
      <c r="D319" s="1563" t="s">
        <v>3482</v>
      </c>
      <c r="E319" s="1556">
        <v>5</v>
      </c>
      <c r="F319" s="1518">
        <f t="shared" si="192"/>
        <v>3</v>
      </c>
      <c r="G319" s="1532">
        <f t="shared" si="193"/>
        <v>0</v>
      </c>
      <c r="H319" s="1533">
        <f t="shared" si="194"/>
        <v>0</v>
      </c>
      <c r="I319" s="1534">
        <f t="shared" si="195"/>
        <v>0.2</v>
      </c>
      <c r="J319" s="1519">
        <v>1577000</v>
      </c>
      <c r="K319" s="1519">
        <v>341683</v>
      </c>
      <c r="N319" s="1519">
        <f t="shared" si="196"/>
        <v>1235317</v>
      </c>
      <c r="Q319" s="1557">
        <v>289117</v>
      </c>
      <c r="R319" s="1519">
        <f t="shared" si="197"/>
        <v>1577000</v>
      </c>
      <c r="S319" s="1519">
        <f t="shared" si="198"/>
        <v>946200</v>
      </c>
      <c r="T319" s="1519">
        <f t="shared" si="199"/>
        <v>0</v>
      </c>
      <c r="U319" s="1535">
        <f t="shared" si="200"/>
        <v>26283.333333333332</v>
      </c>
      <c r="V319" s="1537">
        <f t="shared" si="201"/>
        <v>315400.33333333331</v>
      </c>
      <c r="W319" s="1519">
        <f t="shared" si="202"/>
        <v>315400</v>
      </c>
      <c r="X319" s="1537">
        <f t="shared" si="203"/>
        <v>315400</v>
      </c>
      <c r="Y319" s="1537">
        <f t="shared" si="204"/>
        <v>288116.66666666663</v>
      </c>
      <c r="Z319" s="1537">
        <f t="shared" si="205"/>
        <v>0</v>
      </c>
      <c r="AA319" s="1537">
        <f t="shared" si="206"/>
        <v>0</v>
      </c>
      <c r="AB319" s="1537">
        <f t="shared" si="207"/>
        <v>0</v>
      </c>
      <c r="AC319" s="1537">
        <f t="shared" si="208"/>
        <v>0</v>
      </c>
      <c r="AD319" s="1537">
        <f t="shared" si="209"/>
        <v>0</v>
      </c>
      <c r="AE319" s="1537">
        <f t="shared" si="210"/>
        <v>0</v>
      </c>
      <c r="AF319" s="1536">
        <f t="shared" si="211"/>
        <v>0</v>
      </c>
      <c r="AG319" s="1555"/>
      <c r="AH319" s="1537">
        <f t="shared" si="212"/>
        <v>919916.66666666663</v>
      </c>
      <c r="AI319" s="1537">
        <f t="shared" si="213"/>
        <v>604516.66666666663</v>
      </c>
      <c r="AJ319" s="1537">
        <f t="shared" si="214"/>
        <v>289116.66666666663</v>
      </c>
      <c r="AK319" s="1537">
        <f t="shared" si="215"/>
        <v>1000</v>
      </c>
      <c r="AL319" s="1537">
        <f t="shared" si="216"/>
        <v>1000</v>
      </c>
      <c r="AM319" s="1537">
        <f t="shared" si="217"/>
        <v>1000</v>
      </c>
      <c r="AN319" s="1537">
        <f t="shared" si="218"/>
        <v>1000</v>
      </c>
      <c r="AO319" s="1537">
        <f t="shared" si="219"/>
        <v>1000</v>
      </c>
      <c r="AP319" s="1537">
        <f t="shared" si="220"/>
        <v>1000</v>
      </c>
      <c r="AQ319" s="1537">
        <f t="shared" si="221"/>
        <v>1000</v>
      </c>
      <c r="AR319" s="1537">
        <f t="shared" si="222"/>
        <v>1000</v>
      </c>
    </row>
    <row r="320" spans="3:44" x14ac:dyDescent="0.3">
      <c r="C320" s="1566" t="s">
        <v>3232</v>
      </c>
      <c r="D320" s="1563" t="s">
        <v>3483</v>
      </c>
      <c r="E320" s="1556">
        <v>5</v>
      </c>
      <c r="F320" s="1518">
        <f t="shared" si="192"/>
        <v>3</v>
      </c>
      <c r="G320" s="1532">
        <f t="shared" si="193"/>
        <v>0</v>
      </c>
      <c r="H320" s="1533">
        <f t="shared" si="194"/>
        <v>0</v>
      </c>
      <c r="I320" s="1534">
        <f t="shared" si="195"/>
        <v>0.2</v>
      </c>
      <c r="J320" s="1519">
        <v>1420000</v>
      </c>
      <c r="K320" s="1519">
        <v>307667</v>
      </c>
      <c r="N320" s="1519">
        <f t="shared" si="196"/>
        <v>1112333</v>
      </c>
      <c r="Q320" s="1557">
        <v>260333</v>
      </c>
      <c r="R320" s="1519">
        <f t="shared" si="197"/>
        <v>1420000</v>
      </c>
      <c r="S320" s="1519">
        <f t="shared" si="198"/>
        <v>852000</v>
      </c>
      <c r="T320" s="1519">
        <f t="shared" si="199"/>
        <v>0</v>
      </c>
      <c r="U320" s="1535">
        <f t="shared" si="200"/>
        <v>23666.666666666668</v>
      </c>
      <c r="V320" s="1537">
        <f t="shared" si="201"/>
        <v>283999.66666666669</v>
      </c>
      <c r="W320" s="1519">
        <f t="shared" si="202"/>
        <v>284000</v>
      </c>
      <c r="X320" s="1537">
        <f t="shared" si="203"/>
        <v>284000</v>
      </c>
      <c r="Y320" s="1537">
        <f t="shared" si="204"/>
        <v>259333.33333333337</v>
      </c>
      <c r="Z320" s="1537">
        <f t="shared" si="205"/>
        <v>0</v>
      </c>
      <c r="AA320" s="1537">
        <f t="shared" si="206"/>
        <v>0</v>
      </c>
      <c r="AB320" s="1537">
        <f t="shared" si="207"/>
        <v>0</v>
      </c>
      <c r="AC320" s="1537">
        <f t="shared" si="208"/>
        <v>0</v>
      </c>
      <c r="AD320" s="1537">
        <f t="shared" si="209"/>
        <v>0</v>
      </c>
      <c r="AE320" s="1537">
        <f t="shared" si="210"/>
        <v>0</v>
      </c>
      <c r="AF320" s="1536">
        <f t="shared" si="211"/>
        <v>0</v>
      </c>
      <c r="AG320" s="1555"/>
      <c r="AH320" s="1537">
        <f t="shared" si="212"/>
        <v>828333.33333333337</v>
      </c>
      <c r="AI320" s="1537">
        <f t="shared" si="213"/>
        <v>544333.33333333337</v>
      </c>
      <c r="AJ320" s="1537">
        <f t="shared" si="214"/>
        <v>260333.33333333337</v>
      </c>
      <c r="AK320" s="1537">
        <f t="shared" si="215"/>
        <v>1000</v>
      </c>
      <c r="AL320" s="1537">
        <f t="shared" si="216"/>
        <v>1000</v>
      </c>
      <c r="AM320" s="1537">
        <f t="shared" si="217"/>
        <v>1000</v>
      </c>
      <c r="AN320" s="1537">
        <f t="shared" si="218"/>
        <v>1000</v>
      </c>
      <c r="AO320" s="1537">
        <f t="shared" si="219"/>
        <v>1000</v>
      </c>
      <c r="AP320" s="1537">
        <f t="shared" si="220"/>
        <v>1000</v>
      </c>
      <c r="AQ320" s="1537">
        <f t="shared" si="221"/>
        <v>1000</v>
      </c>
      <c r="AR320" s="1537">
        <f t="shared" si="222"/>
        <v>1000</v>
      </c>
    </row>
    <row r="321" spans="3:44" x14ac:dyDescent="0.3">
      <c r="C321" s="1566" t="s">
        <v>3233</v>
      </c>
      <c r="D321" s="1563" t="s">
        <v>3484</v>
      </c>
      <c r="E321" s="1556">
        <v>5</v>
      </c>
      <c r="F321" s="1518">
        <f t="shared" si="192"/>
        <v>4</v>
      </c>
      <c r="G321" s="1532">
        <f t="shared" si="193"/>
        <v>0</v>
      </c>
      <c r="H321" s="1533">
        <f t="shared" si="194"/>
        <v>0</v>
      </c>
      <c r="I321" s="1534">
        <f t="shared" si="195"/>
        <v>0.2</v>
      </c>
      <c r="J321" s="1519">
        <v>3973000</v>
      </c>
      <c r="K321" s="1519">
        <v>794600</v>
      </c>
      <c r="N321" s="1519">
        <f t="shared" si="196"/>
        <v>3178400</v>
      </c>
      <c r="Q321" s="1557">
        <v>728383</v>
      </c>
      <c r="R321" s="1519">
        <f t="shared" si="197"/>
        <v>3973000</v>
      </c>
      <c r="S321" s="1519">
        <f t="shared" si="198"/>
        <v>2450017</v>
      </c>
      <c r="T321" s="1519">
        <f t="shared" si="199"/>
        <v>0</v>
      </c>
      <c r="U321" s="1535">
        <f t="shared" si="200"/>
        <v>66216.666666666672</v>
      </c>
      <c r="V321" s="1537">
        <f t="shared" si="201"/>
        <v>794599.66666666663</v>
      </c>
      <c r="W321" s="1519">
        <f t="shared" si="202"/>
        <v>794600</v>
      </c>
      <c r="X321" s="1537">
        <f t="shared" si="203"/>
        <v>794600</v>
      </c>
      <c r="Y321" s="1537">
        <f t="shared" si="204"/>
        <v>793600.33333333349</v>
      </c>
      <c r="Z321" s="1537">
        <f t="shared" si="205"/>
        <v>0</v>
      </c>
      <c r="AA321" s="1537">
        <f t="shared" si="206"/>
        <v>0</v>
      </c>
      <c r="AB321" s="1537">
        <f t="shared" si="207"/>
        <v>0</v>
      </c>
      <c r="AC321" s="1537">
        <f t="shared" si="208"/>
        <v>0</v>
      </c>
      <c r="AD321" s="1537">
        <f t="shared" si="209"/>
        <v>0</v>
      </c>
      <c r="AE321" s="1537">
        <f t="shared" si="210"/>
        <v>0</v>
      </c>
      <c r="AF321" s="1536">
        <f t="shared" si="211"/>
        <v>0</v>
      </c>
      <c r="AG321" s="1555"/>
      <c r="AH321" s="1537">
        <f t="shared" si="212"/>
        <v>2383800.3333333335</v>
      </c>
      <c r="AI321" s="1537">
        <f t="shared" si="213"/>
        <v>1589200.3333333335</v>
      </c>
      <c r="AJ321" s="1537">
        <f t="shared" si="214"/>
        <v>794600.33333333349</v>
      </c>
      <c r="AK321" s="1537">
        <f t="shared" si="215"/>
        <v>1000</v>
      </c>
      <c r="AL321" s="1537">
        <f t="shared" si="216"/>
        <v>1000</v>
      </c>
      <c r="AM321" s="1537">
        <f t="shared" si="217"/>
        <v>1000</v>
      </c>
      <c r="AN321" s="1537">
        <f t="shared" si="218"/>
        <v>1000</v>
      </c>
      <c r="AO321" s="1537">
        <f t="shared" si="219"/>
        <v>1000</v>
      </c>
      <c r="AP321" s="1537">
        <f t="shared" si="220"/>
        <v>1000</v>
      </c>
      <c r="AQ321" s="1537">
        <f t="shared" si="221"/>
        <v>1000</v>
      </c>
      <c r="AR321" s="1537">
        <f t="shared" si="222"/>
        <v>1000</v>
      </c>
    </row>
    <row r="322" spans="3:44" x14ac:dyDescent="0.3">
      <c r="C322" s="1566" t="s">
        <v>3234</v>
      </c>
      <c r="D322" s="1563" t="s">
        <v>3485</v>
      </c>
      <c r="E322" s="1556">
        <v>5</v>
      </c>
      <c r="F322" s="1518">
        <f t="shared" si="192"/>
        <v>4</v>
      </c>
      <c r="G322" s="1532">
        <f t="shared" si="193"/>
        <v>0</v>
      </c>
      <c r="H322" s="1533">
        <f t="shared" si="194"/>
        <v>0</v>
      </c>
      <c r="I322" s="1534">
        <f t="shared" si="195"/>
        <v>0.2</v>
      </c>
      <c r="J322" s="1519">
        <v>1385000</v>
      </c>
      <c r="K322" s="1519">
        <v>277000</v>
      </c>
      <c r="N322" s="1519">
        <f t="shared" si="196"/>
        <v>1108000</v>
      </c>
      <c r="Q322" s="1557">
        <v>253917</v>
      </c>
      <c r="R322" s="1519">
        <f t="shared" si="197"/>
        <v>1385000</v>
      </c>
      <c r="S322" s="1519">
        <f t="shared" si="198"/>
        <v>854083</v>
      </c>
      <c r="T322" s="1519">
        <f t="shared" si="199"/>
        <v>0</v>
      </c>
      <c r="U322" s="1535">
        <f t="shared" si="200"/>
        <v>23083.333333333332</v>
      </c>
      <c r="V322" s="1537">
        <f t="shared" si="201"/>
        <v>277000.33333333331</v>
      </c>
      <c r="W322" s="1519">
        <f t="shared" si="202"/>
        <v>277000</v>
      </c>
      <c r="X322" s="1537">
        <f t="shared" si="203"/>
        <v>277000</v>
      </c>
      <c r="Y322" s="1537">
        <f t="shared" si="204"/>
        <v>275999.66666666663</v>
      </c>
      <c r="Z322" s="1537">
        <f t="shared" si="205"/>
        <v>0</v>
      </c>
      <c r="AA322" s="1537">
        <f t="shared" si="206"/>
        <v>0</v>
      </c>
      <c r="AB322" s="1537">
        <f t="shared" si="207"/>
        <v>0</v>
      </c>
      <c r="AC322" s="1537">
        <f t="shared" si="208"/>
        <v>0</v>
      </c>
      <c r="AD322" s="1537">
        <f t="shared" si="209"/>
        <v>0</v>
      </c>
      <c r="AE322" s="1537">
        <f t="shared" si="210"/>
        <v>0</v>
      </c>
      <c r="AF322" s="1536">
        <f t="shared" si="211"/>
        <v>0</v>
      </c>
      <c r="AG322" s="1555"/>
      <c r="AH322" s="1537">
        <f t="shared" si="212"/>
        <v>830999.66666666663</v>
      </c>
      <c r="AI322" s="1537">
        <f t="shared" si="213"/>
        <v>553999.66666666663</v>
      </c>
      <c r="AJ322" s="1537">
        <f t="shared" si="214"/>
        <v>276999.66666666663</v>
      </c>
      <c r="AK322" s="1537">
        <f t="shared" si="215"/>
        <v>1000</v>
      </c>
      <c r="AL322" s="1537">
        <f t="shared" si="216"/>
        <v>1000</v>
      </c>
      <c r="AM322" s="1537">
        <f t="shared" si="217"/>
        <v>1000</v>
      </c>
      <c r="AN322" s="1537">
        <f t="shared" si="218"/>
        <v>1000</v>
      </c>
      <c r="AO322" s="1537">
        <f t="shared" si="219"/>
        <v>1000</v>
      </c>
      <c r="AP322" s="1537">
        <f t="shared" si="220"/>
        <v>1000</v>
      </c>
      <c r="AQ322" s="1537">
        <f t="shared" si="221"/>
        <v>1000</v>
      </c>
      <c r="AR322" s="1537">
        <f t="shared" si="222"/>
        <v>1000</v>
      </c>
    </row>
    <row r="323" spans="3:44" x14ac:dyDescent="0.3">
      <c r="C323" s="1566" t="s">
        <v>3235</v>
      </c>
      <c r="D323" s="1563" t="s">
        <v>3486</v>
      </c>
      <c r="E323" s="1556">
        <v>5</v>
      </c>
      <c r="F323" s="1518">
        <f t="shared" si="192"/>
        <v>4</v>
      </c>
      <c r="G323" s="1532">
        <f t="shared" si="193"/>
        <v>0</v>
      </c>
      <c r="H323" s="1533">
        <f t="shared" si="194"/>
        <v>0</v>
      </c>
      <c r="I323" s="1534">
        <f t="shared" si="195"/>
        <v>0.2</v>
      </c>
      <c r="J323" s="1519">
        <v>10500000</v>
      </c>
      <c r="K323" s="1519">
        <v>2100000</v>
      </c>
      <c r="N323" s="1519">
        <f t="shared" si="196"/>
        <v>8400000</v>
      </c>
      <c r="Q323" s="1557">
        <v>1925000</v>
      </c>
      <c r="R323" s="1519">
        <f t="shared" si="197"/>
        <v>10500000</v>
      </c>
      <c r="S323" s="1519">
        <f t="shared" si="198"/>
        <v>6475000</v>
      </c>
      <c r="T323" s="1519">
        <f t="shared" si="199"/>
        <v>0</v>
      </c>
      <c r="U323" s="1535">
        <f t="shared" si="200"/>
        <v>175000</v>
      </c>
      <c r="V323" s="1537">
        <f t="shared" si="201"/>
        <v>2100000</v>
      </c>
      <c r="W323" s="1519">
        <f t="shared" si="202"/>
        <v>2100000</v>
      </c>
      <c r="X323" s="1537">
        <f t="shared" si="203"/>
        <v>2100000</v>
      </c>
      <c r="Y323" s="1537">
        <f t="shared" si="204"/>
        <v>2099000</v>
      </c>
      <c r="Z323" s="1537">
        <f t="shared" si="205"/>
        <v>0</v>
      </c>
      <c r="AA323" s="1537">
        <f t="shared" si="206"/>
        <v>0</v>
      </c>
      <c r="AB323" s="1537">
        <f t="shared" si="207"/>
        <v>0</v>
      </c>
      <c r="AC323" s="1537">
        <f t="shared" si="208"/>
        <v>0</v>
      </c>
      <c r="AD323" s="1537">
        <f t="shared" si="209"/>
        <v>0</v>
      </c>
      <c r="AE323" s="1537">
        <f t="shared" si="210"/>
        <v>0</v>
      </c>
      <c r="AF323" s="1536">
        <f t="shared" si="211"/>
        <v>0</v>
      </c>
      <c r="AG323" s="1555"/>
      <c r="AH323" s="1537">
        <f t="shared" si="212"/>
        <v>6300000</v>
      </c>
      <c r="AI323" s="1537">
        <f t="shared" si="213"/>
        <v>4200000</v>
      </c>
      <c r="AJ323" s="1537">
        <f t="shared" si="214"/>
        <v>2100000</v>
      </c>
      <c r="AK323" s="1537">
        <f t="shared" si="215"/>
        <v>1000</v>
      </c>
      <c r="AL323" s="1537">
        <f t="shared" si="216"/>
        <v>1000</v>
      </c>
      <c r="AM323" s="1537">
        <f t="shared" si="217"/>
        <v>1000</v>
      </c>
      <c r="AN323" s="1537">
        <f t="shared" si="218"/>
        <v>1000</v>
      </c>
      <c r="AO323" s="1537">
        <f t="shared" si="219"/>
        <v>1000</v>
      </c>
      <c r="AP323" s="1537">
        <f t="shared" si="220"/>
        <v>1000</v>
      </c>
      <c r="AQ323" s="1537">
        <f t="shared" si="221"/>
        <v>1000</v>
      </c>
      <c r="AR323" s="1537">
        <f t="shared" si="222"/>
        <v>1000</v>
      </c>
    </row>
    <row r="324" spans="3:44" x14ac:dyDescent="0.3">
      <c r="C324" s="1566" t="s">
        <v>3236</v>
      </c>
      <c r="D324" s="1563" t="s">
        <v>3487</v>
      </c>
      <c r="E324" s="1556">
        <v>5</v>
      </c>
      <c r="F324" s="1518">
        <f t="shared" si="192"/>
        <v>4</v>
      </c>
      <c r="G324" s="1532">
        <f t="shared" si="193"/>
        <v>0</v>
      </c>
      <c r="H324" s="1533">
        <f t="shared" si="194"/>
        <v>0</v>
      </c>
      <c r="I324" s="1534">
        <f t="shared" si="195"/>
        <v>0.2</v>
      </c>
      <c r="J324" s="1519">
        <v>11120000</v>
      </c>
      <c r="K324" s="1519">
        <v>2224000</v>
      </c>
      <c r="N324" s="1519">
        <f t="shared" si="196"/>
        <v>8896000</v>
      </c>
      <c r="Q324" s="1557">
        <v>2038667</v>
      </c>
      <c r="R324" s="1519">
        <f t="shared" si="197"/>
        <v>11120000</v>
      </c>
      <c r="S324" s="1519">
        <f t="shared" si="198"/>
        <v>6857333</v>
      </c>
      <c r="T324" s="1519">
        <f t="shared" si="199"/>
        <v>0</v>
      </c>
      <c r="U324" s="1535">
        <f t="shared" si="200"/>
        <v>185333.33333333334</v>
      </c>
      <c r="V324" s="1537">
        <f t="shared" si="201"/>
        <v>2224000.3333333335</v>
      </c>
      <c r="W324" s="1519">
        <f t="shared" si="202"/>
        <v>2224000</v>
      </c>
      <c r="X324" s="1537">
        <f t="shared" si="203"/>
        <v>2224000</v>
      </c>
      <c r="Y324" s="1537">
        <f t="shared" si="204"/>
        <v>2222999.666666667</v>
      </c>
      <c r="Z324" s="1537">
        <f t="shared" si="205"/>
        <v>0</v>
      </c>
      <c r="AA324" s="1537">
        <f t="shared" si="206"/>
        <v>0</v>
      </c>
      <c r="AB324" s="1537">
        <f t="shared" si="207"/>
        <v>0</v>
      </c>
      <c r="AC324" s="1537">
        <f t="shared" si="208"/>
        <v>0</v>
      </c>
      <c r="AD324" s="1537">
        <f t="shared" si="209"/>
        <v>0</v>
      </c>
      <c r="AE324" s="1537">
        <f t="shared" si="210"/>
        <v>0</v>
      </c>
      <c r="AF324" s="1536">
        <f t="shared" si="211"/>
        <v>0</v>
      </c>
      <c r="AG324" s="1555"/>
      <c r="AH324" s="1537">
        <f t="shared" si="212"/>
        <v>6671999.666666667</v>
      </c>
      <c r="AI324" s="1537">
        <f t="shared" si="213"/>
        <v>4447999.666666667</v>
      </c>
      <c r="AJ324" s="1537">
        <f t="shared" si="214"/>
        <v>2223999.666666667</v>
      </c>
      <c r="AK324" s="1537">
        <f t="shared" si="215"/>
        <v>1000</v>
      </c>
      <c r="AL324" s="1537">
        <f t="shared" si="216"/>
        <v>1000</v>
      </c>
      <c r="AM324" s="1537">
        <f t="shared" si="217"/>
        <v>1000</v>
      </c>
      <c r="AN324" s="1537">
        <f t="shared" si="218"/>
        <v>1000</v>
      </c>
      <c r="AO324" s="1537">
        <f t="shared" si="219"/>
        <v>1000</v>
      </c>
      <c r="AP324" s="1537">
        <f t="shared" si="220"/>
        <v>1000</v>
      </c>
      <c r="AQ324" s="1537">
        <f t="shared" si="221"/>
        <v>1000</v>
      </c>
      <c r="AR324" s="1537">
        <f t="shared" si="222"/>
        <v>1000</v>
      </c>
    </row>
    <row r="325" spans="3:44" x14ac:dyDescent="0.3">
      <c r="C325" s="1566" t="s">
        <v>3237</v>
      </c>
      <c r="D325" s="1563" t="s">
        <v>3488</v>
      </c>
      <c r="E325" s="1556">
        <v>5</v>
      </c>
      <c r="F325" s="1518">
        <f t="shared" si="192"/>
        <v>4</v>
      </c>
      <c r="G325" s="1532">
        <f t="shared" si="193"/>
        <v>0</v>
      </c>
      <c r="H325" s="1533">
        <f t="shared" si="194"/>
        <v>0</v>
      </c>
      <c r="I325" s="1534">
        <f t="shared" si="195"/>
        <v>0.2</v>
      </c>
      <c r="J325" s="1519">
        <v>1480000</v>
      </c>
      <c r="K325" s="1519">
        <v>271333</v>
      </c>
      <c r="N325" s="1519">
        <f t="shared" si="196"/>
        <v>1208667</v>
      </c>
      <c r="Q325" s="1557">
        <v>271333</v>
      </c>
      <c r="R325" s="1519">
        <f t="shared" si="197"/>
        <v>1480000</v>
      </c>
      <c r="S325" s="1519">
        <f t="shared" si="198"/>
        <v>937334</v>
      </c>
      <c r="T325" s="1519">
        <f t="shared" si="199"/>
        <v>0</v>
      </c>
      <c r="U325" s="1535">
        <f t="shared" si="200"/>
        <v>24666.666666666668</v>
      </c>
      <c r="V325" s="1537">
        <f t="shared" si="201"/>
        <v>295999.66666666669</v>
      </c>
      <c r="W325" s="1519">
        <f t="shared" si="202"/>
        <v>296000</v>
      </c>
      <c r="X325" s="1537">
        <f t="shared" si="203"/>
        <v>296000</v>
      </c>
      <c r="Y325" s="1537">
        <f t="shared" si="204"/>
        <v>296000</v>
      </c>
      <c r="Z325" s="1537">
        <f t="shared" si="205"/>
        <v>23667.333333333372</v>
      </c>
      <c r="AA325" s="1537">
        <f t="shared" si="206"/>
        <v>0</v>
      </c>
      <c r="AB325" s="1537">
        <f t="shared" si="207"/>
        <v>0</v>
      </c>
      <c r="AC325" s="1537">
        <f t="shared" si="208"/>
        <v>0</v>
      </c>
      <c r="AD325" s="1537">
        <f t="shared" si="209"/>
        <v>0</v>
      </c>
      <c r="AE325" s="1537">
        <f t="shared" si="210"/>
        <v>0</v>
      </c>
      <c r="AF325" s="1536">
        <f t="shared" si="211"/>
        <v>0</v>
      </c>
      <c r="AG325" s="1555"/>
      <c r="AH325" s="1537">
        <f t="shared" si="212"/>
        <v>912667.33333333337</v>
      </c>
      <c r="AI325" s="1537">
        <f t="shared" si="213"/>
        <v>616667.33333333337</v>
      </c>
      <c r="AJ325" s="1537">
        <f t="shared" si="214"/>
        <v>320667.33333333337</v>
      </c>
      <c r="AK325" s="1537">
        <f t="shared" si="215"/>
        <v>24667.333333333372</v>
      </c>
      <c r="AL325" s="1537">
        <f t="shared" si="216"/>
        <v>1000</v>
      </c>
      <c r="AM325" s="1537">
        <f t="shared" si="217"/>
        <v>1000</v>
      </c>
      <c r="AN325" s="1537">
        <f t="shared" si="218"/>
        <v>1000</v>
      </c>
      <c r="AO325" s="1537">
        <f t="shared" si="219"/>
        <v>1000</v>
      </c>
      <c r="AP325" s="1537">
        <f t="shared" si="220"/>
        <v>1000</v>
      </c>
      <c r="AQ325" s="1537">
        <f t="shared" si="221"/>
        <v>1000</v>
      </c>
      <c r="AR325" s="1537">
        <f t="shared" si="222"/>
        <v>1000</v>
      </c>
    </row>
    <row r="326" spans="3:44" x14ac:dyDescent="0.3">
      <c r="C326" s="1566" t="s">
        <v>3238</v>
      </c>
      <c r="D326" s="1563" t="s">
        <v>3489</v>
      </c>
      <c r="E326" s="1556">
        <v>5</v>
      </c>
      <c r="F326" s="1518">
        <f t="shared" si="192"/>
        <v>4</v>
      </c>
      <c r="G326" s="1532">
        <f t="shared" si="193"/>
        <v>0</v>
      </c>
      <c r="H326" s="1533">
        <f t="shared" si="194"/>
        <v>0</v>
      </c>
      <c r="I326" s="1534">
        <f t="shared" si="195"/>
        <v>0.2</v>
      </c>
      <c r="J326" s="1519">
        <v>1990000</v>
      </c>
      <c r="K326" s="1519">
        <v>331667</v>
      </c>
      <c r="N326" s="1519">
        <f t="shared" si="196"/>
        <v>1658333</v>
      </c>
      <c r="Q326" s="1557">
        <v>364833</v>
      </c>
      <c r="R326" s="1519">
        <f t="shared" si="197"/>
        <v>1990000</v>
      </c>
      <c r="S326" s="1519">
        <f t="shared" si="198"/>
        <v>1293500</v>
      </c>
      <c r="T326" s="1519">
        <f t="shared" si="199"/>
        <v>0</v>
      </c>
      <c r="U326" s="1535">
        <f t="shared" si="200"/>
        <v>33166.666666666664</v>
      </c>
      <c r="V326" s="1537">
        <f t="shared" si="201"/>
        <v>397999.66666666669</v>
      </c>
      <c r="W326" s="1519">
        <f t="shared" si="202"/>
        <v>398000</v>
      </c>
      <c r="X326" s="1537">
        <f t="shared" si="203"/>
        <v>398000</v>
      </c>
      <c r="Y326" s="1537">
        <f t="shared" si="204"/>
        <v>398000</v>
      </c>
      <c r="Z326" s="1537">
        <f t="shared" si="205"/>
        <v>65333.333333333256</v>
      </c>
      <c r="AA326" s="1537">
        <f t="shared" si="206"/>
        <v>0</v>
      </c>
      <c r="AB326" s="1537">
        <f t="shared" si="207"/>
        <v>0</v>
      </c>
      <c r="AC326" s="1537">
        <f t="shared" si="208"/>
        <v>0</v>
      </c>
      <c r="AD326" s="1537">
        <f t="shared" si="209"/>
        <v>0</v>
      </c>
      <c r="AE326" s="1537">
        <f t="shared" si="210"/>
        <v>0</v>
      </c>
      <c r="AF326" s="1536">
        <f t="shared" si="211"/>
        <v>0</v>
      </c>
      <c r="AG326" s="1555"/>
      <c r="AH326" s="1537">
        <f t="shared" si="212"/>
        <v>1260333.3333333333</v>
      </c>
      <c r="AI326" s="1537">
        <f t="shared" si="213"/>
        <v>862333.33333333326</v>
      </c>
      <c r="AJ326" s="1537">
        <f t="shared" si="214"/>
        <v>464333.33333333326</v>
      </c>
      <c r="AK326" s="1537">
        <f t="shared" si="215"/>
        <v>66333.333333333256</v>
      </c>
      <c r="AL326" s="1537">
        <f t="shared" si="216"/>
        <v>1000</v>
      </c>
      <c r="AM326" s="1537">
        <f t="shared" si="217"/>
        <v>1000</v>
      </c>
      <c r="AN326" s="1537">
        <f t="shared" si="218"/>
        <v>1000</v>
      </c>
      <c r="AO326" s="1537">
        <f t="shared" si="219"/>
        <v>1000</v>
      </c>
      <c r="AP326" s="1537">
        <f t="shared" si="220"/>
        <v>1000</v>
      </c>
      <c r="AQ326" s="1537">
        <f t="shared" si="221"/>
        <v>1000</v>
      </c>
      <c r="AR326" s="1537">
        <f t="shared" si="222"/>
        <v>1000</v>
      </c>
    </row>
    <row r="327" spans="3:44" x14ac:dyDescent="0.3">
      <c r="C327" s="1566" t="s">
        <v>3239</v>
      </c>
      <c r="D327" s="1563" t="s">
        <v>3490</v>
      </c>
      <c r="E327" s="1556">
        <v>5</v>
      </c>
      <c r="F327" s="1518">
        <f t="shared" si="192"/>
        <v>4</v>
      </c>
      <c r="G327" s="1532">
        <f t="shared" si="193"/>
        <v>0</v>
      </c>
      <c r="H327" s="1533">
        <f t="shared" si="194"/>
        <v>0</v>
      </c>
      <c r="I327" s="1534">
        <f t="shared" si="195"/>
        <v>0.2</v>
      </c>
      <c r="J327" s="1519">
        <v>2310000</v>
      </c>
      <c r="K327" s="1519">
        <v>385000</v>
      </c>
      <c r="N327" s="1519">
        <f t="shared" si="196"/>
        <v>1925000</v>
      </c>
      <c r="Q327" s="1557">
        <v>423500</v>
      </c>
      <c r="R327" s="1519">
        <f t="shared" si="197"/>
        <v>2310000</v>
      </c>
      <c r="S327" s="1519">
        <f t="shared" si="198"/>
        <v>1501500</v>
      </c>
      <c r="T327" s="1519">
        <f t="shared" si="199"/>
        <v>0</v>
      </c>
      <c r="U327" s="1535">
        <f t="shared" si="200"/>
        <v>38500</v>
      </c>
      <c r="V327" s="1537">
        <f t="shared" si="201"/>
        <v>462000</v>
      </c>
      <c r="W327" s="1519">
        <f t="shared" si="202"/>
        <v>462000</v>
      </c>
      <c r="X327" s="1537">
        <f t="shared" si="203"/>
        <v>462000</v>
      </c>
      <c r="Y327" s="1537">
        <f t="shared" si="204"/>
        <v>462000</v>
      </c>
      <c r="Z327" s="1537">
        <f t="shared" si="205"/>
        <v>76000</v>
      </c>
      <c r="AA327" s="1537">
        <f t="shared" si="206"/>
        <v>0</v>
      </c>
      <c r="AB327" s="1537">
        <f t="shared" si="207"/>
        <v>0</v>
      </c>
      <c r="AC327" s="1537">
        <f t="shared" si="208"/>
        <v>0</v>
      </c>
      <c r="AD327" s="1537">
        <f t="shared" si="209"/>
        <v>0</v>
      </c>
      <c r="AE327" s="1537">
        <f t="shared" si="210"/>
        <v>0</v>
      </c>
      <c r="AF327" s="1536">
        <f t="shared" si="211"/>
        <v>0</v>
      </c>
      <c r="AG327" s="1555"/>
      <c r="AH327" s="1537">
        <f t="shared" si="212"/>
        <v>1463000</v>
      </c>
      <c r="AI327" s="1537">
        <f t="shared" si="213"/>
        <v>1001000</v>
      </c>
      <c r="AJ327" s="1537">
        <f t="shared" si="214"/>
        <v>539000</v>
      </c>
      <c r="AK327" s="1537">
        <f t="shared" si="215"/>
        <v>77000</v>
      </c>
      <c r="AL327" s="1537">
        <f t="shared" si="216"/>
        <v>1000</v>
      </c>
      <c r="AM327" s="1537">
        <f t="shared" si="217"/>
        <v>1000</v>
      </c>
      <c r="AN327" s="1537">
        <f t="shared" si="218"/>
        <v>1000</v>
      </c>
      <c r="AO327" s="1537">
        <f t="shared" si="219"/>
        <v>1000</v>
      </c>
      <c r="AP327" s="1537">
        <f t="shared" si="220"/>
        <v>1000</v>
      </c>
      <c r="AQ327" s="1537">
        <f t="shared" si="221"/>
        <v>1000</v>
      </c>
      <c r="AR327" s="1537">
        <f t="shared" si="222"/>
        <v>1000</v>
      </c>
    </row>
    <row r="328" spans="3:44" x14ac:dyDescent="0.3">
      <c r="C328" s="1566" t="s">
        <v>3240</v>
      </c>
      <c r="D328" s="1563" t="s">
        <v>3491</v>
      </c>
      <c r="E328" s="1556">
        <v>5</v>
      </c>
      <c r="F328" s="1518">
        <f t="shared" si="192"/>
        <v>4</v>
      </c>
      <c r="G328" s="1532">
        <f t="shared" si="193"/>
        <v>0</v>
      </c>
      <c r="H328" s="1533">
        <f t="shared" si="194"/>
        <v>0</v>
      </c>
      <c r="I328" s="1534">
        <f t="shared" si="195"/>
        <v>0.2</v>
      </c>
      <c r="J328" s="1519">
        <v>2780000</v>
      </c>
      <c r="K328" s="1519">
        <v>463333</v>
      </c>
      <c r="N328" s="1519">
        <f t="shared" si="196"/>
        <v>2316667</v>
      </c>
      <c r="Q328" s="1557">
        <v>509667</v>
      </c>
      <c r="R328" s="1519">
        <f t="shared" si="197"/>
        <v>2780000</v>
      </c>
      <c r="S328" s="1519">
        <f t="shared" si="198"/>
        <v>1807000</v>
      </c>
      <c r="T328" s="1519">
        <f t="shared" si="199"/>
        <v>0</v>
      </c>
      <c r="U328" s="1535">
        <f t="shared" si="200"/>
        <v>46333.333333333336</v>
      </c>
      <c r="V328" s="1537">
        <f t="shared" si="201"/>
        <v>556000.33333333337</v>
      </c>
      <c r="W328" s="1519">
        <f t="shared" si="202"/>
        <v>556000</v>
      </c>
      <c r="X328" s="1537">
        <f t="shared" si="203"/>
        <v>556000</v>
      </c>
      <c r="Y328" s="1537">
        <f t="shared" si="204"/>
        <v>556000</v>
      </c>
      <c r="Z328" s="1537">
        <f t="shared" si="205"/>
        <v>91666.666666666744</v>
      </c>
      <c r="AA328" s="1537">
        <f t="shared" si="206"/>
        <v>0</v>
      </c>
      <c r="AB328" s="1537">
        <f t="shared" si="207"/>
        <v>0</v>
      </c>
      <c r="AC328" s="1537">
        <f t="shared" si="208"/>
        <v>0</v>
      </c>
      <c r="AD328" s="1537">
        <f t="shared" si="209"/>
        <v>0</v>
      </c>
      <c r="AE328" s="1537">
        <f t="shared" si="210"/>
        <v>0</v>
      </c>
      <c r="AF328" s="1536">
        <f t="shared" si="211"/>
        <v>0</v>
      </c>
      <c r="AG328" s="1555"/>
      <c r="AH328" s="1537">
        <f t="shared" si="212"/>
        <v>1760666.6666666667</v>
      </c>
      <c r="AI328" s="1537">
        <f t="shared" si="213"/>
        <v>1204666.6666666667</v>
      </c>
      <c r="AJ328" s="1537">
        <f t="shared" si="214"/>
        <v>648666.66666666674</v>
      </c>
      <c r="AK328" s="1537">
        <f t="shared" si="215"/>
        <v>92666.666666666744</v>
      </c>
      <c r="AL328" s="1537">
        <f t="shared" si="216"/>
        <v>1000</v>
      </c>
      <c r="AM328" s="1537">
        <f t="shared" si="217"/>
        <v>1000</v>
      </c>
      <c r="AN328" s="1537">
        <f t="shared" si="218"/>
        <v>1000</v>
      </c>
      <c r="AO328" s="1537">
        <f t="shared" si="219"/>
        <v>1000</v>
      </c>
      <c r="AP328" s="1537">
        <f t="shared" si="220"/>
        <v>1000</v>
      </c>
      <c r="AQ328" s="1537">
        <f t="shared" si="221"/>
        <v>1000</v>
      </c>
      <c r="AR328" s="1537">
        <f t="shared" si="222"/>
        <v>1000</v>
      </c>
    </row>
    <row r="329" spans="3:44" x14ac:dyDescent="0.3">
      <c r="C329" s="1566" t="s">
        <v>3241</v>
      </c>
      <c r="D329" s="1563" t="s">
        <v>3492</v>
      </c>
      <c r="E329" s="1556">
        <v>5</v>
      </c>
      <c r="F329" s="1518">
        <f t="shared" si="192"/>
        <v>4</v>
      </c>
      <c r="G329" s="1532">
        <f t="shared" si="193"/>
        <v>0</v>
      </c>
      <c r="H329" s="1533">
        <f t="shared" si="194"/>
        <v>0</v>
      </c>
      <c r="I329" s="1534">
        <f t="shared" si="195"/>
        <v>0.2</v>
      </c>
      <c r="J329" s="1519">
        <v>610000</v>
      </c>
      <c r="K329" s="1519">
        <v>91500</v>
      </c>
      <c r="N329" s="1519">
        <f t="shared" si="196"/>
        <v>518500</v>
      </c>
      <c r="Q329" s="1557">
        <v>111833</v>
      </c>
      <c r="R329" s="1519">
        <f t="shared" si="197"/>
        <v>610000</v>
      </c>
      <c r="S329" s="1519">
        <f t="shared" si="198"/>
        <v>406667</v>
      </c>
      <c r="T329" s="1519">
        <f t="shared" si="199"/>
        <v>0</v>
      </c>
      <c r="U329" s="1535">
        <f t="shared" si="200"/>
        <v>10166.666666666666</v>
      </c>
      <c r="V329" s="1537">
        <f t="shared" si="201"/>
        <v>121999.66666666667</v>
      </c>
      <c r="W329" s="1519">
        <f t="shared" si="202"/>
        <v>122000</v>
      </c>
      <c r="X329" s="1537">
        <f t="shared" si="203"/>
        <v>122000</v>
      </c>
      <c r="Y329" s="1537">
        <f t="shared" si="204"/>
        <v>122000</v>
      </c>
      <c r="Z329" s="1537">
        <f t="shared" si="205"/>
        <v>29500.333333333314</v>
      </c>
      <c r="AA329" s="1537">
        <f t="shared" si="206"/>
        <v>0</v>
      </c>
      <c r="AB329" s="1537">
        <f t="shared" si="207"/>
        <v>0</v>
      </c>
      <c r="AC329" s="1537">
        <f t="shared" si="208"/>
        <v>0</v>
      </c>
      <c r="AD329" s="1537">
        <f t="shared" si="209"/>
        <v>0</v>
      </c>
      <c r="AE329" s="1537">
        <f t="shared" si="210"/>
        <v>0</v>
      </c>
      <c r="AF329" s="1536">
        <f t="shared" si="211"/>
        <v>0</v>
      </c>
      <c r="AG329" s="1555"/>
      <c r="AH329" s="1537">
        <f t="shared" si="212"/>
        <v>396500.33333333331</v>
      </c>
      <c r="AI329" s="1537">
        <f t="shared" si="213"/>
        <v>274500.33333333331</v>
      </c>
      <c r="AJ329" s="1537">
        <f t="shared" si="214"/>
        <v>152500.33333333331</v>
      </c>
      <c r="AK329" s="1537">
        <f t="shared" si="215"/>
        <v>30500.333333333314</v>
      </c>
      <c r="AL329" s="1537">
        <f t="shared" si="216"/>
        <v>1000</v>
      </c>
      <c r="AM329" s="1537">
        <f t="shared" si="217"/>
        <v>1000</v>
      </c>
      <c r="AN329" s="1537">
        <f t="shared" si="218"/>
        <v>1000</v>
      </c>
      <c r="AO329" s="1537">
        <f t="shared" si="219"/>
        <v>1000</v>
      </c>
      <c r="AP329" s="1537">
        <f t="shared" si="220"/>
        <v>1000</v>
      </c>
      <c r="AQ329" s="1537">
        <f t="shared" si="221"/>
        <v>1000</v>
      </c>
      <c r="AR329" s="1537">
        <f t="shared" si="222"/>
        <v>1000</v>
      </c>
    </row>
    <row r="330" spans="3:44" x14ac:dyDescent="0.3">
      <c r="C330" s="1566" t="s">
        <v>3242</v>
      </c>
      <c r="D330" s="1563" t="s">
        <v>3493</v>
      </c>
      <c r="E330" s="1556">
        <v>5</v>
      </c>
      <c r="F330" s="1518">
        <f t="shared" si="192"/>
        <v>4</v>
      </c>
      <c r="G330" s="1532">
        <f t="shared" si="193"/>
        <v>0</v>
      </c>
      <c r="H330" s="1533">
        <f t="shared" si="194"/>
        <v>0</v>
      </c>
      <c r="I330" s="1534">
        <f t="shared" si="195"/>
        <v>0.2</v>
      </c>
      <c r="J330" s="1519">
        <v>3200000</v>
      </c>
      <c r="K330" s="1519">
        <v>480000</v>
      </c>
      <c r="N330" s="1519">
        <f t="shared" si="196"/>
        <v>2720000</v>
      </c>
      <c r="Q330" s="1557">
        <v>586667</v>
      </c>
      <c r="R330" s="1519">
        <f t="shared" si="197"/>
        <v>3200000</v>
      </c>
      <c r="S330" s="1519">
        <f t="shared" si="198"/>
        <v>2133333</v>
      </c>
      <c r="T330" s="1519">
        <f t="shared" si="199"/>
        <v>0</v>
      </c>
      <c r="U330" s="1535">
        <f t="shared" si="200"/>
        <v>53333.333333333328</v>
      </c>
      <c r="V330" s="1537">
        <f t="shared" si="201"/>
        <v>640000.33333333337</v>
      </c>
      <c r="W330" s="1519">
        <f t="shared" si="202"/>
        <v>640000</v>
      </c>
      <c r="X330" s="1537">
        <f t="shared" si="203"/>
        <v>640000</v>
      </c>
      <c r="Y330" s="1537">
        <f t="shared" si="204"/>
        <v>640000</v>
      </c>
      <c r="Z330" s="1537">
        <f t="shared" si="205"/>
        <v>158999.66666666674</v>
      </c>
      <c r="AA330" s="1537">
        <f t="shared" si="206"/>
        <v>0</v>
      </c>
      <c r="AB330" s="1537">
        <f t="shared" si="207"/>
        <v>0</v>
      </c>
      <c r="AC330" s="1537">
        <f t="shared" si="208"/>
        <v>0</v>
      </c>
      <c r="AD330" s="1537">
        <f t="shared" si="209"/>
        <v>0</v>
      </c>
      <c r="AE330" s="1537">
        <f t="shared" si="210"/>
        <v>0</v>
      </c>
      <c r="AF330" s="1536">
        <f t="shared" si="211"/>
        <v>0</v>
      </c>
      <c r="AG330" s="1555"/>
      <c r="AH330" s="1537">
        <f t="shared" si="212"/>
        <v>2079999.6666666667</v>
      </c>
      <c r="AI330" s="1537">
        <f t="shared" si="213"/>
        <v>1439999.6666666667</v>
      </c>
      <c r="AJ330" s="1537">
        <f t="shared" si="214"/>
        <v>799999.66666666674</v>
      </c>
      <c r="AK330" s="1537">
        <f t="shared" si="215"/>
        <v>159999.66666666674</v>
      </c>
      <c r="AL330" s="1537">
        <f t="shared" si="216"/>
        <v>1000</v>
      </c>
      <c r="AM330" s="1537">
        <f t="shared" si="217"/>
        <v>1000</v>
      </c>
      <c r="AN330" s="1537">
        <f t="shared" si="218"/>
        <v>1000</v>
      </c>
      <c r="AO330" s="1537">
        <f t="shared" si="219"/>
        <v>1000</v>
      </c>
      <c r="AP330" s="1537">
        <f t="shared" si="220"/>
        <v>1000</v>
      </c>
      <c r="AQ330" s="1537">
        <f t="shared" si="221"/>
        <v>1000</v>
      </c>
      <c r="AR330" s="1537">
        <f t="shared" si="222"/>
        <v>1000</v>
      </c>
    </row>
    <row r="331" spans="3:44" x14ac:dyDescent="0.3">
      <c r="C331" s="1566" t="s">
        <v>3243</v>
      </c>
      <c r="D331" s="1563" t="s">
        <v>3494</v>
      </c>
      <c r="E331" s="1556">
        <v>5</v>
      </c>
      <c r="F331" s="1518">
        <f t="shared" si="192"/>
        <v>4</v>
      </c>
      <c r="G331" s="1532">
        <f t="shared" si="193"/>
        <v>0</v>
      </c>
      <c r="H331" s="1533">
        <f t="shared" si="194"/>
        <v>0</v>
      </c>
      <c r="I331" s="1534">
        <f t="shared" si="195"/>
        <v>0.2</v>
      </c>
      <c r="J331" s="1519">
        <v>1810000</v>
      </c>
      <c r="K331" s="1519">
        <v>271500</v>
      </c>
      <c r="N331" s="1519">
        <f t="shared" si="196"/>
        <v>1538500</v>
      </c>
      <c r="Q331" s="1557">
        <v>331833</v>
      </c>
      <c r="R331" s="1519">
        <f t="shared" si="197"/>
        <v>1810000</v>
      </c>
      <c r="S331" s="1519">
        <f t="shared" si="198"/>
        <v>1206667</v>
      </c>
      <c r="T331" s="1519">
        <f t="shared" si="199"/>
        <v>0</v>
      </c>
      <c r="U331" s="1535">
        <f t="shared" si="200"/>
        <v>30166.666666666664</v>
      </c>
      <c r="V331" s="1537">
        <f t="shared" si="201"/>
        <v>361999.66666666669</v>
      </c>
      <c r="W331" s="1519">
        <f t="shared" si="202"/>
        <v>362000</v>
      </c>
      <c r="X331" s="1537">
        <f t="shared" si="203"/>
        <v>362000</v>
      </c>
      <c r="Y331" s="1537">
        <f t="shared" si="204"/>
        <v>362000</v>
      </c>
      <c r="Z331" s="1537">
        <f t="shared" si="205"/>
        <v>89500.333333333256</v>
      </c>
      <c r="AA331" s="1537">
        <f t="shared" si="206"/>
        <v>0</v>
      </c>
      <c r="AB331" s="1537">
        <f t="shared" si="207"/>
        <v>0</v>
      </c>
      <c r="AC331" s="1537">
        <f t="shared" si="208"/>
        <v>0</v>
      </c>
      <c r="AD331" s="1537">
        <f t="shared" si="209"/>
        <v>0</v>
      </c>
      <c r="AE331" s="1537">
        <f t="shared" si="210"/>
        <v>0</v>
      </c>
      <c r="AF331" s="1536">
        <f t="shared" si="211"/>
        <v>0</v>
      </c>
      <c r="AG331" s="1555"/>
      <c r="AH331" s="1537">
        <f t="shared" si="212"/>
        <v>1176500.3333333333</v>
      </c>
      <c r="AI331" s="1537">
        <f t="shared" si="213"/>
        <v>814500.33333333326</v>
      </c>
      <c r="AJ331" s="1537">
        <f t="shared" si="214"/>
        <v>452500.33333333326</v>
      </c>
      <c r="AK331" s="1537">
        <f t="shared" si="215"/>
        <v>90500.333333333256</v>
      </c>
      <c r="AL331" s="1537">
        <f t="shared" si="216"/>
        <v>1000</v>
      </c>
      <c r="AM331" s="1537">
        <f t="shared" si="217"/>
        <v>1000</v>
      </c>
      <c r="AN331" s="1537">
        <f t="shared" si="218"/>
        <v>1000</v>
      </c>
      <c r="AO331" s="1537">
        <f t="shared" si="219"/>
        <v>1000</v>
      </c>
      <c r="AP331" s="1537">
        <f t="shared" si="220"/>
        <v>1000</v>
      </c>
      <c r="AQ331" s="1537">
        <f t="shared" si="221"/>
        <v>1000</v>
      </c>
      <c r="AR331" s="1537">
        <f t="shared" si="222"/>
        <v>1000</v>
      </c>
    </row>
    <row r="332" spans="3:44" x14ac:dyDescent="0.3">
      <c r="C332" s="1566" t="s">
        <v>3244</v>
      </c>
      <c r="D332" s="1563" t="s">
        <v>3495</v>
      </c>
      <c r="E332" s="1556">
        <v>5</v>
      </c>
      <c r="F332" s="1518">
        <f t="shared" si="192"/>
        <v>4</v>
      </c>
      <c r="G332" s="1532">
        <f t="shared" si="193"/>
        <v>0</v>
      </c>
      <c r="H332" s="1533">
        <f t="shared" si="194"/>
        <v>0</v>
      </c>
      <c r="I332" s="1534">
        <f t="shared" si="195"/>
        <v>0.2</v>
      </c>
      <c r="J332" s="1519">
        <v>1510000</v>
      </c>
      <c r="K332" s="1519">
        <v>226500</v>
      </c>
      <c r="N332" s="1519">
        <f t="shared" si="196"/>
        <v>1283500</v>
      </c>
      <c r="Q332" s="1557">
        <v>276833</v>
      </c>
      <c r="R332" s="1519">
        <f t="shared" si="197"/>
        <v>1510000</v>
      </c>
      <c r="S332" s="1519">
        <f t="shared" si="198"/>
        <v>1006667</v>
      </c>
      <c r="T332" s="1519">
        <f t="shared" si="199"/>
        <v>0</v>
      </c>
      <c r="U332" s="1535">
        <f t="shared" si="200"/>
        <v>25166.666666666668</v>
      </c>
      <c r="V332" s="1537">
        <f t="shared" si="201"/>
        <v>301999.66666666669</v>
      </c>
      <c r="W332" s="1519">
        <f t="shared" si="202"/>
        <v>302000</v>
      </c>
      <c r="X332" s="1537">
        <f t="shared" si="203"/>
        <v>302000</v>
      </c>
      <c r="Y332" s="1537">
        <f t="shared" si="204"/>
        <v>302000</v>
      </c>
      <c r="Z332" s="1537">
        <f t="shared" si="205"/>
        <v>74500.333333333372</v>
      </c>
      <c r="AA332" s="1537">
        <f t="shared" si="206"/>
        <v>0</v>
      </c>
      <c r="AB332" s="1537">
        <f t="shared" si="207"/>
        <v>0</v>
      </c>
      <c r="AC332" s="1537">
        <f t="shared" si="208"/>
        <v>0</v>
      </c>
      <c r="AD332" s="1537">
        <f t="shared" si="209"/>
        <v>0</v>
      </c>
      <c r="AE332" s="1537">
        <f t="shared" si="210"/>
        <v>0</v>
      </c>
      <c r="AF332" s="1536">
        <f t="shared" si="211"/>
        <v>0</v>
      </c>
      <c r="AG332" s="1555"/>
      <c r="AH332" s="1537">
        <f t="shared" si="212"/>
        <v>981500.33333333337</v>
      </c>
      <c r="AI332" s="1537">
        <f t="shared" si="213"/>
        <v>679500.33333333337</v>
      </c>
      <c r="AJ332" s="1537">
        <f t="shared" si="214"/>
        <v>377500.33333333337</v>
      </c>
      <c r="AK332" s="1537">
        <f t="shared" si="215"/>
        <v>75500.333333333372</v>
      </c>
      <c r="AL332" s="1537">
        <f t="shared" si="216"/>
        <v>1000</v>
      </c>
      <c r="AM332" s="1537">
        <f t="shared" si="217"/>
        <v>1000</v>
      </c>
      <c r="AN332" s="1537">
        <f t="shared" si="218"/>
        <v>1000</v>
      </c>
      <c r="AO332" s="1537">
        <f t="shared" si="219"/>
        <v>1000</v>
      </c>
      <c r="AP332" s="1537">
        <f t="shared" si="220"/>
        <v>1000</v>
      </c>
      <c r="AQ332" s="1537">
        <f t="shared" si="221"/>
        <v>1000</v>
      </c>
      <c r="AR332" s="1537">
        <f t="shared" si="222"/>
        <v>1000</v>
      </c>
    </row>
    <row r="333" spans="3:44" x14ac:dyDescent="0.3">
      <c r="C333" s="1566" t="s">
        <v>3245</v>
      </c>
      <c r="D333" s="1563" t="s">
        <v>3496</v>
      </c>
      <c r="E333" s="1556">
        <v>5</v>
      </c>
      <c r="F333" s="1518">
        <f t="shared" si="192"/>
        <v>4</v>
      </c>
      <c r="G333" s="1532">
        <f t="shared" si="193"/>
        <v>0</v>
      </c>
      <c r="H333" s="1533">
        <f t="shared" si="194"/>
        <v>0</v>
      </c>
      <c r="I333" s="1534">
        <f t="shared" si="195"/>
        <v>0.2</v>
      </c>
      <c r="J333" s="1519">
        <v>9807000</v>
      </c>
      <c r="K333" s="1519">
        <v>1471050</v>
      </c>
      <c r="N333" s="1519">
        <f t="shared" si="196"/>
        <v>8335950</v>
      </c>
      <c r="Q333" s="1557">
        <v>1797950</v>
      </c>
      <c r="R333" s="1519">
        <f t="shared" si="197"/>
        <v>9807000</v>
      </c>
      <c r="S333" s="1519">
        <f t="shared" si="198"/>
        <v>6538000</v>
      </c>
      <c r="T333" s="1519">
        <f t="shared" si="199"/>
        <v>0</v>
      </c>
      <c r="U333" s="1535">
        <f t="shared" si="200"/>
        <v>163450</v>
      </c>
      <c r="V333" s="1537">
        <f t="shared" si="201"/>
        <v>1961400</v>
      </c>
      <c r="W333" s="1519">
        <f t="shared" si="202"/>
        <v>1961400</v>
      </c>
      <c r="X333" s="1537">
        <f t="shared" si="203"/>
        <v>1961400</v>
      </c>
      <c r="Y333" s="1537">
        <f t="shared" si="204"/>
        <v>1961400</v>
      </c>
      <c r="Z333" s="1537">
        <f t="shared" si="205"/>
        <v>489350</v>
      </c>
      <c r="AA333" s="1537">
        <f t="shared" si="206"/>
        <v>0</v>
      </c>
      <c r="AB333" s="1537">
        <f t="shared" si="207"/>
        <v>0</v>
      </c>
      <c r="AC333" s="1537">
        <f t="shared" si="208"/>
        <v>0</v>
      </c>
      <c r="AD333" s="1537">
        <f t="shared" si="209"/>
        <v>0</v>
      </c>
      <c r="AE333" s="1537">
        <f t="shared" si="210"/>
        <v>0</v>
      </c>
      <c r="AF333" s="1536">
        <f t="shared" si="211"/>
        <v>0</v>
      </c>
      <c r="AG333" s="1555"/>
      <c r="AH333" s="1537">
        <f t="shared" si="212"/>
        <v>6374550</v>
      </c>
      <c r="AI333" s="1537">
        <f t="shared" si="213"/>
        <v>4413150</v>
      </c>
      <c r="AJ333" s="1537">
        <f t="shared" si="214"/>
        <v>2451750</v>
      </c>
      <c r="AK333" s="1537">
        <f t="shared" si="215"/>
        <v>490350</v>
      </c>
      <c r="AL333" s="1537">
        <f t="shared" si="216"/>
        <v>1000</v>
      </c>
      <c r="AM333" s="1537">
        <f t="shared" si="217"/>
        <v>1000</v>
      </c>
      <c r="AN333" s="1537">
        <f t="shared" si="218"/>
        <v>1000</v>
      </c>
      <c r="AO333" s="1537">
        <f t="shared" si="219"/>
        <v>1000</v>
      </c>
      <c r="AP333" s="1537">
        <f t="shared" si="220"/>
        <v>1000</v>
      </c>
      <c r="AQ333" s="1537">
        <f t="shared" si="221"/>
        <v>1000</v>
      </c>
      <c r="AR333" s="1537">
        <f t="shared" si="222"/>
        <v>1000</v>
      </c>
    </row>
    <row r="334" spans="3:44" x14ac:dyDescent="0.3">
      <c r="C334" s="1566" t="s">
        <v>3246</v>
      </c>
      <c r="D334" s="1563" t="s">
        <v>3497</v>
      </c>
      <c r="E334" s="1556">
        <v>5</v>
      </c>
      <c r="F334" s="1518">
        <f t="shared" si="192"/>
        <v>4</v>
      </c>
      <c r="G334" s="1532">
        <f t="shared" si="193"/>
        <v>0</v>
      </c>
      <c r="H334" s="1533">
        <f t="shared" si="194"/>
        <v>0</v>
      </c>
      <c r="I334" s="1534">
        <f t="shared" si="195"/>
        <v>0.2</v>
      </c>
      <c r="J334" s="1519">
        <v>4403000</v>
      </c>
      <c r="K334" s="1519">
        <v>660450</v>
      </c>
      <c r="N334" s="1519">
        <f t="shared" si="196"/>
        <v>3742550</v>
      </c>
      <c r="Q334" s="1557">
        <v>807217</v>
      </c>
      <c r="R334" s="1519">
        <f t="shared" si="197"/>
        <v>4403000</v>
      </c>
      <c r="S334" s="1519">
        <f t="shared" si="198"/>
        <v>2935333</v>
      </c>
      <c r="T334" s="1519">
        <f t="shared" si="199"/>
        <v>0</v>
      </c>
      <c r="U334" s="1535">
        <f t="shared" si="200"/>
        <v>73383.333333333328</v>
      </c>
      <c r="V334" s="1537">
        <f t="shared" si="201"/>
        <v>880600.33333333337</v>
      </c>
      <c r="W334" s="1519">
        <f t="shared" si="202"/>
        <v>880600</v>
      </c>
      <c r="X334" s="1537">
        <f t="shared" si="203"/>
        <v>880600</v>
      </c>
      <c r="Y334" s="1537">
        <f t="shared" si="204"/>
        <v>880600</v>
      </c>
      <c r="Z334" s="1537">
        <f t="shared" si="205"/>
        <v>219149.66666666651</v>
      </c>
      <c r="AA334" s="1537">
        <f t="shared" si="206"/>
        <v>0</v>
      </c>
      <c r="AB334" s="1537">
        <f t="shared" si="207"/>
        <v>0</v>
      </c>
      <c r="AC334" s="1537">
        <f t="shared" si="208"/>
        <v>0</v>
      </c>
      <c r="AD334" s="1537">
        <f t="shared" si="209"/>
        <v>0</v>
      </c>
      <c r="AE334" s="1537">
        <f t="shared" si="210"/>
        <v>0</v>
      </c>
      <c r="AF334" s="1536">
        <f t="shared" si="211"/>
        <v>0</v>
      </c>
      <c r="AG334" s="1555"/>
      <c r="AH334" s="1537">
        <f t="shared" si="212"/>
        <v>2861949.6666666665</v>
      </c>
      <c r="AI334" s="1537">
        <f t="shared" si="213"/>
        <v>1981349.6666666665</v>
      </c>
      <c r="AJ334" s="1537">
        <f t="shared" si="214"/>
        <v>1100749.6666666665</v>
      </c>
      <c r="AK334" s="1537">
        <f t="shared" si="215"/>
        <v>220149.66666666651</v>
      </c>
      <c r="AL334" s="1537">
        <f t="shared" si="216"/>
        <v>1000</v>
      </c>
      <c r="AM334" s="1537">
        <f t="shared" si="217"/>
        <v>1000</v>
      </c>
      <c r="AN334" s="1537">
        <f t="shared" si="218"/>
        <v>1000</v>
      </c>
      <c r="AO334" s="1537">
        <f t="shared" si="219"/>
        <v>1000</v>
      </c>
      <c r="AP334" s="1537">
        <f t="shared" si="220"/>
        <v>1000</v>
      </c>
      <c r="AQ334" s="1537">
        <f t="shared" si="221"/>
        <v>1000</v>
      </c>
      <c r="AR334" s="1537">
        <f t="shared" si="222"/>
        <v>1000</v>
      </c>
    </row>
    <row r="335" spans="3:44" x14ac:dyDescent="0.3">
      <c r="C335" s="1566" t="s">
        <v>3247</v>
      </c>
      <c r="D335" s="1563" t="s">
        <v>3498</v>
      </c>
      <c r="E335" s="1556">
        <v>5</v>
      </c>
      <c r="F335" s="1518">
        <f t="shared" si="192"/>
        <v>4</v>
      </c>
      <c r="G335" s="1532">
        <f t="shared" si="193"/>
        <v>0</v>
      </c>
      <c r="H335" s="1533">
        <f t="shared" si="194"/>
        <v>0</v>
      </c>
      <c r="I335" s="1534">
        <f t="shared" si="195"/>
        <v>0.2</v>
      </c>
      <c r="J335" s="1519">
        <v>1820000</v>
      </c>
      <c r="K335" s="1519">
        <v>242667</v>
      </c>
      <c r="N335" s="1519">
        <f t="shared" si="196"/>
        <v>1577333</v>
      </c>
      <c r="Q335" s="1557">
        <v>333667</v>
      </c>
      <c r="R335" s="1519">
        <f t="shared" si="197"/>
        <v>1820000</v>
      </c>
      <c r="S335" s="1519">
        <f t="shared" si="198"/>
        <v>1243666</v>
      </c>
      <c r="T335" s="1519">
        <f t="shared" si="199"/>
        <v>0</v>
      </c>
      <c r="U335" s="1535">
        <f t="shared" si="200"/>
        <v>30333.333333333332</v>
      </c>
      <c r="V335" s="1537">
        <f t="shared" si="201"/>
        <v>364000.33333333331</v>
      </c>
      <c r="W335" s="1519">
        <f t="shared" si="202"/>
        <v>364000</v>
      </c>
      <c r="X335" s="1537">
        <f t="shared" si="203"/>
        <v>364000</v>
      </c>
      <c r="Y335" s="1537">
        <f t="shared" si="204"/>
        <v>364000</v>
      </c>
      <c r="Z335" s="1537">
        <f t="shared" si="205"/>
        <v>120332.66666666674</v>
      </c>
      <c r="AA335" s="1537">
        <f t="shared" si="206"/>
        <v>0</v>
      </c>
      <c r="AB335" s="1537">
        <f t="shared" si="207"/>
        <v>0</v>
      </c>
      <c r="AC335" s="1537">
        <f t="shared" si="208"/>
        <v>0</v>
      </c>
      <c r="AD335" s="1537">
        <f t="shared" si="209"/>
        <v>0</v>
      </c>
      <c r="AE335" s="1537">
        <f t="shared" si="210"/>
        <v>0</v>
      </c>
      <c r="AF335" s="1536">
        <f t="shared" si="211"/>
        <v>0</v>
      </c>
      <c r="AG335" s="1555"/>
      <c r="AH335" s="1537">
        <f t="shared" si="212"/>
        <v>1213332.6666666667</v>
      </c>
      <c r="AI335" s="1537">
        <f t="shared" si="213"/>
        <v>849332.66666666674</v>
      </c>
      <c r="AJ335" s="1537">
        <f t="shared" si="214"/>
        <v>485332.66666666674</v>
      </c>
      <c r="AK335" s="1537">
        <f t="shared" si="215"/>
        <v>121332.66666666674</v>
      </c>
      <c r="AL335" s="1537">
        <f t="shared" si="216"/>
        <v>1000</v>
      </c>
      <c r="AM335" s="1537">
        <f t="shared" si="217"/>
        <v>1000</v>
      </c>
      <c r="AN335" s="1537">
        <f t="shared" si="218"/>
        <v>1000</v>
      </c>
      <c r="AO335" s="1537">
        <f t="shared" si="219"/>
        <v>1000</v>
      </c>
      <c r="AP335" s="1537">
        <f t="shared" si="220"/>
        <v>1000</v>
      </c>
      <c r="AQ335" s="1537">
        <f t="shared" si="221"/>
        <v>1000</v>
      </c>
      <c r="AR335" s="1537">
        <f t="shared" si="222"/>
        <v>1000</v>
      </c>
    </row>
    <row r="336" spans="3:44" x14ac:dyDescent="0.3">
      <c r="C336" s="1566" t="s">
        <v>3247</v>
      </c>
      <c r="D336" s="1563" t="s">
        <v>3499</v>
      </c>
      <c r="E336" s="1556">
        <v>5</v>
      </c>
      <c r="F336" s="1518">
        <f t="shared" si="192"/>
        <v>4</v>
      </c>
      <c r="G336" s="1532">
        <f t="shared" si="193"/>
        <v>0</v>
      </c>
      <c r="H336" s="1533">
        <f t="shared" si="194"/>
        <v>0</v>
      </c>
      <c r="I336" s="1534">
        <f t="shared" si="195"/>
        <v>0.2</v>
      </c>
      <c r="J336" s="1519">
        <v>1820000</v>
      </c>
      <c r="K336" s="1519">
        <v>242667</v>
      </c>
      <c r="N336" s="1519">
        <f t="shared" si="196"/>
        <v>1577333</v>
      </c>
      <c r="Q336" s="1557">
        <v>333667</v>
      </c>
      <c r="R336" s="1519">
        <f t="shared" si="197"/>
        <v>1820000</v>
      </c>
      <c r="S336" s="1519">
        <f t="shared" si="198"/>
        <v>1243666</v>
      </c>
      <c r="T336" s="1519">
        <f t="shared" si="199"/>
        <v>0</v>
      </c>
      <c r="U336" s="1535">
        <f t="shared" si="200"/>
        <v>30333.333333333332</v>
      </c>
      <c r="V336" s="1537">
        <f t="shared" si="201"/>
        <v>364000.33333333331</v>
      </c>
      <c r="W336" s="1519">
        <f t="shared" si="202"/>
        <v>364000</v>
      </c>
      <c r="X336" s="1537">
        <f t="shared" si="203"/>
        <v>364000</v>
      </c>
      <c r="Y336" s="1537">
        <f t="shared" si="204"/>
        <v>364000</v>
      </c>
      <c r="Z336" s="1537">
        <f t="shared" si="205"/>
        <v>120332.66666666674</v>
      </c>
      <c r="AA336" s="1537">
        <f t="shared" si="206"/>
        <v>0</v>
      </c>
      <c r="AB336" s="1537">
        <f t="shared" si="207"/>
        <v>0</v>
      </c>
      <c r="AC336" s="1537">
        <f t="shared" si="208"/>
        <v>0</v>
      </c>
      <c r="AD336" s="1537">
        <f t="shared" si="209"/>
        <v>0</v>
      </c>
      <c r="AE336" s="1537">
        <f t="shared" si="210"/>
        <v>0</v>
      </c>
      <c r="AF336" s="1536">
        <f t="shared" si="211"/>
        <v>0</v>
      </c>
      <c r="AG336" s="1555"/>
      <c r="AH336" s="1537">
        <f t="shared" si="212"/>
        <v>1213332.6666666667</v>
      </c>
      <c r="AI336" s="1537">
        <f t="shared" si="213"/>
        <v>849332.66666666674</v>
      </c>
      <c r="AJ336" s="1537">
        <f t="shared" si="214"/>
        <v>485332.66666666674</v>
      </c>
      <c r="AK336" s="1537">
        <f t="shared" si="215"/>
        <v>121332.66666666674</v>
      </c>
      <c r="AL336" s="1537">
        <f t="shared" si="216"/>
        <v>1000</v>
      </c>
      <c r="AM336" s="1537">
        <f t="shared" si="217"/>
        <v>1000</v>
      </c>
      <c r="AN336" s="1537">
        <f t="shared" si="218"/>
        <v>1000</v>
      </c>
      <c r="AO336" s="1537">
        <f t="shared" si="219"/>
        <v>1000</v>
      </c>
      <c r="AP336" s="1537">
        <f t="shared" si="220"/>
        <v>1000</v>
      </c>
      <c r="AQ336" s="1537">
        <f t="shared" si="221"/>
        <v>1000</v>
      </c>
      <c r="AR336" s="1537">
        <f t="shared" si="222"/>
        <v>1000</v>
      </c>
    </row>
    <row r="337" spans="3:44" x14ac:dyDescent="0.3">
      <c r="C337" s="1566" t="s">
        <v>3248</v>
      </c>
      <c r="D337" s="1563" t="s">
        <v>3500</v>
      </c>
      <c r="E337" s="1556">
        <v>5</v>
      </c>
      <c r="F337" s="1518">
        <f t="shared" si="192"/>
        <v>4</v>
      </c>
      <c r="G337" s="1532">
        <f t="shared" si="193"/>
        <v>0</v>
      </c>
      <c r="H337" s="1533">
        <f t="shared" si="194"/>
        <v>0</v>
      </c>
      <c r="I337" s="1534">
        <f t="shared" si="195"/>
        <v>0.2</v>
      </c>
      <c r="J337" s="1519">
        <v>1780000</v>
      </c>
      <c r="K337" s="1519">
        <v>237333</v>
      </c>
      <c r="N337" s="1519">
        <f t="shared" si="196"/>
        <v>1542667</v>
      </c>
      <c r="Q337" s="1557">
        <v>326333</v>
      </c>
      <c r="R337" s="1519">
        <f t="shared" si="197"/>
        <v>1780000</v>
      </c>
      <c r="S337" s="1519">
        <f t="shared" si="198"/>
        <v>1216334</v>
      </c>
      <c r="T337" s="1519">
        <f t="shared" si="199"/>
        <v>0</v>
      </c>
      <c r="U337" s="1535">
        <f t="shared" si="200"/>
        <v>29666.666666666664</v>
      </c>
      <c r="V337" s="1537">
        <f t="shared" si="201"/>
        <v>355999.66666666669</v>
      </c>
      <c r="W337" s="1519">
        <f t="shared" si="202"/>
        <v>356000</v>
      </c>
      <c r="X337" s="1537">
        <f t="shared" si="203"/>
        <v>356000</v>
      </c>
      <c r="Y337" s="1537">
        <f t="shared" si="204"/>
        <v>356000</v>
      </c>
      <c r="Z337" s="1537">
        <f t="shared" si="205"/>
        <v>117667.33333333326</v>
      </c>
      <c r="AA337" s="1537">
        <f t="shared" si="206"/>
        <v>0</v>
      </c>
      <c r="AB337" s="1537">
        <f t="shared" si="207"/>
        <v>0</v>
      </c>
      <c r="AC337" s="1537">
        <f t="shared" si="208"/>
        <v>0</v>
      </c>
      <c r="AD337" s="1537">
        <f t="shared" si="209"/>
        <v>0</v>
      </c>
      <c r="AE337" s="1537">
        <f t="shared" si="210"/>
        <v>0</v>
      </c>
      <c r="AF337" s="1536">
        <f t="shared" si="211"/>
        <v>0</v>
      </c>
      <c r="AG337" s="1555"/>
      <c r="AH337" s="1537">
        <f t="shared" si="212"/>
        <v>1186667.3333333333</v>
      </c>
      <c r="AI337" s="1537">
        <f t="shared" si="213"/>
        <v>830667.33333333326</v>
      </c>
      <c r="AJ337" s="1537">
        <f t="shared" si="214"/>
        <v>474667.33333333326</v>
      </c>
      <c r="AK337" s="1537">
        <f t="shared" si="215"/>
        <v>118667.33333333326</v>
      </c>
      <c r="AL337" s="1537">
        <f t="shared" si="216"/>
        <v>1000</v>
      </c>
      <c r="AM337" s="1537">
        <f t="shared" si="217"/>
        <v>1000</v>
      </c>
      <c r="AN337" s="1537">
        <f t="shared" si="218"/>
        <v>1000</v>
      </c>
      <c r="AO337" s="1537">
        <f t="shared" si="219"/>
        <v>1000</v>
      </c>
      <c r="AP337" s="1537">
        <f t="shared" si="220"/>
        <v>1000</v>
      </c>
      <c r="AQ337" s="1537">
        <f t="shared" si="221"/>
        <v>1000</v>
      </c>
      <c r="AR337" s="1537">
        <f t="shared" si="222"/>
        <v>1000</v>
      </c>
    </row>
    <row r="338" spans="3:44" x14ac:dyDescent="0.3">
      <c r="C338" s="1566" t="s">
        <v>3249</v>
      </c>
      <c r="D338" s="1563" t="s">
        <v>3501</v>
      </c>
      <c r="E338" s="1556">
        <v>5</v>
      </c>
      <c r="F338" s="1518">
        <f t="shared" si="192"/>
        <v>4</v>
      </c>
      <c r="G338" s="1532">
        <f t="shared" si="193"/>
        <v>0</v>
      </c>
      <c r="H338" s="1533">
        <f t="shared" si="194"/>
        <v>0</v>
      </c>
      <c r="I338" s="1534">
        <f t="shared" si="195"/>
        <v>0.2</v>
      </c>
      <c r="J338" s="1519">
        <v>4170000</v>
      </c>
      <c r="K338" s="1519">
        <v>486500</v>
      </c>
      <c r="N338" s="1519">
        <f t="shared" si="196"/>
        <v>3683500</v>
      </c>
      <c r="Q338" s="1557">
        <v>764500</v>
      </c>
      <c r="R338" s="1519">
        <f t="shared" si="197"/>
        <v>4170000</v>
      </c>
      <c r="S338" s="1519">
        <f t="shared" si="198"/>
        <v>2919000</v>
      </c>
      <c r="T338" s="1519">
        <f t="shared" si="199"/>
        <v>0</v>
      </c>
      <c r="U338" s="1535">
        <f t="shared" si="200"/>
        <v>69500</v>
      </c>
      <c r="V338" s="1537">
        <f t="shared" si="201"/>
        <v>834000</v>
      </c>
      <c r="W338" s="1519">
        <f t="shared" si="202"/>
        <v>834000</v>
      </c>
      <c r="X338" s="1537">
        <f t="shared" si="203"/>
        <v>834000</v>
      </c>
      <c r="Y338" s="1537">
        <f t="shared" si="204"/>
        <v>834000</v>
      </c>
      <c r="Z338" s="1537">
        <f t="shared" si="205"/>
        <v>346500</v>
      </c>
      <c r="AA338" s="1537">
        <f t="shared" si="206"/>
        <v>0</v>
      </c>
      <c r="AB338" s="1537">
        <f t="shared" si="207"/>
        <v>0</v>
      </c>
      <c r="AC338" s="1537">
        <f t="shared" si="208"/>
        <v>0</v>
      </c>
      <c r="AD338" s="1537">
        <f t="shared" si="209"/>
        <v>0</v>
      </c>
      <c r="AE338" s="1537">
        <f t="shared" si="210"/>
        <v>0</v>
      </c>
      <c r="AF338" s="1536">
        <f t="shared" si="211"/>
        <v>0</v>
      </c>
      <c r="AG338" s="1555"/>
      <c r="AH338" s="1537">
        <f t="shared" si="212"/>
        <v>2849500</v>
      </c>
      <c r="AI338" s="1537">
        <f t="shared" si="213"/>
        <v>2015500</v>
      </c>
      <c r="AJ338" s="1537">
        <f t="shared" si="214"/>
        <v>1181500</v>
      </c>
      <c r="AK338" s="1537">
        <f t="shared" si="215"/>
        <v>347500</v>
      </c>
      <c r="AL338" s="1537">
        <f t="shared" si="216"/>
        <v>1000</v>
      </c>
      <c r="AM338" s="1537">
        <f t="shared" si="217"/>
        <v>1000</v>
      </c>
      <c r="AN338" s="1537">
        <f t="shared" si="218"/>
        <v>1000</v>
      </c>
      <c r="AO338" s="1537">
        <f t="shared" si="219"/>
        <v>1000</v>
      </c>
      <c r="AP338" s="1537">
        <f t="shared" si="220"/>
        <v>1000</v>
      </c>
      <c r="AQ338" s="1537">
        <f t="shared" si="221"/>
        <v>1000</v>
      </c>
      <c r="AR338" s="1537">
        <f t="shared" si="222"/>
        <v>1000</v>
      </c>
    </row>
    <row r="339" spans="3:44" x14ac:dyDescent="0.3">
      <c r="C339" s="1566" t="s">
        <v>3250</v>
      </c>
      <c r="D339" s="1563" t="s">
        <v>3502</v>
      </c>
      <c r="E339" s="1556">
        <v>5</v>
      </c>
      <c r="F339" s="1518">
        <f t="shared" si="192"/>
        <v>4</v>
      </c>
      <c r="G339" s="1532">
        <f t="shared" si="193"/>
        <v>0</v>
      </c>
      <c r="H339" s="1533">
        <f t="shared" si="194"/>
        <v>0</v>
      </c>
      <c r="I339" s="1534">
        <f t="shared" si="195"/>
        <v>0.2</v>
      </c>
      <c r="J339" s="1519">
        <v>1401000</v>
      </c>
      <c r="K339" s="1519">
        <v>163450</v>
      </c>
      <c r="N339" s="1519">
        <f t="shared" si="196"/>
        <v>1237550</v>
      </c>
      <c r="Q339" s="1557">
        <v>256850</v>
      </c>
      <c r="R339" s="1519">
        <f t="shared" si="197"/>
        <v>1401000</v>
      </c>
      <c r="S339" s="1519">
        <f t="shared" si="198"/>
        <v>980700</v>
      </c>
      <c r="T339" s="1519">
        <f t="shared" si="199"/>
        <v>0</v>
      </c>
      <c r="U339" s="1535">
        <f t="shared" si="200"/>
        <v>23350</v>
      </c>
      <c r="V339" s="1537">
        <f t="shared" si="201"/>
        <v>280200</v>
      </c>
      <c r="W339" s="1519">
        <f t="shared" si="202"/>
        <v>280200</v>
      </c>
      <c r="X339" s="1537">
        <f t="shared" si="203"/>
        <v>280200</v>
      </c>
      <c r="Y339" s="1537">
        <f t="shared" si="204"/>
        <v>280200</v>
      </c>
      <c r="Z339" s="1537">
        <f t="shared" si="205"/>
        <v>115750</v>
      </c>
      <c r="AA339" s="1537">
        <f t="shared" si="206"/>
        <v>0</v>
      </c>
      <c r="AB339" s="1537">
        <f t="shared" si="207"/>
        <v>0</v>
      </c>
      <c r="AC339" s="1537">
        <f t="shared" si="208"/>
        <v>0</v>
      </c>
      <c r="AD339" s="1537">
        <f t="shared" si="209"/>
        <v>0</v>
      </c>
      <c r="AE339" s="1537">
        <f t="shared" si="210"/>
        <v>0</v>
      </c>
      <c r="AF339" s="1536">
        <f t="shared" si="211"/>
        <v>0</v>
      </c>
      <c r="AG339" s="1555"/>
      <c r="AH339" s="1537">
        <f t="shared" si="212"/>
        <v>957350</v>
      </c>
      <c r="AI339" s="1537">
        <f t="shared" si="213"/>
        <v>677150</v>
      </c>
      <c r="AJ339" s="1537">
        <f t="shared" si="214"/>
        <v>396950</v>
      </c>
      <c r="AK339" s="1537">
        <f t="shared" si="215"/>
        <v>116750</v>
      </c>
      <c r="AL339" s="1537">
        <f t="shared" si="216"/>
        <v>1000</v>
      </c>
      <c r="AM339" s="1537">
        <f t="shared" si="217"/>
        <v>1000</v>
      </c>
      <c r="AN339" s="1537">
        <f t="shared" si="218"/>
        <v>1000</v>
      </c>
      <c r="AO339" s="1537">
        <f t="shared" si="219"/>
        <v>1000</v>
      </c>
      <c r="AP339" s="1537">
        <f t="shared" si="220"/>
        <v>1000</v>
      </c>
      <c r="AQ339" s="1537">
        <f t="shared" si="221"/>
        <v>1000</v>
      </c>
      <c r="AR339" s="1537">
        <f t="shared" si="222"/>
        <v>1000</v>
      </c>
    </row>
    <row r="340" spans="3:44" x14ac:dyDescent="0.3">
      <c r="C340" s="1566" t="s">
        <v>3251</v>
      </c>
      <c r="D340" s="1563" t="s">
        <v>3503</v>
      </c>
      <c r="E340" s="1556">
        <v>5</v>
      </c>
      <c r="F340" s="1518">
        <f t="shared" si="192"/>
        <v>4</v>
      </c>
      <c r="G340" s="1532">
        <f t="shared" si="193"/>
        <v>0</v>
      </c>
      <c r="H340" s="1533">
        <f t="shared" si="194"/>
        <v>0</v>
      </c>
      <c r="I340" s="1534">
        <f t="shared" si="195"/>
        <v>0.2</v>
      </c>
      <c r="J340" s="1519">
        <v>1380000</v>
      </c>
      <c r="K340" s="1519">
        <v>161000</v>
      </c>
      <c r="N340" s="1519">
        <f t="shared" si="196"/>
        <v>1219000</v>
      </c>
      <c r="Q340" s="1557">
        <v>253000</v>
      </c>
      <c r="R340" s="1519">
        <f t="shared" si="197"/>
        <v>1380000</v>
      </c>
      <c r="S340" s="1519">
        <f t="shared" si="198"/>
        <v>966000</v>
      </c>
      <c r="T340" s="1519">
        <f t="shared" si="199"/>
        <v>0</v>
      </c>
      <c r="U340" s="1535">
        <f t="shared" si="200"/>
        <v>23000</v>
      </c>
      <c r="V340" s="1537">
        <f t="shared" si="201"/>
        <v>276000</v>
      </c>
      <c r="W340" s="1519">
        <f t="shared" si="202"/>
        <v>276000</v>
      </c>
      <c r="X340" s="1537">
        <f t="shared" si="203"/>
        <v>276000</v>
      </c>
      <c r="Y340" s="1537">
        <f t="shared" si="204"/>
        <v>276000</v>
      </c>
      <c r="Z340" s="1537">
        <f t="shared" si="205"/>
        <v>114000</v>
      </c>
      <c r="AA340" s="1537">
        <f t="shared" si="206"/>
        <v>0</v>
      </c>
      <c r="AB340" s="1537">
        <f t="shared" si="207"/>
        <v>0</v>
      </c>
      <c r="AC340" s="1537">
        <f t="shared" si="208"/>
        <v>0</v>
      </c>
      <c r="AD340" s="1537">
        <f t="shared" si="209"/>
        <v>0</v>
      </c>
      <c r="AE340" s="1537">
        <f t="shared" si="210"/>
        <v>0</v>
      </c>
      <c r="AF340" s="1536">
        <f t="shared" si="211"/>
        <v>0</v>
      </c>
      <c r="AG340" s="1555"/>
      <c r="AH340" s="1537">
        <f t="shared" si="212"/>
        <v>943000</v>
      </c>
      <c r="AI340" s="1537">
        <f t="shared" si="213"/>
        <v>667000</v>
      </c>
      <c r="AJ340" s="1537">
        <f t="shared" si="214"/>
        <v>391000</v>
      </c>
      <c r="AK340" s="1537">
        <f t="shared" si="215"/>
        <v>115000</v>
      </c>
      <c r="AL340" s="1537">
        <f t="shared" si="216"/>
        <v>1000</v>
      </c>
      <c r="AM340" s="1537">
        <f t="shared" si="217"/>
        <v>1000</v>
      </c>
      <c r="AN340" s="1537">
        <f t="shared" si="218"/>
        <v>1000</v>
      </c>
      <c r="AO340" s="1537">
        <f t="shared" si="219"/>
        <v>1000</v>
      </c>
      <c r="AP340" s="1537">
        <f t="shared" si="220"/>
        <v>1000</v>
      </c>
      <c r="AQ340" s="1537">
        <f t="shared" si="221"/>
        <v>1000</v>
      </c>
      <c r="AR340" s="1537">
        <f t="shared" si="222"/>
        <v>1000</v>
      </c>
    </row>
    <row r="341" spans="3:44" x14ac:dyDescent="0.3">
      <c r="C341" s="1566" t="s">
        <v>3252</v>
      </c>
      <c r="D341" s="1563" t="s">
        <v>3504</v>
      </c>
      <c r="E341" s="1556">
        <v>5</v>
      </c>
      <c r="F341" s="1518">
        <f t="shared" si="192"/>
        <v>4</v>
      </c>
      <c r="G341" s="1532">
        <f t="shared" si="193"/>
        <v>0</v>
      </c>
      <c r="H341" s="1533">
        <f t="shared" si="194"/>
        <v>0</v>
      </c>
      <c r="I341" s="1534">
        <f t="shared" si="195"/>
        <v>0.2</v>
      </c>
      <c r="J341" s="1519">
        <v>4500000</v>
      </c>
      <c r="K341" s="1519">
        <v>450000</v>
      </c>
      <c r="N341" s="1519">
        <f t="shared" si="196"/>
        <v>4050000</v>
      </c>
      <c r="Q341" s="1557">
        <v>825000</v>
      </c>
      <c r="R341" s="1519">
        <f t="shared" si="197"/>
        <v>4500000</v>
      </c>
      <c r="S341" s="1519">
        <f t="shared" si="198"/>
        <v>3225000</v>
      </c>
      <c r="T341" s="1519">
        <f t="shared" si="199"/>
        <v>0</v>
      </c>
      <c r="U341" s="1535">
        <f t="shared" si="200"/>
        <v>75000</v>
      </c>
      <c r="V341" s="1537">
        <f t="shared" si="201"/>
        <v>900000</v>
      </c>
      <c r="W341" s="1519">
        <f t="shared" si="202"/>
        <v>900000</v>
      </c>
      <c r="X341" s="1537">
        <f t="shared" si="203"/>
        <v>900000</v>
      </c>
      <c r="Y341" s="1537">
        <f t="shared" si="204"/>
        <v>900000</v>
      </c>
      <c r="Z341" s="1537">
        <f t="shared" si="205"/>
        <v>449000</v>
      </c>
      <c r="AA341" s="1537">
        <f t="shared" si="206"/>
        <v>0</v>
      </c>
      <c r="AB341" s="1537">
        <f t="shared" si="207"/>
        <v>0</v>
      </c>
      <c r="AC341" s="1537">
        <f t="shared" si="208"/>
        <v>0</v>
      </c>
      <c r="AD341" s="1537">
        <f t="shared" si="209"/>
        <v>0</v>
      </c>
      <c r="AE341" s="1537">
        <f t="shared" si="210"/>
        <v>0</v>
      </c>
      <c r="AF341" s="1536">
        <f t="shared" si="211"/>
        <v>0</v>
      </c>
      <c r="AG341" s="1555"/>
      <c r="AH341" s="1537">
        <f t="shared" si="212"/>
        <v>3150000</v>
      </c>
      <c r="AI341" s="1537">
        <f t="shared" si="213"/>
        <v>2250000</v>
      </c>
      <c r="AJ341" s="1537">
        <f t="shared" si="214"/>
        <v>1350000</v>
      </c>
      <c r="AK341" s="1537">
        <f t="shared" si="215"/>
        <v>450000</v>
      </c>
      <c r="AL341" s="1537">
        <f t="shared" si="216"/>
        <v>1000</v>
      </c>
      <c r="AM341" s="1537">
        <f t="shared" si="217"/>
        <v>1000</v>
      </c>
      <c r="AN341" s="1537">
        <f t="shared" si="218"/>
        <v>1000</v>
      </c>
      <c r="AO341" s="1537">
        <f t="shared" si="219"/>
        <v>1000</v>
      </c>
      <c r="AP341" s="1537">
        <f t="shared" si="220"/>
        <v>1000</v>
      </c>
      <c r="AQ341" s="1537">
        <f t="shared" si="221"/>
        <v>1000</v>
      </c>
      <c r="AR341" s="1537">
        <f t="shared" si="222"/>
        <v>1000</v>
      </c>
    </row>
    <row r="342" spans="3:44" x14ac:dyDescent="0.3">
      <c r="C342" s="1566" t="s">
        <v>3253</v>
      </c>
      <c r="D342" s="1563" t="s">
        <v>3505</v>
      </c>
      <c r="E342" s="1556">
        <v>5</v>
      </c>
      <c r="F342" s="1518">
        <f t="shared" si="192"/>
        <v>4</v>
      </c>
      <c r="G342" s="1532">
        <f t="shared" si="193"/>
        <v>0</v>
      </c>
      <c r="H342" s="1533">
        <f t="shared" si="194"/>
        <v>0</v>
      </c>
      <c r="I342" s="1534">
        <f t="shared" si="195"/>
        <v>0.2</v>
      </c>
      <c r="J342" s="1519">
        <v>1595000</v>
      </c>
      <c r="K342" s="1519">
        <v>159500</v>
      </c>
      <c r="N342" s="1519">
        <f t="shared" si="196"/>
        <v>1435500</v>
      </c>
      <c r="Q342" s="1557">
        <v>292417</v>
      </c>
      <c r="R342" s="1519">
        <f t="shared" si="197"/>
        <v>1595000</v>
      </c>
      <c r="S342" s="1519">
        <f t="shared" si="198"/>
        <v>1143083</v>
      </c>
      <c r="T342" s="1519">
        <f t="shared" si="199"/>
        <v>0</v>
      </c>
      <c r="U342" s="1535">
        <f t="shared" si="200"/>
        <v>26583.333333333332</v>
      </c>
      <c r="V342" s="1537">
        <f t="shared" si="201"/>
        <v>319000.33333333331</v>
      </c>
      <c r="W342" s="1519">
        <f t="shared" si="202"/>
        <v>319000</v>
      </c>
      <c r="X342" s="1537">
        <f t="shared" si="203"/>
        <v>319000</v>
      </c>
      <c r="Y342" s="1537">
        <f t="shared" si="204"/>
        <v>319000</v>
      </c>
      <c r="Z342" s="1537">
        <f t="shared" si="205"/>
        <v>158499.66666666674</v>
      </c>
      <c r="AA342" s="1537">
        <f t="shared" si="206"/>
        <v>0</v>
      </c>
      <c r="AB342" s="1537">
        <f t="shared" si="207"/>
        <v>0</v>
      </c>
      <c r="AC342" s="1537">
        <f t="shared" si="208"/>
        <v>0</v>
      </c>
      <c r="AD342" s="1537">
        <f t="shared" si="209"/>
        <v>0</v>
      </c>
      <c r="AE342" s="1537">
        <f t="shared" si="210"/>
        <v>0</v>
      </c>
      <c r="AF342" s="1536">
        <f t="shared" si="211"/>
        <v>0</v>
      </c>
      <c r="AG342" s="1555"/>
      <c r="AH342" s="1537">
        <f t="shared" si="212"/>
        <v>1116499.6666666667</v>
      </c>
      <c r="AI342" s="1537">
        <f t="shared" si="213"/>
        <v>797499.66666666674</v>
      </c>
      <c r="AJ342" s="1537">
        <f t="shared" si="214"/>
        <v>478499.66666666674</v>
      </c>
      <c r="AK342" s="1537">
        <f t="shared" si="215"/>
        <v>159499.66666666674</v>
      </c>
      <c r="AL342" s="1537">
        <f t="shared" si="216"/>
        <v>1000</v>
      </c>
      <c r="AM342" s="1537">
        <f t="shared" si="217"/>
        <v>1000</v>
      </c>
      <c r="AN342" s="1537">
        <f t="shared" si="218"/>
        <v>1000</v>
      </c>
      <c r="AO342" s="1537">
        <f t="shared" si="219"/>
        <v>1000</v>
      </c>
      <c r="AP342" s="1537">
        <f t="shared" si="220"/>
        <v>1000</v>
      </c>
      <c r="AQ342" s="1537">
        <f t="shared" si="221"/>
        <v>1000</v>
      </c>
      <c r="AR342" s="1537">
        <f t="shared" si="222"/>
        <v>1000</v>
      </c>
    </row>
    <row r="343" spans="3:44" x14ac:dyDescent="0.3">
      <c r="C343" s="1566" t="s">
        <v>3254</v>
      </c>
      <c r="D343" s="1563" t="s">
        <v>3506</v>
      </c>
      <c r="E343" s="1556">
        <v>5</v>
      </c>
      <c r="F343" s="1518">
        <f t="shared" si="192"/>
        <v>4</v>
      </c>
      <c r="G343" s="1532">
        <f t="shared" si="193"/>
        <v>0</v>
      </c>
      <c r="H343" s="1533">
        <f t="shared" si="194"/>
        <v>0</v>
      </c>
      <c r="I343" s="1534">
        <f t="shared" si="195"/>
        <v>0.2</v>
      </c>
      <c r="J343" s="1519">
        <v>1500000</v>
      </c>
      <c r="K343" s="1519">
        <v>150000</v>
      </c>
      <c r="N343" s="1519">
        <f t="shared" si="196"/>
        <v>1350000</v>
      </c>
      <c r="Q343" s="1557">
        <v>275000</v>
      </c>
      <c r="R343" s="1519">
        <f t="shared" si="197"/>
        <v>1500000</v>
      </c>
      <c r="S343" s="1519">
        <f t="shared" si="198"/>
        <v>1075000</v>
      </c>
      <c r="T343" s="1519">
        <f t="shared" si="199"/>
        <v>0</v>
      </c>
      <c r="U343" s="1535">
        <f t="shared" si="200"/>
        <v>25000</v>
      </c>
      <c r="V343" s="1537">
        <f t="shared" si="201"/>
        <v>300000</v>
      </c>
      <c r="W343" s="1519">
        <f t="shared" si="202"/>
        <v>300000</v>
      </c>
      <c r="X343" s="1537">
        <f t="shared" si="203"/>
        <v>300000</v>
      </c>
      <c r="Y343" s="1537">
        <f t="shared" si="204"/>
        <v>300000</v>
      </c>
      <c r="Z343" s="1537">
        <f t="shared" si="205"/>
        <v>149000</v>
      </c>
      <c r="AA343" s="1537">
        <f t="shared" si="206"/>
        <v>0</v>
      </c>
      <c r="AB343" s="1537">
        <f t="shared" si="207"/>
        <v>0</v>
      </c>
      <c r="AC343" s="1537">
        <f t="shared" si="208"/>
        <v>0</v>
      </c>
      <c r="AD343" s="1537">
        <f t="shared" si="209"/>
        <v>0</v>
      </c>
      <c r="AE343" s="1537">
        <f t="shared" si="210"/>
        <v>0</v>
      </c>
      <c r="AF343" s="1536">
        <f t="shared" si="211"/>
        <v>0</v>
      </c>
      <c r="AG343" s="1555"/>
      <c r="AH343" s="1537">
        <f t="shared" si="212"/>
        <v>1050000</v>
      </c>
      <c r="AI343" s="1537">
        <f t="shared" si="213"/>
        <v>750000</v>
      </c>
      <c r="AJ343" s="1537">
        <f t="shared" si="214"/>
        <v>450000</v>
      </c>
      <c r="AK343" s="1537">
        <f t="shared" si="215"/>
        <v>150000</v>
      </c>
      <c r="AL343" s="1537">
        <f t="shared" si="216"/>
        <v>1000</v>
      </c>
      <c r="AM343" s="1537">
        <f t="shared" si="217"/>
        <v>1000</v>
      </c>
      <c r="AN343" s="1537">
        <f t="shared" si="218"/>
        <v>1000</v>
      </c>
      <c r="AO343" s="1537">
        <f t="shared" si="219"/>
        <v>1000</v>
      </c>
      <c r="AP343" s="1537">
        <f t="shared" si="220"/>
        <v>1000</v>
      </c>
      <c r="AQ343" s="1537">
        <f t="shared" si="221"/>
        <v>1000</v>
      </c>
      <c r="AR343" s="1537">
        <f t="shared" si="222"/>
        <v>1000</v>
      </c>
    </row>
    <row r="344" spans="3:44" x14ac:dyDescent="0.3">
      <c r="C344" s="1566" t="s">
        <v>3255</v>
      </c>
      <c r="D344" s="1563" t="s">
        <v>3507</v>
      </c>
      <c r="E344" s="1556">
        <v>5</v>
      </c>
      <c r="F344" s="1518">
        <f t="shared" si="192"/>
        <v>4</v>
      </c>
      <c r="G344" s="1532">
        <f t="shared" si="193"/>
        <v>0</v>
      </c>
      <c r="H344" s="1533">
        <f t="shared" si="194"/>
        <v>0</v>
      </c>
      <c r="I344" s="1534">
        <f t="shared" si="195"/>
        <v>0.2</v>
      </c>
      <c r="J344" s="1519">
        <v>810000</v>
      </c>
      <c r="K344" s="1519">
        <v>81000</v>
      </c>
      <c r="N344" s="1519">
        <f t="shared" si="196"/>
        <v>729000</v>
      </c>
      <c r="Q344" s="1557">
        <v>148500</v>
      </c>
      <c r="R344" s="1519">
        <f t="shared" si="197"/>
        <v>810000</v>
      </c>
      <c r="S344" s="1519">
        <f t="shared" si="198"/>
        <v>580500</v>
      </c>
      <c r="T344" s="1519">
        <f t="shared" si="199"/>
        <v>0</v>
      </c>
      <c r="U344" s="1535">
        <f t="shared" si="200"/>
        <v>13500</v>
      </c>
      <c r="V344" s="1537">
        <f t="shared" si="201"/>
        <v>162000</v>
      </c>
      <c r="W344" s="1519">
        <f t="shared" si="202"/>
        <v>162000</v>
      </c>
      <c r="X344" s="1537">
        <f t="shared" si="203"/>
        <v>162000</v>
      </c>
      <c r="Y344" s="1537">
        <f t="shared" si="204"/>
        <v>162000</v>
      </c>
      <c r="Z344" s="1537">
        <f t="shared" si="205"/>
        <v>80000</v>
      </c>
      <c r="AA344" s="1537">
        <f t="shared" si="206"/>
        <v>0</v>
      </c>
      <c r="AB344" s="1537">
        <f t="shared" si="207"/>
        <v>0</v>
      </c>
      <c r="AC344" s="1537">
        <f t="shared" si="208"/>
        <v>0</v>
      </c>
      <c r="AD344" s="1537">
        <f t="shared" si="209"/>
        <v>0</v>
      </c>
      <c r="AE344" s="1537">
        <f t="shared" si="210"/>
        <v>0</v>
      </c>
      <c r="AF344" s="1536">
        <f t="shared" si="211"/>
        <v>0</v>
      </c>
      <c r="AG344" s="1555"/>
      <c r="AH344" s="1537">
        <f t="shared" si="212"/>
        <v>567000</v>
      </c>
      <c r="AI344" s="1537">
        <f t="shared" si="213"/>
        <v>405000</v>
      </c>
      <c r="AJ344" s="1537">
        <f t="shared" si="214"/>
        <v>243000</v>
      </c>
      <c r="AK344" s="1537">
        <f t="shared" si="215"/>
        <v>81000</v>
      </c>
      <c r="AL344" s="1537">
        <f t="shared" si="216"/>
        <v>1000</v>
      </c>
      <c r="AM344" s="1537">
        <f t="shared" si="217"/>
        <v>1000</v>
      </c>
      <c r="AN344" s="1537">
        <f t="shared" si="218"/>
        <v>1000</v>
      </c>
      <c r="AO344" s="1537">
        <f t="shared" si="219"/>
        <v>1000</v>
      </c>
      <c r="AP344" s="1537">
        <f t="shared" si="220"/>
        <v>1000</v>
      </c>
      <c r="AQ344" s="1537">
        <f t="shared" si="221"/>
        <v>1000</v>
      </c>
      <c r="AR344" s="1537">
        <f t="shared" si="222"/>
        <v>1000</v>
      </c>
    </row>
    <row r="345" spans="3:44" x14ac:dyDescent="0.3">
      <c r="C345" s="1566" t="s">
        <v>3256</v>
      </c>
      <c r="D345" s="1563" t="s">
        <v>3508</v>
      </c>
      <c r="E345" s="1556">
        <v>5</v>
      </c>
      <c r="F345" s="1518">
        <f t="shared" si="192"/>
        <v>4</v>
      </c>
      <c r="G345" s="1532">
        <f t="shared" si="193"/>
        <v>0</v>
      </c>
      <c r="H345" s="1533">
        <f t="shared" si="194"/>
        <v>0</v>
      </c>
      <c r="I345" s="1534">
        <f t="shared" si="195"/>
        <v>0.2</v>
      </c>
      <c r="J345" s="1519">
        <v>1640000</v>
      </c>
      <c r="K345" s="1519">
        <v>164000</v>
      </c>
      <c r="N345" s="1519">
        <f t="shared" si="196"/>
        <v>1476000</v>
      </c>
      <c r="Q345" s="1557">
        <v>300667</v>
      </c>
      <c r="R345" s="1519">
        <f t="shared" si="197"/>
        <v>1640000</v>
      </c>
      <c r="S345" s="1519">
        <f t="shared" si="198"/>
        <v>1175333</v>
      </c>
      <c r="T345" s="1519">
        <f t="shared" si="199"/>
        <v>0</v>
      </c>
      <c r="U345" s="1535">
        <f t="shared" si="200"/>
        <v>27333.333333333332</v>
      </c>
      <c r="V345" s="1537">
        <f t="shared" si="201"/>
        <v>328000.33333333331</v>
      </c>
      <c r="W345" s="1519">
        <f t="shared" si="202"/>
        <v>328000</v>
      </c>
      <c r="X345" s="1537">
        <f t="shared" si="203"/>
        <v>328000</v>
      </c>
      <c r="Y345" s="1537">
        <f t="shared" si="204"/>
        <v>328000</v>
      </c>
      <c r="Z345" s="1537">
        <f t="shared" si="205"/>
        <v>162999.66666666674</v>
      </c>
      <c r="AA345" s="1537">
        <f t="shared" si="206"/>
        <v>0</v>
      </c>
      <c r="AB345" s="1537">
        <f t="shared" si="207"/>
        <v>0</v>
      </c>
      <c r="AC345" s="1537">
        <f t="shared" si="208"/>
        <v>0</v>
      </c>
      <c r="AD345" s="1537">
        <f t="shared" si="209"/>
        <v>0</v>
      </c>
      <c r="AE345" s="1537">
        <f t="shared" si="210"/>
        <v>0</v>
      </c>
      <c r="AF345" s="1536">
        <f t="shared" si="211"/>
        <v>0</v>
      </c>
      <c r="AG345" s="1555"/>
      <c r="AH345" s="1537">
        <f t="shared" si="212"/>
        <v>1147999.6666666667</v>
      </c>
      <c r="AI345" s="1537">
        <f t="shared" si="213"/>
        <v>819999.66666666674</v>
      </c>
      <c r="AJ345" s="1537">
        <f t="shared" si="214"/>
        <v>491999.66666666674</v>
      </c>
      <c r="AK345" s="1537">
        <f t="shared" si="215"/>
        <v>163999.66666666674</v>
      </c>
      <c r="AL345" s="1537">
        <f t="shared" si="216"/>
        <v>1000</v>
      </c>
      <c r="AM345" s="1537">
        <f t="shared" si="217"/>
        <v>1000</v>
      </c>
      <c r="AN345" s="1537">
        <f t="shared" si="218"/>
        <v>1000</v>
      </c>
      <c r="AO345" s="1537">
        <f t="shared" si="219"/>
        <v>1000</v>
      </c>
      <c r="AP345" s="1537">
        <f t="shared" si="220"/>
        <v>1000</v>
      </c>
      <c r="AQ345" s="1537">
        <f t="shared" si="221"/>
        <v>1000</v>
      </c>
      <c r="AR345" s="1537">
        <f t="shared" si="222"/>
        <v>1000</v>
      </c>
    </row>
    <row r="346" spans="3:44" x14ac:dyDescent="0.3">
      <c r="C346" s="1566" t="s">
        <v>3254</v>
      </c>
      <c r="D346" s="1563" t="s">
        <v>3509</v>
      </c>
      <c r="E346" s="1556">
        <v>5</v>
      </c>
      <c r="F346" s="1518">
        <f t="shared" si="192"/>
        <v>4</v>
      </c>
      <c r="G346" s="1532">
        <f t="shared" si="193"/>
        <v>0</v>
      </c>
      <c r="H346" s="1533">
        <f t="shared" si="194"/>
        <v>0</v>
      </c>
      <c r="I346" s="1534">
        <f t="shared" si="195"/>
        <v>0.2</v>
      </c>
      <c r="J346" s="1519">
        <v>1500000</v>
      </c>
      <c r="K346" s="1519">
        <v>150000</v>
      </c>
      <c r="N346" s="1519">
        <f t="shared" si="196"/>
        <v>1350000</v>
      </c>
      <c r="Q346" s="1557">
        <v>275000</v>
      </c>
      <c r="R346" s="1519">
        <f t="shared" si="197"/>
        <v>1500000</v>
      </c>
      <c r="S346" s="1519">
        <f t="shared" si="198"/>
        <v>1075000</v>
      </c>
      <c r="T346" s="1519">
        <f t="shared" si="199"/>
        <v>0</v>
      </c>
      <c r="U346" s="1535">
        <f t="shared" si="200"/>
        <v>25000</v>
      </c>
      <c r="V346" s="1537">
        <f t="shared" si="201"/>
        <v>300000</v>
      </c>
      <c r="W346" s="1519">
        <f t="shared" si="202"/>
        <v>300000</v>
      </c>
      <c r="X346" s="1537">
        <f t="shared" si="203"/>
        <v>300000</v>
      </c>
      <c r="Y346" s="1537">
        <f t="shared" si="204"/>
        <v>300000</v>
      </c>
      <c r="Z346" s="1537">
        <f t="shared" si="205"/>
        <v>149000</v>
      </c>
      <c r="AA346" s="1537">
        <f t="shared" si="206"/>
        <v>0</v>
      </c>
      <c r="AB346" s="1537">
        <f t="shared" si="207"/>
        <v>0</v>
      </c>
      <c r="AC346" s="1537">
        <f t="shared" si="208"/>
        <v>0</v>
      </c>
      <c r="AD346" s="1537">
        <f t="shared" si="209"/>
        <v>0</v>
      </c>
      <c r="AE346" s="1537">
        <f t="shared" si="210"/>
        <v>0</v>
      </c>
      <c r="AF346" s="1536">
        <f t="shared" si="211"/>
        <v>0</v>
      </c>
      <c r="AG346" s="1555"/>
      <c r="AH346" s="1537">
        <f t="shared" si="212"/>
        <v>1050000</v>
      </c>
      <c r="AI346" s="1537">
        <f t="shared" si="213"/>
        <v>750000</v>
      </c>
      <c r="AJ346" s="1537">
        <f t="shared" si="214"/>
        <v>450000</v>
      </c>
      <c r="AK346" s="1537">
        <f t="shared" si="215"/>
        <v>150000</v>
      </c>
      <c r="AL346" s="1537">
        <f t="shared" si="216"/>
        <v>1000</v>
      </c>
      <c r="AM346" s="1537">
        <f t="shared" si="217"/>
        <v>1000</v>
      </c>
      <c r="AN346" s="1537">
        <f t="shared" si="218"/>
        <v>1000</v>
      </c>
      <c r="AO346" s="1537">
        <f t="shared" si="219"/>
        <v>1000</v>
      </c>
      <c r="AP346" s="1537">
        <f t="shared" si="220"/>
        <v>1000</v>
      </c>
      <c r="AQ346" s="1537">
        <f t="shared" si="221"/>
        <v>1000</v>
      </c>
      <c r="AR346" s="1537">
        <f t="shared" si="222"/>
        <v>1000</v>
      </c>
    </row>
    <row r="347" spans="3:44" x14ac:dyDescent="0.3">
      <c r="C347" s="1566" t="s">
        <v>3250</v>
      </c>
      <c r="D347" s="1563" t="s">
        <v>3507</v>
      </c>
      <c r="E347" s="1556">
        <v>5</v>
      </c>
      <c r="F347" s="1518">
        <f t="shared" si="192"/>
        <v>4</v>
      </c>
      <c r="G347" s="1532">
        <f t="shared" si="193"/>
        <v>0</v>
      </c>
      <c r="H347" s="1533">
        <f t="shared" si="194"/>
        <v>0</v>
      </c>
      <c r="I347" s="1534">
        <f t="shared" si="195"/>
        <v>0.2</v>
      </c>
      <c r="J347" s="1519">
        <v>1390000</v>
      </c>
      <c r="K347" s="1519">
        <v>139000</v>
      </c>
      <c r="N347" s="1519">
        <f t="shared" si="196"/>
        <v>1251000</v>
      </c>
      <c r="Q347" s="1557">
        <v>254833</v>
      </c>
      <c r="R347" s="1519">
        <f t="shared" si="197"/>
        <v>1390000</v>
      </c>
      <c r="S347" s="1519">
        <f t="shared" si="198"/>
        <v>996167</v>
      </c>
      <c r="T347" s="1519">
        <f t="shared" si="199"/>
        <v>0</v>
      </c>
      <c r="U347" s="1535">
        <f t="shared" si="200"/>
        <v>23166.666666666668</v>
      </c>
      <c r="V347" s="1537">
        <f t="shared" si="201"/>
        <v>277999.66666666669</v>
      </c>
      <c r="W347" s="1519">
        <f t="shared" si="202"/>
        <v>278000</v>
      </c>
      <c r="X347" s="1537">
        <f t="shared" si="203"/>
        <v>278000</v>
      </c>
      <c r="Y347" s="1537">
        <f t="shared" si="204"/>
        <v>278000</v>
      </c>
      <c r="Z347" s="1537">
        <f t="shared" si="205"/>
        <v>138000.33333333337</v>
      </c>
      <c r="AA347" s="1537">
        <f t="shared" si="206"/>
        <v>0</v>
      </c>
      <c r="AB347" s="1537">
        <f t="shared" si="207"/>
        <v>0</v>
      </c>
      <c r="AC347" s="1537">
        <f t="shared" si="208"/>
        <v>0</v>
      </c>
      <c r="AD347" s="1537">
        <f t="shared" si="209"/>
        <v>0</v>
      </c>
      <c r="AE347" s="1537">
        <f t="shared" si="210"/>
        <v>0</v>
      </c>
      <c r="AF347" s="1536">
        <f t="shared" si="211"/>
        <v>0</v>
      </c>
      <c r="AG347" s="1555"/>
      <c r="AH347" s="1537">
        <f t="shared" si="212"/>
        <v>973000.33333333337</v>
      </c>
      <c r="AI347" s="1537">
        <f t="shared" si="213"/>
        <v>695000.33333333337</v>
      </c>
      <c r="AJ347" s="1537">
        <f t="shared" si="214"/>
        <v>417000.33333333337</v>
      </c>
      <c r="AK347" s="1537">
        <f t="shared" si="215"/>
        <v>139000.33333333337</v>
      </c>
      <c r="AL347" s="1537">
        <f t="shared" si="216"/>
        <v>1000</v>
      </c>
      <c r="AM347" s="1537">
        <f t="shared" si="217"/>
        <v>1000</v>
      </c>
      <c r="AN347" s="1537">
        <f t="shared" si="218"/>
        <v>1000</v>
      </c>
      <c r="AO347" s="1537">
        <f t="shared" si="219"/>
        <v>1000</v>
      </c>
      <c r="AP347" s="1537">
        <f t="shared" si="220"/>
        <v>1000</v>
      </c>
      <c r="AQ347" s="1537">
        <f t="shared" si="221"/>
        <v>1000</v>
      </c>
      <c r="AR347" s="1537">
        <f t="shared" si="222"/>
        <v>1000</v>
      </c>
    </row>
    <row r="348" spans="3:44" x14ac:dyDescent="0.3">
      <c r="C348" s="1566" t="s">
        <v>3255</v>
      </c>
      <c r="D348" s="1563" t="s">
        <v>3510</v>
      </c>
      <c r="E348" s="1556">
        <v>5</v>
      </c>
      <c r="F348" s="1518">
        <f t="shared" ref="F348:F411" si="223">E348-(YEAR($E$4)-YEAR(D348))</f>
        <v>4</v>
      </c>
      <c r="G348" s="1532">
        <f t="shared" ref="G348:G411" si="224">IF(YEAR(D348)=YEAR($E$4),IF($E$2=$E$4,0,IF(D348&lt;$E$4,$E$2-$E$4,$E$2-D348)),$E$2-$E$4)</f>
        <v>0</v>
      </c>
      <c r="H348" s="1533">
        <f t="shared" ref="H348:H411" si="225">IF(YEAR(D348)=YEAR($E$4),G348/365,IF($E$2=$E$4,G348/365,($E$2-$E$4)/365))</f>
        <v>0</v>
      </c>
      <c r="I348" s="1534">
        <f t="shared" ref="I348:I411" si="226">1/E348</f>
        <v>0.2</v>
      </c>
      <c r="J348" s="1519">
        <v>3790000</v>
      </c>
      <c r="K348" s="1519">
        <v>315833</v>
      </c>
      <c r="N348" s="1519">
        <f t="shared" ref="N348:N411" si="227">ROUND(J348-K348-L348+M348,)</f>
        <v>3474167</v>
      </c>
      <c r="Q348" s="1557">
        <v>694833</v>
      </c>
      <c r="R348" s="1519">
        <f t="shared" ref="R348:R411" si="228">J348+O348-P348</f>
        <v>3790000</v>
      </c>
      <c r="S348" s="1519">
        <f t="shared" ref="S348:S411" si="229">ROUND(N348+O348-P348-Q348,)</f>
        <v>2779334</v>
      </c>
      <c r="T348" s="1519">
        <f t="shared" ref="T348:T411" si="230">J348-K348-L348+M348+O348-P348-Q348-S348</f>
        <v>0</v>
      </c>
      <c r="U348" s="1535">
        <f t="shared" ref="U348:U411" si="231">IF(S348&gt;1000,IF(S348-R348*(1/12)*I348&gt;1000,R348*(1/12)*I348,S348-1000),)</f>
        <v>63166.666666666664</v>
      </c>
      <c r="V348" s="1537">
        <f t="shared" ref="V348:V411" si="232">Q348+U348</f>
        <v>757999.66666666663</v>
      </c>
      <c r="W348" s="1519">
        <f t="shared" ref="W348:W411" si="233">IF(AH348&gt;1000,IF(AH348-$I348*$R348&gt;1000,$I348*$R348,AH348-1000),)</f>
        <v>758000</v>
      </c>
      <c r="X348" s="1537">
        <f t="shared" ref="X348:X411" si="234">IF(AI348&gt;1000,IF(AI348-$I348*$R348&gt;1000,$I348*$R348,AI348-1000),)</f>
        <v>758000</v>
      </c>
      <c r="Y348" s="1537">
        <f t="shared" ref="Y348:Y411" si="235">IF(AJ348&gt;1000,IF(AJ348-$I348*$R348&gt;1000,$I348*$R348,AJ348-1000),)</f>
        <v>758000</v>
      </c>
      <c r="Z348" s="1537">
        <f t="shared" ref="Z348:Z411" si="236">IF(AK348&gt;1000,IF(AK348-$I348*$R348&gt;1000,$I348*$R348,AK348-1000),)</f>
        <v>441167.33333333349</v>
      </c>
      <c r="AA348" s="1537">
        <f t="shared" ref="AA348:AA411" si="237">IF(AL348&gt;1000,IF(AL348-$I348*$R348&gt;1000,$I348*$R348,AL348-1000),)</f>
        <v>0</v>
      </c>
      <c r="AB348" s="1537">
        <f t="shared" ref="AB348:AB411" si="238">IF(AM348&gt;1000,IF(AM348-$I348*$R348&gt;1000,$I348*$R348,AM348-1000),)</f>
        <v>0</v>
      </c>
      <c r="AC348" s="1537">
        <f t="shared" ref="AC348:AC411" si="239">IF(AN348&gt;1000,IF(AN348-$I348*$R348&gt;1000,$I348*$R348,AN348-1000),)</f>
        <v>0</v>
      </c>
      <c r="AD348" s="1537">
        <f t="shared" ref="AD348:AD411" si="240">IF(AO348&gt;1000,IF(AO348-$I348*$R348&gt;1000,$I348*$R348,AO348-1000),)</f>
        <v>0</v>
      </c>
      <c r="AE348" s="1537">
        <f t="shared" ref="AE348:AE411" si="241">IF(AP348&gt;1000,IF(AP348-$I348*$R348&gt;1000,$I348*$R348,AP348-1000),)</f>
        <v>0</v>
      </c>
      <c r="AF348" s="1536">
        <f t="shared" ref="AF348:AF411" si="242">IF(AQ348&gt;1000,IF(AQ348-$I348*$R348&gt;1000,$I348*$R348,AQ348-1000),)</f>
        <v>0</v>
      </c>
      <c r="AG348" s="1555"/>
      <c r="AH348" s="1537">
        <f t="shared" ref="AH348:AH411" si="243">S348-U348</f>
        <v>2716167.3333333335</v>
      </c>
      <c r="AI348" s="1537">
        <f t="shared" ref="AI348:AI411" si="244">AH348-W348</f>
        <v>1958167.3333333335</v>
      </c>
      <c r="AJ348" s="1537">
        <f t="shared" ref="AJ348:AJ411" si="245">AI348-X348</f>
        <v>1200167.3333333335</v>
      </c>
      <c r="AK348" s="1537">
        <f t="shared" ref="AK348:AK411" si="246">AJ348-Y348</f>
        <v>442167.33333333349</v>
      </c>
      <c r="AL348" s="1537">
        <f t="shared" ref="AL348:AL411" si="247">AK348-Z348</f>
        <v>1000</v>
      </c>
      <c r="AM348" s="1537">
        <f t="shared" ref="AM348:AM411" si="248">AL348-AA348</f>
        <v>1000</v>
      </c>
      <c r="AN348" s="1537">
        <f t="shared" ref="AN348:AN411" si="249">AM348-AB348</f>
        <v>1000</v>
      </c>
      <c r="AO348" s="1537">
        <f t="shared" ref="AO348:AO411" si="250">AN348-AC348</f>
        <v>1000</v>
      </c>
      <c r="AP348" s="1537">
        <f t="shared" ref="AP348:AP411" si="251">AO348-AD348</f>
        <v>1000</v>
      </c>
      <c r="AQ348" s="1537">
        <f t="shared" ref="AQ348:AQ411" si="252">AP348-AE348</f>
        <v>1000</v>
      </c>
      <c r="AR348" s="1537">
        <f t="shared" ref="AR348:AR411" si="253">AQ348-AF348</f>
        <v>1000</v>
      </c>
    </row>
    <row r="349" spans="3:44" x14ac:dyDescent="0.3">
      <c r="C349" s="1566" t="s">
        <v>3257</v>
      </c>
      <c r="D349" s="1563" t="s">
        <v>3511</v>
      </c>
      <c r="E349" s="1556">
        <v>5</v>
      </c>
      <c r="F349" s="1518">
        <f t="shared" si="223"/>
        <v>4</v>
      </c>
      <c r="G349" s="1532">
        <f t="shared" si="224"/>
        <v>0</v>
      </c>
      <c r="H349" s="1533">
        <f t="shared" si="225"/>
        <v>0</v>
      </c>
      <c r="I349" s="1534">
        <f t="shared" si="226"/>
        <v>0.2</v>
      </c>
      <c r="J349" s="1519">
        <v>4170000</v>
      </c>
      <c r="K349" s="1519">
        <v>347500</v>
      </c>
      <c r="N349" s="1519">
        <f t="shared" si="227"/>
        <v>3822500</v>
      </c>
      <c r="Q349" s="1557">
        <v>764500</v>
      </c>
      <c r="R349" s="1519">
        <f t="shared" si="228"/>
        <v>4170000</v>
      </c>
      <c r="S349" s="1519">
        <f t="shared" si="229"/>
        <v>3058000</v>
      </c>
      <c r="T349" s="1519">
        <f t="shared" si="230"/>
        <v>0</v>
      </c>
      <c r="U349" s="1535">
        <f t="shared" si="231"/>
        <v>69500</v>
      </c>
      <c r="V349" s="1537">
        <f t="shared" si="232"/>
        <v>834000</v>
      </c>
      <c r="W349" s="1519">
        <f t="shared" si="233"/>
        <v>834000</v>
      </c>
      <c r="X349" s="1537">
        <f t="shared" si="234"/>
        <v>834000</v>
      </c>
      <c r="Y349" s="1537">
        <f t="shared" si="235"/>
        <v>834000</v>
      </c>
      <c r="Z349" s="1537">
        <f t="shared" si="236"/>
        <v>485500</v>
      </c>
      <c r="AA349" s="1537">
        <f t="shared" si="237"/>
        <v>0</v>
      </c>
      <c r="AB349" s="1537">
        <f t="shared" si="238"/>
        <v>0</v>
      </c>
      <c r="AC349" s="1537">
        <f t="shared" si="239"/>
        <v>0</v>
      </c>
      <c r="AD349" s="1537">
        <f t="shared" si="240"/>
        <v>0</v>
      </c>
      <c r="AE349" s="1537">
        <f t="shared" si="241"/>
        <v>0</v>
      </c>
      <c r="AF349" s="1536">
        <f t="shared" si="242"/>
        <v>0</v>
      </c>
      <c r="AG349" s="1555"/>
      <c r="AH349" s="1537">
        <f t="shared" si="243"/>
        <v>2988500</v>
      </c>
      <c r="AI349" s="1537">
        <f t="shared" si="244"/>
        <v>2154500</v>
      </c>
      <c r="AJ349" s="1537">
        <f t="shared" si="245"/>
        <v>1320500</v>
      </c>
      <c r="AK349" s="1537">
        <f t="shared" si="246"/>
        <v>486500</v>
      </c>
      <c r="AL349" s="1537">
        <f t="shared" si="247"/>
        <v>1000</v>
      </c>
      <c r="AM349" s="1537">
        <f t="shared" si="248"/>
        <v>1000</v>
      </c>
      <c r="AN349" s="1537">
        <f t="shared" si="249"/>
        <v>1000</v>
      </c>
      <c r="AO349" s="1537">
        <f t="shared" si="250"/>
        <v>1000</v>
      </c>
      <c r="AP349" s="1537">
        <f t="shared" si="251"/>
        <v>1000</v>
      </c>
      <c r="AQ349" s="1537">
        <f t="shared" si="252"/>
        <v>1000</v>
      </c>
      <c r="AR349" s="1537">
        <f t="shared" si="253"/>
        <v>1000</v>
      </c>
    </row>
    <row r="350" spans="3:44" x14ac:dyDescent="0.3">
      <c r="C350" s="1566" t="s">
        <v>3258</v>
      </c>
      <c r="D350" s="1563" t="s">
        <v>3512</v>
      </c>
      <c r="E350" s="1556">
        <v>5</v>
      </c>
      <c r="F350" s="1518">
        <f t="shared" si="223"/>
        <v>4</v>
      </c>
      <c r="G350" s="1532">
        <f t="shared" si="224"/>
        <v>0</v>
      </c>
      <c r="H350" s="1533">
        <f t="shared" si="225"/>
        <v>0</v>
      </c>
      <c r="I350" s="1534">
        <f t="shared" si="226"/>
        <v>0.2</v>
      </c>
      <c r="J350" s="1519">
        <v>1490000</v>
      </c>
      <c r="K350" s="1519">
        <v>124167</v>
      </c>
      <c r="N350" s="1519">
        <f t="shared" si="227"/>
        <v>1365833</v>
      </c>
      <c r="Q350" s="1557">
        <v>273167</v>
      </c>
      <c r="R350" s="1519">
        <f t="shared" si="228"/>
        <v>1490000</v>
      </c>
      <c r="S350" s="1519">
        <f t="shared" si="229"/>
        <v>1092666</v>
      </c>
      <c r="T350" s="1519">
        <f t="shared" si="230"/>
        <v>0</v>
      </c>
      <c r="U350" s="1535">
        <f t="shared" si="231"/>
        <v>24833.333333333332</v>
      </c>
      <c r="V350" s="1537">
        <f t="shared" si="232"/>
        <v>298000.33333333331</v>
      </c>
      <c r="W350" s="1519">
        <f t="shared" si="233"/>
        <v>298000</v>
      </c>
      <c r="X350" s="1537">
        <f t="shared" si="234"/>
        <v>298000</v>
      </c>
      <c r="Y350" s="1537">
        <f t="shared" si="235"/>
        <v>298000</v>
      </c>
      <c r="Z350" s="1537">
        <f t="shared" si="236"/>
        <v>172832.66666666674</v>
      </c>
      <c r="AA350" s="1537">
        <f t="shared" si="237"/>
        <v>0</v>
      </c>
      <c r="AB350" s="1537">
        <f t="shared" si="238"/>
        <v>0</v>
      </c>
      <c r="AC350" s="1537">
        <f t="shared" si="239"/>
        <v>0</v>
      </c>
      <c r="AD350" s="1537">
        <f t="shared" si="240"/>
        <v>0</v>
      </c>
      <c r="AE350" s="1537">
        <f t="shared" si="241"/>
        <v>0</v>
      </c>
      <c r="AF350" s="1536">
        <f t="shared" si="242"/>
        <v>0</v>
      </c>
      <c r="AG350" s="1555"/>
      <c r="AH350" s="1537">
        <f t="shared" si="243"/>
        <v>1067832.6666666667</v>
      </c>
      <c r="AI350" s="1537">
        <f t="shared" si="244"/>
        <v>769832.66666666674</v>
      </c>
      <c r="AJ350" s="1537">
        <f t="shared" si="245"/>
        <v>471832.66666666674</v>
      </c>
      <c r="AK350" s="1537">
        <f t="shared" si="246"/>
        <v>173832.66666666674</v>
      </c>
      <c r="AL350" s="1537">
        <f t="shared" si="247"/>
        <v>1000</v>
      </c>
      <c r="AM350" s="1537">
        <f t="shared" si="248"/>
        <v>1000</v>
      </c>
      <c r="AN350" s="1537">
        <f t="shared" si="249"/>
        <v>1000</v>
      </c>
      <c r="AO350" s="1537">
        <f t="shared" si="250"/>
        <v>1000</v>
      </c>
      <c r="AP350" s="1537">
        <f t="shared" si="251"/>
        <v>1000</v>
      </c>
      <c r="AQ350" s="1537">
        <f t="shared" si="252"/>
        <v>1000</v>
      </c>
      <c r="AR350" s="1537">
        <f t="shared" si="253"/>
        <v>1000</v>
      </c>
    </row>
    <row r="351" spans="3:44" x14ac:dyDescent="0.3">
      <c r="C351" s="1566" t="s">
        <v>3259</v>
      </c>
      <c r="D351" s="1563" t="s">
        <v>3513</v>
      </c>
      <c r="E351" s="1556">
        <v>5</v>
      </c>
      <c r="F351" s="1518">
        <f t="shared" si="223"/>
        <v>4</v>
      </c>
      <c r="G351" s="1532">
        <f t="shared" si="224"/>
        <v>0</v>
      </c>
      <c r="H351" s="1533">
        <f t="shared" si="225"/>
        <v>0</v>
      </c>
      <c r="I351" s="1534">
        <f t="shared" si="226"/>
        <v>0.2</v>
      </c>
      <c r="J351" s="1519">
        <v>1273000</v>
      </c>
      <c r="K351" s="1519">
        <v>106083</v>
      </c>
      <c r="N351" s="1519">
        <f t="shared" si="227"/>
        <v>1166917</v>
      </c>
      <c r="Q351" s="1557">
        <v>233383</v>
      </c>
      <c r="R351" s="1519">
        <f t="shared" si="228"/>
        <v>1273000</v>
      </c>
      <c r="S351" s="1519">
        <f t="shared" si="229"/>
        <v>933534</v>
      </c>
      <c r="T351" s="1519">
        <f t="shared" si="230"/>
        <v>0</v>
      </c>
      <c r="U351" s="1535">
        <f t="shared" si="231"/>
        <v>21216.666666666668</v>
      </c>
      <c r="V351" s="1537">
        <f t="shared" si="232"/>
        <v>254599.66666666666</v>
      </c>
      <c r="W351" s="1519">
        <f t="shared" si="233"/>
        <v>254600</v>
      </c>
      <c r="X351" s="1537">
        <f t="shared" si="234"/>
        <v>254600</v>
      </c>
      <c r="Y351" s="1537">
        <f t="shared" si="235"/>
        <v>254600</v>
      </c>
      <c r="Z351" s="1537">
        <f t="shared" si="236"/>
        <v>147517.33333333337</v>
      </c>
      <c r="AA351" s="1537">
        <f t="shared" si="237"/>
        <v>0</v>
      </c>
      <c r="AB351" s="1537">
        <f t="shared" si="238"/>
        <v>0</v>
      </c>
      <c r="AC351" s="1537">
        <f t="shared" si="239"/>
        <v>0</v>
      </c>
      <c r="AD351" s="1537">
        <f t="shared" si="240"/>
        <v>0</v>
      </c>
      <c r="AE351" s="1537">
        <f t="shared" si="241"/>
        <v>0</v>
      </c>
      <c r="AF351" s="1536">
        <f t="shared" si="242"/>
        <v>0</v>
      </c>
      <c r="AG351" s="1555"/>
      <c r="AH351" s="1537">
        <f t="shared" si="243"/>
        <v>912317.33333333337</v>
      </c>
      <c r="AI351" s="1537">
        <f t="shared" si="244"/>
        <v>657717.33333333337</v>
      </c>
      <c r="AJ351" s="1537">
        <f t="shared" si="245"/>
        <v>403117.33333333337</v>
      </c>
      <c r="AK351" s="1537">
        <f t="shared" si="246"/>
        <v>148517.33333333337</v>
      </c>
      <c r="AL351" s="1537">
        <f t="shared" si="247"/>
        <v>1000</v>
      </c>
      <c r="AM351" s="1537">
        <f t="shared" si="248"/>
        <v>1000</v>
      </c>
      <c r="AN351" s="1537">
        <f t="shared" si="249"/>
        <v>1000</v>
      </c>
      <c r="AO351" s="1537">
        <f t="shared" si="250"/>
        <v>1000</v>
      </c>
      <c r="AP351" s="1537">
        <f t="shared" si="251"/>
        <v>1000</v>
      </c>
      <c r="AQ351" s="1537">
        <f t="shared" si="252"/>
        <v>1000</v>
      </c>
      <c r="AR351" s="1537">
        <f t="shared" si="253"/>
        <v>1000</v>
      </c>
    </row>
    <row r="352" spans="3:44" x14ac:dyDescent="0.3">
      <c r="C352" s="1566" t="s">
        <v>3250</v>
      </c>
      <c r="D352" s="1563" t="s">
        <v>3514</v>
      </c>
      <c r="E352" s="1556">
        <v>5</v>
      </c>
      <c r="F352" s="1518">
        <f t="shared" si="223"/>
        <v>4</v>
      </c>
      <c r="G352" s="1532">
        <f t="shared" si="224"/>
        <v>0</v>
      </c>
      <c r="H352" s="1533">
        <f t="shared" si="225"/>
        <v>0</v>
      </c>
      <c r="I352" s="1534">
        <f t="shared" si="226"/>
        <v>0.2</v>
      </c>
      <c r="J352" s="1519">
        <v>1390000</v>
      </c>
      <c r="K352" s="1519">
        <v>115833</v>
      </c>
      <c r="N352" s="1519">
        <f t="shared" si="227"/>
        <v>1274167</v>
      </c>
      <c r="Q352" s="1557">
        <v>254833</v>
      </c>
      <c r="R352" s="1519">
        <f t="shared" si="228"/>
        <v>1390000</v>
      </c>
      <c r="S352" s="1519">
        <f t="shared" si="229"/>
        <v>1019334</v>
      </c>
      <c r="T352" s="1519">
        <f t="shared" si="230"/>
        <v>0</v>
      </c>
      <c r="U352" s="1535">
        <f t="shared" si="231"/>
        <v>23166.666666666668</v>
      </c>
      <c r="V352" s="1537">
        <f t="shared" si="232"/>
        <v>277999.66666666669</v>
      </c>
      <c r="W352" s="1519">
        <f t="shared" si="233"/>
        <v>278000</v>
      </c>
      <c r="X352" s="1537">
        <f t="shared" si="234"/>
        <v>278000</v>
      </c>
      <c r="Y352" s="1537">
        <f t="shared" si="235"/>
        <v>278000</v>
      </c>
      <c r="Z352" s="1537">
        <f t="shared" si="236"/>
        <v>161167.33333333337</v>
      </c>
      <c r="AA352" s="1537">
        <f t="shared" si="237"/>
        <v>0</v>
      </c>
      <c r="AB352" s="1537">
        <f t="shared" si="238"/>
        <v>0</v>
      </c>
      <c r="AC352" s="1537">
        <f t="shared" si="239"/>
        <v>0</v>
      </c>
      <c r="AD352" s="1537">
        <f t="shared" si="240"/>
        <v>0</v>
      </c>
      <c r="AE352" s="1537">
        <f t="shared" si="241"/>
        <v>0</v>
      </c>
      <c r="AF352" s="1536">
        <f t="shared" si="242"/>
        <v>0</v>
      </c>
      <c r="AG352" s="1555"/>
      <c r="AH352" s="1537">
        <f t="shared" si="243"/>
        <v>996167.33333333337</v>
      </c>
      <c r="AI352" s="1537">
        <f t="shared" si="244"/>
        <v>718167.33333333337</v>
      </c>
      <c r="AJ352" s="1537">
        <f t="shared" si="245"/>
        <v>440167.33333333337</v>
      </c>
      <c r="AK352" s="1537">
        <f t="shared" si="246"/>
        <v>162167.33333333337</v>
      </c>
      <c r="AL352" s="1537">
        <f t="shared" si="247"/>
        <v>1000</v>
      </c>
      <c r="AM352" s="1537">
        <f t="shared" si="248"/>
        <v>1000</v>
      </c>
      <c r="AN352" s="1537">
        <f t="shared" si="249"/>
        <v>1000</v>
      </c>
      <c r="AO352" s="1537">
        <f t="shared" si="250"/>
        <v>1000</v>
      </c>
      <c r="AP352" s="1537">
        <f t="shared" si="251"/>
        <v>1000</v>
      </c>
      <c r="AQ352" s="1537">
        <f t="shared" si="252"/>
        <v>1000</v>
      </c>
      <c r="AR352" s="1537">
        <f t="shared" si="253"/>
        <v>1000</v>
      </c>
    </row>
    <row r="353" spans="3:44" x14ac:dyDescent="0.3">
      <c r="C353" s="1566" t="s">
        <v>3260</v>
      </c>
      <c r="D353" s="1563" t="s">
        <v>3515</v>
      </c>
      <c r="E353" s="1556">
        <v>5</v>
      </c>
      <c r="F353" s="1518">
        <f t="shared" si="223"/>
        <v>4</v>
      </c>
      <c r="G353" s="1532">
        <f t="shared" si="224"/>
        <v>0</v>
      </c>
      <c r="H353" s="1533">
        <f t="shared" si="225"/>
        <v>0</v>
      </c>
      <c r="I353" s="1534">
        <f t="shared" si="226"/>
        <v>0.2</v>
      </c>
      <c r="J353" s="1519">
        <v>12510000</v>
      </c>
      <c r="K353" s="1519">
        <v>1042500</v>
      </c>
      <c r="N353" s="1519">
        <f t="shared" si="227"/>
        <v>11467500</v>
      </c>
      <c r="Q353" s="1557">
        <v>2293500</v>
      </c>
      <c r="R353" s="1519">
        <f t="shared" si="228"/>
        <v>12510000</v>
      </c>
      <c r="S353" s="1519">
        <f t="shared" si="229"/>
        <v>9174000</v>
      </c>
      <c r="T353" s="1519">
        <f t="shared" si="230"/>
        <v>0</v>
      </c>
      <c r="U353" s="1535">
        <f t="shared" si="231"/>
        <v>208500</v>
      </c>
      <c r="V353" s="1537">
        <f t="shared" si="232"/>
        <v>2502000</v>
      </c>
      <c r="W353" s="1519">
        <f t="shared" si="233"/>
        <v>2502000</v>
      </c>
      <c r="X353" s="1537">
        <f t="shared" si="234"/>
        <v>2502000</v>
      </c>
      <c r="Y353" s="1537">
        <f t="shared" si="235"/>
        <v>2502000</v>
      </c>
      <c r="Z353" s="1537">
        <f t="shared" si="236"/>
        <v>1458500</v>
      </c>
      <c r="AA353" s="1537">
        <f t="shared" si="237"/>
        <v>0</v>
      </c>
      <c r="AB353" s="1537">
        <f t="shared" si="238"/>
        <v>0</v>
      </c>
      <c r="AC353" s="1537">
        <f t="shared" si="239"/>
        <v>0</v>
      </c>
      <c r="AD353" s="1537">
        <f t="shared" si="240"/>
        <v>0</v>
      </c>
      <c r="AE353" s="1537">
        <f t="shared" si="241"/>
        <v>0</v>
      </c>
      <c r="AF353" s="1536">
        <f t="shared" si="242"/>
        <v>0</v>
      </c>
      <c r="AG353" s="1555"/>
      <c r="AH353" s="1537">
        <f t="shared" si="243"/>
        <v>8965500</v>
      </c>
      <c r="AI353" s="1537">
        <f t="shared" si="244"/>
        <v>6463500</v>
      </c>
      <c r="AJ353" s="1537">
        <f t="shared" si="245"/>
        <v>3961500</v>
      </c>
      <c r="AK353" s="1537">
        <f t="shared" si="246"/>
        <v>1459500</v>
      </c>
      <c r="AL353" s="1537">
        <f t="shared" si="247"/>
        <v>1000</v>
      </c>
      <c r="AM353" s="1537">
        <f t="shared" si="248"/>
        <v>1000</v>
      </c>
      <c r="AN353" s="1537">
        <f t="shared" si="249"/>
        <v>1000</v>
      </c>
      <c r="AO353" s="1537">
        <f t="shared" si="250"/>
        <v>1000</v>
      </c>
      <c r="AP353" s="1537">
        <f t="shared" si="251"/>
        <v>1000</v>
      </c>
      <c r="AQ353" s="1537">
        <f t="shared" si="252"/>
        <v>1000</v>
      </c>
      <c r="AR353" s="1537">
        <f t="shared" si="253"/>
        <v>1000</v>
      </c>
    </row>
    <row r="354" spans="3:44" x14ac:dyDescent="0.3">
      <c r="C354" s="1566" t="s">
        <v>3261</v>
      </c>
      <c r="D354" s="1563" t="s">
        <v>3515</v>
      </c>
      <c r="E354" s="1556">
        <v>5</v>
      </c>
      <c r="F354" s="1518">
        <f t="shared" si="223"/>
        <v>4</v>
      </c>
      <c r="G354" s="1532">
        <f t="shared" si="224"/>
        <v>0</v>
      </c>
      <c r="H354" s="1533">
        <f t="shared" si="225"/>
        <v>0</v>
      </c>
      <c r="I354" s="1534">
        <f t="shared" si="226"/>
        <v>0.2</v>
      </c>
      <c r="J354" s="1519">
        <v>3400000</v>
      </c>
      <c r="K354" s="1519">
        <v>283333</v>
      </c>
      <c r="N354" s="1519">
        <f t="shared" si="227"/>
        <v>3116667</v>
      </c>
      <c r="Q354" s="1557">
        <v>623333</v>
      </c>
      <c r="R354" s="1519">
        <f t="shared" si="228"/>
        <v>3400000</v>
      </c>
      <c r="S354" s="1519">
        <f t="shared" si="229"/>
        <v>2493334</v>
      </c>
      <c r="T354" s="1519">
        <f t="shared" si="230"/>
        <v>0</v>
      </c>
      <c r="U354" s="1535">
        <f t="shared" si="231"/>
        <v>56666.666666666664</v>
      </c>
      <c r="V354" s="1537">
        <f t="shared" si="232"/>
        <v>679999.66666666663</v>
      </c>
      <c r="W354" s="1519">
        <f t="shared" si="233"/>
        <v>680000</v>
      </c>
      <c r="X354" s="1537">
        <f t="shared" si="234"/>
        <v>680000</v>
      </c>
      <c r="Y354" s="1537">
        <f t="shared" si="235"/>
        <v>680000</v>
      </c>
      <c r="Z354" s="1537">
        <f t="shared" si="236"/>
        <v>395667.33333333349</v>
      </c>
      <c r="AA354" s="1537">
        <f t="shared" si="237"/>
        <v>0</v>
      </c>
      <c r="AB354" s="1537">
        <f t="shared" si="238"/>
        <v>0</v>
      </c>
      <c r="AC354" s="1537">
        <f t="shared" si="239"/>
        <v>0</v>
      </c>
      <c r="AD354" s="1537">
        <f t="shared" si="240"/>
        <v>0</v>
      </c>
      <c r="AE354" s="1537">
        <f t="shared" si="241"/>
        <v>0</v>
      </c>
      <c r="AF354" s="1536">
        <f t="shared" si="242"/>
        <v>0</v>
      </c>
      <c r="AG354" s="1555"/>
      <c r="AH354" s="1537">
        <f t="shared" si="243"/>
        <v>2436667.3333333335</v>
      </c>
      <c r="AI354" s="1537">
        <f t="shared" si="244"/>
        <v>1756667.3333333335</v>
      </c>
      <c r="AJ354" s="1537">
        <f t="shared" si="245"/>
        <v>1076667.3333333335</v>
      </c>
      <c r="AK354" s="1537">
        <f t="shared" si="246"/>
        <v>396667.33333333349</v>
      </c>
      <c r="AL354" s="1537">
        <f t="shared" si="247"/>
        <v>1000</v>
      </c>
      <c r="AM354" s="1537">
        <f t="shared" si="248"/>
        <v>1000</v>
      </c>
      <c r="AN354" s="1537">
        <f t="shared" si="249"/>
        <v>1000</v>
      </c>
      <c r="AO354" s="1537">
        <f t="shared" si="250"/>
        <v>1000</v>
      </c>
      <c r="AP354" s="1537">
        <f t="shared" si="251"/>
        <v>1000</v>
      </c>
      <c r="AQ354" s="1537">
        <f t="shared" si="252"/>
        <v>1000</v>
      </c>
      <c r="AR354" s="1537">
        <f t="shared" si="253"/>
        <v>1000</v>
      </c>
    </row>
    <row r="355" spans="3:44" x14ac:dyDescent="0.3">
      <c r="C355" s="1566" t="s">
        <v>3262</v>
      </c>
      <c r="D355" s="1563" t="s">
        <v>3516</v>
      </c>
      <c r="E355" s="1556">
        <v>5</v>
      </c>
      <c r="F355" s="1518">
        <f t="shared" si="223"/>
        <v>4</v>
      </c>
      <c r="G355" s="1532">
        <f t="shared" si="224"/>
        <v>0</v>
      </c>
      <c r="H355" s="1533">
        <f t="shared" si="225"/>
        <v>0</v>
      </c>
      <c r="I355" s="1534">
        <f t="shared" si="226"/>
        <v>0.2</v>
      </c>
      <c r="J355" s="1519">
        <v>1500000</v>
      </c>
      <c r="K355" s="1519">
        <v>100000</v>
      </c>
      <c r="N355" s="1519">
        <f t="shared" si="227"/>
        <v>1400000</v>
      </c>
      <c r="Q355" s="1557">
        <v>275000</v>
      </c>
      <c r="R355" s="1519">
        <f t="shared" si="228"/>
        <v>1500000</v>
      </c>
      <c r="S355" s="1519">
        <f t="shared" si="229"/>
        <v>1125000</v>
      </c>
      <c r="T355" s="1519">
        <f t="shared" si="230"/>
        <v>0</v>
      </c>
      <c r="U355" s="1535">
        <f t="shared" si="231"/>
        <v>25000</v>
      </c>
      <c r="V355" s="1537">
        <f t="shared" si="232"/>
        <v>300000</v>
      </c>
      <c r="W355" s="1519">
        <f t="shared" si="233"/>
        <v>300000</v>
      </c>
      <c r="X355" s="1537">
        <f t="shared" si="234"/>
        <v>300000</v>
      </c>
      <c r="Y355" s="1537">
        <f t="shared" si="235"/>
        <v>300000</v>
      </c>
      <c r="Z355" s="1537">
        <f t="shared" si="236"/>
        <v>199000</v>
      </c>
      <c r="AA355" s="1537">
        <f t="shared" si="237"/>
        <v>0</v>
      </c>
      <c r="AB355" s="1537">
        <f t="shared" si="238"/>
        <v>0</v>
      </c>
      <c r="AC355" s="1537">
        <f t="shared" si="239"/>
        <v>0</v>
      </c>
      <c r="AD355" s="1537">
        <f t="shared" si="240"/>
        <v>0</v>
      </c>
      <c r="AE355" s="1537">
        <f t="shared" si="241"/>
        <v>0</v>
      </c>
      <c r="AF355" s="1536">
        <f t="shared" si="242"/>
        <v>0</v>
      </c>
      <c r="AG355" s="1555"/>
      <c r="AH355" s="1537">
        <f t="shared" si="243"/>
        <v>1100000</v>
      </c>
      <c r="AI355" s="1537">
        <f t="shared" si="244"/>
        <v>800000</v>
      </c>
      <c r="AJ355" s="1537">
        <f t="shared" si="245"/>
        <v>500000</v>
      </c>
      <c r="AK355" s="1537">
        <f t="shared" si="246"/>
        <v>200000</v>
      </c>
      <c r="AL355" s="1537">
        <f t="shared" si="247"/>
        <v>1000</v>
      </c>
      <c r="AM355" s="1537">
        <f t="shared" si="248"/>
        <v>1000</v>
      </c>
      <c r="AN355" s="1537">
        <f t="shared" si="249"/>
        <v>1000</v>
      </c>
      <c r="AO355" s="1537">
        <f t="shared" si="250"/>
        <v>1000</v>
      </c>
      <c r="AP355" s="1537">
        <f t="shared" si="251"/>
        <v>1000</v>
      </c>
      <c r="AQ355" s="1537">
        <f t="shared" si="252"/>
        <v>1000</v>
      </c>
      <c r="AR355" s="1537">
        <f t="shared" si="253"/>
        <v>1000</v>
      </c>
    </row>
    <row r="356" spans="3:44" x14ac:dyDescent="0.3">
      <c r="C356" s="1566" t="s">
        <v>3263</v>
      </c>
      <c r="D356" s="1563" t="s">
        <v>3517</v>
      </c>
      <c r="E356" s="1556">
        <v>5</v>
      </c>
      <c r="F356" s="1518">
        <f t="shared" si="223"/>
        <v>4</v>
      </c>
      <c r="G356" s="1532">
        <f t="shared" si="224"/>
        <v>0</v>
      </c>
      <c r="H356" s="1533">
        <f t="shared" si="225"/>
        <v>0</v>
      </c>
      <c r="I356" s="1534">
        <f t="shared" si="226"/>
        <v>0.2</v>
      </c>
      <c r="J356" s="1519">
        <v>5100000</v>
      </c>
      <c r="K356" s="1519">
        <v>340000</v>
      </c>
      <c r="N356" s="1519">
        <f t="shared" si="227"/>
        <v>4760000</v>
      </c>
      <c r="Q356" s="1557">
        <v>935000</v>
      </c>
      <c r="R356" s="1519">
        <f t="shared" si="228"/>
        <v>5100000</v>
      </c>
      <c r="S356" s="1519">
        <f t="shared" si="229"/>
        <v>3825000</v>
      </c>
      <c r="T356" s="1519">
        <f t="shared" si="230"/>
        <v>0</v>
      </c>
      <c r="U356" s="1535">
        <f t="shared" si="231"/>
        <v>85000</v>
      </c>
      <c r="V356" s="1537">
        <f t="shared" si="232"/>
        <v>1020000</v>
      </c>
      <c r="W356" s="1519">
        <f t="shared" si="233"/>
        <v>1020000</v>
      </c>
      <c r="X356" s="1537">
        <f t="shared" si="234"/>
        <v>1020000</v>
      </c>
      <c r="Y356" s="1537">
        <f t="shared" si="235"/>
        <v>1020000</v>
      </c>
      <c r="Z356" s="1537">
        <f t="shared" si="236"/>
        <v>679000</v>
      </c>
      <c r="AA356" s="1537">
        <f t="shared" si="237"/>
        <v>0</v>
      </c>
      <c r="AB356" s="1537">
        <f t="shared" si="238"/>
        <v>0</v>
      </c>
      <c r="AC356" s="1537">
        <f t="shared" si="239"/>
        <v>0</v>
      </c>
      <c r="AD356" s="1537">
        <f t="shared" si="240"/>
        <v>0</v>
      </c>
      <c r="AE356" s="1537">
        <f t="shared" si="241"/>
        <v>0</v>
      </c>
      <c r="AF356" s="1536">
        <f t="shared" si="242"/>
        <v>0</v>
      </c>
      <c r="AG356" s="1555"/>
      <c r="AH356" s="1537">
        <f t="shared" si="243"/>
        <v>3740000</v>
      </c>
      <c r="AI356" s="1537">
        <f t="shared" si="244"/>
        <v>2720000</v>
      </c>
      <c r="AJ356" s="1537">
        <f t="shared" si="245"/>
        <v>1700000</v>
      </c>
      <c r="AK356" s="1537">
        <f t="shared" si="246"/>
        <v>680000</v>
      </c>
      <c r="AL356" s="1537">
        <f t="shared" si="247"/>
        <v>1000</v>
      </c>
      <c r="AM356" s="1537">
        <f t="shared" si="248"/>
        <v>1000</v>
      </c>
      <c r="AN356" s="1537">
        <f t="shared" si="249"/>
        <v>1000</v>
      </c>
      <c r="AO356" s="1537">
        <f t="shared" si="250"/>
        <v>1000</v>
      </c>
      <c r="AP356" s="1537">
        <f t="shared" si="251"/>
        <v>1000</v>
      </c>
      <c r="AQ356" s="1537">
        <f t="shared" si="252"/>
        <v>1000</v>
      </c>
      <c r="AR356" s="1537">
        <f t="shared" si="253"/>
        <v>1000</v>
      </c>
    </row>
    <row r="357" spans="3:44" x14ac:dyDescent="0.3">
      <c r="C357" s="1566" t="s">
        <v>3250</v>
      </c>
      <c r="D357" s="1563" t="s">
        <v>3518</v>
      </c>
      <c r="E357" s="1556">
        <v>5</v>
      </c>
      <c r="F357" s="1518">
        <f t="shared" si="223"/>
        <v>4</v>
      </c>
      <c r="G357" s="1532">
        <f t="shared" si="224"/>
        <v>0</v>
      </c>
      <c r="H357" s="1533">
        <f t="shared" si="225"/>
        <v>0</v>
      </c>
      <c r="I357" s="1534">
        <f t="shared" si="226"/>
        <v>0.2</v>
      </c>
      <c r="J357" s="1519">
        <v>1390000</v>
      </c>
      <c r="K357" s="1519">
        <v>69500</v>
      </c>
      <c r="N357" s="1519">
        <f t="shared" si="227"/>
        <v>1320500</v>
      </c>
      <c r="Q357" s="1557">
        <v>254833</v>
      </c>
      <c r="R357" s="1519">
        <f t="shared" si="228"/>
        <v>1390000</v>
      </c>
      <c r="S357" s="1519">
        <f t="shared" si="229"/>
        <v>1065667</v>
      </c>
      <c r="T357" s="1519">
        <f t="shared" si="230"/>
        <v>0</v>
      </c>
      <c r="U357" s="1535">
        <f t="shared" si="231"/>
        <v>23166.666666666668</v>
      </c>
      <c r="V357" s="1537">
        <f t="shared" si="232"/>
        <v>277999.66666666669</v>
      </c>
      <c r="W357" s="1519">
        <f t="shared" si="233"/>
        <v>278000</v>
      </c>
      <c r="X357" s="1537">
        <f t="shared" si="234"/>
        <v>278000</v>
      </c>
      <c r="Y357" s="1537">
        <f t="shared" si="235"/>
        <v>278000</v>
      </c>
      <c r="Z357" s="1537">
        <f t="shared" si="236"/>
        <v>207500.33333333337</v>
      </c>
      <c r="AA357" s="1537">
        <f t="shared" si="237"/>
        <v>0</v>
      </c>
      <c r="AB357" s="1537">
        <f t="shared" si="238"/>
        <v>0</v>
      </c>
      <c r="AC357" s="1537">
        <f t="shared" si="239"/>
        <v>0</v>
      </c>
      <c r="AD357" s="1537">
        <f t="shared" si="240"/>
        <v>0</v>
      </c>
      <c r="AE357" s="1537">
        <f t="shared" si="241"/>
        <v>0</v>
      </c>
      <c r="AF357" s="1536">
        <f t="shared" si="242"/>
        <v>0</v>
      </c>
      <c r="AG357" s="1555"/>
      <c r="AH357" s="1537">
        <f t="shared" si="243"/>
        <v>1042500.3333333334</v>
      </c>
      <c r="AI357" s="1537">
        <f t="shared" si="244"/>
        <v>764500.33333333337</v>
      </c>
      <c r="AJ357" s="1537">
        <f t="shared" si="245"/>
        <v>486500.33333333337</v>
      </c>
      <c r="AK357" s="1537">
        <f t="shared" si="246"/>
        <v>208500.33333333337</v>
      </c>
      <c r="AL357" s="1537">
        <f t="shared" si="247"/>
        <v>1000</v>
      </c>
      <c r="AM357" s="1537">
        <f t="shared" si="248"/>
        <v>1000</v>
      </c>
      <c r="AN357" s="1537">
        <f t="shared" si="249"/>
        <v>1000</v>
      </c>
      <c r="AO357" s="1537">
        <f t="shared" si="250"/>
        <v>1000</v>
      </c>
      <c r="AP357" s="1537">
        <f t="shared" si="251"/>
        <v>1000</v>
      </c>
      <c r="AQ357" s="1537">
        <f t="shared" si="252"/>
        <v>1000</v>
      </c>
      <c r="AR357" s="1537">
        <f t="shared" si="253"/>
        <v>1000</v>
      </c>
    </row>
    <row r="358" spans="3:44" x14ac:dyDescent="0.3">
      <c r="C358" s="1566" t="s">
        <v>3264</v>
      </c>
      <c r="D358" s="1563" t="s">
        <v>3519</v>
      </c>
      <c r="E358" s="1556">
        <v>5</v>
      </c>
      <c r="F358" s="1518">
        <f t="shared" si="223"/>
        <v>4</v>
      </c>
      <c r="G358" s="1532">
        <f t="shared" si="224"/>
        <v>0</v>
      </c>
      <c r="H358" s="1533">
        <f t="shared" si="225"/>
        <v>0</v>
      </c>
      <c r="I358" s="1534">
        <f t="shared" si="226"/>
        <v>0.2</v>
      </c>
      <c r="J358" s="1519">
        <v>1670000</v>
      </c>
      <c r="K358" s="1519">
        <v>83500</v>
      </c>
      <c r="N358" s="1519">
        <f t="shared" si="227"/>
        <v>1586500</v>
      </c>
      <c r="Q358" s="1557">
        <v>306167</v>
      </c>
      <c r="R358" s="1519">
        <f t="shared" si="228"/>
        <v>1670000</v>
      </c>
      <c r="S358" s="1519">
        <f t="shared" si="229"/>
        <v>1280333</v>
      </c>
      <c r="T358" s="1519">
        <f t="shared" si="230"/>
        <v>0</v>
      </c>
      <c r="U358" s="1535">
        <f t="shared" si="231"/>
        <v>27833.333333333332</v>
      </c>
      <c r="V358" s="1537">
        <f t="shared" si="232"/>
        <v>334000.33333333331</v>
      </c>
      <c r="W358" s="1519">
        <f t="shared" si="233"/>
        <v>334000</v>
      </c>
      <c r="X358" s="1537">
        <f t="shared" si="234"/>
        <v>334000</v>
      </c>
      <c r="Y358" s="1537">
        <f t="shared" si="235"/>
        <v>334000</v>
      </c>
      <c r="Z358" s="1537">
        <f t="shared" si="236"/>
        <v>249499.66666666674</v>
      </c>
      <c r="AA358" s="1537">
        <f t="shared" si="237"/>
        <v>0</v>
      </c>
      <c r="AB358" s="1537">
        <f t="shared" si="238"/>
        <v>0</v>
      </c>
      <c r="AC358" s="1537">
        <f t="shared" si="239"/>
        <v>0</v>
      </c>
      <c r="AD358" s="1537">
        <f t="shared" si="240"/>
        <v>0</v>
      </c>
      <c r="AE358" s="1537">
        <f t="shared" si="241"/>
        <v>0</v>
      </c>
      <c r="AF358" s="1536">
        <f t="shared" si="242"/>
        <v>0</v>
      </c>
      <c r="AG358" s="1555"/>
      <c r="AH358" s="1537">
        <f t="shared" si="243"/>
        <v>1252499.6666666667</v>
      </c>
      <c r="AI358" s="1537">
        <f t="shared" si="244"/>
        <v>918499.66666666674</v>
      </c>
      <c r="AJ358" s="1537">
        <f t="shared" si="245"/>
        <v>584499.66666666674</v>
      </c>
      <c r="AK358" s="1537">
        <f t="shared" si="246"/>
        <v>250499.66666666674</v>
      </c>
      <c r="AL358" s="1537">
        <f t="shared" si="247"/>
        <v>1000</v>
      </c>
      <c r="AM358" s="1537">
        <f t="shared" si="248"/>
        <v>1000</v>
      </c>
      <c r="AN358" s="1537">
        <f t="shared" si="249"/>
        <v>1000</v>
      </c>
      <c r="AO358" s="1537">
        <f t="shared" si="250"/>
        <v>1000</v>
      </c>
      <c r="AP358" s="1537">
        <f t="shared" si="251"/>
        <v>1000</v>
      </c>
      <c r="AQ358" s="1537">
        <f t="shared" si="252"/>
        <v>1000</v>
      </c>
      <c r="AR358" s="1537">
        <f t="shared" si="253"/>
        <v>1000</v>
      </c>
    </row>
    <row r="359" spans="3:44" x14ac:dyDescent="0.3">
      <c r="C359" s="1566" t="s">
        <v>3261</v>
      </c>
      <c r="D359" s="1563" t="s">
        <v>3520</v>
      </c>
      <c r="E359" s="1556">
        <v>5</v>
      </c>
      <c r="F359" s="1518">
        <f t="shared" si="223"/>
        <v>4</v>
      </c>
      <c r="G359" s="1532">
        <f t="shared" si="224"/>
        <v>0</v>
      </c>
      <c r="H359" s="1533">
        <f t="shared" si="225"/>
        <v>0</v>
      </c>
      <c r="I359" s="1534">
        <f t="shared" si="226"/>
        <v>0.2</v>
      </c>
      <c r="J359" s="1519">
        <v>3400000</v>
      </c>
      <c r="K359" s="1519">
        <v>170000</v>
      </c>
      <c r="N359" s="1519">
        <f t="shared" si="227"/>
        <v>3230000</v>
      </c>
      <c r="Q359" s="1557">
        <v>623333</v>
      </c>
      <c r="R359" s="1519">
        <f t="shared" si="228"/>
        <v>3400000</v>
      </c>
      <c r="S359" s="1519">
        <f t="shared" si="229"/>
        <v>2606667</v>
      </c>
      <c r="T359" s="1519">
        <f t="shared" si="230"/>
        <v>0</v>
      </c>
      <c r="U359" s="1535">
        <f t="shared" si="231"/>
        <v>56666.666666666664</v>
      </c>
      <c r="V359" s="1537">
        <f t="shared" si="232"/>
        <v>679999.66666666663</v>
      </c>
      <c r="W359" s="1519">
        <f t="shared" si="233"/>
        <v>680000</v>
      </c>
      <c r="X359" s="1537">
        <f t="shared" si="234"/>
        <v>680000</v>
      </c>
      <c r="Y359" s="1537">
        <f t="shared" si="235"/>
        <v>680000</v>
      </c>
      <c r="Z359" s="1537">
        <f t="shared" si="236"/>
        <v>509000.33333333349</v>
      </c>
      <c r="AA359" s="1537">
        <f t="shared" si="237"/>
        <v>0</v>
      </c>
      <c r="AB359" s="1537">
        <f t="shared" si="238"/>
        <v>0</v>
      </c>
      <c r="AC359" s="1537">
        <f t="shared" si="239"/>
        <v>0</v>
      </c>
      <c r="AD359" s="1537">
        <f t="shared" si="240"/>
        <v>0</v>
      </c>
      <c r="AE359" s="1537">
        <f t="shared" si="241"/>
        <v>0</v>
      </c>
      <c r="AF359" s="1536">
        <f t="shared" si="242"/>
        <v>0</v>
      </c>
      <c r="AG359" s="1555"/>
      <c r="AH359" s="1537">
        <f t="shared" si="243"/>
        <v>2550000.3333333335</v>
      </c>
      <c r="AI359" s="1537">
        <f t="shared" si="244"/>
        <v>1870000.3333333335</v>
      </c>
      <c r="AJ359" s="1537">
        <f t="shared" si="245"/>
        <v>1190000.3333333335</v>
      </c>
      <c r="AK359" s="1537">
        <f t="shared" si="246"/>
        <v>510000.33333333349</v>
      </c>
      <c r="AL359" s="1537">
        <f t="shared" si="247"/>
        <v>1000</v>
      </c>
      <c r="AM359" s="1537">
        <f t="shared" si="248"/>
        <v>1000</v>
      </c>
      <c r="AN359" s="1537">
        <f t="shared" si="249"/>
        <v>1000</v>
      </c>
      <c r="AO359" s="1537">
        <f t="shared" si="250"/>
        <v>1000</v>
      </c>
      <c r="AP359" s="1537">
        <f t="shared" si="251"/>
        <v>1000</v>
      </c>
      <c r="AQ359" s="1537">
        <f t="shared" si="252"/>
        <v>1000</v>
      </c>
      <c r="AR359" s="1537">
        <f t="shared" si="253"/>
        <v>1000</v>
      </c>
    </row>
    <row r="360" spans="3:44" x14ac:dyDescent="0.3">
      <c r="C360" s="1566" t="s">
        <v>3264</v>
      </c>
      <c r="D360" s="1563" t="s">
        <v>3521</v>
      </c>
      <c r="E360" s="1556">
        <v>5</v>
      </c>
      <c r="F360" s="1518">
        <f t="shared" si="223"/>
        <v>4</v>
      </c>
      <c r="G360" s="1532">
        <f t="shared" si="224"/>
        <v>0</v>
      </c>
      <c r="H360" s="1533">
        <f t="shared" si="225"/>
        <v>0</v>
      </c>
      <c r="I360" s="1534">
        <f t="shared" si="226"/>
        <v>0.2</v>
      </c>
      <c r="J360" s="1519">
        <v>1670000</v>
      </c>
      <c r="K360" s="1519">
        <v>83500</v>
      </c>
      <c r="N360" s="1519">
        <f t="shared" si="227"/>
        <v>1586500</v>
      </c>
      <c r="Q360" s="1557">
        <v>306167</v>
      </c>
      <c r="R360" s="1519">
        <f t="shared" si="228"/>
        <v>1670000</v>
      </c>
      <c r="S360" s="1519">
        <f t="shared" si="229"/>
        <v>1280333</v>
      </c>
      <c r="T360" s="1519">
        <f t="shared" si="230"/>
        <v>0</v>
      </c>
      <c r="U360" s="1535">
        <f t="shared" si="231"/>
        <v>27833.333333333332</v>
      </c>
      <c r="V360" s="1537">
        <f t="shared" si="232"/>
        <v>334000.33333333331</v>
      </c>
      <c r="W360" s="1519">
        <f t="shared" si="233"/>
        <v>334000</v>
      </c>
      <c r="X360" s="1537">
        <f t="shared" si="234"/>
        <v>334000</v>
      </c>
      <c r="Y360" s="1537">
        <f t="shared" si="235"/>
        <v>334000</v>
      </c>
      <c r="Z360" s="1537">
        <f t="shared" si="236"/>
        <v>249499.66666666674</v>
      </c>
      <c r="AA360" s="1537">
        <f t="shared" si="237"/>
        <v>0</v>
      </c>
      <c r="AB360" s="1537">
        <f t="shared" si="238"/>
        <v>0</v>
      </c>
      <c r="AC360" s="1537">
        <f t="shared" si="239"/>
        <v>0</v>
      </c>
      <c r="AD360" s="1537">
        <f t="shared" si="240"/>
        <v>0</v>
      </c>
      <c r="AE360" s="1537">
        <f t="shared" si="241"/>
        <v>0</v>
      </c>
      <c r="AF360" s="1536">
        <f t="shared" si="242"/>
        <v>0</v>
      </c>
      <c r="AG360" s="1555"/>
      <c r="AH360" s="1537">
        <f t="shared" si="243"/>
        <v>1252499.6666666667</v>
      </c>
      <c r="AI360" s="1537">
        <f t="shared" si="244"/>
        <v>918499.66666666674</v>
      </c>
      <c r="AJ360" s="1537">
        <f t="shared" si="245"/>
        <v>584499.66666666674</v>
      </c>
      <c r="AK360" s="1537">
        <f t="shared" si="246"/>
        <v>250499.66666666674</v>
      </c>
      <c r="AL360" s="1537">
        <f t="shared" si="247"/>
        <v>1000</v>
      </c>
      <c r="AM360" s="1537">
        <f t="shared" si="248"/>
        <v>1000</v>
      </c>
      <c r="AN360" s="1537">
        <f t="shared" si="249"/>
        <v>1000</v>
      </c>
      <c r="AO360" s="1537">
        <f t="shared" si="250"/>
        <v>1000</v>
      </c>
      <c r="AP360" s="1537">
        <f t="shared" si="251"/>
        <v>1000</v>
      </c>
      <c r="AQ360" s="1537">
        <f t="shared" si="252"/>
        <v>1000</v>
      </c>
      <c r="AR360" s="1537">
        <f t="shared" si="253"/>
        <v>1000</v>
      </c>
    </row>
    <row r="361" spans="3:44" x14ac:dyDescent="0.3">
      <c r="C361" s="1566" t="s">
        <v>3265</v>
      </c>
      <c r="D361" s="1563" t="s">
        <v>3522</v>
      </c>
      <c r="E361" s="1556">
        <v>5</v>
      </c>
      <c r="F361" s="1518">
        <f t="shared" si="223"/>
        <v>4</v>
      </c>
      <c r="G361" s="1532">
        <f t="shared" si="224"/>
        <v>0</v>
      </c>
      <c r="H361" s="1533">
        <f t="shared" si="225"/>
        <v>0</v>
      </c>
      <c r="I361" s="1534">
        <f t="shared" si="226"/>
        <v>0.2</v>
      </c>
      <c r="J361" s="1519">
        <v>1700000</v>
      </c>
      <c r="K361" s="1519">
        <v>85000</v>
      </c>
      <c r="N361" s="1519">
        <f t="shared" si="227"/>
        <v>1615000</v>
      </c>
      <c r="Q361" s="1557">
        <v>311667</v>
      </c>
      <c r="R361" s="1519">
        <f t="shared" si="228"/>
        <v>1700000</v>
      </c>
      <c r="S361" s="1519">
        <f t="shared" si="229"/>
        <v>1303333</v>
      </c>
      <c r="T361" s="1519">
        <f t="shared" si="230"/>
        <v>0</v>
      </c>
      <c r="U361" s="1535">
        <f t="shared" si="231"/>
        <v>28333.333333333332</v>
      </c>
      <c r="V361" s="1537">
        <f t="shared" si="232"/>
        <v>340000.33333333331</v>
      </c>
      <c r="W361" s="1519">
        <f t="shared" si="233"/>
        <v>340000</v>
      </c>
      <c r="X361" s="1537">
        <f t="shared" si="234"/>
        <v>340000</v>
      </c>
      <c r="Y361" s="1537">
        <f t="shared" si="235"/>
        <v>340000</v>
      </c>
      <c r="Z361" s="1537">
        <f t="shared" si="236"/>
        <v>253999.66666666674</v>
      </c>
      <c r="AA361" s="1537">
        <f t="shared" si="237"/>
        <v>0</v>
      </c>
      <c r="AB361" s="1537">
        <f t="shared" si="238"/>
        <v>0</v>
      </c>
      <c r="AC361" s="1537">
        <f t="shared" si="239"/>
        <v>0</v>
      </c>
      <c r="AD361" s="1537">
        <f t="shared" si="240"/>
        <v>0</v>
      </c>
      <c r="AE361" s="1537">
        <f t="shared" si="241"/>
        <v>0</v>
      </c>
      <c r="AF361" s="1536">
        <f t="shared" si="242"/>
        <v>0</v>
      </c>
      <c r="AG361" s="1555"/>
      <c r="AH361" s="1537">
        <f t="shared" si="243"/>
        <v>1274999.6666666667</v>
      </c>
      <c r="AI361" s="1537">
        <f t="shared" si="244"/>
        <v>934999.66666666674</v>
      </c>
      <c r="AJ361" s="1537">
        <f t="shared" si="245"/>
        <v>594999.66666666674</v>
      </c>
      <c r="AK361" s="1537">
        <f t="shared" si="246"/>
        <v>254999.66666666674</v>
      </c>
      <c r="AL361" s="1537">
        <f t="shared" si="247"/>
        <v>1000</v>
      </c>
      <c r="AM361" s="1537">
        <f t="shared" si="248"/>
        <v>1000</v>
      </c>
      <c r="AN361" s="1537">
        <f t="shared" si="249"/>
        <v>1000</v>
      </c>
      <c r="AO361" s="1537">
        <f t="shared" si="250"/>
        <v>1000</v>
      </c>
      <c r="AP361" s="1537">
        <f t="shared" si="251"/>
        <v>1000</v>
      </c>
      <c r="AQ361" s="1537">
        <f t="shared" si="252"/>
        <v>1000</v>
      </c>
      <c r="AR361" s="1537">
        <f t="shared" si="253"/>
        <v>1000</v>
      </c>
    </row>
    <row r="362" spans="3:44" x14ac:dyDescent="0.3">
      <c r="C362" s="1566" t="s">
        <v>3265</v>
      </c>
      <c r="D362" s="1563" t="s">
        <v>3523</v>
      </c>
      <c r="E362" s="1556">
        <v>5</v>
      </c>
      <c r="F362" s="1518">
        <f t="shared" si="223"/>
        <v>4</v>
      </c>
      <c r="G362" s="1532">
        <f t="shared" si="224"/>
        <v>0</v>
      </c>
      <c r="H362" s="1533">
        <f t="shared" si="225"/>
        <v>0</v>
      </c>
      <c r="I362" s="1534">
        <f t="shared" si="226"/>
        <v>0.2</v>
      </c>
      <c r="J362" s="1519">
        <v>1700000</v>
      </c>
      <c r="K362" s="1519">
        <v>56667</v>
      </c>
      <c r="N362" s="1519">
        <f t="shared" si="227"/>
        <v>1643333</v>
      </c>
      <c r="Q362" s="1557">
        <v>311667</v>
      </c>
      <c r="R362" s="1519">
        <f t="shared" si="228"/>
        <v>1700000</v>
      </c>
      <c r="S362" s="1519">
        <f t="shared" si="229"/>
        <v>1331666</v>
      </c>
      <c r="T362" s="1519">
        <f t="shared" si="230"/>
        <v>0</v>
      </c>
      <c r="U362" s="1535">
        <f t="shared" si="231"/>
        <v>28333.333333333332</v>
      </c>
      <c r="V362" s="1537">
        <f t="shared" si="232"/>
        <v>340000.33333333331</v>
      </c>
      <c r="W362" s="1519">
        <f t="shared" si="233"/>
        <v>340000</v>
      </c>
      <c r="X362" s="1537">
        <f t="shared" si="234"/>
        <v>340000</v>
      </c>
      <c r="Y362" s="1537">
        <f t="shared" si="235"/>
        <v>340000</v>
      </c>
      <c r="Z362" s="1537">
        <f t="shared" si="236"/>
        <v>282332.66666666674</v>
      </c>
      <c r="AA362" s="1537">
        <f t="shared" si="237"/>
        <v>0</v>
      </c>
      <c r="AB362" s="1537">
        <f t="shared" si="238"/>
        <v>0</v>
      </c>
      <c r="AC362" s="1537">
        <f t="shared" si="239"/>
        <v>0</v>
      </c>
      <c r="AD362" s="1537">
        <f t="shared" si="240"/>
        <v>0</v>
      </c>
      <c r="AE362" s="1537">
        <f t="shared" si="241"/>
        <v>0</v>
      </c>
      <c r="AF362" s="1536">
        <f t="shared" si="242"/>
        <v>0</v>
      </c>
      <c r="AG362" s="1555"/>
      <c r="AH362" s="1537">
        <f t="shared" si="243"/>
        <v>1303332.6666666667</v>
      </c>
      <c r="AI362" s="1537">
        <f t="shared" si="244"/>
        <v>963332.66666666674</v>
      </c>
      <c r="AJ362" s="1537">
        <f t="shared" si="245"/>
        <v>623332.66666666674</v>
      </c>
      <c r="AK362" s="1537">
        <f t="shared" si="246"/>
        <v>283332.66666666674</v>
      </c>
      <c r="AL362" s="1537">
        <f t="shared" si="247"/>
        <v>1000</v>
      </c>
      <c r="AM362" s="1537">
        <f t="shared" si="248"/>
        <v>1000</v>
      </c>
      <c r="AN362" s="1537">
        <f t="shared" si="249"/>
        <v>1000</v>
      </c>
      <c r="AO362" s="1537">
        <f t="shared" si="250"/>
        <v>1000</v>
      </c>
      <c r="AP362" s="1537">
        <f t="shared" si="251"/>
        <v>1000</v>
      </c>
      <c r="AQ362" s="1537">
        <f t="shared" si="252"/>
        <v>1000</v>
      </c>
      <c r="AR362" s="1537">
        <f t="shared" si="253"/>
        <v>1000</v>
      </c>
    </row>
    <row r="363" spans="3:44" x14ac:dyDescent="0.3">
      <c r="C363" s="1566" t="s">
        <v>3265</v>
      </c>
      <c r="D363" s="1563" t="s">
        <v>3524</v>
      </c>
      <c r="E363" s="1556">
        <v>5</v>
      </c>
      <c r="F363" s="1518">
        <f t="shared" si="223"/>
        <v>4</v>
      </c>
      <c r="G363" s="1532">
        <f t="shared" si="224"/>
        <v>0</v>
      </c>
      <c r="H363" s="1533">
        <f t="shared" si="225"/>
        <v>0</v>
      </c>
      <c r="I363" s="1534">
        <f t="shared" si="226"/>
        <v>0.2</v>
      </c>
      <c r="J363" s="1519">
        <v>1700000</v>
      </c>
      <c r="K363" s="1519">
        <v>56667</v>
      </c>
      <c r="N363" s="1519">
        <f t="shared" si="227"/>
        <v>1643333</v>
      </c>
      <c r="Q363" s="1557">
        <v>311667</v>
      </c>
      <c r="R363" s="1519">
        <f t="shared" si="228"/>
        <v>1700000</v>
      </c>
      <c r="S363" s="1519">
        <f t="shared" si="229"/>
        <v>1331666</v>
      </c>
      <c r="T363" s="1519">
        <f t="shared" si="230"/>
        <v>0</v>
      </c>
      <c r="U363" s="1535">
        <f t="shared" si="231"/>
        <v>28333.333333333332</v>
      </c>
      <c r="V363" s="1537">
        <f t="shared" si="232"/>
        <v>340000.33333333331</v>
      </c>
      <c r="W363" s="1519">
        <f t="shared" si="233"/>
        <v>340000</v>
      </c>
      <c r="X363" s="1537">
        <f t="shared" si="234"/>
        <v>340000</v>
      </c>
      <c r="Y363" s="1537">
        <f t="shared" si="235"/>
        <v>340000</v>
      </c>
      <c r="Z363" s="1537">
        <f t="shared" si="236"/>
        <v>282332.66666666674</v>
      </c>
      <c r="AA363" s="1537">
        <f t="shared" si="237"/>
        <v>0</v>
      </c>
      <c r="AB363" s="1537">
        <f t="shared" si="238"/>
        <v>0</v>
      </c>
      <c r="AC363" s="1537">
        <f t="shared" si="239"/>
        <v>0</v>
      </c>
      <c r="AD363" s="1537">
        <f t="shared" si="240"/>
        <v>0</v>
      </c>
      <c r="AE363" s="1537">
        <f t="shared" si="241"/>
        <v>0</v>
      </c>
      <c r="AF363" s="1536">
        <f t="shared" si="242"/>
        <v>0</v>
      </c>
      <c r="AG363" s="1555"/>
      <c r="AH363" s="1537">
        <f t="shared" si="243"/>
        <v>1303332.6666666667</v>
      </c>
      <c r="AI363" s="1537">
        <f t="shared" si="244"/>
        <v>963332.66666666674</v>
      </c>
      <c r="AJ363" s="1537">
        <f t="shared" si="245"/>
        <v>623332.66666666674</v>
      </c>
      <c r="AK363" s="1537">
        <f t="shared" si="246"/>
        <v>283332.66666666674</v>
      </c>
      <c r="AL363" s="1537">
        <f t="shared" si="247"/>
        <v>1000</v>
      </c>
      <c r="AM363" s="1537">
        <f t="shared" si="248"/>
        <v>1000</v>
      </c>
      <c r="AN363" s="1537">
        <f t="shared" si="249"/>
        <v>1000</v>
      </c>
      <c r="AO363" s="1537">
        <f t="shared" si="250"/>
        <v>1000</v>
      </c>
      <c r="AP363" s="1537">
        <f t="shared" si="251"/>
        <v>1000</v>
      </c>
      <c r="AQ363" s="1537">
        <f t="shared" si="252"/>
        <v>1000</v>
      </c>
      <c r="AR363" s="1537">
        <f t="shared" si="253"/>
        <v>1000</v>
      </c>
    </row>
    <row r="364" spans="3:44" x14ac:dyDescent="0.3">
      <c r="C364" s="1566" t="s">
        <v>3265</v>
      </c>
      <c r="D364" s="1563" t="s">
        <v>3523</v>
      </c>
      <c r="E364" s="1556">
        <v>5</v>
      </c>
      <c r="F364" s="1518">
        <f t="shared" si="223"/>
        <v>4</v>
      </c>
      <c r="G364" s="1532">
        <f t="shared" si="224"/>
        <v>0</v>
      </c>
      <c r="H364" s="1533">
        <f t="shared" si="225"/>
        <v>0</v>
      </c>
      <c r="I364" s="1534">
        <f t="shared" si="226"/>
        <v>0.2</v>
      </c>
      <c r="J364" s="1519">
        <v>1700000</v>
      </c>
      <c r="K364" s="1519">
        <v>56667</v>
      </c>
      <c r="N364" s="1519">
        <f t="shared" si="227"/>
        <v>1643333</v>
      </c>
      <c r="Q364" s="1557">
        <v>311667</v>
      </c>
      <c r="R364" s="1519">
        <f t="shared" si="228"/>
        <v>1700000</v>
      </c>
      <c r="S364" s="1519">
        <f t="shared" si="229"/>
        <v>1331666</v>
      </c>
      <c r="T364" s="1519">
        <f t="shared" si="230"/>
        <v>0</v>
      </c>
      <c r="U364" s="1535">
        <f t="shared" si="231"/>
        <v>28333.333333333332</v>
      </c>
      <c r="V364" s="1537">
        <f t="shared" si="232"/>
        <v>340000.33333333331</v>
      </c>
      <c r="W364" s="1519">
        <f t="shared" si="233"/>
        <v>340000</v>
      </c>
      <c r="X364" s="1537">
        <f t="shared" si="234"/>
        <v>340000</v>
      </c>
      <c r="Y364" s="1537">
        <f t="shared" si="235"/>
        <v>340000</v>
      </c>
      <c r="Z364" s="1537">
        <f t="shared" si="236"/>
        <v>282332.66666666674</v>
      </c>
      <c r="AA364" s="1537">
        <f t="shared" si="237"/>
        <v>0</v>
      </c>
      <c r="AB364" s="1537">
        <f t="shared" si="238"/>
        <v>0</v>
      </c>
      <c r="AC364" s="1537">
        <f t="shared" si="239"/>
        <v>0</v>
      </c>
      <c r="AD364" s="1537">
        <f t="shared" si="240"/>
        <v>0</v>
      </c>
      <c r="AE364" s="1537">
        <f t="shared" si="241"/>
        <v>0</v>
      </c>
      <c r="AF364" s="1536">
        <f t="shared" si="242"/>
        <v>0</v>
      </c>
      <c r="AG364" s="1555"/>
      <c r="AH364" s="1537">
        <f t="shared" si="243"/>
        <v>1303332.6666666667</v>
      </c>
      <c r="AI364" s="1537">
        <f t="shared" si="244"/>
        <v>963332.66666666674</v>
      </c>
      <c r="AJ364" s="1537">
        <f t="shared" si="245"/>
        <v>623332.66666666674</v>
      </c>
      <c r="AK364" s="1537">
        <f t="shared" si="246"/>
        <v>283332.66666666674</v>
      </c>
      <c r="AL364" s="1537">
        <f t="shared" si="247"/>
        <v>1000</v>
      </c>
      <c r="AM364" s="1537">
        <f t="shared" si="248"/>
        <v>1000</v>
      </c>
      <c r="AN364" s="1537">
        <f t="shared" si="249"/>
        <v>1000</v>
      </c>
      <c r="AO364" s="1537">
        <f t="shared" si="250"/>
        <v>1000</v>
      </c>
      <c r="AP364" s="1537">
        <f t="shared" si="251"/>
        <v>1000</v>
      </c>
      <c r="AQ364" s="1537">
        <f t="shared" si="252"/>
        <v>1000</v>
      </c>
      <c r="AR364" s="1537">
        <f t="shared" si="253"/>
        <v>1000</v>
      </c>
    </row>
    <row r="365" spans="3:44" x14ac:dyDescent="0.3">
      <c r="C365" s="1566" t="s">
        <v>3265</v>
      </c>
      <c r="D365" s="1563" t="s">
        <v>3525</v>
      </c>
      <c r="E365" s="1556">
        <v>5</v>
      </c>
      <c r="F365" s="1518">
        <f t="shared" si="223"/>
        <v>4</v>
      </c>
      <c r="G365" s="1532">
        <f t="shared" si="224"/>
        <v>0</v>
      </c>
      <c r="H365" s="1533">
        <f t="shared" si="225"/>
        <v>0</v>
      </c>
      <c r="I365" s="1534">
        <f t="shared" si="226"/>
        <v>0.2</v>
      </c>
      <c r="J365" s="1519">
        <v>1700000</v>
      </c>
      <c r="K365" s="1519">
        <v>56667</v>
      </c>
      <c r="N365" s="1519">
        <f t="shared" si="227"/>
        <v>1643333</v>
      </c>
      <c r="Q365" s="1557">
        <v>311667</v>
      </c>
      <c r="R365" s="1519">
        <f t="shared" si="228"/>
        <v>1700000</v>
      </c>
      <c r="S365" s="1519">
        <f t="shared" si="229"/>
        <v>1331666</v>
      </c>
      <c r="T365" s="1519">
        <f t="shared" si="230"/>
        <v>0</v>
      </c>
      <c r="U365" s="1535">
        <f t="shared" si="231"/>
        <v>28333.333333333332</v>
      </c>
      <c r="V365" s="1537">
        <f t="shared" si="232"/>
        <v>340000.33333333331</v>
      </c>
      <c r="W365" s="1519">
        <f t="shared" si="233"/>
        <v>340000</v>
      </c>
      <c r="X365" s="1537">
        <f t="shared" si="234"/>
        <v>340000</v>
      </c>
      <c r="Y365" s="1537">
        <f t="shared" si="235"/>
        <v>340000</v>
      </c>
      <c r="Z365" s="1537">
        <f t="shared" si="236"/>
        <v>282332.66666666674</v>
      </c>
      <c r="AA365" s="1537">
        <f t="shared" si="237"/>
        <v>0</v>
      </c>
      <c r="AB365" s="1537">
        <f t="shared" si="238"/>
        <v>0</v>
      </c>
      <c r="AC365" s="1537">
        <f t="shared" si="239"/>
        <v>0</v>
      </c>
      <c r="AD365" s="1537">
        <f t="shared" si="240"/>
        <v>0</v>
      </c>
      <c r="AE365" s="1537">
        <f t="shared" si="241"/>
        <v>0</v>
      </c>
      <c r="AF365" s="1536">
        <f t="shared" si="242"/>
        <v>0</v>
      </c>
      <c r="AG365" s="1555"/>
      <c r="AH365" s="1537">
        <f t="shared" si="243"/>
        <v>1303332.6666666667</v>
      </c>
      <c r="AI365" s="1537">
        <f t="shared" si="244"/>
        <v>963332.66666666674</v>
      </c>
      <c r="AJ365" s="1537">
        <f t="shared" si="245"/>
        <v>623332.66666666674</v>
      </c>
      <c r="AK365" s="1537">
        <f t="shared" si="246"/>
        <v>283332.66666666674</v>
      </c>
      <c r="AL365" s="1537">
        <f t="shared" si="247"/>
        <v>1000</v>
      </c>
      <c r="AM365" s="1537">
        <f t="shared" si="248"/>
        <v>1000</v>
      </c>
      <c r="AN365" s="1537">
        <f t="shared" si="249"/>
        <v>1000</v>
      </c>
      <c r="AO365" s="1537">
        <f t="shared" si="250"/>
        <v>1000</v>
      </c>
      <c r="AP365" s="1537">
        <f t="shared" si="251"/>
        <v>1000</v>
      </c>
      <c r="AQ365" s="1537">
        <f t="shared" si="252"/>
        <v>1000</v>
      </c>
      <c r="AR365" s="1537">
        <f t="shared" si="253"/>
        <v>1000</v>
      </c>
    </row>
    <row r="366" spans="3:44" x14ac:dyDescent="0.3">
      <c r="C366" s="1566" t="s">
        <v>3265</v>
      </c>
      <c r="D366" s="1563" t="s">
        <v>3526</v>
      </c>
      <c r="E366" s="1556">
        <v>5</v>
      </c>
      <c r="F366" s="1518">
        <f t="shared" si="223"/>
        <v>4</v>
      </c>
      <c r="G366" s="1532">
        <f t="shared" si="224"/>
        <v>0</v>
      </c>
      <c r="H366" s="1533">
        <f t="shared" si="225"/>
        <v>0</v>
      </c>
      <c r="I366" s="1534">
        <f t="shared" si="226"/>
        <v>0.2</v>
      </c>
      <c r="J366" s="1519">
        <v>1700000</v>
      </c>
      <c r="K366" s="1519">
        <v>56667</v>
      </c>
      <c r="N366" s="1519">
        <f t="shared" si="227"/>
        <v>1643333</v>
      </c>
      <c r="Q366" s="1557">
        <v>311667</v>
      </c>
      <c r="R366" s="1519">
        <f t="shared" si="228"/>
        <v>1700000</v>
      </c>
      <c r="S366" s="1519">
        <f t="shared" si="229"/>
        <v>1331666</v>
      </c>
      <c r="T366" s="1519">
        <f t="shared" si="230"/>
        <v>0</v>
      </c>
      <c r="U366" s="1535">
        <f t="shared" si="231"/>
        <v>28333.333333333332</v>
      </c>
      <c r="V366" s="1537">
        <f t="shared" si="232"/>
        <v>340000.33333333331</v>
      </c>
      <c r="W366" s="1519">
        <f t="shared" si="233"/>
        <v>340000</v>
      </c>
      <c r="X366" s="1537">
        <f t="shared" si="234"/>
        <v>340000</v>
      </c>
      <c r="Y366" s="1537">
        <f t="shared" si="235"/>
        <v>340000</v>
      </c>
      <c r="Z366" s="1537">
        <f t="shared" si="236"/>
        <v>282332.66666666674</v>
      </c>
      <c r="AA366" s="1537">
        <f t="shared" si="237"/>
        <v>0</v>
      </c>
      <c r="AB366" s="1537">
        <f t="shared" si="238"/>
        <v>0</v>
      </c>
      <c r="AC366" s="1537">
        <f t="shared" si="239"/>
        <v>0</v>
      </c>
      <c r="AD366" s="1537">
        <f t="shared" si="240"/>
        <v>0</v>
      </c>
      <c r="AE366" s="1537">
        <f t="shared" si="241"/>
        <v>0</v>
      </c>
      <c r="AF366" s="1536">
        <f t="shared" si="242"/>
        <v>0</v>
      </c>
      <c r="AG366" s="1555"/>
      <c r="AH366" s="1537">
        <f t="shared" si="243"/>
        <v>1303332.6666666667</v>
      </c>
      <c r="AI366" s="1537">
        <f t="shared" si="244"/>
        <v>963332.66666666674</v>
      </c>
      <c r="AJ366" s="1537">
        <f t="shared" si="245"/>
        <v>623332.66666666674</v>
      </c>
      <c r="AK366" s="1537">
        <f t="shared" si="246"/>
        <v>283332.66666666674</v>
      </c>
      <c r="AL366" s="1537">
        <f t="shared" si="247"/>
        <v>1000</v>
      </c>
      <c r="AM366" s="1537">
        <f t="shared" si="248"/>
        <v>1000</v>
      </c>
      <c r="AN366" s="1537">
        <f t="shared" si="249"/>
        <v>1000</v>
      </c>
      <c r="AO366" s="1537">
        <f t="shared" si="250"/>
        <v>1000</v>
      </c>
      <c r="AP366" s="1537">
        <f t="shared" si="251"/>
        <v>1000</v>
      </c>
      <c r="AQ366" s="1537">
        <f t="shared" si="252"/>
        <v>1000</v>
      </c>
      <c r="AR366" s="1537">
        <f t="shared" si="253"/>
        <v>1000</v>
      </c>
    </row>
    <row r="367" spans="3:44" x14ac:dyDescent="0.3">
      <c r="C367" s="1566" t="s">
        <v>3264</v>
      </c>
      <c r="D367" s="1563" t="s">
        <v>3527</v>
      </c>
      <c r="E367" s="1556">
        <v>5</v>
      </c>
      <c r="F367" s="1518">
        <f t="shared" si="223"/>
        <v>4</v>
      </c>
      <c r="G367" s="1532">
        <f t="shared" si="224"/>
        <v>0</v>
      </c>
      <c r="H367" s="1533">
        <f t="shared" si="225"/>
        <v>0</v>
      </c>
      <c r="I367" s="1534">
        <f t="shared" si="226"/>
        <v>0.2</v>
      </c>
      <c r="J367" s="1519">
        <v>1670000</v>
      </c>
      <c r="K367" s="1519">
        <v>55667</v>
      </c>
      <c r="N367" s="1519">
        <f t="shared" si="227"/>
        <v>1614333</v>
      </c>
      <c r="Q367" s="1557">
        <v>306167</v>
      </c>
      <c r="R367" s="1519">
        <f t="shared" si="228"/>
        <v>1670000</v>
      </c>
      <c r="S367" s="1519">
        <f t="shared" si="229"/>
        <v>1308166</v>
      </c>
      <c r="T367" s="1519">
        <f t="shared" si="230"/>
        <v>0</v>
      </c>
      <c r="U367" s="1535">
        <f t="shared" si="231"/>
        <v>27833.333333333332</v>
      </c>
      <c r="V367" s="1537">
        <f t="shared" si="232"/>
        <v>334000.33333333331</v>
      </c>
      <c r="W367" s="1519">
        <f t="shared" si="233"/>
        <v>334000</v>
      </c>
      <c r="X367" s="1537">
        <f t="shared" si="234"/>
        <v>334000</v>
      </c>
      <c r="Y367" s="1537">
        <f t="shared" si="235"/>
        <v>334000</v>
      </c>
      <c r="Z367" s="1537">
        <f t="shared" si="236"/>
        <v>277332.66666666674</v>
      </c>
      <c r="AA367" s="1537">
        <f t="shared" si="237"/>
        <v>0</v>
      </c>
      <c r="AB367" s="1537">
        <f t="shared" si="238"/>
        <v>0</v>
      </c>
      <c r="AC367" s="1537">
        <f t="shared" si="239"/>
        <v>0</v>
      </c>
      <c r="AD367" s="1537">
        <f t="shared" si="240"/>
        <v>0</v>
      </c>
      <c r="AE367" s="1537">
        <f t="shared" si="241"/>
        <v>0</v>
      </c>
      <c r="AF367" s="1536">
        <f t="shared" si="242"/>
        <v>0</v>
      </c>
      <c r="AG367" s="1555"/>
      <c r="AH367" s="1537">
        <f t="shared" si="243"/>
        <v>1280332.6666666667</v>
      </c>
      <c r="AI367" s="1537">
        <f t="shared" si="244"/>
        <v>946332.66666666674</v>
      </c>
      <c r="AJ367" s="1537">
        <f t="shared" si="245"/>
        <v>612332.66666666674</v>
      </c>
      <c r="AK367" s="1537">
        <f t="shared" si="246"/>
        <v>278332.66666666674</v>
      </c>
      <c r="AL367" s="1537">
        <f t="shared" si="247"/>
        <v>1000</v>
      </c>
      <c r="AM367" s="1537">
        <f t="shared" si="248"/>
        <v>1000</v>
      </c>
      <c r="AN367" s="1537">
        <f t="shared" si="249"/>
        <v>1000</v>
      </c>
      <c r="AO367" s="1537">
        <f t="shared" si="250"/>
        <v>1000</v>
      </c>
      <c r="AP367" s="1537">
        <f t="shared" si="251"/>
        <v>1000</v>
      </c>
      <c r="AQ367" s="1537">
        <f t="shared" si="252"/>
        <v>1000</v>
      </c>
      <c r="AR367" s="1537">
        <f t="shared" si="253"/>
        <v>1000</v>
      </c>
    </row>
    <row r="368" spans="3:44" x14ac:dyDescent="0.3">
      <c r="C368" s="1566" t="s">
        <v>3261</v>
      </c>
      <c r="D368" s="1563" t="s">
        <v>3528</v>
      </c>
      <c r="E368" s="1556">
        <v>5</v>
      </c>
      <c r="F368" s="1518">
        <f t="shared" si="223"/>
        <v>4</v>
      </c>
      <c r="G368" s="1532">
        <f t="shared" si="224"/>
        <v>0</v>
      </c>
      <c r="H368" s="1533">
        <f t="shared" si="225"/>
        <v>0</v>
      </c>
      <c r="I368" s="1534">
        <f t="shared" si="226"/>
        <v>0.2</v>
      </c>
      <c r="J368" s="1519">
        <v>3400000</v>
      </c>
      <c r="K368" s="1519">
        <v>56667</v>
      </c>
      <c r="N368" s="1519">
        <f t="shared" si="227"/>
        <v>3343333</v>
      </c>
      <c r="Q368" s="1557">
        <v>623333</v>
      </c>
      <c r="R368" s="1519">
        <f t="shared" si="228"/>
        <v>3400000</v>
      </c>
      <c r="S368" s="1519">
        <f t="shared" si="229"/>
        <v>2720000</v>
      </c>
      <c r="T368" s="1519">
        <f t="shared" si="230"/>
        <v>0</v>
      </c>
      <c r="U368" s="1535">
        <f t="shared" si="231"/>
        <v>56666.666666666664</v>
      </c>
      <c r="V368" s="1537">
        <f t="shared" si="232"/>
        <v>679999.66666666663</v>
      </c>
      <c r="W368" s="1519">
        <f t="shared" si="233"/>
        <v>680000</v>
      </c>
      <c r="X368" s="1537">
        <f t="shared" si="234"/>
        <v>680000</v>
      </c>
      <c r="Y368" s="1537">
        <f t="shared" si="235"/>
        <v>680000</v>
      </c>
      <c r="Z368" s="1537">
        <f t="shared" si="236"/>
        <v>622333.33333333349</v>
      </c>
      <c r="AA368" s="1537">
        <f t="shared" si="237"/>
        <v>0</v>
      </c>
      <c r="AB368" s="1537">
        <f t="shared" si="238"/>
        <v>0</v>
      </c>
      <c r="AC368" s="1537">
        <f t="shared" si="239"/>
        <v>0</v>
      </c>
      <c r="AD368" s="1537">
        <f t="shared" si="240"/>
        <v>0</v>
      </c>
      <c r="AE368" s="1537">
        <f t="shared" si="241"/>
        <v>0</v>
      </c>
      <c r="AF368" s="1536">
        <f t="shared" si="242"/>
        <v>0</v>
      </c>
      <c r="AG368" s="1555"/>
      <c r="AH368" s="1537">
        <f t="shared" si="243"/>
        <v>2663333.3333333335</v>
      </c>
      <c r="AI368" s="1537">
        <f t="shared" si="244"/>
        <v>1983333.3333333335</v>
      </c>
      <c r="AJ368" s="1537">
        <f t="shared" si="245"/>
        <v>1303333.3333333335</v>
      </c>
      <c r="AK368" s="1537">
        <f t="shared" si="246"/>
        <v>623333.33333333349</v>
      </c>
      <c r="AL368" s="1537">
        <f t="shared" si="247"/>
        <v>1000</v>
      </c>
      <c r="AM368" s="1537">
        <f t="shared" si="248"/>
        <v>1000</v>
      </c>
      <c r="AN368" s="1537">
        <f t="shared" si="249"/>
        <v>1000</v>
      </c>
      <c r="AO368" s="1537">
        <f t="shared" si="250"/>
        <v>1000</v>
      </c>
      <c r="AP368" s="1537">
        <f t="shared" si="251"/>
        <v>1000</v>
      </c>
      <c r="AQ368" s="1537">
        <f t="shared" si="252"/>
        <v>1000</v>
      </c>
      <c r="AR368" s="1537">
        <f t="shared" si="253"/>
        <v>1000</v>
      </c>
    </row>
    <row r="369" spans="3:44" x14ac:dyDescent="0.3">
      <c r="C369" s="1566" t="s">
        <v>3250</v>
      </c>
      <c r="D369" s="1563" t="s">
        <v>3529</v>
      </c>
      <c r="E369" s="1556">
        <v>5</v>
      </c>
      <c r="F369" s="1518">
        <f t="shared" si="223"/>
        <v>5</v>
      </c>
      <c r="G369" s="1532">
        <f t="shared" si="224"/>
        <v>0</v>
      </c>
      <c r="H369" s="1533">
        <f t="shared" si="225"/>
        <v>0</v>
      </c>
      <c r="I369" s="1534">
        <f t="shared" si="226"/>
        <v>0.2</v>
      </c>
      <c r="J369" s="1519">
        <v>1730000</v>
      </c>
      <c r="N369" s="1519">
        <f t="shared" si="227"/>
        <v>1730000</v>
      </c>
      <c r="Q369" s="1557">
        <v>317167</v>
      </c>
      <c r="R369" s="1519">
        <f t="shared" si="228"/>
        <v>1730000</v>
      </c>
      <c r="S369" s="1519">
        <f t="shared" si="229"/>
        <v>1412833</v>
      </c>
      <c r="T369" s="1519">
        <f t="shared" si="230"/>
        <v>0</v>
      </c>
      <c r="U369" s="1535">
        <f t="shared" si="231"/>
        <v>28833.333333333332</v>
      </c>
      <c r="V369" s="1537">
        <f t="shared" si="232"/>
        <v>346000.33333333331</v>
      </c>
      <c r="W369" s="1519">
        <f t="shared" si="233"/>
        <v>346000</v>
      </c>
      <c r="X369" s="1537">
        <f t="shared" si="234"/>
        <v>346000</v>
      </c>
      <c r="Y369" s="1537">
        <f t="shared" si="235"/>
        <v>346000</v>
      </c>
      <c r="Z369" s="1537">
        <f t="shared" si="236"/>
        <v>344999.66666666674</v>
      </c>
      <c r="AA369" s="1537">
        <f t="shared" si="237"/>
        <v>0</v>
      </c>
      <c r="AB369" s="1537">
        <f t="shared" si="238"/>
        <v>0</v>
      </c>
      <c r="AC369" s="1537">
        <f t="shared" si="239"/>
        <v>0</v>
      </c>
      <c r="AD369" s="1537">
        <f t="shared" si="240"/>
        <v>0</v>
      </c>
      <c r="AE369" s="1537">
        <f t="shared" si="241"/>
        <v>0</v>
      </c>
      <c r="AF369" s="1536">
        <f t="shared" si="242"/>
        <v>0</v>
      </c>
      <c r="AG369" s="1555"/>
      <c r="AH369" s="1537">
        <f t="shared" si="243"/>
        <v>1383999.6666666667</v>
      </c>
      <c r="AI369" s="1537">
        <f t="shared" si="244"/>
        <v>1037999.6666666667</v>
      </c>
      <c r="AJ369" s="1537">
        <f t="shared" si="245"/>
        <v>691999.66666666674</v>
      </c>
      <c r="AK369" s="1537">
        <f t="shared" si="246"/>
        <v>345999.66666666674</v>
      </c>
      <c r="AL369" s="1537">
        <f t="shared" si="247"/>
        <v>1000</v>
      </c>
      <c r="AM369" s="1537">
        <f t="shared" si="248"/>
        <v>1000</v>
      </c>
      <c r="AN369" s="1537">
        <f t="shared" si="249"/>
        <v>1000</v>
      </c>
      <c r="AO369" s="1537">
        <f t="shared" si="250"/>
        <v>1000</v>
      </c>
      <c r="AP369" s="1537">
        <f t="shared" si="251"/>
        <v>1000</v>
      </c>
      <c r="AQ369" s="1537">
        <f t="shared" si="252"/>
        <v>1000</v>
      </c>
      <c r="AR369" s="1537">
        <f t="shared" si="253"/>
        <v>1000</v>
      </c>
    </row>
    <row r="370" spans="3:44" x14ac:dyDescent="0.3">
      <c r="C370" s="1566" t="s">
        <v>3266</v>
      </c>
      <c r="D370" s="1563" t="s">
        <v>3530</v>
      </c>
      <c r="E370" s="1556">
        <v>5</v>
      </c>
      <c r="F370" s="1518">
        <f t="shared" si="223"/>
        <v>5</v>
      </c>
      <c r="G370" s="1532">
        <f t="shared" si="224"/>
        <v>0</v>
      </c>
      <c r="H370" s="1533">
        <f t="shared" si="225"/>
        <v>0</v>
      </c>
      <c r="I370" s="1534">
        <f t="shared" si="226"/>
        <v>0.2</v>
      </c>
      <c r="J370" s="1519">
        <v>3400000</v>
      </c>
      <c r="N370" s="1519">
        <f t="shared" si="227"/>
        <v>3400000</v>
      </c>
      <c r="Q370" s="1557">
        <v>623333</v>
      </c>
      <c r="R370" s="1519">
        <f t="shared" si="228"/>
        <v>3400000</v>
      </c>
      <c r="S370" s="1519">
        <f t="shared" si="229"/>
        <v>2776667</v>
      </c>
      <c r="T370" s="1519">
        <f t="shared" si="230"/>
        <v>0</v>
      </c>
      <c r="U370" s="1535">
        <f t="shared" si="231"/>
        <v>56666.666666666664</v>
      </c>
      <c r="V370" s="1537">
        <f t="shared" si="232"/>
        <v>679999.66666666663</v>
      </c>
      <c r="W370" s="1519">
        <f t="shared" si="233"/>
        <v>680000</v>
      </c>
      <c r="X370" s="1537">
        <f t="shared" si="234"/>
        <v>680000</v>
      </c>
      <c r="Y370" s="1537">
        <f t="shared" si="235"/>
        <v>680000</v>
      </c>
      <c r="Z370" s="1537">
        <f t="shared" si="236"/>
        <v>679000.33333333349</v>
      </c>
      <c r="AA370" s="1537">
        <f t="shared" si="237"/>
        <v>0</v>
      </c>
      <c r="AB370" s="1537">
        <f t="shared" si="238"/>
        <v>0</v>
      </c>
      <c r="AC370" s="1537">
        <f t="shared" si="239"/>
        <v>0</v>
      </c>
      <c r="AD370" s="1537">
        <f t="shared" si="240"/>
        <v>0</v>
      </c>
      <c r="AE370" s="1537">
        <f t="shared" si="241"/>
        <v>0</v>
      </c>
      <c r="AF370" s="1536">
        <f t="shared" si="242"/>
        <v>0</v>
      </c>
      <c r="AG370" s="1555"/>
      <c r="AH370" s="1537">
        <f t="shared" si="243"/>
        <v>2720000.3333333335</v>
      </c>
      <c r="AI370" s="1537">
        <f t="shared" si="244"/>
        <v>2040000.3333333335</v>
      </c>
      <c r="AJ370" s="1537">
        <f t="shared" si="245"/>
        <v>1360000.3333333335</v>
      </c>
      <c r="AK370" s="1537">
        <f t="shared" si="246"/>
        <v>680000.33333333349</v>
      </c>
      <c r="AL370" s="1537">
        <f t="shared" si="247"/>
        <v>1000</v>
      </c>
      <c r="AM370" s="1537">
        <f t="shared" si="248"/>
        <v>1000</v>
      </c>
      <c r="AN370" s="1537">
        <f t="shared" si="249"/>
        <v>1000</v>
      </c>
      <c r="AO370" s="1537">
        <f t="shared" si="250"/>
        <v>1000</v>
      </c>
      <c r="AP370" s="1537">
        <f t="shared" si="251"/>
        <v>1000</v>
      </c>
      <c r="AQ370" s="1537">
        <f t="shared" si="252"/>
        <v>1000</v>
      </c>
      <c r="AR370" s="1537">
        <f t="shared" si="253"/>
        <v>1000</v>
      </c>
    </row>
    <row r="371" spans="3:44" x14ac:dyDescent="0.3">
      <c r="C371" s="1566" t="s">
        <v>3265</v>
      </c>
      <c r="D371" s="1563" t="s">
        <v>3530</v>
      </c>
      <c r="E371" s="1556">
        <v>5</v>
      </c>
      <c r="F371" s="1518">
        <f t="shared" si="223"/>
        <v>5</v>
      </c>
      <c r="G371" s="1532">
        <f t="shared" si="224"/>
        <v>0</v>
      </c>
      <c r="H371" s="1533">
        <f t="shared" si="225"/>
        <v>0</v>
      </c>
      <c r="I371" s="1534">
        <f t="shared" si="226"/>
        <v>0.2</v>
      </c>
      <c r="J371" s="1519">
        <v>1700000</v>
      </c>
      <c r="N371" s="1519">
        <f t="shared" si="227"/>
        <v>1700000</v>
      </c>
      <c r="Q371" s="1557">
        <v>311667</v>
      </c>
      <c r="R371" s="1519">
        <f t="shared" si="228"/>
        <v>1700000</v>
      </c>
      <c r="S371" s="1519">
        <f t="shared" si="229"/>
        <v>1388333</v>
      </c>
      <c r="T371" s="1519">
        <f t="shared" si="230"/>
        <v>0</v>
      </c>
      <c r="U371" s="1535">
        <f t="shared" si="231"/>
        <v>28333.333333333332</v>
      </c>
      <c r="V371" s="1537">
        <f t="shared" si="232"/>
        <v>340000.33333333331</v>
      </c>
      <c r="W371" s="1519">
        <f t="shared" si="233"/>
        <v>340000</v>
      </c>
      <c r="X371" s="1537">
        <f t="shared" si="234"/>
        <v>340000</v>
      </c>
      <c r="Y371" s="1537">
        <f t="shared" si="235"/>
        <v>340000</v>
      </c>
      <c r="Z371" s="1537">
        <f t="shared" si="236"/>
        <v>338999.66666666674</v>
      </c>
      <c r="AA371" s="1537">
        <f t="shared" si="237"/>
        <v>0</v>
      </c>
      <c r="AB371" s="1537">
        <f t="shared" si="238"/>
        <v>0</v>
      </c>
      <c r="AC371" s="1537">
        <f t="shared" si="239"/>
        <v>0</v>
      </c>
      <c r="AD371" s="1537">
        <f t="shared" si="240"/>
        <v>0</v>
      </c>
      <c r="AE371" s="1537">
        <f t="shared" si="241"/>
        <v>0</v>
      </c>
      <c r="AF371" s="1536">
        <f t="shared" si="242"/>
        <v>0</v>
      </c>
      <c r="AG371" s="1555"/>
      <c r="AH371" s="1537">
        <f t="shared" si="243"/>
        <v>1359999.6666666667</v>
      </c>
      <c r="AI371" s="1537">
        <f t="shared" si="244"/>
        <v>1019999.6666666667</v>
      </c>
      <c r="AJ371" s="1537">
        <f t="shared" si="245"/>
        <v>679999.66666666674</v>
      </c>
      <c r="AK371" s="1537">
        <f t="shared" si="246"/>
        <v>339999.66666666674</v>
      </c>
      <c r="AL371" s="1537">
        <f t="shared" si="247"/>
        <v>1000</v>
      </c>
      <c r="AM371" s="1537">
        <f t="shared" si="248"/>
        <v>1000</v>
      </c>
      <c r="AN371" s="1537">
        <f t="shared" si="249"/>
        <v>1000</v>
      </c>
      <c r="AO371" s="1537">
        <f t="shared" si="250"/>
        <v>1000</v>
      </c>
      <c r="AP371" s="1537">
        <f t="shared" si="251"/>
        <v>1000</v>
      </c>
      <c r="AQ371" s="1537">
        <f t="shared" si="252"/>
        <v>1000</v>
      </c>
      <c r="AR371" s="1537">
        <f t="shared" si="253"/>
        <v>1000</v>
      </c>
    </row>
    <row r="372" spans="3:44" x14ac:dyDescent="0.3">
      <c r="C372" s="1566" t="s">
        <v>3247</v>
      </c>
      <c r="D372" s="1563" t="s">
        <v>3531</v>
      </c>
      <c r="E372" s="1556">
        <v>5</v>
      </c>
      <c r="F372" s="1518">
        <f t="shared" si="223"/>
        <v>5</v>
      </c>
      <c r="G372" s="1532">
        <f t="shared" si="224"/>
        <v>0</v>
      </c>
      <c r="H372" s="1533">
        <f t="shared" si="225"/>
        <v>0</v>
      </c>
      <c r="I372" s="1534">
        <f t="shared" si="226"/>
        <v>0.2</v>
      </c>
      <c r="J372" s="1519">
        <v>1780000</v>
      </c>
      <c r="N372" s="1519">
        <f t="shared" si="227"/>
        <v>1780000</v>
      </c>
      <c r="Q372" s="1557">
        <v>296667</v>
      </c>
      <c r="R372" s="1519">
        <f t="shared" si="228"/>
        <v>1780000</v>
      </c>
      <c r="S372" s="1519">
        <f t="shared" si="229"/>
        <v>1483333</v>
      </c>
      <c r="T372" s="1519">
        <f t="shared" si="230"/>
        <v>0</v>
      </c>
      <c r="U372" s="1535">
        <f t="shared" si="231"/>
        <v>29666.666666666664</v>
      </c>
      <c r="V372" s="1537">
        <f t="shared" si="232"/>
        <v>326333.66666666669</v>
      </c>
      <c r="W372" s="1519">
        <f t="shared" si="233"/>
        <v>356000</v>
      </c>
      <c r="X372" s="1537">
        <f t="shared" si="234"/>
        <v>356000</v>
      </c>
      <c r="Y372" s="1537">
        <f t="shared" si="235"/>
        <v>356000</v>
      </c>
      <c r="Z372" s="1537">
        <f t="shared" si="236"/>
        <v>356000</v>
      </c>
      <c r="AA372" s="1537">
        <f t="shared" si="237"/>
        <v>28666.333333333256</v>
      </c>
      <c r="AB372" s="1537">
        <f t="shared" si="238"/>
        <v>0</v>
      </c>
      <c r="AC372" s="1537">
        <f t="shared" si="239"/>
        <v>0</v>
      </c>
      <c r="AD372" s="1537">
        <f t="shared" si="240"/>
        <v>0</v>
      </c>
      <c r="AE372" s="1537">
        <f t="shared" si="241"/>
        <v>0</v>
      </c>
      <c r="AF372" s="1536">
        <f t="shared" si="242"/>
        <v>0</v>
      </c>
      <c r="AG372" s="1555"/>
      <c r="AH372" s="1537">
        <f t="shared" si="243"/>
        <v>1453666.3333333333</v>
      </c>
      <c r="AI372" s="1537">
        <f t="shared" si="244"/>
        <v>1097666.3333333333</v>
      </c>
      <c r="AJ372" s="1537">
        <f t="shared" si="245"/>
        <v>741666.33333333326</v>
      </c>
      <c r="AK372" s="1537">
        <f t="shared" si="246"/>
        <v>385666.33333333326</v>
      </c>
      <c r="AL372" s="1537">
        <f t="shared" si="247"/>
        <v>29666.333333333256</v>
      </c>
      <c r="AM372" s="1537">
        <f t="shared" si="248"/>
        <v>1000</v>
      </c>
      <c r="AN372" s="1537">
        <f t="shared" si="249"/>
        <v>1000</v>
      </c>
      <c r="AO372" s="1537">
        <f t="shared" si="250"/>
        <v>1000</v>
      </c>
      <c r="AP372" s="1537">
        <f t="shared" si="251"/>
        <v>1000</v>
      </c>
      <c r="AQ372" s="1537">
        <f t="shared" si="252"/>
        <v>1000</v>
      </c>
      <c r="AR372" s="1537">
        <f t="shared" si="253"/>
        <v>1000</v>
      </c>
    </row>
    <row r="373" spans="3:44" x14ac:dyDescent="0.3">
      <c r="C373" s="1566" t="s">
        <v>3267</v>
      </c>
      <c r="D373" s="1563" t="s">
        <v>3531</v>
      </c>
      <c r="E373" s="1556">
        <v>5</v>
      </c>
      <c r="F373" s="1518">
        <f t="shared" si="223"/>
        <v>5</v>
      </c>
      <c r="G373" s="1532">
        <f t="shared" si="224"/>
        <v>0</v>
      </c>
      <c r="H373" s="1533">
        <f t="shared" si="225"/>
        <v>0</v>
      </c>
      <c r="I373" s="1534">
        <f t="shared" si="226"/>
        <v>0.2</v>
      </c>
      <c r="J373" s="1519">
        <v>4680000</v>
      </c>
      <c r="N373" s="1519">
        <f t="shared" si="227"/>
        <v>4680000</v>
      </c>
      <c r="Q373" s="1557">
        <v>780000</v>
      </c>
      <c r="R373" s="1519">
        <f t="shared" si="228"/>
        <v>4680000</v>
      </c>
      <c r="S373" s="1519">
        <f t="shared" si="229"/>
        <v>3900000</v>
      </c>
      <c r="T373" s="1519">
        <f t="shared" si="230"/>
        <v>0</v>
      </c>
      <c r="U373" s="1535">
        <f t="shared" si="231"/>
        <v>78000</v>
      </c>
      <c r="V373" s="1537">
        <f t="shared" si="232"/>
        <v>858000</v>
      </c>
      <c r="W373" s="1519">
        <f t="shared" si="233"/>
        <v>936000</v>
      </c>
      <c r="X373" s="1537">
        <f t="shared" si="234"/>
        <v>936000</v>
      </c>
      <c r="Y373" s="1537">
        <f t="shared" si="235"/>
        <v>936000</v>
      </c>
      <c r="Z373" s="1537">
        <f t="shared" si="236"/>
        <v>936000</v>
      </c>
      <c r="AA373" s="1537">
        <f t="shared" si="237"/>
        <v>77000</v>
      </c>
      <c r="AB373" s="1537">
        <f t="shared" si="238"/>
        <v>0</v>
      </c>
      <c r="AC373" s="1537">
        <f t="shared" si="239"/>
        <v>0</v>
      </c>
      <c r="AD373" s="1537">
        <f t="shared" si="240"/>
        <v>0</v>
      </c>
      <c r="AE373" s="1537">
        <f t="shared" si="241"/>
        <v>0</v>
      </c>
      <c r="AF373" s="1536">
        <f t="shared" si="242"/>
        <v>0</v>
      </c>
      <c r="AG373" s="1555"/>
      <c r="AH373" s="1537">
        <f t="shared" si="243"/>
        <v>3822000</v>
      </c>
      <c r="AI373" s="1537">
        <f t="shared" si="244"/>
        <v>2886000</v>
      </c>
      <c r="AJ373" s="1537">
        <f t="shared" si="245"/>
        <v>1950000</v>
      </c>
      <c r="AK373" s="1537">
        <f t="shared" si="246"/>
        <v>1014000</v>
      </c>
      <c r="AL373" s="1537">
        <f t="shared" si="247"/>
        <v>78000</v>
      </c>
      <c r="AM373" s="1537">
        <f t="shared" si="248"/>
        <v>1000</v>
      </c>
      <c r="AN373" s="1537">
        <f t="shared" si="249"/>
        <v>1000</v>
      </c>
      <c r="AO373" s="1537">
        <f t="shared" si="250"/>
        <v>1000</v>
      </c>
      <c r="AP373" s="1537">
        <f t="shared" si="251"/>
        <v>1000</v>
      </c>
      <c r="AQ373" s="1537">
        <f t="shared" si="252"/>
        <v>1000</v>
      </c>
      <c r="AR373" s="1537">
        <f t="shared" si="253"/>
        <v>1000</v>
      </c>
    </row>
    <row r="374" spans="3:44" x14ac:dyDescent="0.3">
      <c r="C374" s="1566" t="s">
        <v>3250</v>
      </c>
      <c r="D374" s="1563" t="s">
        <v>3532</v>
      </c>
      <c r="E374" s="1556">
        <v>5</v>
      </c>
      <c r="F374" s="1518">
        <f t="shared" si="223"/>
        <v>5</v>
      </c>
      <c r="G374" s="1532">
        <f t="shared" si="224"/>
        <v>0</v>
      </c>
      <c r="H374" s="1533">
        <f t="shared" si="225"/>
        <v>0</v>
      </c>
      <c r="I374" s="1534">
        <f t="shared" si="226"/>
        <v>0.2</v>
      </c>
      <c r="J374" s="1519">
        <v>1390000</v>
      </c>
      <c r="N374" s="1519">
        <f t="shared" si="227"/>
        <v>1390000</v>
      </c>
      <c r="Q374" s="1557">
        <v>231667</v>
      </c>
      <c r="R374" s="1519">
        <f t="shared" si="228"/>
        <v>1390000</v>
      </c>
      <c r="S374" s="1519">
        <f t="shared" si="229"/>
        <v>1158333</v>
      </c>
      <c r="T374" s="1519">
        <f t="shared" si="230"/>
        <v>0</v>
      </c>
      <c r="U374" s="1535">
        <f t="shared" si="231"/>
        <v>23166.666666666668</v>
      </c>
      <c r="V374" s="1537">
        <f t="shared" si="232"/>
        <v>254833.66666666666</v>
      </c>
      <c r="W374" s="1519">
        <f t="shared" si="233"/>
        <v>278000</v>
      </c>
      <c r="X374" s="1537">
        <f t="shared" si="234"/>
        <v>278000</v>
      </c>
      <c r="Y374" s="1537">
        <f t="shared" si="235"/>
        <v>278000</v>
      </c>
      <c r="Z374" s="1537">
        <f t="shared" si="236"/>
        <v>278000</v>
      </c>
      <c r="AA374" s="1537">
        <f t="shared" si="237"/>
        <v>22166.333333333256</v>
      </c>
      <c r="AB374" s="1537">
        <f t="shared" si="238"/>
        <v>0</v>
      </c>
      <c r="AC374" s="1537">
        <f t="shared" si="239"/>
        <v>0</v>
      </c>
      <c r="AD374" s="1537">
        <f t="shared" si="240"/>
        <v>0</v>
      </c>
      <c r="AE374" s="1537">
        <f t="shared" si="241"/>
        <v>0</v>
      </c>
      <c r="AF374" s="1536">
        <f t="shared" si="242"/>
        <v>0</v>
      </c>
      <c r="AG374" s="1555"/>
      <c r="AH374" s="1537">
        <f t="shared" si="243"/>
        <v>1135166.3333333333</v>
      </c>
      <c r="AI374" s="1537">
        <f t="shared" si="244"/>
        <v>857166.33333333326</v>
      </c>
      <c r="AJ374" s="1537">
        <f t="shared" si="245"/>
        <v>579166.33333333326</v>
      </c>
      <c r="AK374" s="1537">
        <f t="shared" si="246"/>
        <v>301166.33333333326</v>
      </c>
      <c r="AL374" s="1537">
        <f t="shared" si="247"/>
        <v>23166.333333333256</v>
      </c>
      <c r="AM374" s="1537">
        <f t="shared" si="248"/>
        <v>1000</v>
      </c>
      <c r="AN374" s="1537">
        <f t="shared" si="249"/>
        <v>1000</v>
      </c>
      <c r="AO374" s="1537">
        <f t="shared" si="250"/>
        <v>1000</v>
      </c>
      <c r="AP374" s="1537">
        <f t="shared" si="251"/>
        <v>1000</v>
      </c>
      <c r="AQ374" s="1537">
        <f t="shared" si="252"/>
        <v>1000</v>
      </c>
      <c r="AR374" s="1537">
        <f t="shared" si="253"/>
        <v>1000</v>
      </c>
    </row>
    <row r="375" spans="3:44" x14ac:dyDescent="0.3">
      <c r="C375" s="1566" t="s">
        <v>3268</v>
      </c>
      <c r="D375" s="1563" t="s">
        <v>3533</v>
      </c>
      <c r="E375" s="1556">
        <v>5</v>
      </c>
      <c r="F375" s="1518">
        <f t="shared" si="223"/>
        <v>5</v>
      </c>
      <c r="G375" s="1532">
        <f t="shared" si="224"/>
        <v>0</v>
      </c>
      <c r="H375" s="1533">
        <f t="shared" si="225"/>
        <v>0</v>
      </c>
      <c r="I375" s="1534">
        <f t="shared" si="226"/>
        <v>0.2</v>
      </c>
      <c r="J375" s="1519">
        <v>950000</v>
      </c>
      <c r="N375" s="1519">
        <f t="shared" si="227"/>
        <v>950000</v>
      </c>
      <c r="Q375" s="1557">
        <v>158333</v>
      </c>
      <c r="R375" s="1519">
        <f t="shared" si="228"/>
        <v>950000</v>
      </c>
      <c r="S375" s="1519">
        <f t="shared" si="229"/>
        <v>791667</v>
      </c>
      <c r="T375" s="1519">
        <f t="shared" si="230"/>
        <v>0</v>
      </c>
      <c r="U375" s="1535">
        <f t="shared" si="231"/>
        <v>15833.333333333332</v>
      </c>
      <c r="V375" s="1537">
        <f t="shared" si="232"/>
        <v>174166.33333333334</v>
      </c>
      <c r="W375" s="1519">
        <f t="shared" si="233"/>
        <v>190000</v>
      </c>
      <c r="X375" s="1537">
        <f t="shared" si="234"/>
        <v>190000</v>
      </c>
      <c r="Y375" s="1537">
        <f t="shared" si="235"/>
        <v>190000</v>
      </c>
      <c r="Z375" s="1537">
        <f t="shared" si="236"/>
        <v>190000</v>
      </c>
      <c r="AA375" s="1537">
        <f t="shared" si="237"/>
        <v>14833.666666666628</v>
      </c>
      <c r="AB375" s="1537">
        <f t="shared" si="238"/>
        <v>0</v>
      </c>
      <c r="AC375" s="1537">
        <f t="shared" si="239"/>
        <v>0</v>
      </c>
      <c r="AD375" s="1537">
        <f t="shared" si="240"/>
        <v>0</v>
      </c>
      <c r="AE375" s="1537">
        <f t="shared" si="241"/>
        <v>0</v>
      </c>
      <c r="AF375" s="1536">
        <f t="shared" si="242"/>
        <v>0</v>
      </c>
      <c r="AG375" s="1555"/>
      <c r="AH375" s="1537">
        <f t="shared" si="243"/>
        <v>775833.66666666663</v>
      </c>
      <c r="AI375" s="1537">
        <f t="shared" si="244"/>
        <v>585833.66666666663</v>
      </c>
      <c r="AJ375" s="1537">
        <f t="shared" si="245"/>
        <v>395833.66666666663</v>
      </c>
      <c r="AK375" s="1537">
        <f t="shared" si="246"/>
        <v>205833.66666666663</v>
      </c>
      <c r="AL375" s="1537">
        <f t="shared" si="247"/>
        <v>15833.666666666628</v>
      </c>
      <c r="AM375" s="1537">
        <f t="shared" si="248"/>
        <v>1000</v>
      </c>
      <c r="AN375" s="1537">
        <f t="shared" si="249"/>
        <v>1000</v>
      </c>
      <c r="AO375" s="1537">
        <f t="shared" si="250"/>
        <v>1000</v>
      </c>
      <c r="AP375" s="1537">
        <f t="shared" si="251"/>
        <v>1000</v>
      </c>
      <c r="AQ375" s="1537">
        <f t="shared" si="252"/>
        <v>1000</v>
      </c>
      <c r="AR375" s="1537">
        <f t="shared" si="253"/>
        <v>1000</v>
      </c>
    </row>
    <row r="376" spans="3:44" x14ac:dyDescent="0.3">
      <c r="C376" s="1566" t="s">
        <v>3269</v>
      </c>
      <c r="D376" s="1563" t="s">
        <v>3534</v>
      </c>
      <c r="E376" s="1556">
        <v>5</v>
      </c>
      <c r="F376" s="1518">
        <f t="shared" si="223"/>
        <v>5</v>
      </c>
      <c r="G376" s="1532">
        <f t="shared" si="224"/>
        <v>0</v>
      </c>
      <c r="H376" s="1533">
        <f t="shared" si="225"/>
        <v>0</v>
      </c>
      <c r="I376" s="1534">
        <f t="shared" si="226"/>
        <v>0.2</v>
      </c>
      <c r="J376" s="1519">
        <v>1460000</v>
      </c>
      <c r="N376" s="1519">
        <f t="shared" si="227"/>
        <v>1460000</v>
      </c>
      <c r="Q376" s="1557">
        <v>243333</v>
      </c>
      <c r="R376" s="1519">
        <f t="shared" si="228"/>
        <v>1460000</v>
      </c>
      <c r="S376" s="1519">
        <f t="shared" si="229"/>
        <v>1216667</v>
      </c>
      <c r="T376" s="1519">
        <f t="shared" si="230"/>
        <v>0</v>
      </c>
      <c r="U376" s="1535">
        <f t="shared" si="231"/>
        <v>24333.333333333332</v>
      </c>
      <c r="V376" s="1537">
        <f t="shared" si="232"/>
        <v>267666.33333333331</v>
      </c>
      <c r="W376" s="1519">
        <f t="shared" si="233"/>
        <v>292000</v>
      </c>
      <c r="X376" s="1537">
        <f t="shared" si="234"/>
        <v>292000</v>
      </c>
      <c r="Y376" s="1537">
        <f t="shared" si="235"/>
        <v>292000</v>
      </c>
      <c r="Z376" s="1537">
        <f t="shared" si="236"/>
        <v>292000</v>
      </c>
      <c r="AA376" s="1537">
        <f t="shared" si="237"/>
        <v>23333.666666666744</v>
      </c>
      <c r="AB376" s="1537">
        <f t="shared" si="238"/>
        <v>0</v>
      </c>
      <c r="AC376" s="1537">
        <f t="shared" si="239"/>
        <v>0</v>
      </c>
      <c r="AD376" s="1537">
        <f t="shared" si="240"/>
        <v>0</v>
      </c>
      <c r="AE376" s="1537">
        <f t="shared" si="241"/>
        <v>0</v>
      </c>
      <c r="AF376" s="1536">
        <f t="shared" si="242"/>
        <v>0</v>
      </c>
      <c r="AG376" s="1555"/>
      <c r="AH376" s="1537">
        <f t="shared" si="243"/>
        <v>1192333.6666666667</v>
      </c>
      <c r="AI376" s="1537">
        <f t="shared" si="244"/>
        <v>900333.66666666674</v>
      </c>
      <c r="AJ376" s="1537">
        <f t="shared" si="245"/>
        <v>608333.66666666674</v>
      </c>
      <c r="AK376" s="1537">
        <f t="shared" si="246"/>
        <v>316333.66666666674</v>
      </c>
      <c r="AL376" s="1537">
        <f t="shared" si="247"/>
        <v>24333.666666666744</v>
      </c>
      <c r="AM376" s="1537">
        <f t="shared" si="248"/>
        <v>1000</v>
      </c>
      <c r="AN376" s="1537">
        <f t="shared" si="249"/>
        <v>1000</v>
      </c>
      <c r="AO376" s="1537">
        <f t="shared" si="250"/>
        <v>1000</v>
      </c>
      <c r="AP376" s="1537">
        <f t="shared" si="251"/>
        <v>1000</v>
      </c>
      <c r="AQ376" s="1537">
        <f t="shared" si="252"/>
        <v>1000</v>
      </c>
      <c r="AR376" s="1537">
        <f t="shared" si="253"/>
        <v>1000</v>
      </c>
    </row>
    <row r="377" spans="3:44" x14ac:dyDescent="0.3">
      <c r="C377" s="1566" t="s">
        <v>3250</v>
      </c>
      <c r="D377" s="1563" t="s">
        <v>3534</v>
      </c>
      <c r="E377" s="1556">
        <v>5</v>
      </c>
      <c r="F377" s="1518">
        <f t="shared" si="223"/>
        <v>5</v>
      </c>
      <c r="G377" s="1532">
        <f t="shared" si="224"/>
        <v>0</v>
      </c>
      <c r="H377" s="1533">
        <f t="shared" si="225"/>
        <v>0</v>
      </c>
      <c r="I377" s="1534">
        <f t="shared" si="226"/>
        <v>0.2</v>
      </c>
      <c r="J377" s="1519">
        <v>1390000</v>
      </c>
      <c r="N377" s="1519">
        <f t="shared" si="227"/>
        <v>1390000</v>
      </c>
      <c r="Q377" s="1557">
        <v>231667</v>
      </c>
      <c r="R377" s="1519">
        <f t="shared" si="228"/>
        <v>1390000</v>
      </c>
      <c r="S377" s="1519">
        <f t="shared" si="229"/>
        <v>1158333</v>
      </c>
      <c r="T377" s="1519">
        <f t="shared" si="230"/>
        <v>0</v>
      </c>
      <c r="U377" s="1535">
        <f t="shared" si="231"/>
        <v>23166.666666666668</v>
      </c>
      <c r="V377" s="1537">
        <f t="shared" si="232"/>
        <v>254833.66666666666</v>
      </c>
      <c r="W377" s="1519">
        <f t="shared" si="233"/>
        <v>278000</v>
      </c>
      <c r="X377" s="1537">
        <f t="shared" si="234"/>
        <v>278000</v>
      </c>
      <c r="Y377" s="1537">
        <f t="shared" si="235"/>
        <v>278000</v>
      </c>
      <c r="Z377" s="1537">
        <f t="shared" si="236"/>
        <v>278000</v>
      </c>
      <c r="AA377" s="1537">
        <f t="shared" si="237"/>
        <v>22166.333333333256</v>
      </c>
      <c r="AB377" s="1537">
        <f t="shared" si="238"/>
        <v>0</v>
      </c>
      <c r="AC377" s="1537">
        <f t="shared" si="239"/>
        <v>0</v>
      </c>
      <c r="AD377" s="1537">
        <f t="shared" si="240"/>
        <v>0</v>
      </c>
      <c r="AE377" s="1537">
        <f t="shared" si="241"/>
        <v>0</v>
      </c>
      <c r="AF377" s="1536">
        <f t="shared" si="242"/>
        <v>0</v>
      </c>
      <c r="AG377" s="1555"/>
      <c r="AH377" s="1537">
        <f t="shared" si="243"/>
        <v>1135166.3333333333</v>
      </c>
      <c r="AI377" s="1537">
        <f t="shared" si="244"/>
        <v>857166.33333333326</v>
      </c>
      <c r="AJ377" s="1537">
        <f t="shared" si="245"/>
        <v>579166.33333333326</v>
      </c>
      <c r="AK377" s="1537">
        <f t="shared" si="246"/>
        <v>301166.33333333326</v>
      </c>
      <c r="AL377" s="1537">
        <f t="shared" si="247"/>
        <v>23166.333333333256</v>
      </c>
      <c r="AM377" s="1537">
        <f t="shared" si="248"/>
        <v>1000</v>
      </c>
      <c r="AN377" s="1537">
        <f t="shared" si="249"/>
        <v>1000</v>
      </c>
      <c r="AO377" s="1537">
        <f t="shared" si="250"/>
        <v>1000</v>
      </c>
      <c r="AP377" s="1537">
        <f t="shared" si="251"/>
        <v>1000</v>
      </c>
      <c r="AQ377" s="1537">
        <f t="shared" si="252"/>
        <v>1000</v>
      </c>
      <c r="AR377" s="1537">
        <f t="shared" si="253"/>
        <v>1000</v>
      </c>
    </row>
    <row r="378" spans="3:44" x14ac:dyDescent="0.3">
      <c r="C378" s="1566" t="s">
        <v>3270</v>
      </c>
      <c r="D378" s="1563" t="s">
        <v>3535</v>
      </c>
      <c r="E378" s="1556">
        <v>5</v>
      </c>
      <c r="F378" s="1518">
        <f t="shared" si="223"/>
        <v>5</v>
      </c>
      <c r="G378" s="1532">
        <f t="shared" si="224"/>
        <v>0</v>
      </c>
      <c r="H378" s="1533">
        <f t="shared" si="225"/>
        <v>0</v>
      </c>
      <c r="I378" s="1534">
        <f t="shared" si="226"/>
        <v>0.2</v>
      </c>
      <c r="J378" s="1519">
        <v>7400000</v>
      </c>
      <c r="N378" s="1519">
        <f t="shared" si="227"/>
        <v>7400000</v>
      </c>
      <c r="Q378" s="1557">
        <v>1110000</v>
      </c>
      <c r="R378" s="1519">
        <f t="shared" si="228"/>
        <v>7400000</v>
      </c>
      <c r="S378" s="1519">
        <f t="shared" si="229"/>
        <v>6290000</v>
      </c>
      <c r="T378" s="1519">
        <f t="shared" si="230"/>
        <v>0</v>
      </c>
      <c r="U378" s="1535">
        <f t="shared" si="231"/>
        <v>123333.33333333333</v>
      </c>
      <c r="V378" s="1537">
        <f t="shared" si="232"/>
        <v>1233333.3333333333</v>
      </c>
      <c r="W378" s="1519">
        <f t="shared" si="233"/>
        <v>1480000</v>
      </c>
      <c r="X378" s="1537">
        <f t="shared" si="234"/>
        <v>1480000</v>
      </c>
      <c r="Y378" s="1537">
        <f t="shared" si="235"/>
        <v>1480000</v>
      </c>
      <c r="Z378" s="1537">
        <f t="shared" si="236"/>
        <v>1480000</v>
      </c>
      <c r="AA378" s="1537">
        <f t="shared" si="237"/>
        <v>245666.66666666698</v>
      </c>
      <c r="AB378" s="1537">
        <f t="shared" si="238"/>
        <v>0</v>
      </c>
      <c r="AC378" s="1537">
        <f t="shared" si="239"/>
        <v>0</v>
      </c>
      <c r="AD378" s="1537">
        <f t="shared" si="240"/>
        <v>0</v>
      </c>
      <c r="AE378" s="1537">
        <f t="shared" si="241"/>
        <v>0</v>
      </c>
      <c r="AF378" s="1536">
        <f t="shared" si="242"/>
        <v>0</v>
      </c>
      <c r="AG378" s="1555"/>
      <c r="AH378" s="1537">
        <f t="shared" si="243"/>
        <v>6166666.666666667</v>
      </c>
      <c r="AI378" s="1537">
        <f t="shared" si="244"/>
        <v>4686666.666666667</v>
      </c>
      <c r="AJ378" s="1537">
        <f t="shared" si="245"/>
        <v>3206666.666666667</v>
      </c>
      <c r="AK378" s="1537">
        <f t="shared" si="246"/>
        <v>1726666.666666667</v>
      </c>
      <c r="AL378" s="1537">
        <f t="shared" si="247"/>
        <v>246666.66666666698</v>
      </c>
      <c r="AM378" s="1537">
        <f t="shared" si="248"/>
        <v>1000</v>
      </c>
      <c r="AN378" s="1537">
        <f t="shared" si="249"/>
        <v>1000</v>
      </c>
      <c r="AO378" s="1537">
        <f t="shared" si="250"/>
        <v>1000</v>
      </c>
      <c r="AP378" s="1537">
        <f t="shared" si="251"/>
        <v>1000</v>
      </c>
      <c r="AQ378" s="1537">
        <f t="shared" si="252"/>
        <v>1000</v>
      </c>
      <c r="AR378" s="1537">
        <f t="shared" si="253"/>
        <v>1000</v>
      </c>
    </row>
    <row r="379" spans="3:44" x14ac:dyDescent="0.3">
      <c r="C379" s="1566" t="s">
        <v>3271</v>
      </c>
      <c r="D379" s="1563" t="s">
        <v>3536</v>
      </c>
      <c r="E379" s="1556">
        <v>5</v>
      </c>
      <c r="F379" s="1518">
        <f t="shared" si="223"/>
        <v>5</v>
      </c>
      <c r="G379" s="1532">
        <f t="shared" si="224"/>
        <v>0</v>
      </c>
      <c r="H379" s="1533">
        <f t="shared" si="225"/>
        <v>0</v>
      </c>
      <c r="I379" s="1534">
        <f t="shared" si="226"/>
        <v>0.2</v>
      </c>
      <c r="J379" s="1519">
        <v>1650000</v>
      </c>
      <c r="N379" s="1519">
        <f t="shared" si="227"/>
        <v>1650000</v>
      </c>
      <c r="Q379" s="1557">
        <v>247500</v>
      </c>
      <c r="R379" s="1519">
        <f t="shared" si="228"/>
        <v>1650000</v>
      </c>
      <c r="S379" s="1519">
        <f t="shared" si="229"/>
        <v>1402500</v>
      </c>
      <c r="T379" s="1519">
        <f t="shared" si="230"/>
        <v>0</v>
      </c>
      <c r="U379" s="1535">
        <f t="shared" si="231"/>
        <v>27500</v>
      </c>
      <c r="V379" s="1537">
        <f t="shared" si="232"/>
        <v>275000</v>
      </c>
      <c r="W379" s="1519">
        <f t="shared" si="233"/>
        <v>330000</v>
      </c>
      <c r="X379" s="1537">
        <f t="shared" si="234"/>
        <v>330000</v>
      </c>
      <c r="Y379" s="1537">
        <f t="shared" si="235"/>
        <v>330000</v>
      </c>
      <c r="Z379" s="1537">
        <f t="shared" si="236"/>
        <v>330000</v>
      </c>
      <c r="AA379" s="1537">
        <f t="shared" si="237"/>
        <v>54000</v>
      </c>
      <c r="AB379" s="1537">
        <f t="shared" si="238"/>
        <v>0</v>
      </c>
      <c r="AC379" s="1537">
        <f t="shared" si="239"/>
        <v>0</v>
      </c>
      <c r="AD379" s="1537">
        <f t="shared" si="240"/>
        <v>0</v>
      </c>
      <c r="AE379" s="1537">
        <f t="shared" si="241"/>
        <v>0</v>
      </c>
      <c r="AF379" s="1536">
        <f t="shared" si="242"/>
        <v>0</v>
      </c>
      <c r="AG379" s="1555"/>
      <c r="AH379" s="1537">
        <f t="shared" si="243"/>
        <v>1375000</v>
      </c>
      <c r="AI379" s="1537">
        <f t="shared" si="244"/>
        <v>1045000</v>
      </c>
      <c r="AJ379" s="1537">
        <f t="shared" si="245"/>
        <v>715000</v>
      </c>
      <c r="AK379" s="1537">
        <f t="shared" si="246"/>
        <v>385000</v>
      </c>
      <c r="AL379" s="1537">
        <f t="shared" si="247"/>
        <v>55000</v>
      </c>
      <c r="AM379" s="1537">
        <f t="shared" si="248"/>
        <v>1000</v>
      </c>
      <c r="AN379" s="1537">
        <f t="shared" si="249"/>
        <v>1000</v>
      </c>
      <c r="AO379" s="1537">
        <f t="shared" si="250"/>
        <v>1000</v>
      </c>
      <c r="AP379" s="1537">
        <f t="shared" si="251"/>
        <v>1000</v>
      </c>
      <c r="AQ379" s="1537">
        <f t="shared" si="252"/>
        <v>1000</v>
      </c>
      <c r="AR379" s="1537">
        <f t="shared" si="253"/>
        <v>1000</v>
      </c>
    </row>
    <row r="380" spans="3:44" x14ac:dyDescent="0.3">
      <c r="C380" s="1566" t="s">
        <v>3271</v>
      </c>
      <c r="D380" s="1563" t="s">
        <v>3537</v>
      </c>
      <c r="E380" s="1556">
        <v>5</v>
      </c>
      <c r="F380" s="1518">
        <f t="shared" si="223"/>
        <v>5</v>
      </c>
      <c r="G380" s="1532">
        <f t="shared" si="224"/>
        <v>0</v>
      </c>
      <c r="H380" s="1533">
        <f t="shared" si="225"/>
        <v>0</v>
      </c>
      <c r="I380" s="1534">
        <f t="shared" si="226"/>
        <v>0.2</v>
      </c>
      <c r="J380" s="1519">
        <v>1480000</v>
      </c>
      <c r="N380" s="1519">
        <f t="shared" si="227"/>
        <v>1480000</v>
      </c>
      <c r="Q380" s="1557">
        <v>222000</v>
      </c>
      <c r="R380" s="1519">
        <f t="shared" si="228"/>
        <v>1480000</v>
      </c>
      <c r="S380" s="1519">
        <f t="shared" si="229"/>
        <v>1258000</v>
      </c>
      <c r="T380" s="1519">
        <f t="shared" si="230"/>
        <v>0</v>
      </c>
      <c r="U380" s="1535">
        <f t="shared" si="231"/>
        <v>24666.666666666668</v>
      </c>
      <c r="V380" s="1537">
        <f t="shared" si="232"/>
        <v>246666.66666666666</v>
      </c>
      <c r="W380" s="1519">
        <f t="shared" si="233"/>
        <v>296000</v>
      </c>
      <c r="X380" s="1537">
        <f t="shared" si="234"/>
        <v>296000</v>
      </c>
      <c r="Y380" s="1537">
        <f t="shared" si="235"/>
        <v>296000</v>
      </c>
      <c r="Z380" s="1537">
        <f t="shared" si="236"/>
        <v>296000</v>
      </c>
      <c r="AA380" s="1537">
        <f t="shared" si="237"/>
        <v>48333.333333333256</v>
      </c>
      <c r="AB380" s="1537">
        <f t="shared" si="238"/>
        <v>0</v>
      </c>
      <c r="AC380" s="1537">
        <f t="shared" si="239"/>
        <v>0</v>
      </c>
      <c r="AD380" s="1537">
        <f t="shared" si="240"/>
        <v>0</v>
      </c>
      <c r="AE380" s="1537">
        <f t="shared" si="241"/>
        <v>0</v>
      </c>
      <c r="AF380" s="1536">
        <f t="shared" si="242"/>
        <v>0</v>
      </c>
      <c r="AG380" s="1555"/>
      <c r="AH380" s="1537">
        <f t="shared" si="243"/>
        <v>1233333.3333333333</v>
      </c>
      <c r="AI380" s="1537">
        <f t="shared" si="244"/>
        <v>937333.33333333326</v>
      </c>
      <c r="AJ380" s="1537">
        <f t="shared" si="245"/>
        <v>641333.33333333326</v>
      </c>
      <c r="AK380" s="1537">
        <f t="shared" si="246"/>
        <v>345333.33333333326</v>
      </c>
      <c r="AL380" s="1537">
        <f t="shared" si="247"/>
        <v>49333.333333333256</v>
      </c>
      <c r="AM380" s="1537">
        <f t="shared" si="248"/>
        <v>1000</v>
      </c>
      <c r="AN380" s="1537">
        <f t="shared" si="249"/>
        <v>1000</v>
      </c>
      <c r="AO380" s="1537">
        <f t="shared" si="250"/>
        <v>1000</v>
      </c>
      <c r="AP380" s="1537">
        <f t="shared" si="251"/>
        <v>1000</v>
      </c>
      <c r="AQ380" s="1537">
        <f t="shared" si="252"/>
        <v>1000</v>
      </c>
      <c r="AR380" s="1537">
        <f t="shared" si="253"/>
        <v>1000</v>
      </c>
    </row>
    <row r="381" spans="3:44" x14ac:dyDescent="0.3">
      <c r="C381" s="1566" t="s">
        <v>3271</v>
      </c>
      <c r="D381" s="1563" t="s">
        <v>3538</v>
      </c>
      <c r="E381" s="1556">
        <v>5</v>
      </c>
      <c r="F381" s="1518">
        <f t="shared" si="223"/>
        <v>5</v>
      </c>
      <c r="G381" s="1532">
        <f t="shared" si="224"/>
        <v>0</v>
      </c>
      <c r="H381" s="1533">
        <f t="shared" si="225"/>
        <v>0</v>
      </c>
      <c r="I381" s="1534">
        <f t="shared" si="226"/>
        <v>0.2</v>
      </c>
      <c r="J381" s="1519">
        <v>1480000</v>
      </c>
      <c r="N381" s="1519">
        <f t="shared" si="227"/>
        <v>1480000</v>
      </c>
      <c r="Q381" s="1557">
        <v>197333</v>
      </c>
      <c r="R381" s="1519">
        <f t="shared" si="228"/>
        <v>1480000</v>
      </c>
      <c r="S381" s="1519">
        <f t="shared" si="229"/>
        <v>1282667</v>
      </c>
      <c r="T381" s="1519">
        <f t="shared" si="230"/>
        <v>0</v>
      </c>
      <c r="U381" s="1535">
        <f t="shared" si="231"/>
        <v>24666.666666666668</v>
      </c>
      <c r="V381" s="1537">
        <f t="shared" si="232"/>
        <v>221999.66666666666</v>
      </c>
      <c r="W381" s="1519">
        <f t="shared" si="233"/>
        <v>296000</v>
      </c>
      <c r="X381" s="1537">
        <f t="shared" si="234"/>
        <v>296000</v>
      </c>
      <c r="Y381" s="1537">
        <f t="shared" si="235"/>
        <v>296000</v>
      </c>
      <c r="Z381" s="1537">
        <f t="shared" si="236"/>
        <v>296000</v>
      </c>
      <c r="AA381" s="1537">
        <f t="shared" si="237"/>
        <v>73000.333333333256</v>
      </c>
      <c r="AB381" s="1537">
        <f t="shared" si="238"/>
        <v>0</v>
      </c>
      <c r="AC381" s="1537">
        <f t="shared" si="239"/>
        <v>0</v>
      </c>
      <c r="AD381" s="1537">
        <f t="shared" si="240"/>
        <v>0</v>
      </c>
      <c r="AE381" s="1537">
        <f t="shared" si="241"/>
        <v>0</v>
      </c>
      <c r="AF381" s="1536">
        <f t="shared" si="242"/>
        <v>0</v>
      </c>
      <c r="AG381" s="1555"/>
      <c r="AH381" s="1537">
        <f t="shared" si="243"/>
        <v>1258000.3333333333</v>
      </c>
      <c r="AI381" s="1537">
        <f t="shared" si="244"/>
        <v>962000.33333333326</v>
      </c>
      <c r="AJ381" s="1537">
        <f t="shared" si="245"/>
        <v>666000.33333333326</v>
      </c>
      <c r="AK381" s="1537">
        <f t="shared" si="246"/>
        <v>370000.33333333326</v>
      </c>
      <c r="AL381" s="1537">
        <f t="shared" si="247"/>
        <v>74000.333333333256</v>
      </c>
      <c r="AM381" s="1537">
        <f t="shared" si="248"/>
        <v>1000</v>
      </c>
      <c r="AN381" s="1537">
        <f t="shared" si="249"/>
        <v>1000</v>
      </c>
      <c r="AO381" s="1537">
        <f t="shared" si="250"/>
        <v>1000</v>
      </c>
      <c r="AP381" s="1537">
        <f t="shared" si="251"/>
        <v>1000</v>
      </c>
      <c r="AQ381" s="1537">
        <f t="shared" si="252"/>
        <v>1000</v>
      </c>
      <c r="AR381" s="1537">
        <f t="shared" si="253"/>
        <v>1000</v>
      </c>
    </row>
    <row r="382" spans="3:44" x14ac:dyDescent="0.3">
      <c r="C382" s="1566" t="s">
        <v>3272</v>
      </c>
      <c r="D382" s="1563" t="s">
        <v>3539</v>
      </c>
      <c r="E382" s="1556">
        <v>5</v>
      </c>
      <c r="F382" s="1518">
        <f t="shared" si="223"/>
        <v>5</v>
      </c>
      <c r="G382" s="1532">
        <f t="shared" si="224"/>
        <v>0</v>
      </c>
      <c r="H382" s="1533">
        <f t="shared" si="225"/>
        <v>0</v>
      </c>
      <c r="I382" s="1534">
        <f t="shared" si="226"/>
        <v>0.2</v>
      </c>
      <c r="J382" s="1519">
        <v>1480000</v>
      </c>
      <c r="N382" s="1519">
        <f t="shared" si="227"/>
        <v>1480000</v>
      </c>
      <c r="Q382" s="1557">
        <v>197333</v>
      </c>
      <c r="R382" s="1519">
        <f t="shared" si="228"/>
        <v>1480000</v>
      </c>
      <c r="S382" s="1519">
        <f t="shared" si="229"/>
        <v>1282667</v>
      </c>
      <c r="T382" s="1519">
        <f t="shared" si="230"/>
        <v>0</v>
      </c>
      <c r="U382" s="1535">
        <f t="shared" si="231"/>
        <v>24666.666666666668</v>
      </c>
      <c r="V382" s="1537">
        <f t="shared" si="232"/>
        <v>221999.66666666666</v>
      </c>
      <c r="W382" s="1519">
        <f t="shared" si="233"/>
        <v>296000</v>
      </c>
      <c r="X382" s="1537">
        <f t="shared" si="234"/>
        <v>296000</v>
      </c>
      <c r="Y382" s="1537">
        <f t="shared" si="235"/>
        <v>296000</v>
      </c>
      <c r="Z382" s="1537">
        <f t="shared" si="236"/>
        <v>296000</v>
      </c>
      <c r="AA382" s="1537">
        <f t="shared" si="237"/>
        <v>73000.333333333256</v>
      </c>
      <c r="AB382" s="1537">
        <f t="shared" si="238"/>
        <v>0</v>
      </c>
      <c r="AC382" s="1537">
        <f t="shared" si="239"/>
        <v>0</v>
      </c>
      <c r="AD382" s="1537">
        <f t="shared" si="240"/>
        <v>0</v>
      </c>
      <c r="AE382" s="1537">
        <f t="shared" si="241"/>
        <v>0</v>
      </c>
      <c r="AF382" s="1536">
        <f t="shared" si="242"/>
        <v>0</v>
      </c>
      <c r="AG382" s="1555"/>
      <c r="AH382" s="1537">
        <f t="shared" si="243"/>
        <v>1258000.3333333333</v>
      </c>
      <c r="AI382" s="1537">
        <f t="shared" si="244"/>
        <v>962000.33333333326</v>
      </c>
      <c r="AJ382" s="1537">
        <f t="shared" si="245"/>
        <v>666000.33333333326</v>
      </c>
      <c r="AK382" s="1537">
        <f t="shared" si="246"/>
        <v>370000.33333333326</v>
      </c>
      <c r="AL382" s="1537">
        <f t="shared" si="247"/>
        <v>74000.333333333256</v>
      </c>
      <c r="AM382" s="1537">
        <f t="shared" si="248"/>
        <v>1000</v>
      </c>
      <c r="AN382" s="1537">
        <f t="shared" si="249"/>
        <v>1000</v>
      </c>
      <c r="AO382" s="1537">
        <f t="shared" si="250"/>
        <v>1000</v>
      </c>
      <c r="AP382" s="1537">
        <f t="shared" si="251"/>
        <v>1000</v>
      </c>
      <c r="AQ382" s="1537">
        <f t="shared" si="252"/>
        <v>1000</v>
      </c>
      <c r="AR382" s="1537">
        <f t="shared" si="253"/>
        <v>1000</v>
      </c>
    </row>
    <row r="383" spans="3:44" x14ac:dyDescent="0.3">
      <c r="C383" s="1566" t="s">
        <v>3273</v>
      </c>
      <c r="D383" s="1563" t="s">
        <v>3540</v>
      </c>
      <c r="E383" s="1556">
        <v>5</v>
      </c>
      <c r="F383" s="1518">
        <f t="shared" si="223"/>
        <v>5</v>
      </c>
      <c r="G383" s="1532">
        <f t="shared" si="224"/>
        <v>0</v>
      </c>
      <c r="H383" s="1533">
        <f t="shared" si="225"/>
        <v>0</v>
      </c>
      <c r="I383" s="1534">
        <f t="shared" si="226"/>
        <v>0.2</v>
      </c>
      <c r="J383" s="1519">
        <v>1760000</v>
      </c>
      <c r="N383" s="1519">
        <f t="shared" si="227"/>
        <v>1760000</v>
      </c>
      <c r="Q383" s="1557">
        <v>234667</v>
      </c>
      <c r="R383" s="1519">
        <f t="shared" si="228"/>
        <v>1760000</v>
      </c>
      <c r="S383" s="1519">
        <f t="shared" si="229"/>
        <v>1525333</v>
      </c>
      <c r="T383" s="1519">
        <f t="shared" si="230"/>
        <v>0</v>
      </c>
      <c r="U383" s="1535">
        <f t="shared" si="231"/>
        <v>29333.333333333332</v>
      </c>
      <c r="V383" s="1537">
        <f t="shared" si="232"/>
        <v>264000.33333333331</v>
      </c>
      <c r="W383" s="1519">
        <f t="shared" si="233"/>
        <v>352000</v>
      </c>
      <c r="X383" s="1537">
        <f t="shared" si="234"/>
        <v>352000</v>
      </c>
      <c r="Y383" s="1537">
        <f t="shared" si="235"/>
        <v>352000</v>
      </c>
      <c r="Z383" s="1537">
        <f t="shared" si="236"/>
        <v>352000</v>
      </c>
      <c r="AA383" s="1537">
        <f t="shared" si="237"/>
        <v>86999.666666666744</v>
      </c>
      <c r="AB383" s="1537">
        <f t="shared" si="238"/>
        <v>0</v>
      </c>
      <c r="AC383" s="1537">
        <f t="shared" si="239"/>
        <v>0</v>
      </c>
      <c r="AD383" s="1537">
        <f t="shared" si="240"/>
        <v>0</v>
      </c>
      <c r="AE383" s="1537">
        <f t="shared" si="241"/>
        <v>0</v>
      </c>
      <c r="AF383" s="1536">
        <f t="shared" si="242"/>
        <v>0</v>
      </c>
      <c r="AG383" s="1555"/>
      <c r="AH383" s="1537">
        <f t="shared" si="243"/>
        <v>1495999.6666666667</v>
      </c>
      <c r="AI383" s="1537">
        <f t="shared" si="244"/>
        <v>1143999.6666666667</v>
      </c>
      <c r="AJ383" s="1537">
        <f t="shared" si="245"/>
        <v>791999.66666666674</v>
      </c>
      <c r="AK383" s="1537">
        <f t="shared" si="246"/>
        <v>439999.66666666674</v>
      </c>
      <c r="AL383" s="1537">
        <f t="shared" si="247"/>
        <v>87999.666666666744</v>
      </c>
      <c r="AM383" s="1537">
        <f t="shared" si="248"/>
        <v>1000</v>
      </c>
      <c r="AN383" s="1537">
        <f t="shared" si="249"/>
        <v>1000</v>
      </c>
      <c r="AO383" s="1537">
        <f t="shared" si="250"/>
        <v>1000</v>
      </c>
      <c r="AP383" s="1537">
        <f t="shared" si="251"/>
        <v>1000</v>
      </c>
      <c r="AQ383" s="1537">
        <f t="shared" si="252"/>
        <v>1000</v>
      </c>
      <c r="AR383" s="1537">
        <f t="shared" si="253"/>
        <v>1000</v>
      </c>
    </row>
    <row r="384" spans="3:44" x14ac:dyDescent="0.3">
      <c r="C384" s="1566" t="s">
        <v>3272</v>
      </c>
      <c r="D384" s="1563" t="s">
        <v>3541</v>
      </c>
      <c r="E384" s="1556">
        <v>5</v>
      </c>
      <c r="F384" s="1518">
        <f t="shared" si="223"/>
        <v>5</v>
      </c>
      <c r="G384" s="1532">
        <f t="shared" si="224"/>
        <v>0</v>
      </c>
      <c r="H384" s="1533">
        <f t="shared" si="225"/>
        <v>0</v>
      </c>
      <c r="I384" s="1534">
        <f t="shared" si="226"/>
        <v>0.2</v>
      </c>
      <c r="J384" s="1519">
        <v>1480000</v>
      </c>
      <c r="N384" s="1519">
        <f t="shared" si="227"/>
        <v>1480000</v>
      </c>
      <c r="Q384" s="1557">
        <v>197333</v>
      </c>
      <c r="R384" s="1519">
        <f t="shared" si="228"/>
        <v>1480000</v>
      </c>
      <c r="S384" s="1519">
        <f t="shared" si="229"/>
        <v>1282667</v>
      </c>
      <c r="T384" s="1519">
        <f t="shared" si="230"/>
        <v>0</v>
      </c>
      <c r="U384" s="1535">
        <f t="shared" si="231"/>
        <v>24666.666666666668</v>
      </c>
      <c r="V384" s="1537">
        <f t="shared" si="232"/>
        <v>221999.66666666666</v>
      </c>
      <c r="W384" s="1519">
        <f t="shared" si="233"/>
        <v>296000</v>
      </c>
      <c r="X384" s="1537">
        <f t="shared" si="234"/>
        <v>296000</v>
      </c>
      <c r="Y384" s="1537">
        <f t="shared" si="235"/>
        <v>296000</v>
      </c>
      <c r="Z384" s="1537">
        <f t="shared" si="236"/>
        <v>296000</v>
      </c>
      <c r="AA384" s="1537">
        <f t="shared" si="237"/>
        <v>73000.333333333256</v>
      </c>
      <c r="AB384" s="1537">
        <f t="shared" si="238"/>
        <v>0</v>
      </c>
      <c r="AC384" s="1537">
        <f t="shared" si="239"/>
        <v>0</v>
      </c>
      <c r="AD384" s="1537">
        <f t="shared" si="240"/>
        <v>0</v>
      </c>
      <c r="AE384" s="1537">
        <f t="shared" si="241"/>
        <v>0</v>
      </c>
      <c r="AF384" s="1536">
        <f t="shared" si="242"/>
        <v>0</v>
      </c>
      <c r="AG384" s="1555"/>
      <c r="AH384" s="1537">
        <f t="shared" si="243"/>
        <v>1258000.3333333333</v>
      </c>
      <c r="AI384" s="1537">
        <f t="shared" si="244"/>
        <v>962000.33333333326</v>
      </c>
      <c r="AJ384" s="1537">
        <f t="shared" si="245"/>
        <v>666000.33333333326</v>
      </c>
      <c r="AK384" s="1537">
        <f t="shared" si="246"/>
        <v>370000.33333333326</v>
      </c>
      <c r="AL384" s="1537">
        <f t="shared" si="247"/>
        <v>74000.333333333256</v>
      </c>
      <c r="AM384" s="1537">
        <f t="shared" si="248"/>
        <v>1000</v>
      </c>
      <c r="AN384" s="1537">
        <f t="shared" si="249"/>
        <v>1000</v>
      </c>
      <c r="AO384" s="1537">
        <f t="shared" si="250"/>
        <v>1000</v>
      </c>
      <c r="AP384" s="1537">
        <f t="shared" si="251"/>
        <v>1000</v>
      </c>
      <c r="AQ384" s="1537">
        <f t="shared" si="252"/>
        <v>1000</v>
      </c>
      <c r="AR384" s="1537">
        <f t="shared" si="253"/>
        <v>1000</v>
      </c>
    </row>
    <row r="385" spans="3:44" x14ac:dyDescent="0.3">
      <c r="C385" s="1566" t="s">
        <v>3274</v>
      </c>
      <c r="D385" s="1563" t="s">
        <v>3542</v>
      </c>
      <c r="E385" s="1556">
        <v>5</v>
      </c>
      <c r="F385" s="1518">
        <f t="shared" si="223"/>
        <v>5</v>
      </c>
      <c r="G385" s="1532">
        <f t="shared" si="224"/>
        <v>0</v>
      </c>
      <c r="H385" s="1533">
        <f t="shared" si="225"/>
        <v>0</v>
      </c>
      <c r="I385" s="1534">
        <f t="shared" si="226"/>
        <v>0.2</v>
      </c>
      <c r="J385" s="1519">
        <v>1380000</v>
      </c>
      <c r="N385" s="1519">
        <f t="shared" si="227"/>
        <v>1380000</v>
      </c>
      <c r="Q385" s="1557">
        <v>161000</v>
      </c>
      <c r="R385" s="1519">
        <f t="shared" si="228"/>
        <v>1380000</v>
      </c>
      <c r="S385" s="1519">
        <f t="shared" si="229"/>
        <v>1219000</v>
      </c>
      <c r="T385" s="1519">
        <f t="shared" si="230"/>
        <v>0</v>
      </c>
      <c r="U385" s="1535">
        <f t="shared" si="231"/>
        <v>23000</v>
      </c>
      <c r="V385" s="1537">
        <f t="shared" si="232"/>
        <v>184000</v>
      </c>
      <c r="W385" s="1519">
        <f t="shared" si="233"/>
        <v>276000</v>
      </c>
      <c r="X385" s="1537">
        <f t="shared" si="234"/>
        <v>276000</v>
      </c>
      <c r="Y385" s="1537">
        <f t="shared" si="235"/>
        <v>276000</v>
      </c>
      <c r="Z385" s="1537">
        <f t="shared" si="236"/>
        <v>276000</v>
      </c>
      <c r="AA385" s="1537">
        <f t="shared" si="237"/>
        <v>91000</v>
      </c>
      <c r="AB385" s="1537">
        <f t="shared" si="238"/>
        <v>0</v>
      </c>
      <c r="AC385" s="1537">
        <f t="shared" si="239"/>
        <v>0</v>
      </c>
      <c r="AD385" s="1537">
        <f t="shared" si="240"/>
        <v>0</v>
      </c>
      <c r="AE385" s="1537">
        <f t="shared" si="241"/>
        <v>0</v>
      </c>
      <c r="AF385" s="1536">
        <f t="shared" si="242"/>
        <v>0</v>
      </c>
      <c r="AG385" s="1555"/>
      <c r="AH385" s="1537">
        <f t="shared" si="243"/>
        <v>1196000</v>
      </c>
      <c r="AI385" s="1537">
        <f t="shared" si="244"/>
        <v>920000</v>
      </c>
      <c r="AJ385" s="1537">
        <f t="shared" si="245"/>
        <v>644000</v>
      </c>
      <c r="AK385" s="1537">
        <f t="shared" si="246"/>
        <v>368000</v>
      </c>
      <c r="AL385" s="1537">
        <f t="shared" si="247"/>
        <v>92000</v>
      </c>
      <c r="AM385" s="1537">
        <f t="shared" si="248"/>
        <v>1000</v>
      </c>
      <c r="AN385" s="1537">
        <f t="shared" si="249"/>
        <v>1000</v>
      </c>
      <c r="AO385" s="1537">
        <f t="shared" si="250"/>
        <v>1000</v>
      </c>
      <c r="AP385" s="1537">
        <f t="shared" si="251"/>
        <v>1000</v>
      </c>
      <c r="AQ385" s="1537">
        <f t="shared" si="252"/>
        <v>1000</v>
      </c>
      <c r="AR385" s="1537">
        <f t="shared" si="253"/>
        <v>1000</v>
      </c>
    </row>
    <row r="386" spans="3:44" x14ac:dyDescent="0.3">
      <c r="C386" s="1566" t="s">
        <v>3275</v>
      </c>
      <c r="D386" s="1563" t="s">
        <v>3543</v>
      </c>
      <c r="E386" s="1556">
        <v>5</v>
      </c>
      <c r="F386" s="1518">
        <f t="shared" si="223"/>
        <v>5</v>
      </c>
      <c r="G386" s="1532">
        <f t="shared" si="224"/>
        <v>0</v>
      </c>
      <c r="H386" s="1533">
        <f t="shared" si="225"/>
        <v>0</v>
      </c>
      <c r="I386" s="1534">
        <f t="shared" si="226"/>
        <v>0.2</v>
      </c>
      <c r="J386" s="1519">
        <v>2700000</v>
      </c>
      <c r="N386" s="1519">
        <f t="shared" si="227"/>
        <v>2700000</v>
      </c>
      <c r="Q386" s="1557">
        <v>315000</v>
      </c>
      <c r="R386" s="1519">
        <f t="shared" si="228"/>
        <v>2700000</v>
      </c>
      <c r="S386" s="1519">
        <f t="shared" si="229"/>
        <v>2385000</v>
      </c>
      <c r="T386" s="1519">
        <f t="shared" si="230"/>
        <v>0</v>
      </c>
      <c r="U386" s="1535">
        <f t="shared" si="231"/>
        <v>45000</v>
      </c>
      <c r="V386" s="1537">
        <f t="shared" si="232"/>
        <v>360000</v>
      </c>
      <c r="W386" s="1519">
        <f t="shared" si="233"/>
        <v>540000</v>
      </c>
      <c r="X386" s="1537">
        <f t="shared" si="234"/>
        <v>540000</v>
      </c>
      <c r="Y386" s="1537">
        <f t="shared" si="235"/>
        <v>540000</v>
      </c>
      <c r="Z386" s="1537">
        <f t="shared" si="236"/>
        <v>540000</v>
      </c>
      <c r="AA386" s="1537">
        <f t="shared" si="237"/>
        <v>179000</v>
      </c>
      <c r="AB386" s="1537">
        <f t="shared" si="238"/>
        <v>0</v>
      </c>
      <c r="AC386" s="1537">
        <f t="shared" si="239"/>
        <v>0</v>
      </c>
      <c r="AD386" s="1537">
        <f t="shared" si="240"/>
        <v>0</v>
      </c>
      <c r="AE386" s="1537">
        <f t="shared" si="241"/>
        <v>0</v>
      </c>
      <c r="AF386" s="1536">
        <f t="shared" si="242"/>
        <v>0</v>
      </c>
      <c r="AG386" s="1555"/>
      <c r="AH386" s="1537">
        <f t="shared" si="243"/>
        <v>2340000</v>
      </c>
      <c r="AI386" s="1537">
        <f t="shared" si="244"/>
        <v>1800000</v>
      </c>
      <c r="AJ386" s="1537">
        <f t="shared" si="245"/>
        <v>1260000</v>
      </c>
      <c r="AK386" s="1537">
        <f t="shared" si="246"/>
        <v>720000</v>
      </c>
      <c r="AL386" s="1537">
        <f t="shared" si="247"/>
        <v>180000</v>
      </c>
      <c r="AM386" s="1537">
        <f t="shared" si="248"/>
        <v>1000</v>
      </c>
      <c r="AN386" s="1537">
        <f t="shared" si="249"/>
        <v>1000</v>
      </c>
      <c r="AO386" s="1537">
        <f t="shared" si="250"/>
        <v>1000</v>
      </c>
      <c r="AP386" s="1537">
        <f t="shared" si="251"/>
        <v>1000</v>
      </c>
      <c r="AQ386" s="1537">
        <f t="shared" si="252"/>
        <v>1000</v>
      </c>
      <c r="AR386" s="1537">
        <f t="shared" si="253"/>
        <v>1000</v>
      </c>
    </row>
    <row r="387" spans="3:44" x14ac:dyDescent="0.3">
      <c r="C387" s="1566" t="s">
        <v>3276</v>
      </c>
      <c r="D387" s="1563" t="s">
        <v>3544</v>
      </c>
      <c r="E387" s="1556">
        <v>5</v>
      </c>
      <c r="F387" s="1518">
        <f t="shared" si="223"/>
        <v>5</v>
      </c>
      <c r="G387" s="1532">
        <f t="shared" si="224"/>
        <v>0</v>
      </c>
      <c r="H387" s="1533">
        <f t="shared" si="225"/>
        <v>0</v>
      </c>
      <c r="I387" s="1534">
        <f t="shared" si="226"/>
        <v>0.2</v>
      </c>
      <c r="J387" s="1519">
        <v>3150000</v>
      </c>
      <c r="N387" s="1519">
        <f t="shared" si="227"/>
        <v>3150000</v>
      </c>
      <c r="Q387" s="1557">
        <v>367500</v>
      </c>
      <c r="R387" s="1519">
        <f t="shared" si="228"/>
        <v>3150000</v>
      </c>
      <c r="S387" s="1519">
        <f t="shared" si="229"/>
        <v>2782500</v>
      </c>
      <c r="T387" s="1519">
        <f t="shared" si="230"/>
        <v>0</v>
      </c>
      <c r="U387" s="1535">
        <f t="shared" si="231"/>
        <v>52500</v>
      </c>
      <c r="V387" s="1537">
        <f t="shared" si="232"/>
        <v>420000</v>
      </c>
      <c r="W387" s="1519">
        <f t="shared" si="233"/>
        <v>630000</v>
      </c>
      <c r="X387" s="1537">
        <f t="shared" si="234"/>
        <v>630000</v>
      </c>
      <c r="Y387" s="1537">
        <f t="shared" si="235"/>
        <v>630000</v>
      </c>
      <c r="Z387" s="1537">
        <f t="shared" si="236"/>
        <v>630000</v>
      </c>
      <c r="AA387" s="1537">
        <f t="shared" si="237"/>
        <v>209000</v>
      </c>
      <c r="AB387" s="1537">
        <f t="shared" si="238"/>
        <v>0</v>
      </c>
      <c r="AC387" s="1537">
        <f t="shared" si="239"/>
        <v>0</v>
      </c>
      <c r="AD387" s="1537">
        <f t="shared" si="240"/>
        <v>0</v>
      </c>
      <c r="AE387" s="1537">
        <f t="shared" si="241"/>
        <v>0</v>
      </c>
      <c r="AF387" s="1536">
        <f t="shared" si="242"/>
        <v>0</v>
      </c>
      <c r="AG387" s="1555"/>
      <c r="AH387" s="1537">
        <f t="shared" si="243"/>
        <v>2730000</v>
      </c>
      <c r="AI387" s="1537">
        <f t="shared" si="244"/>
        <v>2100000</v>
      </c>
      <c r="AJ387" s="1537">
        <f t="shared" si="245"/>
        <v>1470000</v>
      </c>
      <c r="AK387" s="1537">
        <f t="shared" si="246"/>
        <v>840000</v>
      </c>
      <c r="AL387" s="1537">
        <f t="shared" si="247"/>
        <v>210000</v>
      </c>
      <c r="AM387" s="1537">
        <f t="shared" si="248"/>
        <v>1000</v>
      </c>
      <c r="AN387" s="1537">
        <f t="shared" si="249"/>
        <v>1000</v>
      </c>
      <c r="AO387" s="1537">
        <f t="shared" si="250"/>
        <v>1000</v>
      </c>
      <c r="AP387" s="1537">
        <f t="shared" si="251"/>
        <v>1000</v>
      </c>
      <c r="AQ387" s="1537">
        <f t="shared" si="252"/>
        <v>1000</v>
      </c>
      <c r="AR387" s="1537">
        <f t="shared" si="253"/>
        <v>1000</v>
      </c>
    </row>
    <row r="388" spans="3:44" x14ac:dyDescent="0.3">
      <c r="C388" s="1566" t="s">
        <v>3277</v>
      </c>
      <c r="D388" s="1563" t="s">
        <v>3545</v>
      </c>
      <c r="E388" s="1556">
        <v>5</v>
      </c>
      <c r="F388" s="1518">
        <f t="shared" si="223"/>
        <v>5</v>
      </c>
      <c r="G388" s="1532">
        <f t="shared" si="224"/>
        <v>0</v>
      </c>
      <c r="H388" s="1533">
        <f t="shared" si="225"/>
        <v>0</v>
      </c>
      <c r="I388" s="1534">
        <f t="shared" si="226"/>
        <v>0.2</v>
      </c>
      <c r="J388" s="1519">
        <v>1350000</v>
      </c>
      <c r="N388" s="1519">
        <f t="shared" si="227"/>
        <v>1350000</v>
      </c>
      <c r="Q388" s="1557">
        <v>157500</v>
      </c>
      <c r="R388" s="1519">
        <f t="shared" si="228"/>
        <v>1350000</v>
      </c>
      <c r="S388" s="1519">
        <f t="shared" si="229"/>
        <v>1192500</v>
      </c>
      <c r="T388" s="1519">
        <f t="shared" si="230"/>
        <v>0</v>
      </c>
      <c r="U388" s="1535">
        <f t="shared" si="231"/>
        <v>22500</v>
      </c>
      <c r="V388" s="1537">
        <f t="shared" si="232"/>
        <v>180000</v>
      </c>
      <c r="W388" s="1519">
        <f t="shared" si="233"/>
        <v>270000</v>
      </c>
      <c r="X388" s="1537">
        <f t="shared" si="234"/>
        <v>270000</v>
      </c>
      <c r="Y388" s="1537">
        <f t="shared" si="235"/>
        <v>270000</v>
      </c>
      <c r="Z388" s="1537">
        <f t="shared" si="236"/>
        <v>270000</v>
      </c>
      <c r="AA388" s="1537">
        <f t="shared" si="237"/>
        <v>89000</v>
      </c>
      <c r="AB388" s="1537">
        <f t="shared" si="238"/>
        <v>0</v>
      </c>
      <c r="AC388" s="1537">
        <f t="shared" si="239"/>
        <v>0</v>
      </c>
      <c r="AD388" s="1537">
        <f t="shared" si="240"/>
        <v>0</v>
      </c>
      <c r="AE388" s="1537">
        <f t="shared" si="241"/>
        <v>0</v>
      </c>
      <c r="AF388" s="1536">
        <f t="shared" si="242"/>
        <v>0</v>
      </c>
      <c r="AG388" s="1555"/>
      <c r="AH388" s="1537">
        <f t="shared" si="243"/>
        <v>1170000</v>
      </c>
      <c r="AI388" s="1537">
        <f t="shared" si="244"/>
        <v>900000</v>
      </c>
      <c r="AJ388" s="1537">
        <f t="shared" si="245"/>
        <v>630000</v>
      </c>
      <c r="AK388" s="1537">
        <f t="shared" si="246"/>
        <v>360000</v>
      </c>
      <c r="AL388" s="1537">
        <f t="shared" si="247"/>
        <v>90000</v>
      </c>
      <c r="AM388" s="1537">
        <f t="shared" si="248"/>
        <v>1000</v>
      </c>
      <c r="AN388" s="1537">
        <f t="shared" si="249"/>
        <v>1000</v>
      </c>
      <c r="AO388" s="1537">
        <f t="shared" si="250"/>
        <v>1000</v>
      </c>
      <c r="AP388" s="1537">
        <f t="shared" si="251"/>
        <v>1000</v>
      </c>
      <c r="AQ388" s="1537">
        <f t="shared" si="252"/>
        <v>1000</v>
      </c>
      <c r="AR388" s="1537">
        <f t="shared" si="253"/>
        <v>1000</v>
      </c>
    </row>
    <row r="389" spans="3:44" x14ac:dyDescent="0.3">
      <c r="C389" s="1566" t="s">
        <v>3237</v>
      </c>
      <c r="D389" s="1563" t="s">
        <v>3546</v>
      </c>
      <c r="E389" s="1556">
        <v>5</v>
      </c>
      <c r="F389" s="1518">
        <f t="shared" si="223"/>
        <v>5</v>
      </c>
      <c r="G389" s="1532">
        <f t="shared" si="224"/>
        <v>0</v>
      </c>
      <c r="H389" s="1533">
        <f t="shared" si="225"/>
        <v>0</v>
      </c>
      <c r="I389" s="1534">
        <f t="shared" si="226"/>
        <v>0.2</v>
      </c>
      <c r="J389" s="1519">
        <v>1480000</v>
      </c>
      <c r="N389" s="1519">
        <f t="shared" si="227"/>
        <v>1480000</v>
      </c>
      <c r="Q389" s="1557">
        <v>172667</v>
      </c>
      <c r="R389" s="1519">
        <f t="shared" si="228"/>
        <v>1480000</v>
      </c>
      <c r="S389" s="1519">
        <f t="shared" si="229"/>
        <v>1307333</v>
      </c>
      <c r="T389" s="1519">
        <f t="shared" si="230"/>
        <v>0</v>
      </c>
      <c r="U389" s="1535">
        <f t="shared" si="231"/>
        <v>24666.666666666668</v>
      </c>
      <c r="V389" s="1537">
        <f t="shared" si="232"/>
        <v>197333.66666666666</v>
      </c>
      <c r="W389" s="1519">
        <f t="shared" si="233"/>
        <v>296000</v>
      </c>
      <c r="X389" s="1537">
        <f t="shared" si="234"/>
        <v>296000</v>
      </c>
      <c r="Y389" s="1537">
        <f t="shared" si="235"/>
        <v>296000</v>
      </c>
      <c r="Z389" s="1537">
        <f t="shared" si="236"/>
        <v>296000</v>
      </c>
      <c r="AA389" s="1537">
        <f t="shared" si="237"/>
        <v>97666.333333333256</v>
      </c>
      <c r="AB389" s="1537">
        <f t="shared" si="238"/>
        <v>0</v>
      </c>
      <c r="AC389" s="1537">
        <f t="shared" si="239"/>
        <v>0</v>
      </c>
      <c r="AD389" s="1537">
        <f t="shared" si="240"/>
        <v>0</v>
      </c>
      <c r="AE389" s="1537">
        <f t="shared" si="241"/>
        <v>0</v>
      </c>
      <c r="AF389" s="1536">
        <f t="shared" si="242"/>
        <v>0</v>
      </c>
      <c r="AG389" s="1555"/>
      <c r="AH389" s="1537">
        <f t="shared" si="243"/>
        <v>1282666.3333333333</v>
      </c>
      <c r="AI389" s="1537">
        <f t="shared" si="244"/>
        <v>986666.33333333326</v>
      </c>
      <c r="AJ389" s="1537">
        <f t="shared" si="245"/>
        <v>690666.33333333326</v>
      </c>
      <c r="AK389" s="1537">
        <f t="shared" si="246"/>
        <v>394666.33333333326</v>
      </c>
      <c r="AL389" s="1537">
        <f t="shared" si="247"/>
        <v>98666.333333333256</v>
      </c>
      <c r="AM389" s="1537">
        <f t="shared" si="248"/>
        <v>1000</v>
      </c>
      <c r="AN389" s="1537">
        <f t="shared" si="249"/>
        <v>1000</v>
      </c>
      <c r="AO389" s="1537">
        <f t="shared" si="250"/>
        <v>1000</v>
      </c>
      <c r="AP389" s="1537">
        <f t="shared" si="251"/>
        <v>1000</v>
      </c>
      <c r="AQ389" s="1537">
        <f t="shared" si="252"/>
        <v>1000</v>
      </c>
      <c r="AR389" s="1537">
        <f t="shared" si="253"/>
        <v>1000</v>
      </c>
    </row>
    <row r="390" spans="3:44" x14ac:dyDescent="0.3">
      <c r="C390" s="1566" t="s">
        <v>3278</v>
      </c>
      <c r="D390" s="1563" t="s">
        <v>3547</v>
      </c>
      <c r="E390" s="1556">
        <v>5</v>
      </c>
      <c r="F390" s="1518">
        <f t="shared" si="223"/>
        <v>5</v>
      </c>
      <c r="G390" s="1532">
        <f t="shared" si="224"/>
        <v>0</v>
      </c>
      <c r="H390" s="1533">
        <f t="shared" si="225"/>
        <v>0</v>
      </c>
      <c r="I390" s="1534">
        <f t="shared" si="226"/>
        <v>0.2</v>
      </c>
      <c r="J390" s="1519">
        <v>1250000</v>
      </c>
      <c r="N390" s="1519">
        <f t="shared" si="227"/>
        <v>1250000</v>
      </c>
      <c r="Q390" s="1557">
        <v>145833</v>
      </c>
      <c r="R390" s="1519">
        <f t="shared" si="228"/>
        <v>1250000</v>
      </c>
      <c r="S390" s="1519">
        <f t="shared" si="229"/>
        <v>1104167</v>
      </c>
      <c r="T390" s="1519">
        <f t="shared" si="230"/>
        <v>0</v>
      </c>
      <c r="U390" s="1535">
        <f t="shared" si="231"/>
        <v>20833.333333333332</v>
      </c>
      <c r="V390" s="1537">
        <f t="shared" si="232"/>
        <v>166666.33333333334</v>
      </c>
      <c r="W390" s="1519">
        <f t="shared" si="233"/>
        <v>250000</v>
      </c>
      <c r="X390" s="1537">
        <f t="shared" si="234"/>
        <v>250000</v>
      </c>
      <c r="Y390" s="1537">
        <f t="shared" si="235"/>
        <v>250000</v>
      </c>
      <c r="Z390" s="1537">
        <f t="shared" si="236"/>
        <v>250000</v>
      </c>
      <c r="AA390" s="1537">
        <f t="shared" si="237"/>
        <v>82333.666666666744</v>
      </c>
      <c r="AB390" s="1537">
        <f t="shared" si="238"/>
        <v>0</v>
      </c>
      <c r="AC390" s="1537">
        <f t="shared" si="239"/>
        <v>0</v>
      </c>
      <c r="AD390" s="1537">
        <f t="shared" si="240"/>
        <v>0</v>
      </c>
      <c r="AE390" s="1537">
        <f t="shared" si="241"/>
        <v>0</v>
      </c>
      <c r="AF390" s="1536">
        <f t="shared" si="242"/>
        <v>0</v>
      </c>
      <c r="AG390" s="1555"/>
      <c r="AH390" s="1537">
        <f t="shared" si="243"/>
        <v>1083333.6666666667</v>
      </c>
      <c r="AI390" s="1537">
        <f t="shared" si="244"/>
        <v>833333.66666666674</v>
      </c>
      <c r="AJ390" s="1537">
        <f t="shared" si="245"/>
        <v>583333.66666666674</v>
      </c>
      <c r="AK390" s="1537">
        <f t="shared" si="246"/>
        <v>333333.66666666674</v>
      </c>
      <c r="AL390" s="1537">
        <f t="shared" si="247"/>
        <v>83333.666666666744</v>
      </c>
      <c r="AM390" s="1537">
        <f t="shared" si="248"/>
        <v>1000</v>
      </c>
      <c r="AN390" s="1537">
        <f t="shared" si="249"/>
        <v>1000</v>
      </c>
      <c r="AO390" s="1537">
        <f t="shared" si="250"/>
        <v>1000</v>
      </c>
      <c r="AP390" s="1537">
        <f t="shared" si="251"/>
        <v>1000</v>
      </c>
      <c r="AQ390" s="1537">
        <f t="shared" si="252"/>
        <v>1000</v>
      </c>
      <c r="AR390" s="1537">
        <f t="shared" si="253"/>
        <v>1000</v>
      </c>
    </row>
    <row r="391" spans="3:44" x14ac:dyDescent="0.3">
      <c r="C391" s="1566" t="s">
        <v>3279</v>
      </c>
      <c r="D391" s="1563" t="s">
        <v>3548</v>
      </c>
      <c r="E391" s="1556">
        <v>5</v>
      </c>
      <c r="F391" s="1518">
        <f t="shared" si="223"/>
        <v>5</v>
      </c>
      <c r="G391" s="1532">
        <f t="shared" si="224"/>
        <v>0</v>
      </c>
      <c r="H391" s="1533">
        <f t="shared" si="225"/>
        <v>0</v>
      </c>
      <c r="I391" s="1534">
        <f t="shared" si="226"/>
        <v>0.2</v>
      </c>
      <c r="J391" s="1519">
        <v>2500000</v>
      </c>
      <c r="N391" s="1519">
        <f t="shared" si="227"/>
        <v>2500000</v>
      </c>
      <c r="Q391" s="1557">
        <v>250000</v>
      </c>
      <c r="R391" s="1519">
        <f t="shared" si="228"/>
        <v>2500000</v>
      </c>
      <c r="S391" s="1519">
        <f t="shared" si="229"/>
        <v>2250000</v>
      </c>
      <c r="T391" s="1519">
        <f t="shared" si="230"/>
        <v>0</v>
      </c>
      <c r="U391" s="1535">
        <f t="shared" si="231"/>
        <v>41666.666666666664</v>
      </c>
      <c r="V391" s="1537">
        <f t="shared" si="232"/>
        <v>291666.66666666669</v>
      </c>
      <c r="W391" s="1519">
        <f t="shared" si="233"/>
        <v>500000</v>
      </c>
      <c r="X391" s="1537">
        <f t="shared" si="234"/>
        <v>500000</v>
      </c>
      <c r="Y391" s="1537">
        <f t="shared" si="235"/>
        <v>500000</v>
      </c>
      <c r="Z391" s="1537">
        <f t="shared" si="236"/>
        <v>500000</v>
      </c>
      <c r="AA391" s="1537">
        <f t="shared" si="237"/>
        <v>207333.33333333349</v>
      </c>
      <c r="AB391" s="1537">
        <f t="shared" si="238"/>
        <v>0</v>
      </c>
      <c r="AC391" s="1537">
        <f t="shared" si="239"/>
        <v>0</v>
      </c>
      <c r="AD391" s="1537">
        <f t="shared" si="240"/>
        <v>0</v>
      </c>
      <c r="AE391" s="1537">
        <f t="shared" si="241"/>
        <v>0</v>
      </c>
      <c r="AF391" s="1536">
        <f t="shared" si="242"/>
        <v>0</v>
      </c>
      <c r="AG391" s="1555"/>
      <c r="AH391" s="1537">
        <f t="shared" si="243"/>
        <v>2208333.3333333335</v>
      </c>
      <c r="AI391" s="1537">
        <f t="shared" si="244"/>
        <v>1708333.3333333335</v>
      </c>
      <c r="AJ391" s="1537">
        <f t="shared" si="245"/>
        <v>1208333.3333333335</v>
      </c>
      <c r="AK391" s="1537">
        <f t="shared" si="246"/>
        <v>708333.33333333349</v>
      </c>
      <c r="AL391" s="1537">
        <f t="shared" si="247"/>
        <v>208333.33333333349</v>
      </c>
      <c r="AM391" s="1537">
        <f t="shared" si="248"/>
        <v>1000</v>
      </c>
      <c r="AN391" s="1537">
        <f t="shared" si="249"/>
        <v>1000</v>
      </c>
      <c r="AO391" s="1537">
        <f t="shared" si="250"/>
        <v>1000</v>
      </c>
      <c r="AP391" s="1537">
        <f t="shared" si="251"/>
        <v>1000</v>
      </c>
      <c r="AQ391" s="1537">
        <f t="shared" si="252"/>
        <v>1000</v>
      </c>
      <c r="AR391" s="1537">
        <f t="shared" si="253"/>
        <v>1000</v>
      </c>
    </row>
    <row r="392" spans="3:44" x14ac:dyDescent="0.3">
      <c r="C392" s="1566" t="s">
        <v>3280</v>
      </c>
      <c r="D392" s="1563" t="s">
        <v>3549</v>
      </c>
      <c r="E392" s="1556">
        <v>5</v>
      </c>
      <c r="F392" s="1518">
        <f t="shared" si="223"/>
        <v>5</v>
      </c>
      <c r="G392" s="1532">
        <f t="shared" si="224"/>
        <v>0</v>
      </c>
      <c r="H392" s="1533">
        <f t="shared" si="225"/>
        <v>0</v>
      </c>
      <c r="I392" s="1534">
        <f t="shared" si="226"/>
        <v>0.2</v>
      </c>
      <c r="J392" s="1519">
        <v>2500000</v>
      </c>
      <c r="N392" s="1519">
        <f t="shared" si="227"/>
        <v>2500000</v>
      </c>
      <c r="Q392" s="1557">
        <v>250000</v>
      </c>
      <c r="R392" s="1519">
        <f t="shared" si="228"/>
        <v>2500000</v>
      </c>
      <c r="S392" s="1519">
        <f t="shared" si="229"/>
        <v>2250000</v>
      </c>
      <c r="T392" s="1519">
        <f t="shared" si="230"/>
        <v>0</v>
      </c>
      <c r="U392" s="1535">
        <f t="shared" si="231"/>
        <v>41666.666666666664</v>
      </c>
      <c r="V392" s="1537">
        <f t="shared" si="232"/>
        <v>291666.66666666669</v>
      </c>
      <c r="W392" s="1519">
        <f t="shared" si="233"/>
        <v>500000</v>
      </c>
      <c r="X392" s="1537">
        <f t="shared" si="234"/>
        <v>500000</v>
      </c>
      <c r="Y392" s="1537">
        <f t="shared" si="235"/>
        <v>500000</v>
      </c>
      <c r="Z392" s="1537">
        <f t="shared" si="236"/>
        <v>500000</v>
      </c>
      <c r="AA392" s="1537">
        <f t="shared" si="237"/>
        <v>207333.33333333349</v>
      </c>
      <c r="AB392" s="1537">
        <f t="shared" si="238"/>
        <v>0</v>
      </c>
      <c r="AC392" s="1537">
        <f t="shared" si="239"/>
        <v>0</v>
      </c>
      <c r="AD392" s="1537">
        <f t="shared" si="240"/>
        <v>0</v>
      </c>
      <c r="AE392" s="1537">
        <f t="shared" si="241"/>
        <v>0</v>
      </c>
      <c r="AF392" s="1536">
        <f t="shared" si="242"/>
        <v>0</v>
      </c>
      <c r="AG392" s="1555"/>
      <c r="AH392" s="1537">
        <f t="shared" si="243"/>
        <v>2208333.3333333335</v>
      </c>
      <c r="AI392" s="1537">
        <f t="shared" si="244"/>
        <v>1708333.3333333335</v>
      </c>
      <c r="AJ392" s="1537">
        <f t="shared" si="245"/>
        <v>1208333.3333333335</v>
      </c>
      <c r="AK392" s="1537">
        <f t="shared" si="246"/>
        <v>708333.33333333349</v>
      </c>
      <c r="AL392" s="1537">
        <f t="shared" si="247"/>
        <v>208333.33333333349</v>
      </c>
      <c r="AM392" s="1537">
        <f t="shared" si="248"/>
        <v>1000</v>
      </c>
      <c r="AN392" s="1537">
        <f t="shared" si="249"/>
        <v>1000</v>
      </c>
      <c r="AO392" s="1537">
        <f t="shared" si="250"/>
        <v>1000</v>
      </c>
      <c r="AP392" s="1537">
        <f t="shared" si="251"/>
        <v>1000</v>
      </c>
      <c r="AQ392" s="1537">
        <f t="shared" si="252"/>
        <v>1000</v>
      </c>
      <c r="AR392" s="1537">
        <f t="shared" si="253"/>
        <v>1000</v>
      </c>
    </row>
    <row r="393" spans="3:44" x14ac:dyDescent="0.3">
      <c r="C393" s="1566" t="s">
        <v>3281</v>
      </c>
      <c r="D393" s="1563" t="s">
        <v>3550</v>
      </c>
      <c r="E393" s="1556">
        <v>5</v>
      </c>
      <c r="F393" s="1518">
        <f t="shared" si="223"/>
        <v>5</v>
      </c>
      <c r="G393" s="1532">
        <f t="shared" si="224"/>
        <v>0</v>
      </c>
      <c r="H393" s="1533">
        <f t="shared" si="225"/>
        <v>0</v>
      </c>
      <c r="I393" s="1534">
        <f t="shared" si="226"/>
        <v>0.2</v>
      </c>
      <c r="J393" s="1519">
        <v>1790000</v>
      </c>
      <c r="N393" s="1519">
        <f t="shared" si="227"/>
        <v>1790000</v>
      </c>
      <c r="Q393" s="1557">
        <v>179000</v>
      </c>
      <c r="R393" s="1519">
        <f t="shared" si="228"/>
        <v>1790000</v>
      </c>
      <c r="S393" s="1519">
        <f t="shared" si="229"/>
        <v>1611000</v>
      </c>
      <c r="T393" s="1519">
        <f t="shared" si="230"/>
        <v>0</v>
      </c>
      <c r="U393" s="1535">
        <f t="shared" si="231"/>
        <v>29833.333333333332</v>
      </c>
      <c r="V393" s="1537">
        <f t="shared" si="232"/>
        <v>208833.33333333334</v>
      </c>
      <c r="W393" s="1519">
        <f t="shared" si="233"/>
        <v>358000</v>
      </c>
      <c r="X393" s="1537">
        <f t="shared" si="234"/>
        <v>358000</v>
      </c>
      <c r="Y393" s="1537">
        <f t="shared" si="235"/>
        <v>358000</v>
      </c>
      <c r="Z393" s="1537">
        <f t="shared" si="236"/>
        <v>358000</v>
      </c>
      <c r="AA393" s="1537">
        <f t="shared" si="237"/>
        <v>148166.66666666674</v>
      </c>
      <c r="AB393" s="1537">
        <f t="shared" si="238"/>
        <v>0</v>
      </c>
      <c r="AC393" s="1537">
        <f t="shared" si="239"/>
        <v>0</v>
      </c>
      <c r="AD393" s="1537">
        <f t="shared" si="240"/>
        <v>0</v>
      </c>
      <c r="AE393" s="1537">
        <f t="shared" si="241"/>
        <v>0</v>
      </c>
      <c r="AF393" s="1536">
        <f t="shared" si="242"/>
        <v>0</v>
      </c>
      <c r="AG393" s="1555"/>
      <c r="AH393" s="1537">
        <f t="shared" si="243"/>
        <v>1581166.6666666667</v>
      </c>
      <c r="AI393" s="1537">
        <f t="shared" si="244"/>
        <v>1223166.6666666667</v>
      </c>
      <c r="AJ393" s="1537">
        <f t="shared" si="245"/>
        <v>865166.66666666674</v>
      </c>
      <c r="AK393" s="1537">
        <f t="shared" si="246"/>
        <v>507166.66666666674</v>
      </c>
      <c r="AL393" s="1537">
        <f t="shared" si="247"/>
        <v>149166.66666666674</v>
      </c>
      <c r="AM393" s="1537">
        <f t="shared" si="248"/>
        <v>1000</v>
      </c>
      <c r="AN393" s="1537">
        <f t="shared" si="249"/>
        <v>1000</v>
      </c>
      <c r="AO393" s="1537">
        <f t="shared" si="250"/>
        <v>1000</v>
      </c>
      <c r="AP393" s="1537">
        <f t="shared" si="251"/>
        <v>1000</v>
      </c>
      <c r="AQ393" s="1537">
        <f t="shared" si="252"/>
        <v>1000</v>
      </c>
      <c r="AR393" s="1537">
        <f t="shared" si="253"/>
        <v>1000</v>
      </c>
    </row>
    <row r="394" spans="3:44" x14ac:dyDescent="0.3">
      <c r="C394" s="1566" t="s">
        <v>3282</v>
      </c>
      <c r="D394" s="1563" t="s">
        <v>3551</v>
      </c>
      <c r="E394" s="1556">
        <v>5</v>
      </c>
      <c r="F394" s="1518">
        <f t="shared" si="223"/>
        <v>5</v>
      </c>
      <c r="G394" s="1532">
        <f t="shared" si="224"/>
        <v>0</v>
      </c>
      <c r="H394" s="1533">
        <f t="shared" si="225"/>
        <v>0</v>
      </c>
      <c r="I394" s="1534">
        <f t="shared" si="226"/>
        <v>0.2</v>
      </c>
      <c r="J394" s="1519">
        <v>1450000</v>
      </c>
      <c r="N394" s="1519">
        <f t="shared" si="227"/>
        <v>1450000</v>
      </c>
      <c r="Q394" s="1557">
        <v>145000</v>
      </c>
      <c r="R394" s="1519">
        <f t="shared" si="228"/>
        <v>1450000</v>
      </c>
      <c r="S394" s="1519">
        <f t="shared" si="229"/>
        <v>1305000</v>
      </c>
      <c r="T394" s="1519">
        <f t="shared" si="230"/>
        <v>0</v>
      </c>
      <c r="U394" s="1535">
        <f t="shared" si="231"/>
        <v>24166.666666666668</v>
      </c>
      <c r="V394" s="1537">
        <f t="shared" si="232"/>
        <v>169166.66666666666</v>
      </c>
      <c r="W394" s="1519">
        <f t="shared" si="233"/>
        <v>290000</v>
      </c>
      <c r="X394" s="1537">
        <f t="shared" si="234"/>
        <v>290000</v>
      </c>
      <c r="Y394" s="1537">
        <f t="shared" si="235"/>
        <v>290000</v>
      </c>
      <c r="Z394" s="1537">
        <f t="shared" si="236"/>
        <v>290000</v>
      </c>
      <c r="AA394" s="1537">
        <f t="shared" si="237"/>
        <v>119833.33333333326</v>
      </c>
      <c r="AB394" s="1537">
        <f t="shared" si="238"/>
        <v>0</v>
      </c>
      <c r="AC394" s="1537">
        <f t="shared" si="239"/>
        <v>0</v>
      </c>
      <c r="AD394" s="1537">
        <f t="shared" si="240"/>
        <v>0</v>
      </c>
      <c r="AE394" s="1537">
        <f t="shared" si="241"/>
        <v>0</v>
      </c>
      <c r="AF394" s="1536">
        <f t="shared" si="242"/>
        <v>0</v>
      </c>
      <c r="AG394" s="1555"/>
      <c r="AH394" s="1537">
        <f t="shared" si="243"/>
        <v>1280833.3333333333</v>
      </c>
      <c r="AI394" s="1537">
        <f t="shared" si="244"/>
        <v>990833.33333333326</v>
      </c>
      <c r="AJ394" s="1537">
        <f t="shared" si="245"/>
        <v>700833.33333333326</v>
      </c>
      <c r="AK394" s="1537">
        <f t="shared" si="246"/>
        <v>410833.33333333326</v>
      </c>
      <c r="AL394" s="1537">
        <f t="shared" si="247"/>
        <v>120833.33333333326</v>
      </c>
      <c r="AM394" s="1537">
        <f t="shared" si="248"/>
        <v>1000</v>
      </c>
      <c r="AN394" s="1537">
        <f t="shared" si="249"/>
        <v>1000</v>
      </c>
      <c r="AO394" s="1537">
        <f t="shared" si="250"/>
        <v>1000</v>
      </c>
      <c r="AP394" s="1537">
        <f t="shared" si="251"/>
        <v>1000</v>
      </c>
      <c r="AQ394" s="1537">
        <f t="shared" si="252"/>
        <v>1000</v>
      </c>
      <c r="AR394" s="1537">
        <f t="shared" si="253"/>
        <v>1000</v>
      </c>
    </row>
    <row r="395" spans="3:44" x14ac:dyDescent="0.3">
      <c r="C395" s="1566" t="s">
        <v>3283</v>
      </c>
      <c r="D395" s="1563" t="s">
        <v>3552</v>
      </c>
      <c r="E395" s="1556">
        <v>5</v>
      </c>
      <c r="F395" s="1518">
        <f t="shared" si="223"/>
        <v>5</v>
      </c>
      <c r="G395" s="1532">
        <f t="shared" si="224"/>
        <v>0</v>
      </c>
      <c r="H395" s="1533">
        <f t="shared" si="225"/>
        <v>0</v>
      </c>
      <c r="I395" s="1534">
        <f t="shared" si="226"/>
        <v>0.2</v>
      </c>
      <c r="J395" s="1519">
        <v>1250000</v>
      </c>
      <c r="N395" s="1519">
        <f t="shared" si="227"/>
        <v>1250000</v>
      </c>
      <c r="Q395" s="1557">
        <v>104167</v>
      </c>
      <c r="R395" s="1519">
        <f t="shared" si="228"/>
        <v>1250000</v>
      </c>
      <c r="S395" s="1519">
        <f t="shared" si="229"/>
        <v>1145833</v>
      </c>
      <c r="T395" s="1519">
        <f t="shared" si="230"/>
        <v>0</v>
      </c>
      <c r="U395" s="1535">
        <f t="shared" si="231"/>
        <v>20833.333333333332</v>
      </c>
      <c r="V395" s="1537">
        <f t="shared" si="232"/>
        <v>125000.33333333333</v>
      </c>
      <c r="W395" s="1519">
        <f t="shared" si="233"/>
        <v>250000</v>
      </c>
      <c r="X395" s="1537">
        <f t="shared" si="234"/>
        <v>250000</v>
      </c>
      <c r="Y395" s="1537">
        <f t="shared" si="235"/>
        <v>250000</v>
      </c>
      <c r="Z395" s="1537">
        <f t="shared" si="236"/>
        <v>250000</v>
      </c>
      <c r="AA395" s="1537">
        <f t="shared" si="237"/>
        <v>123999.66666666674</v>
      </c>
      <c r="AB395" s="1537">
        <f t="shared" si="238"/>
        <v>0</v>
      </c>
      <c r="AC395" s="1537">
        <f t="shared" si="239"/>
        <v>0</v>
      </c>
      <c r="AD395" s="1537">
        <f t="shared" si="240"/>
        <v>0</v>
      </c>
      <c r="AE395" s="1537">
        <f t="shared" si="241"/>
        <v>0</v>
      </c>
      <c r="AF395" s="1536">
        <f t="shared" si="242"/>
        <v>0</v>
      </c>
      <c r="AG395" s="1555"/>
      <c r="AH395" s="1537">
        <f t="shared" si="243"/>
        <v>1124999.6666666667</v>
      </c>
      <c r="AI395" s="1537">
        <f t="shared" si="244"/>
        <v>874999.66666666674</v>
      </c>
      <c r="AJ395" s="1537">
        <f t="shared" si="245"/>
        <v>624999.66666666674</v>
      </c>
      <c r="AK395" s="1537">
        <f t="shared" si="246"/>
        <v>374999.66666666674</v>
      </c>
      <c r="AL395" s="1537">
        <f t="shared" si="247"/>
        <v>124999.66666666674</v>
      </c>
      <c r="AM395" s="1537">
        <f t="shared" si="248"/>
        <v>1000</v>
      </c>
      <c r="AN395" s="1537">
        <f t="shared" si="249"/>
        <v>1000</v>
      </c>
      <c r="AO395" s="1537">
        <f t="shared" si="250"/>
        <v>1000</v>
      </c>
      <c r="AP395" s="1537">
        <f t="shared" si="251"/>
        <v>1000</v>
      </c>
      <c r="AQ395" s="1537">
        <f t="shared" si="252"/>
        <v>1000</v>
      </c>
      <c r="AR395" s="1537">
        <f t="shared" si="253"/>
        <v>1000</v>
      </c>
    </row>
    <row r="396" spans="3:44" x14ac:dyDescent="0.3">
      <c r="C396" s="1566" t="s">
        <v>3278</v>
      </c>
      <c r="D396" s="1563" t="s">
        <v>3553</v>
      </c>
      <c r="E396" s="1556">
        <v>5</v>
      </c>
      <c r="F396" s="1518">
        <f t="shared" si="223"/>
        <v>5</v>
      </c>
      <c r="G396" s="1532">
        <f t="shared" si="224"/>
        <v>0</v>
      </c>
      <c r="H396" s="1533">
        <f t="shared" si="225"/>
        <v>0</v>
      </c>
      <c r="I396" s="1534">
        <f t="shared" si="226"/>
        <v>0.2</v>
      </c>
      <c r="J396" s="1519">
        <v>1250000</v>
      </c>
      <c r="N396" s="1519">
        <f t="shared" si="227"/>
        <v>1250000</v>
      </c>
      <c r="Q396" s="1557">
        <v>104167</v>
      </c>
      <c r="R396" s="1519">
        <f t="shared" si="228"/>
        <v>1250000</v>
      </c>
      <c r="S396" s="1519">
        <f t="shared" si="229"/>
        <v>1145833</v>
      </c>
      <c r="T396" s="1519">
        <f t="shared" si="230"/>
        <v>0</v>
      </c>
      <c r="U396" s="1535">
        <f t="shared" si="231"/>
        <v>20833.333333333332</v>
      </c>
      <c r="V396" s="1537">
        <f t="shared" si="232"/>
        <v>125000.33333333333</v>
      </c>
      <c r="W396" s="1519">
        <f t="shared" si="233"/>
        <v>250000</v>
      </c>
      <c r="X396" s="1537">
        <f t="shared" si="234"/>
        <v>250000</v>
      </c>
      <c r="Y396" s="1537">
        <f t="shared" si="235"/>
        <v>250000</v>
      </c>
      <c r="Z396" s="1537">
        <f t="shared" si="236"/>
        <v>250000</v>
      </c>
      <c r="AA396" s="1537">
        <f t="shared" si="237"/>
        <v>123999.66666666674</v>
      </c>
      <c r="AB396" s="1537">
        <f t="shared" si="238"/>
        <v>0</v>
      </c>
      <c r="AC396" s="1537">
        <f t="shared" si="239"/>
        <v>0</v>
      </c>
      <c r="AD396" s="1537">
        <f t="shared" si="240"/>
        <v>0</v>
      </c>
      <c r="AE396" s="1537">
        <f t="shared" si="241"/>
        <v>0</v>
      </c>
      <c r="AF396" s="1536">
        <f t="shared" si="242"/>
        <v>0</v>
      </c>
      <c r="AG396" s="1555"/>
      <c r="AH396" s="1537">
        <f t="shared" si="243"/>
        <v>1124999.6666666667</v>
      </c>
      <c r="AI396" s="1537">
        <f t="shared" si="244"/>
        <v>874999.66666666674</v>
      </c>
      <c r="AJ396" s="1537">
        <f t="shared" si="245"/>
        <v>624999.66666666674</v>
      </c>
      <c r="AK396" s="1537">
        <f t="shared" si="246"/>
        <v>374999.66666666674</v>
      </c>
      <c r="AL396" s="1537">
        <f t="shared" si="247"/>
        <v>124999.66666666674</v>
      </c>
      <c r="AM396" s="1537">
        <f t="shared" si="248"/>
        <v>1000</v>
      </c>
      <c r="AN396" s="1537">
        <f t="shared" si="249"/>
        <v>1000</v>
      </c>
      <c r="AO396" s="1537">
        <f t="shared" si="250"/>
        <v>1000</v>
      </c>
      <c r="AP396" s="1537">
        <f t="shared" si="251"/>
        <v>1000</v>
      </c>
      <c r="AQ396" s="1537">
        <f t="shared" si="252"/>
        <v>1000</v>
      </c>
      <c r="AR396" s="1537">
        <f t="shared" si="253"/>
        <v>1000</v>
      </c>
    </row>
    <row r="397" spans="3:44" x14ac:dyDescent="0.3">
      <c r="C397" s="1566" t="s">
        <v>3284</v>
      </c>
      <c r="D397" s="1563" t="s">
        <v>3537</v>
      </c>
      <c r="E397" s="1556">
        <v>5</v>
      </c>
      <c r="F397" s="1518">
        <f t="shared" si="223"/>
        <v>5</v>
      </c>
      <c r="G397" s="1532">
        <f t="shared" si="224"/>
        <v>0</v>
      </c>
      <c r="H397" s="1533">
        <f t="shared" si="225"/>
        <v>0</v>
      </c>
      <c r="I397" s="1534">
        <f t="shared" si="226"/>
        <v>0.2</v>
      </c>
      <c r="J397" s="1519">
        <v>69726000</v>
      </c>
      <c r="N397" s="1519">
        <f t="shared" si="227"/>
        <v>69726000</v>
      </c>
      <c r="Q397" s="1557">
        <v>10458900</v>
      </c>
      <c r="R397" s="1519">
        <f t="shared" si="228"/>
        <v>69726000</v>
      </c>
      <c r="S397" s="1519">
        <f t="shared" si="229"/>
        <v>59267100</v>
      </c>
      <c r="T397" s="1519">
        <f t="shared" si="230"/>
        <v>0</v>
      </c>
      <c r="U397" s="1535">
        <f t="shared" si="231"/>
        <v>1162100</v>
      </c>
      <c r="V397" s="1537">
        <f t="shared" si="232"/>
        <v>11621000</v>
      </c>
      <c r="W397" s="1519">
        <f t="shared" si="233"/>
        <v>13945200</v>
      </c>
      <c r="X397" s="1537">
        <f t="shared" si="234"/>
        <v>13945200</v>
      </c>
      <c r="Y397" s="1537">
        <f t="shared" si="235"/>
        <v>13945200</v>
      </c>
      <c r="Z397" s="1537">
        <f t="shared" si="236"/>
        <v>13945200</v>
      </c>
      <c r="AA397" s="1537">
        <f t="shared" si="237"/>
        <v>2323200</v>
      </c>
      <c r="AB397" s="1537">
        <f t="shared" si="238"/>
        <v>0</v>
      </c>
      <c r="AC397" s="1537">
        <f t="shared" si="239"/>
        <v>0</v>
      </c>
      <c r="AD397" s="1537">
        <f t="shared" si="240"/>
        <v>0</v>
      </c>
      <c r="AE397" s="1537">
        <f t="shared" si="241"/>
        <v>0</v>
      </c>
      <c r="AF397" s="1536">
        <f t="shared" si="242"/>
        <v>0</v>
      </c>
      <c r="AG397" s="1555"/>
      <c r="AH397" s="1537">
        <f t="shared" si="243"/>
        <v>58105000</v>
      </c>
      <c r="AI397" s="1537">
        <f t="shared" si="244"/>
        <v>44159800</v>
      </c>
      <c r="AJ397" s="1537">
        <f t="shared" si="245"/>
        <v>30214600</v>
      </c>
      <c r="AK397" s="1537">
        <f t="shared" si="246"/>
        <v>16269400</v>
      </c>
      <c r="AL397" s="1537">
        <f t="shared" si="247"/>
        <v>2324200</v>
      </c>
      <c r="AM397" s="1537">
        <f t="shared" si="248"/>
        <v>1000</v>
      </c>
      <c r="AN397" s="1537">
        <f t="shared" si="249"/>
        <v>1000</v>
      </c>
      <c r="AO397" s="1537">
        <f t="shared" si="250"/>
        <v>1000</v>
      </c>
      <c r="AP397" s="1537">
        <f t="shared" si="251"/>
        <v>1000</v>
      </c>
      <c r="AQ397" s="1537">
        <f t="shared" si="252"/>
        <v>1000</v>
      </c>
      <c r="AR397" s="1537">
        <f t="shared" si="253"/>
        <v>1000</v>
      </c>
    </row>
    <row r="398" spans="3:44" x14ac:dyDescent="0.3">
      <c r="C398" s="1566" t="s">
        <v>3285</v>
      </c>
      <c r="D398" s="1563" t="s">
        <v>3554</v>
      </c>
      <c r="E398" s="1556">
        <v>5</v>
      </c>
      <c r="F398" s="1518">
        <f t="shared" si="223"/>
        <v>5</v>
      </c>
      <c r="G398" s="1532">
        <f t="shared" si="224"/>
        <v>0</v>
      </c>
      <c r="H398" s="1533">
        <f t="shared" si="225"/>
        <v>0</v>
      </c>
      <c r="I398" s="1534">
        <f t="shared" si="226"/>
        <v>0.2</v>
      </c>
      <c r="J398" s="1519">
        <v>29143640</v>
      </c>
      <c r="N398" s="1519">
        <f t="shared" si="227"/>
        <v>29143640</v>
      </c>
      <c r="Q398" s="1557">
        <v>3885819</v>
      </c>
      <c r="R398" s="1519">
        <f t="shared" si="228"/>
        <v>29143640</v>
      </c>
      <c r="S398" s="1519">
        <f t="shared" si="229"/>
        <v>25257821</v>
      </c>
      <c r="T398" s="1519">
        <f t="shared" si="230"/>
        <v>0</v>
      </c>
      <c r="U398" s="1535">
        <f t="shared" si="231"/>
        <v>485727.33333333331</v>
      </c>
      <c r="V398" s="1537">
        <f t="shared" si="232"/>
        <v>4371546.333333333</v>
      </c>
      <c r="W398" s="1519">
        <f t="shared" si="233"/>
        <v>5828728</v>
      </c>
      <c r="X398" s="1537">
        <f t="shared" si="234"/>
        <v>5828728</v>
      </c>
      <c r="Y398" s="1537">
        <f t="shared" si="235"/>
        <v>5828728</v>
      </c>
      <c r="Z398" s="1537">
        <f t="shared" si="236"/>
        <v>5828728</v>
      </c>
      <c r="AA398" s="1537">
        <f t="shared" si="237"/>
        <v>1456181.6666666679</v>
      </c>
      <c r="AB398" s="1537">
        <f t="shared" si="238"/>
        <v>0</v>
      </c>
      <c r="AC398" s="1537">
        <f t="shared" si="239"/>
        <v>0</v>
      </c>
      <c r="AD398" s="1537">
        <f t="shared" si="240"/>
        <v>0</v>
      </c>
      <c r="AE398" s="1537">
        <f t="shared" si="241"/>
        <v>0</v>
      </c>
      <c r="AF398" s="1536">
        <f t="shared" si="242"/>
        <v>0</v>
      </c>
      <c r="AG398" s="1555"/>
      <c r="AH398" s="1537">
        <f t="shared" si="243"/>
        <v>24772093.666666668</v>
      </c>
      <c r="AI398" s="1537">
        <f t="shared" si="244"/>
        <v>18943365.666666668</v>
      </c>
      <c r="AJ398" s="1537">
        <f t="shared" si="245"/>
        <v>13114637.666666668</v>
      </c>
      <c r="AK398" s="1537">
        <f t="shared" si="246"/>
        <v>7285909.6666666679</v>
      </c>
      <c r="AL398" s="1537">
        <f t="shared" si="247"/>
        <v>1457181.6666666679</v>
      </c>
      <c r="AM398" s="1537">
        <f t="shared" si="248"/>
        <v>1000</v>
      </c>
      <c r="AN398" s="1537">
        <f t="shared" si="249"/>
        <v>1000</v>
      </c>
      <c r="AO398" s="1537">
        <f t="shared" si="250"/>
        <v>1000</v>
      </c>
      <c r="AP398" s="1537">
        <f t="shared" si="251"/>
        <v>1000</v>
      </c>
      <c r="AQ398" s="1537">
        <f t="shared" si="252"/>
        <v>1000</v>
      </c>
      <c r="AR398" s="1537">
        <f t="shared" si="253"/>
        <v>1000</v>
      </c>
    </row>
    <row r="399" spans="3:44" x14ac:dyDescent="0.3">
      <c r="C399" s="1566" t="s">
        <v>3286</v>
      </c>
      <c r="D399" s="1563" t="s">
        <v>3549</v>
      </c>
      <c r="E399" s="1556">
        <v>5</v>
      </c>
      <c r="F399" s="1518">
        <f t="shared" si="223"/>
        <v>5</v>
      </c>
      <c r="G399" s="1532">
        <f t="shared" si="224"/>
        <v>0</v>
      </c>
      <c r="H399" s="1533">
        <f t="shared" si="225"/>
        <v>0</v>
      </c>
      <c r="I399" s="1534">
        <f t="shared" si="226"/>
        <v>0.2</v>
      </c>
      <c r="J399" s="1519">
        <v>24090909</v>
      </c>
      <c r="N399" s="1519">
        <f t="shared" si="227"/>
        <v>24090909</v>
      </c>
      <c r="Q399" s="1557">
        <v>2409091</v>
      </c>
      <c r="R399" s="1519">
        <f t="shared" si="228"/>
        <v>24090909</v>
      </c>
      <c r="S399" s="1519">
        <f t="shared" si="229"/>
        <v>21681818</v>
      </c>
      <c r="T399" s="1519">
        <f t="shared" si="230"/>
        <v>0</v>
      </c>
      <c r="U399" s="1535">
        <f t="shared" si="231"/>
        <v>401515.15</v>
      </c>
      <c r="V399" s="1537">
        <f t="shared" si="232"/>
        <v>2810606.15</v>
      </c>
      <c r="W399" s="1519">
        <f t="shared" si="233"/>
        <v>4818181.8</v>
      </c>
      <c r="X399" s="1537">
        <f t="shared" si="234"/>
        <v>4818181.8</v>
      </c>
      <c r="Y399" s="1537">
        <f t="shared" si="235"/>
        <v>4818181.8</v>
      </c>
      <c r="Z399" s="1537">
        <f t="shared" si="236"/>
        <v>4818181.8</v>
      </c>
      <c r="AA399" s="1537">
        <f t="shared" si="237"/>
        <v>2006575.6500000004</v>
      </c>
      <c r="AB399" s="1537">
        <f t="shared" si="238"/>
        <v>0</v>
      </c>
      <c r="AC399" s="1537">
        <f t="shared" si="239"/>
        <v>0</v>
      </c>
      <c r="AD399" s="1537">
        <f t="shared" si="240"/>
        <v>0</v>
      </c>
      <c r="AE399" s="1537">
        <f t="shared" si="241"/>
        <v>0</v>
      </c>
      <c r="AF399" s="1536">
        <f t="shared" si="242"/>
        <v>0</v>
      </c>
      <c r="AG399" s="1555"/>
      <c r="AH399" s="1537">
        <f t="shared" si="243"/>
        <v>21280302.850000001</v>
      </c>
      <c r="AI399" s="1537">
        <f t="shared" si="244"/>
        <v>16462121.050000001</v>
      </c>
      <c r="AJ399" s="1537">
        <f t="shared" si="245"/>
        <v>11643939.25</v>
      </c>
      <c r="AK399" s="1537">
        <f t="shared" si="246"/>
        <v>6825757.4500000002</v>
      </c>
      <c r="AL399" s="1537">
        <f t="shared" si="247"/>
        <v>2007575.6500000004</v>
      </c>
      <c r="AM399" s="1537">
        <f t="shared" si="248"/>
        <v>1000</v>
      </c>
      <c r="AN399" s="1537">
        <f t="shared" si="249"/>
        <v>1000</v>
      </c>
      <c r="AO399" s="1537">
        <f t="shared" si="250"/>
        <v>1000</v>
      </c>
      <c r="AP399" s="1537">
        <f t="shared" si="251"/>
        <v>1000</v>
      </c>
      <c r="AQ399" s="1537">
        <f t="shared" si="252"/>
        <v>1000</v>
      </c>
      <c r="AR399" s="1537">
        <f t="shared" si="253"/>
        <v>1000</v>
      </c>
    </row>
    <row r="400" spans="3:44" x14ac:dyDescent="0.3">
      <c r="C400" s="1566" t="s">
        <v>3287</v>
      </c>
      <c r="D400" s="1563" t="s">
        <v>3552</v>
      </c>
      <c r="E400" s="1556">
        <v>5</v>
      </c>
      <c r="F400" s="1518">
        <f t="shared" si="223"/>
        <v>5</v>
      </c>
      <c r="G400" s="1532">
        <f t="shared" si="224"/>
        <v>0</v>
      </c>
      <c r="H400" s="1533">
        <f t="shared" si="225"/>
        <v>0</v>
      </c>
      <c r="I400" s="1534">
        <f t="shared" si="226"/>
        <v>0.2</v>
      </c>
      <c r="J400" s="1519">
        <v>1173000</v>
      </c>
      <c r="N400" s="1519">
        <f t="shared" si="227"/>
        <v>1173000</v>
      </c>
      <c r="Q400" s="1557">
        <v>97750</v>
      </c>
      <c r="R400" s="1519">
        <f t="shared" si="228"/>
        <v>1173000</v>
      </c>
      <c r="S400" s="1519">
        <f t="shared" si="229"/>
        <v>1075250</v>
      </c>
      <c r="T400" s="1519">
        <f t="shared" si="230"/>
        <v>0</v>
      </c>
      <c r="U400" s="1535">
        <f t="shared" si="231"/>
        <v>19550</v>
      </c>
      <c r="V400" s="1537">
        <f t="shared" si="232"/>
        <v>117300</v>
      </c>
      <c r="W400" s="1519">
        <f t="shared" si="233"/>
        <v>234600</v>
      </c>
      <c r="X400" s="1537">
        <f t="shared" si="234"/>
        <v>234600</v>
      </c>
      <c r="Y400" s="1537">
        <f t="shared" si="235"/>
        <v>234600</v>
      </c>
      <c r="Z400" s="1537">
        <f t="shared" si="236"/>
        <v>234600</v>
      </c>
      <c r="AA400" s="1537">
        <f t="shared" si="237"/>
        <v>116300</v>
      </c>
      <c r="AB400" s="1537">
        <f t="shared" si="238"/>
        <v>0</v>
      </c>
      <c r="AC400" s="1537">
        <f t="shared" si="239"/>
        <v>0</v>
      </c>
      <c r="AD400" s="1537">
        <f t="shared" si="240"/>
        <v>0</v>
      </c>
      <c r="AE400" s="1537">
        <f t="shared" si="241"/>
        <v>0</v>
      </c>
      <c r="AF400" s="1536">
        <f t="shared" si="242"/>
        <v>0</v>
      </c>
      <c r="AG400" s="1555"/>
      <c r="AH400" s="1537">
        <f t="shared" si="243"/>
        <v>1055700</v>
      </c>
      <c r="AI400" s="1537">
        <f t="shared" si="244"/>
        <v>821100</v>
      </c>
      <c r="AJ400" s="1537">
        <f t="shared" si="245"/>
        <v>586500</v>
      </c>
      <c r="AK400" s="1537">
        <f t="shared" si="246"/>
        <v>351900</v>
      </c>
      <c r="AL400" s="1537">
        <f t="shared" si="247"/>
        <v>117300</v>
      </c>
      <c r="AM400" s="1537">
        <f t="shared" si="248"/>
        <v>1000</v>
      </c>
      <c r="AN400" s="1537">
        <f t="shared" si="249"/>
        <v>1000</v>
      </c>
      <c r="AO400" s="1537">
        <f t="shared" si="250"/>
        <v>1000</v>
      </c>
      <c r="AP400" s="1537">
        <f t="shared" si="251"/>
        <v>1000</v>
      </c>
      <c r="AQ400" s="1537">
        <f t="shared" si="252"/>
        <v>1000</v>
      </c>
      <c r="AR400" s="1537">
        <f t="shared" si="253"/>
        <v>1000</v>
      </c>
    </row>
    <row r="401" spans="3:44" x14ac:dyDescent="0.3">
      <c r="C401" s="1566" t="s">
        <v>3288</v>
      </c>
      <c r="D401" s="1563" t="s">
        <v>3555</v>
      </c>
      <c r="E401" s="1556">
        <v>5</v>
      </c>
      <c r="F401" s="1518">
        <f t="shared" si="223"/>
        <v>5</v>
      </c>
      <c r="G401" s="1532">
        <f t="shared" si="224"/>
        <v>0</v>
      </c>
      <c r="H401" s="1533">
        <f t="shared" si="225"/>
        <v>0</v>
      </c>
      <c r="I401" s="1534">
        <f t="shared" si="226"/>
        <v>0.2</v>
      </c>
      <c r="J401" s="1519">
        <v>11688600</v>
      </c>
      <c r="N401" s="1519">
        <f t="shared" si="227"/>
        <v>11688600</v>
      </c>
      <c r="Q401" s="1557">
        <v>779240</v>
      </c>
      <c r="R401" s="1519">
        <f t="shared" si="228"/>
        <v>11688600</v>
      </c>
      <c r="S401" s="1519">
        <f t="shared" si="229"/>
        <v>10909360</v>
      </c>
      <c r="T401" s="1519">
        <f t="shared" si="230"/>
        <v>0</v>
      </c>
      <c r="U401" s="1535">
        <f t="shared" si="231"/>
        <v>194810</v>
      </c>
      <c r="V401" s="1537">
        <f t="shared" si="232"/>
        <v>974050</v>
      </c>
      <c r="W401" s="1519">
        <f t="shared" si="233"/>
        <v>2337720</v>
      </c>
      <c r="X401" s="1537">
        <f t="shared" si="234"/>
        <v>2337720</v>
      </c>
      <c r="Y401" s="1537">
        <f t="shared" si="235"/>
        <v>2337720</v>
      </c>
      <c r="Z401" s="1537">
        <f t="shared" si="236"/>
        <v>2337720</v>
      </c>
      <c r="AA401" s="1537">
        <f t="shared" si="237"/>
        <v>1362670</v>
      </c>
      <c r="AB401" s="1537">
        <f t="shared" si="238"/>
        <v>0</v>
      </c>
      <c r="AC401" s="1537">
        <f t="shared" si="239"/>
        <v>0</v>
      </c>
      <c r="AD401" s="1537">
        <f t="shared" si="240"/>
        <v>0</v>
      </c>
      <c r="AE401" s="1537">
        <f t="shared" si="241"/>
        <v>0</v>
      </c>
      <c r="AF401" s="1536">
        <f t="shared" si="242"/>
        <v>0</v>
      </c>
      <c r="AG401" s="1555"/>
      <c r="AH401" s="1537">
        <f t="shared" si="243"/>
        <v>10714550</v>
      </c>
      <c r="AI401" s="1537">
        <f t="shared" si="244"/>
        <v>8376830</v>
      </c>
      <c r="AJ401" s="1537">
        <f t="shared" si="245"/>
        <v>6039110</v>
      </c>
      <c r="AK401" s="1537">
        <f t="shared" si="246"/>
        <v>3701390</v>
      </c>
      <c r="AL401" s="1537">
        <f t="shared" si="247"/>
        <v>1363670</v>
      </c>
      <c r="AM401" s="1537">
        <f t="shared" si="248"/>
        <v>1000</v>
      </c>
      <c r="AN401" s="1537">
        <f t="shared" si="249"/>
        <v>1000</v>
      </c>
      <c r="AO401" s="1537">
        <f t="shared" si="250"/>
        <v>1000</v>
      </c>
      <c r="AP401" s="1537">
        <f t="shared" si="251"/>
        <v>1000</v>
      </c>
      <c r="AQ401" s="1537">
        <f t="shared" si="252"/>
        <v>1000</v>
      </c>
      <c r="AR401" s="1537">
        <f t="shared" si="253"/>
        <v>1000</v>
      </c>
    </row>
    <row r="402" spans="3:44" x14ac:dyDescent="0.3">
      <c r="C402" s="1566" t="s">
        <v>3289</v>
      </c>
      <c r="D402" s="1563" t="s">
        <v>3556</v>
      </c>
      <c r="E402" s="1556">
        <v>5</v>
      </c>
      <c r="F402" s="1518">
        <f t="shared" si="223"/>
        <v>5</v>
      </c>
      <c r="G402" s="1532">
        <f t="shared" si="224"/>
        <v>0</v>
      </c>
      <c r="H402" s="1533">
        <f t="shared" si="225"/>
        <v>0</v>
      </c>
      <c r="I402" s="1534">
        <f t="shared" si="226"/>
        <v>0.2</v>
      </c>
      <c r="J402" s="1519">
        <v>2700000</v>
      </c>
      <c r="N402" s="1519">
        <f t="shared" si="227"/>
        <v>2700000</v>
      </c>
      <c r="Q402" s="1557">
        <v>180000</v>
      </c>
      <c r="R402" s="1519">
        <f t="shared" si="228"/>
        <v>2700000</v>
      </c>
      <c r="S402" s="1519">
        <f t="shared" si="229"/>
        <v>2520000</v>
      </c>
      <c r="T402" s="1519">
        <f t="shared" si="230"/>
        <v>0</v>
      </c>
      <c r="U402" s="1535">
        <f t="shared" si="231"/>
        <v>45000</v>
      </c>
      <c r="V402" s="1537">
        <f t="shared" si="232"/>
        <v>225000</v>
      </c>
      <c r="W402" s="1519">
        <f t="shared" si="233"/>
        <v>540000</v>
      </c>
      <c r="X402" s="1537">
        <f t="shared" si="234"/>
        <v>540000</v>
      </c>
      <c r="Y402" s="1537">
        <f t="shared" si="235"/>
        <v>540000</v>
      </c>
      <c r="Z402" s="1537">
        <f t="shared" si="236"/>
        <v>540000</v>
      </c>
      <c r="AA402" s="1537">
        <f t="shared" si="237"/>
        <v>314000</v>
      </c>
      <c r="AB402" s="1537">
        <f t="shared" si="238"/>
        <v>0</v>
      </c>
      <c r="AC402" s="1537">
        <f t="shared" si="239"/>
        <v>0</v>
      </c>
      <c r="AD402" s="1537">
        <f t="shared" si="240"/>
        <v>0</v>
      </c>
      <c r="AE402" s="1537">
        <f t="shared" si="241"/>
        <v>0</v>
      </c>
      <c r="AF402" s="1536">
        <f t="shared" si="242"/>
        <v>0</v>
      </c>
      <c r="AG402" s="1555"/>
      <c r="AH402" s="1537">
        <f t="shared" si="243"/>
        <v>2475000</v>
      </c>
      <c r="AI402" s="1537">
        <f t="shared" si="244"/>
        <v>1935000</v>
      </c>
      <c r="AJ402" s="1537">
        <f t="shared" si="245"/>
        <v>1395000</v>
      </c>
      <c r="AK402" s="1537">
        <f t="shared" si="246"/>
        <v>855000</v>
      </c>
      <c r="AL402" s="1537">
        <f t="shared" si="247"/>
        <v>315000</v>
      </c>
      <c r="AM402" s="1537">
        <f t="shared" si="248"/>
        <v>1000</v>
      </c>
      <c r="AN402" s="1537">
        <f t="shared" si="249"/>
        <v>1000</v>
      </c>
      <c r="AO402" s="1537">
        <f t="shared" si="250"/>
        <v>1000</v>
      </c>
      <c r="AP402" s="1537">
        <f t="shared" si="251"/>
        <v>1000</v>
      </c>
      <c r="AQ402" s="1537">
        <f t="shared" si="252"/>
        <v>1000</v>
      </c>
      <c r="AR402" s="1537">
        <f t="shared" si="253"/>
        <v>1000</v>
      </c>
    </row>
    <row r="403" spans="3:44" x14ac:dyDescent="0.3">
      <c r="C403" s="1566" t="s">
        <v>3289</v>
      </c>
      <c r="D403" s="1563" t="s">
        <v>3557</v>
      </c>
      <c r="E403" s="1556">
        <v>5</v>
      </c>
      <c r="F403" s="1518">
        <f t="shared" si="223"/>
        <v>5</v>
      </c>
      <c r="G403" s="1532">
        <f t="shared" si="224"/>
        <v>0</v>
      </c>
      <c r="H403" s="1533">
        <f t="shared" si="225"/>
        <v>0</v>
      </c>
      <c r="I403" s="1534">
        <f t="shared" si="226"/>
        <v>0.2</v>
      </c>
      <c r="J403" s="1519">
        <v>2700000</v>
      </c>
      <c r="N403" s="1519">
        <f t="shared" si="227"/>
        <v>2700000</v>
      </c>
      <c r="Q403" s="1557">
        <v>180000</v>
      </c>
      <c r="R403" s="1519">
        <f t="shared" si="228"/>
        <v>2700000</v>
      </c>
      <c r="S403" s="1519">
        <f t="shared" si="229"/>
        <v>2520000</v>
      </c>
      <c r="T403" s="1519">
        <f t="shared" si="230"/>
        <v>0</v>
      </c>
      <c r="U403" s="1535">
        <f t="shared" si="231"/>
        <v>45000</v>
      </c>
      <c r="V403" s="1537">
        <f t="shared" si="232"/>
        <v>225000</v>
      </c>
      <c r="W403" s="1519">
        <f t="shared" si="233"/>
        <v>540000</v>
      </c>
      <c r="X403" s="1537">
        <f t="shared" si="234"/>
        <v>540000</v>
      </c>
      <c r="Y403" s="1537">
        <f t="shared" si="235"/>
        <v>540000</v>
      </c>
      <c r="Z403" s="1537">
        <f t="shared" si="236"/>
        <v>540000</v>
      </c>
      <c r="AA403" s="1537">
        <f t="shared" si="237"/>
        <v>314000</v>
      </c>
      <c r="AB403" s="1537">
        <f t="shared" si="238"/>
        <v>0</v>
      </c>
      <c r="AC403" s="1537">
        <f t="shared" si="239"/>
        <v>0</v>
      </c>
      <c r="AD403" s="1537">
        <f t="shared" si="240"/>
        <v>0</v>
      </c>
      <c r="AE403" s="1537">
        <f t="shared" si="241"/>
        <v>0</v>
      </c>
      <c r="AF403" s="1536">
        <f t="shared" si="242"/>
        <v>0</v>
      </c>
      <c r="AG403" s="1555"/>
      <c r="AH403" s="1537">
        <f t="shared" si="243"/>
        <v>2475000</v>
      </c>
      <c r="AI403" s="1537">
        <f t="shared" si="244"/>
        <v>1935000</v>
      </c>
      <c r="AJ403" s="1537">
        <f t="shared" si="245"/>
        <v>1395000</v>
      </c>
      <c r="AK403" s="1537">
        <f t="shared" si="246"/>
        <v>855000</v>
      </c>
      <c r="AL403" s="1537">
        <f t="shared" si="247"/>
        <v>315000</v>
      </c>
      <c r="AM403" s="1537">
        <f t="shared" si="248"/>
        <v>1000</v>
      </c>
      <c r="AN403" s="1537">
        <f t="shared" si="249"/>
        <v>1000</v>
      </c>
      <c r="AO403" s="1537">
        <f t="shared" si="250"/>
        <v>1000</v>
      </c>
      <c r="AP403" s="1537">
        <f t="shared" si="251"/>
        <v>1000</v>
      </c>
      <c r="AQ403" s="1537">
        <f t="shared" si="252"/>
        <v>1000</v>
      </c>
      <c r="AR403" s="1537">
        <f t="shared" si="253"/>
        <v>1000</v>
      </c>
    </row>
    <row r="404" spans="3:44" x14ac:dyDescent="0.3">
      <c r="C404" s="1566" t="s">
        <v>3289</v>
      </c>
      <c r="D404" s="1563" t="s">
        <v>3558</v>
      </c>
      <c r="E404" s="1556">
        <v>5</v>
      </c>
      <c r="F404" s="1518">
        <f t="shared" si="223"/>
        <v>5</v>
      </c>
      <c r="G404" s="1532">
        <f t="shared" si="224"/>
        <v>0</v>
      </c>
      <c r="H404" s="1533">
        <f t="shared" si="225"/>
        <v>0</v>
      </c>
      <c r="I404" s="1534">
        <f t="shared" si="226"/>
        <v>0.2</v>
      </c>
      <c r="J404" s="1519">
        <v>1250000</v>
      </c>
      <c r="N404" s="1519">
        <f t="shared" si="227"/>
        <v>1250000</v>
      </c>
      <c r="Q404" s="1557">
        <v>83333</v>
      </c>
      <c r="R404" s="1519">
        <f t="shared" si="228"/>
        <v>1250000</v>
      </c>
      <c r="S404" s="1519">
        <f t="shared" si="229"/>
        <v>1166667</v>
      </c>
      <c r="T404" s="1519">
        <f t="shared" si="230"/>
        <v>0</v>
      </c>
      <c r="U404" s="1535">
        <f t="shared" si="231"/>
        <v>20833.333333333332</v>
      </c>
      <c r="V404" s="1537">
        <f t="shared" si="232"/>
        <v>104166.33333333333</v>
      </c>
      <c r="W404" s="1519">
        <f t="shared" si="233"/>
        <v>250000</v>
      </c>
      <c r="X404" s="1537">
        <f t="shared" si="234"/>
        <v>250000</v>
      </c>
      <c r="Y404" s="1537">
        <f t="shared" si="235"/>
        <v>250000</v>
      </c>
      <c r="Z404" s="1537">
        <f t="shared" si="236"/>
        <v>250000</v>
      </c>
      <c r="AA404" s="1537">
        <f t="shared" si="237"/>
        <v>144833.66666666674</v>
      </c>
      <c r="AB404" s="1537">
        <f t="shared" si="238"/>
        <v>0</v>
      </c>
      <c r="AC404" s="1537">
        <f t="shared" si="239"/>
        <v>0</v>
      </c>
      <c r="AD404" s="1537">
        <f t="shared" si="240"/>
        <v>0</v>
      </c>
      <c r="AE404" s="1537">
        <f t="shared" si="241"/>
        <v>0</v>
      </c>
      <c r="AF404" s="1536">
        <f t="shared" si="242"/>
        <v>0</v>
      </c>
      <c r="AG404" s="1555"/>
      <c r="AH404" s="1537">
        <f t="shared" si="243"/>
        <v>1145833.6666666667</v>
      </c>
      <c r="AI404" s="1537">
        <f t="shared" si="244"/>
        <v>895833.66666666674</v>
      </c>
      <c r="AJ404" s="1537">
        <f t="shared" si="245"/>
        <v>645833.66666666674</v>
      </c>
      <c r="AK404" s="1537">
        <f t="shared" si="246"/>
        <v>395833.66666666674</v>
      </c>
      <c r="AL404" s="1537">
        <f t="shared" si="247"/>
        <v>145833.66666666674</v>
      </c>
      <c r="AM404" s="1537">
        <f t="shared" si="248"/>
        <v>1000</v>
      </c>
      <c r="AN404" s="1537">
        <f t="shared" si="249"/>
        <v>1000</v>
      </c>
      <c r="AO404" s="1537">
        <f t="shared" si="250"/>
        <v>1000</v>
      </c>
      <c r="AP404" s="1537">
        <f t="shared" si="251"/>
        <v>1000</v>
      </c>
      <c r="AQ404" s="1537">
        <f t="shared" si="252"/>
        <v>1000</v>
      </c>
      <c r="AR404" s="1537">
        <f t="shared" si="253"/>
        <v>1000</v>
      </c>
    </row>
    <row r="405" spans="3:44" x14ac:dyDescent="0.3">
      <c r="C405" s="1566" t="s">
        <v>3289</v>
      </c>
      <c r="D405" s="1563" t="s">
        <v>3559</v>
      </c>
      <c r="E405" s="1556">
        <v>5</v>
      </c>
      <c r="F405" s="1518">
        <f t="shared" si="223"/>
        <v>5</v>
      </c>
      <c r="G405" s="1532">
        <f t="shared" si="224"/>
        <v>0</v>
      </c>
      <c r="H405" s="1533">
        <f t="shared" si="225"/>
        <v>0</v>
      </c>
      <c r="I405" s="1534">
        <f t="shared" si="226"/>
        <v>0.2</v>
      </c>
      <c r="J405" s="1519">
        <v>1250000</v>
      </c>
      <c r="N405" s="1519">
        <f t="shared" si="227"/>
        <v>1250000</v>
      </c>
      <c r="Q405" s="1557">
        <v>83333</v>
      </c>
      <c r="R405" s="1519">
        <f t="shared" si="228"/>
        <v>1250000</v>
      </c>
      <c r="S405" s="1519">
        <f t="shared" si="229"/>
        <v>1166667</v>
      </c>
      <c r="T405" s="1519">
        <f t="shared" si="230"/>
        <v>0</v>
      </c>
      <c r="U405" s="1535">
        <f t="shared" si="231"/>
        <v>20833.333333333332</v>
      </c>
      <c r="V405" s="1537">
        <f t="shared" si="232"/>
        <v>104166.33333333333</v>
      </c>
      <c r="W405" s="1519">
        <f t="shared" si="233"/>
        <v>250000</v>
      </c>
      <c r="X405" s="1537">
        <f t="shared" si="234"/>
        <v>250000</v>
      </c>
      <c r="Y405" s="1537">
        <f t="shared" si="235"/>
        <v>250000</v>
      </c>
      <c r="Z405" s="1537">
        <f t="shared" si="236"/>
        <v>250000</v>
      </c>
      <c r="AA405" s="1537">
        <f t="shared" si="237"/>
        <v>144833.66666666674</v>
      </c>
      <c r="AB405" s="1537">
        <f t="shared" si="238"/>
        <v>0</v>
      </c>
      <c r="AC405" s="1537">
        <f t="shared" si="239"/>
        <v>0</v>
      </c>
      <c r="AD405" s="1537">
        <f t="shared" si="240"/>
        <v>0</v>
      </c>
      <c r="AE405" s="1537">
        <f t="shared" si="241"/>
        <v>0</v>
      </c>
      <c r="AF405" s="1536">
        <f t="shared" si="242"/>
        <v>0</v>
      </c>
      <c r="AG405" s="1555"/>
      <c r="AH405" s="1537">
        <f t="shared" si="243"/>
        <v>1145833.6666666667</v>
      </c>
      <c r="AI405" s="1537">
        <f t="shared" si="244"/>
        <v>895833.66666666674</v>
      </c>
      <c r="AJ405" s="1537">
        <f t="shared" si="245"/>
        <v>645833.66666666674</v>
      </c>
      <c r="AK405" s="1537">
        <f t="shared" si="246"/>
        <v>395833.66666666674</v>
      </c>
      <c r="AL405" s="1537">
        <f t="shared" si="247"/>
        <v>145833.66666666674</v>
      </c>
      <c r="AM405" s="1537">
        <f t="shared" si="248"/>
        <v>1000</v>
      </c>
      <c r="AN405" s="1537">
        <f t="shared" si="249"/>
        <v>1000</v>
      </c>
      <c r="AO405" s="1537">
        <f t="shared" si="250"/>
        <v>1000</v>
      </c>
      <c r="AP405" s="1537">
        <f t="shared" si="251"/>
        <v>1000</v>
      </c>
      <c r="AQ405" s="1537">
        <f t="shared" si="252"/>
        <v>1000</v>
      </c>
      <c r="AR405" s="1537">
        <f t="shared" si="253"/>
        <v>1000</v>
      </c>
    </row>
    <row r="406" spans="3:44" x14ac:dyDescent="0.3">
      <c r="C406" s="1566" t="s">
        <v>3290</v>
      </c>
      <c r="D406" s="1563" t="s">
        <v>3560</v>
      </c>
      <c r="E406" s="1556">
        <v>5</v>
      </c>
      <c r="F406" s="1518">
        <f t="shared" si="223"/>
        <v>5</v>
      </c>
      <c r="G406" s="1532">
        <f t="shared" si="224"/>
        <v>0</v>
      </c>
      <c r="H406" s="1533">
        <f t="shared" si="225"/>
        <v>0</v>
      </c>
      <c r="I406" s="1534">
        <f t="shared" si="226"/>
        <v>0.2</v>
      </c>
      <c r="J406" s="1519">
        <v>1760000</v>
      </c>
      <c r="N406" s="1519">
        <f t="shared" si="227"/>
        <v>1760000</v>
      </c>
      <c r="Q406" s="1557">
        <v>117333</v>
      </c>
      <c r="R406" s="1519">
        <f t="shared" si="228"/>
        <v>1760000</v>
      </c>
      <c r="S406" s="1519">
        <f t="shared" si="229"/>
        <v>1642667</v>
      </c>
      <c r="T406" s="1519">
        <f t="shared" si="230"/>
        <v>0</v>
      </c>
      <c r="U406" s="1535">
        <f t="shared" si="231"/>
        <v>29333.333333333332</v>
      </c>
      <c r="V406" s="1537">
        <f t="shared" si="232"/>
        <v>146666.33333333334</v>
      </c>
      <c r="W406" s="1519">
        <f t="shared" si="233"/>
        <v>352000</v>
      </c>
      <c r="X406" s="1537">
        <f t="shared" si="234"/>
        <v>352000</v>
      </c>
      <c r="Y406" s="1537">
        <f t="shared" si="235"/>
        <v>352000</v>
      </c>
      <c r="Z406" s="1537">
        <f t="shared" si="236"/>
        <v>352000</v>
      </c>
      <c r="AA406" s="1537">
        <f t="shared" si="237"/>
        <v>204333.66666666674</v>
      </c>
      <c r="AB406" s="1537">
        <f t="shared" si="238"/>
        <v>0</v>
      </c>
      <c r="AC406" s="1537">
        <f t="shared" si="239"/>
        <v>0</v>
      </c>
      <c r="AD406" s="1537">
        <f t="shared" si="240"/>
        <v>0</v>
      </c>
      <c r="AE406" s="1537">
        <f t="shared" si="241"/>
        <v>0</v>
      </c>
      <c r="AF406" s="1536">
        <f t="shared" si="242"/>
        <v>0</v>
      </c>
      <c r="AG406" s="1555"/>
      <c r="AH406" s="1537">
        <f t="shared" si="243"/>
        <v>1613333.6666666667</v>
      </c>
      <c r="AI406" s="1537">
        <f t="shared" si="244"/>
        <v>1261333.6666666667</v>
      </c>
      <c r="AJ406" s="1537">
        <f t="shared" si="245"/>
        <v>909333.66666666674</v>
      </c>
      <c r="AK406" s="1537">
        <f t="shared" si="246"/>
        <v>557333.66666666674</v>
      </c>
      <c r="AL406" s="1537">
        <f t="shared" si="247"/>
        <v>205333.66666666674</v>
      </c>
      <c r="AM406" s="1537">
        <f t="shared" si="248"/>
        <v>1000</v>
      </c>
      <c r="AN406" s="1537">
        <f t="shared" si="249"/>
        <v>1000</v>
      </c>
      <c r="AO406" s="1537">
        <f t="shared" si="250"/>
        <v>1000</v>
      </c>
      <c r="AP406" s="1537">
        <f t="shared" si="251"/>
        <v>1000</v>
      </c>
      <c r="AQ406" s="1537">
        <f t="shared" si="252"/>
        <v>1000</v>
      </c>
      <c r="AR406" s="1537">
        <f t="shared" si="253"/>
        <v>1000</v>
      </c>
    </row>
    <row r="407" spans="3:44" x14ac:dyDescent="0.3">
      <c r="C407" s="1566" t="s">
        <v>3291</v>
      </c>
      <c r="D407" s="1563" t="s">
        <v>3561</v>
      </c>
      <c r="E407" s="1556">
        <v>5</v>
      </c>
      <c r="F407" s="1518">
        <f t="shared" si="223"/>
        <v>5</v>
      </c>
      <c r="G407" s="1532">
        <f t="shared" si="224"/>
        <v>0</v>
      </c>
      <c r="H407" s="1533">
        <f t="shared" si="225"/>
        <v>0</v>
      </c>
      <c r="I407" s="1534">
        <f t="shared" si="226"/>
        <v>0.2</v>
      </c>
      <c r="J407" s="1519">
        <v>4400000</v>
      </c>
      <c r="N407" s="1519">
        <f t="shared" si="227"/>
        <v>4400000</v>
      </c>
      <c r="Q407" s="1557">
        <v>220000</v>
      </c>
      <c r="R407" s="1519">
        <f t="shared" si="228"/>
        <v>4400000</v>
      </c>
      <c r="S407" s="1519">
        <f t="shared" si="229"/>
        <v>4180000</v>
      </c>
      <c r="T407" s="1519">
        <f t="shared" si="230"/>
        <v>0</v>
      </c>
      <c r="U407" s="1535">
        <f t="shared" si="231"/>
        <v>73333.333333333328</v>
      </c>
      <c r="V407" s="1537">
        <f t="shared" si="232"/>
        <v>293333.33333333331</v>
      </c>
      <c r="W407" s="1519">
        <f t="shared" si="233"/>
        <v>880000</v>
      </c>
      <c r="X407" s="1537">
        <f t="shared" si="234"/>
        <v>880000</v>
      </c>
      <c r="Y407" s="1537">
        <f t="shared" si="235"/>
        <v>880000</v>
      </c>
      <c r="Z407" s="1537">
        <f t="shared" si="236"/>
        <v>880000</v>
      </c>
      <c r="AA407" s="1537">
        <f t="shared" si="237"/>
        <v>585666.66666666651</v>
      </c>
      <c r="AB407" s="1537">
        <f t="shared" si="238"/>
        <v>0</v>
      </c>
      <c r="AC407" s="1537">
        <f t="shared" si="239"/>
        <v>0</v>
      </c>
      <c r="AD407" s="1537">
        <f t="shared" si="240"/>
        <v>0</v>
      </c>
      <c r="AE407" s="1537">
        <f t="shared" si="241"/>
        <v>0</v>
      </c>
      <c r="AF407" s="1536">
        <f t="shared" si="242"/>
        <v>0</v>
      </c>
      <c r="AG407" s="1555"/>
      <c r="AH407" s="1537">
        <f t="shared" si="243"/>
        <v>4106666.6666666665</v>
      </c>
      <c r="AI407" s="1537">
        <f t="shared" si="244"/>
        <v>3226666.6666666665</v>
      </c>
      <c r="AJ407" s="1537">
        <f t="shared" si="245"/>
        <v>2346666.6666666665</v>
      </c>
      <c r="AK407" s="1537">
        <f t="shared" si="246"/>
        <v>1466666.6666666665</v>
      </c>
      <c r="AL407" s="1537">
        <f t="shared" si="247"/>
        <v>586666.66666666651</v>
      </c>
      <c r="AM407" s="1537">
        <f t="shared" si="248"/>
        <v>1000</v>
      </c>
      <c r="AN407" s="1537">
        <f t="shared" si="249"/>
        <v>1000</v>
      </c>
      <c r="AO407" s="1537">
        <f t="shared" si="250"/>
        <v>1000</v>
      </c>
      <c r="AP407" s="1537">
        <f t="shared" si="251"/>
        <v>1000</v>
      </c>
      <c r="AQ407" s="1537">
        <f t="shared" si="252"/>
        <v>1000</v>
      </c>
      <c r="AR407" s="1537">
        <f t="shared" si="253"/>
        <v>1000</v>
      </c>
    </row>
    <row r="408" spans="3:44" x14ac:dyDescent="0.3">
      <c r="C408" s="1566" t="s">
        <v>3292</v>
      </c>
      <c r="D408" s="1563" t="s">
        <v>3562</v>
      </c>
      <c r="E408" s="1556">
        <v>5</v>
      </c>
      <c r="F408" s="1518">
        <f t="shared" si="223"/>
        <v>5</v>
      </c>
      <c r="G408" s="1532">
        <f t="shared" si="224"/>
        <v>0</v>
      </c>
      <c r="H408" s="1533">
        <f t="shared" si="225"/>
        <v>0</v>
      </c>
      <c r="I408" s="1534">
        <f t="shared" si="226"/>
        <v>0.2</v>
      </c>
      <c r="J408" s="1519">
        <v>2900000</v>
      </c>
      <c r="N408" s="1519">
        <f t="shared" si="227"/>
        <v>2900000</v>
      </c>
      <c r="Q408" s="1557">
        <v>145000</v>
      </c>
      <c r="R408" s="1519">
        <f t="shared" si="228"/>
        <v>2900000</v>
      </c>
      <c r="S408" s="1519">
        <f t="shared" si="229"/>
        <v>2755000</v>
      </c>
      <c r="T408" s="1519">
        <f t="shared" si="230"/>
        <v>0</v>
      </c>
      <c r="U408" s="1535">
        <f t="shared" si="231"/>
        <v>48333.333333333336</v>
      </c>
      <c r="V408" s="1537">
        <f t="shared" si="232"/>
        <v>193333.33333333334</v>
      </c>
      <c r="W408" s="1519">
        <f t="shared" si="233"/>
        <v>580000</v>
      </c>
      <c r="X408" s="1537">
        <f t="shared" si="234"/>
        <v>580000</v>
      </c>
      <c r="Y408" s="1537">
        <f t="shared" si="235"/>
        <v>580000</v>
      </c>
      <c r="Z408" s="1537">
        <f t="shared" si="236"/>
        <v>580000</v>
      </c>
      <c r="AA408" s="1537">
        <f t="shared" si="237"/>
        <v>385666.66666666651</v>
      </c>
      <c r="AB408" s="1537">
        <f t="shared" si="238"/>
        <v>0</v>
      </c>
      <c r="AC408" s="1537">
        <f t="shared" si="239"/>
        <v>0</v>
      </c>
      <c r="AD408" s="1537">
        <f t="shared" si="240"/>
        <v>0</v>
      </c>
      <c r="AE408" s="1537">
        <f t="shared" si="241"/>
        <v>0</v>
      </c>
      <c r="AF408" s="1536">
        <f t="shared" si="242"/>
        <v>0</v>
      </c>
      <c r="AG408" s="1555"/>
      <c r="AH408" s="1537">
        <f t="shared" si="243"/>
        <v>2706666.6666666665</v>
      </c>
      <c r="AI408" s="1537">
        <f t="shared" si="244"/>
        <v>2126666.6666666665</v>
      </c>
      <c r="AJ408" s="1537">
        <f t="shared" si="245"/>
        <v>1546666.6666666665</v>
      </c>
      <c r="AK408" s="1537">
        <f t="shared" si="246"/>
        <v>966666.66666666651</v>
      </c>
      <c r="AL408" s="1537">
        <f t="shared" si="247"/>
        <v>386666.66666666651</v>
      </c>
      <c r="AM408" s="1537">
        <f t="shared" si="248"/>
        <v>1000</v>
      </c>
      <c r="AN408" s="1537">
        <f t="shared" si="249"/>
        <v>1000</v>
      </c>
      <c r="AO408" s="1537">
        <f t="shared" si="250"/>
        <v>1000</v>
      </c>
      <c r="AP408" s="1537">
        <f t="shared" si="251"/>
        <v>1000</v>
      </c>
      <c r="AQ408" s="1537">
        <f t="shared" si="252"/>
        <v>1000</v>
      </c>
      <c r="AR408" s="1537">
        <f t="shared" si="253"/>
        <v>1000</v>
      </c>
    </row>
    <row r="409" spans="3:44" x14ac:dyDescent="0.3">
      <c r="C409" s="1566" t="s">
        <v>3289</v>
      </c>
      <c r="D409" s="1563" t="s">
        <v>3563</v>
      </c>
      <c r="E409" s="1556">
        <v>5</v>
      </c>
      <c r="F409" s="1518">
        <f t="shared" si="223"/>
        <v>5</v>
      </c>
      <c r="G409" s="1532">
        <f t="shared" si="224"/>
        <v>0</v>
      </c>
      <c r="H409" s="1533">
        <f t="shared" si="225"/>
        <v>0</v>
      </c>
      <c r="I409" s="1534">
        <f t="shared" si="226"/>
        <v>0.2</v>
      </c>
      <c r="J409" s="1519">
        <v>2700000</v>
      </c>
      <c r="N409" s="1519">
        <f t="shared" si="227"/>
        <v>2700000</v>
      </c>
      <c r="Q409" s="1557">
        <v>90000</v>
      </c>
      <c r="R409" s="1519">
        <f t="shared" si="228"/>
        <v>2700000</v>
      </c>
      <c r="S409" s="1519">
        <f t="shared" si="229"/>
        <v>2610000</v>
      </c>
      <c r="T409" s="1519">
        <f t="shared" si="230"/>
        <v>0</v>
      </c>
      <c r="U409" s="1535">
        <f t="shared" si="231"/>
        <v>45000</v>
      </c>
      <c r="V409" s="1537">
        <f t="shared" si="232"/>
        <v>135000</v>
      </c>
      <c r="W409" s="1519">
        <f t="shared" si="233"/>
        <v>540000</v>
      </c>
      <c r="X409" s="1537">
        <f t="shared" si="234"/>
        <v>540000</v>
      </c>
      <c r="Y409" s="1537">
        <f t="shared" si="235"/>
        <v>540000</v>
      </c>
      <c r="Z409" s="1537">
        <f t="shared" si="236"/>
        <v>540000</v>
      </c>
      <c r="AA409" s="1537">
        <f t="shared" si="237"/>
        <v>404000</v>
      </c>
      <c r="AB409" s="1537">
        <f t="shared" si="238"/>
        <v>0</v>
      </c>
      <c r="AC409" s="1537">
        <f t="shared" si="239"/>
        <v>0</v>
      </c>
      <c r="AD409" s="1537">
        <f t="shared" si="240"/>
        <v>0</v>
      </c>
      <c r="AE409" s="1537">
        <f t="shared" si="241"/>
        <v>0</v>
      </c>
      <c r="AF409" s="1536">
        <f t="shared" si="242"/>
        <v>0</v>
      </c>
      <c r="AG409" s="1555"/>
      <c r="AH409" s="1537">
        <f t="shared" si="243"/>
        <v>2565000</v>
      </c>
      <c r="AI409" s="1537">
        <f t="shared" si="244"/>
        <v>2025000</v>
      </c>
      <c r="AJ409" s="1537">
        <f t="shared" si="245"/>
        <v>1485000</v>
      </c>
      <c r="AK409" s="1537">
        <f t="shared" si="246"/>
        <v>945000</v>
      </c>
      <c r="AL409" s="1537">
        <f t="shared" si="247"/>
        <v>405000</v>
      </c>
      <c r="AM409" s="1537">
        <f t="shared" si="248"/>
        <v>1000</v>
      </c>
      <c r="AN409" s="1537">
        <f t="shared" si="249"/>
        <v>1000</v>
      </c>
      <c r="AO409" s="1537">
        <f t="shared" si="250"/>
        <v>1000</v>
      </c>
      <c r="AP409" s="1537">
        <f t="shared" si="251"/>
        <v>1000</v>
      </c>
      <c r="AQ409" s="1537">
        <f t="shared" si="252"/>
        <v>1000</v>
      </c>
      <c r="AR409" s="1537">
        <f t="shared" si="253"/>
        <v>1000</v>
      </c>
    </row>
    <row r="410" spans="3:44" x14ac:dyDescent="0.3">
      <c r="C410" s="1566" t="s">
        <v>3293</v>
      </c>
      <c r="D410" s="1563" t="s">
        <v>3564</v>
      </c>
      <c r="E410" s="1556">
        <v>5</v>
      </c>
      <c r="F410" s="1518">
        <f t="shared" si="223"/>
        <v>5</v>
      </c>
      <c r="G410" s="1532">
        <f t="shared" si="224"/>
        <v>0</v>
      </c>
      <c r="H410" s="1533">
        <f t="shared" si="225"/>
        <v>0</v>
      </c>
      <c r="I410" s="1534">
        <f t="shared" si="226"/>
        <v>0.2</v>
      </c>
      <c r="J410" s="1519">
        <v>7250000</v>
      </c>
      <c r="N410" s="1519">
        <f t="shared" si="227"/>
        <v>7250000</v>
      </c>
      <c r="Q410" s="1557">
        <v>241667</v>
      </c>
      <c r="R410" s="1519">
        <f t="shared" si="228"/>
        <v>7250000</v>
      </c>
      <c r="S410" s="1519">
        <f t="shared" si="229"/>
        <v>7008333</v>
      </c>
      <c r="T410" s="1519">
        <f t="shared" si="230"/>
        <v>0</v>
      </c>
      <c r="U410" s="1535">
        <f t="shared" si="231"/>
        <v>120833.33333333333</v>
      </c>
      <c r="V410" s="1537">
        <f t="shared" si="232"/>
        <v>362500.33333333331</v>
      </c>
      <c r="W410" s="1519">
        <f t="shared" si="233"/>
        <v>1450000</v>
      </c>
      <c r="X410" s="1537">
        <f t="shared" si="234"/>
        <v>1450000</v>
      </c>
      <c r="Y410" s="1537">
        <f t="shared" si="235"/>
        <v>1450000</v>
      </c>
      <c r="Z410" s="1537">
        <f t="shared" si="236"/>
        <v>1450000</v>
      </c>
      <c r="AA410" s="1537">
        <f t="shared" si="237"/>
        <v>1086499.666666667</v>
      </c>
      <c r="AB410" s="1537">
        <f t="shared" si="238"/>
        <v>0</v>
      </c>
      <c r="AC410" s="1537">
        <f t="shared" si="239"/>
        <v>0</v>
      </c>
      <c r="AD410" s="1537">
        <f t="shared" si="240"/>
        <v>0</v>
      </c>
      <c r="AE410" s="1537">
        <f t="shared" si="241"/>
        <v>0</v>
      </c>
      <c r="AF410" s="1536">
        <f t="shared" si="242"/>
        <v>0</v>
      </c>
      <c r="AG410" s="1555"/>
      <c r="AH410" s="1537">
        <f t="shared" si="243"/>
        <v>6887499.666666667</v>
      </c>
      <c r="AI410" s="1537">
        <f t="shared" si="244"/>
        <v>5437499.666666667</v>
      </c>
      <c r="AJ410" s="1537">
        <f t="shared" si="245"/>
        <v>3987499.666666667</v>
      </c>
      <c r="AK410" s="1537">
        <f t="shared" si="246"/>
        <v>2537499.666666667</v>
      </c>
      <c r="AL410" s="1537">
        <f t="shared" si="247"/>
        <v>1087499.666666667</v>
      </c>
      <c r="AM410" s="1537">
        <f t="shared" si="248"/>
        <v>1000</v>
      </c>
      <c r="AN410" s="1537">
        <f t="shared" si="249"/>
        <v>1000</v>
      </c>
      <c r="AO410" s="1537">
        <f t="shared" si="250"/>
        <v>1000</v>
      </c>
      <c r="AP410" s="1537">
        <f t="shared" si="251"/>
        <v>1000</v>
      </c>
      <c r="AQ410" s="1537">
        <f t="shared" si="252"/>
        <v>1000</v>
      </c>
      <c r="AR410" s="1537">
        <f t="shared" si="253"/>
        <v>1000</v>
      </c>
    </row>
    <row r="411" spans="3:44" x14ac:dyDescent="0.3">
      <c r="C411" s="1566" t="s">
        <v>3294</v>
      </c>
      <c r="D411" s="1563" t="s">
        <v>3565</v>
      </c>
      <c r="E411" s="1556">
        <v>5</v>
      </c>
      <c r="F411" s="1518">
        <f t="shared" si="223"/>
        <v>5</v>
      </c>
      <c r="G411" s="1532">
        <f t="shared" si="224"/>
        <v>0</v>
      </c>
      <c r="H411" s="1533">
        <f t="shared" si="225"/>
        <v>0</v>
      </c>
      <c r="I411" s="1534">
        <f t="shared" si="226"/>
        <v>0.2</v>
      </c>
      <c r="J411" s="1519">
        <v>5600000</v>
      </c>
      <c r="N411" s="1519">
        <f t="shared" si="227"/>
        <v>5600000</v>
      </c>
      <c r="Q411" s="1557">
        <v>186667</v>
      </c>
      <c r="R411" s="1519">
        <f t="shared" si="228"/>
        <v>5600000</v>
      </c>
      <c r="S411" s="1519">
        <f t="shared" si="229"/>
        <v>5413333</v>
      </c>
      <c r="T411" s="1519">
        <f t="shared" si="230"/>
        <v>0</v>
      </c>
      <c r="U411" s="1535">
        <f t="shared" si="231"/>
        <v>93333.333333333328</v>
      </c>
      <c r="V411" s="1537">
        <f t="shared" si="232"/>
        <v>280000.33333333331</v>
      </c>
      <c r="W411" s="1519">
        <f t="shared" si="233"/>
        <v>1120000</v>
      </c>
      <c r="X411" s="1537">
        <f t="shared" si="234"/>
        <v>1120000</v>
      </c>
      <c r="Y411" s="1537">
        <f t="shared" si="235"/>
        <v>1120000</v>
      </c>
      <c r="Z411" s="1537">
        <f t="shared" si="236"/>
        <v>1120000</v>
      </c>
      <c r="AA411" s="1537">
        <f t="shared" si="237"/>
        <v>838999.66666666698</v>
      </c>
      <c r="AB411" s="1537">
        <f t="shared" si="238"/>
        <v>0</v>
      </c>
      <c r="AC411" s="1537">
        <f t="shared" si="239"/>
        <v>0</v>
      </c>
      <c r="AD411" s="1537">
        <f t="shared" si="240"/>
        <v>0</v>
      </c>
      <c r="AE411" s="1537">
        <f t="shared" si="241"/>
        <v>0</v>
      </c>
      <c r="AF411" s="1536">
        <f t="shared" si="242"/>
        <v>0</v>
      </c>
      <c r="AG411" s="1555"/>
      <c r="AH411" s="1537">
        <f t="shared" si="243"/>
        <v>5319999.666666667</v>
      </c>
      <c r="AI411" s="1537">
        <f t="shared" si="244"/>
        <v>4199999.666666667</v>
      </c>
      <c r="AJ411" s="1537">
        <f t="shared" si="245"/>
        <v>3079999.666666667</v>
      </c>
      <c r="AK411" s="1537">
        <f t="shared" si="246"/>
        <v>1959999.666666667</v>
      </c>
      <c r="AL411" s="1537">
        <f t="shared" si="247"/>
        <v>839999.66666666698</v>
      </c>
      <c r="AM411" s="1537">
        <f t="shared" si="248"/>
        <v>1000</v>
      </c>
      <c r="AN411" s="1537">
        <f t="shared" si="249"/>
        <v>1000</v>
      </c>
      <c r="AO411" s="1537">
        <f t="shared" si="250"/>
        <v>1000</v>
      </c>
      <c r="AP411" s="1537">
        <f t="shared" si="251"/>
        <v>1000</v>
      </c>
      <c r="AQ411" s="1537">
        <f t="shared" si="252"/>
        <v>1000</v>
      </c>
      <c r="AR411" s="1537">
        <f t="shared" si="253"/>
        <v>1000</v>
      </c>
    </row>
    <row r="412" spans="3:44" x14ac:dyDescent="0.3">
      <c r="C412" s="1566" t="s">
        <v>3295</v>
      </c>
      <c r="D412" s="1563" t="s">
        <v>3566</v>
      </c>
      <c r="E412" s="1556">
        <v>5</v>
      </c>
      <c r="F412" s="1518">
        <f t="shared" ref="F412:F417" si="254">E412-(YEAR($E$4)-YEAR(D412))</f>
        <v>5</v>
      </c>
      <c r="G412" s="1532">
        <f t="shared" ref="G412:G417" si="255">IF(YEAR(D412)=YEAR($E$4),IF($E$2=$E$4,0,IF(D412&lt;$E$4,$E$2-$E$4,$E$2-D412)),$E$2-$E$4)</f>
        <v>0</v>
      </c>
      <c r="H412" s="1533">
        <f t="shared" ref="H412:H417" si="256">IF(YEAR(D412)=YEAR($E$4),G412/365,IF($E$2=$E$4,G412/365,($E$2-$E$4)/365))</f>
        <v>0</v>
      </c>
      <c r="I412" s="1534">
        <f t="shared" ref="I412:I417" si="257">1/E412</f>
        <v>0.2</v>
      </c>
      <c r="J412" s="1519">
        <v>1450000</v>
      </c>
      <c r="N412" s="1519">
        <f t="shared" ref="N412:N417" si="258">ROUND(J412-K412-L412+M412,)</f>
        <v>1450000</v>
      </c>
      <c r="Q412" s="1557">
        <v>48333</v>
      </c>
      <c r="R412" s="1519">
        <f t="shared" ref="R412:R417" si="259">J412+O412-P412</f>
        <v>1450000</v>
      </c>
      <c r="S412" s="1519">
        <f t="shared" ref="S412:S417" si="260">ROUND(N412+O412-P412-Q412,)</f>
        <v>1401667</v>
      </c>
      <c r="T412" s="1519">
        <f t="shared" ref="T412:T417" si="261">J412-K412-L412+M412+O412-P412-Q412-S412</f>
        <v>0</v>
      </c>
      <c r="U412" s="1535">
        <f t="shared" ref="U412:U417" si="262">IF(S412&gt;1000,IF(S412-R412*(1/12)*I412&gt;1000,R412*(1/12)*I412,S412-1000),)</f>
        <v>24166.666666666668</v>
      </c>
      <c r="V412" s="1537">
        <f t="shared" ref="V412:V417" si="263">Q412+U412</f>
        <v>72499.666666666672</v>
      </c>
      <c r="W412" s="1519">
        <f t="shared" ref="W412:W417" si="264">IF(AH412&gt;1000,IF(AH412-$I412*$R412&gt;1000,$I412*$R412,AH412-1000),)</f>
        <v>290000</v>
      </c>
      <c r="X412" s="1537">
        <f t="shared" ref="X412:X417" si="265">IF(AI412&gt;1000,IF(AI412-$I412*$R412&gt;1000,$I412*$R412,AI412-1000),)</f>
        <v>290000</v>
      </c>
      <c r="Y412" s="1537">
        <f t="shared" ref="Y412:Y417" si="266">IF(AJ412&gt;1000,IF(AJ412-$I412*$R412&gt;1000,$I412*$R412,AJ412-1000),)</f>
        <v>290000</v>
      </c>
      <c r="Z412" s="1537">
        <f t="shared" ref="Z412:Z417" si="267">IF(AK412&gt;1000,IF(AK412-$I412*$R412&gt;1000,$I412*$R412,AK412-1000),)</f>
        <v>290000</v>
      </c>
      <c r="AA412" s="1537">
        <f t="shared" ref="AA412:AA417" si="268">IF(AL412&gt;1000,IF(AL412-$I412*$R412&gt;1000,$I412*$R412,AL412-1000),)</f>
        <v>216500.33333333326</v>
      </c>
      <c r="AB412" s="1537">
        <f t="shared" ref="AB412:AB417" si="269">IF(AM412&gt;1000,IF(AM412-$I412*$R412&gt;1000,$I412*$R412,AM412-1000),)</f>
        <v>0</v>
      </c>
      <c r="AC412" s="1537">
        <f t="shared" ref="AC412:AC417" si="270">IF(AN412&gt;1000,IF(AN412-$I412*$R412&gt;1000,$I412*$R412,AN412-1000),)</f>
        <v>0</v>
      </c>
      <c r="AD412" s="1537">
        <f t="shared" ref="AD412:AD417" si="271">IF(AO412&gt;1000,IF(AO412-$I412*$R412&gt;1000,$I412*$R412,AO412-1000),)</f>
        <v>0</v>
      </c>
      <c r="AE412" s="1537">
        <f t="shared" ref="AE412:AE417" si="272">IF(AP412&gt;1000,IF(AP412-$I412*$R412&gt;1000,$I412*$R412,AP412-1000),)</f>
        <v>0</v>
      </c>
      <c r="AF412" s="1536">
        <f t="shared" ref="AF412:AF417" si="273">IF(AQ412&gt;1000,IF(AQ412-$I412*$R412&gt;1000,$I412*$R412,AQ412-1000),)</f>
        <v>0</v>
      </c>
      <c r="AG412" s="1555"/>
      <c r="AH412" s="1537">
        <f t="shared" ref="AH412:AH417" si="274">S412-U412</f>
        <v>1377500.3333333333</v>
      </c>
      <c r="AI412" s="1537">
        <f t="shared" ref="AI412:AI417" si="275">AH412-W412</f>
        <v>1087500.3333333333</v>
      </c>
      <c r="AJ412" s="1537">
        <f t="shared" ref="AJ412:AJ417" si="276">AI412-X412</f>
        <v>797500.33333333326</v>
      </c>
      <c r="AK412" s="1537">
        <f t="shared" ref="AK412:AK417" si="277">AJ412-Y412</f>
        <v>507500.33333333326</v>
      </c>
      <c r="AL412" s="1537">
        <f t="shared" ref="AL412:AL417" si="278">AK412-Z412</f>
        <v>217500.33333333326</v>
      </c>
      <c r="AM412" s="1537">
        <f t="shared" ref="AM412:AM417" si="279">AL412-AA412</f>
        <v>1000</v>
      </c>
      <c r="AN412" s="1537">
        <f t="shared" ref="AN412:AN417" si="280">AM412-AB412</f>
        <v>1000</v>
      </c>
      <c r="AO412" s="1537">
        <f t="shared" ref="AO412:AO417" si="281">AN412-AC412</f>
        <v>1000</v>
      </c>
      <c r="AP412" s="1537">
        <f t="shared" ref="AP412:AP417" si="282">AO412-AD412</f>
        <v>1000</v>
      </c>
      <c r="AQ412" s="1537">
        <f t="shared" ref="AQ412:AQ417" si="283">AP412-AE412</f>
        <v>1000</v>
      </c>
      <c r="AR412" s="1537">
        <f t="shared" ref="AR412:AR417" si="284">AQ412-AF412</f>
        <v>1000</v>
      </c>
    </row>
    <row r="413" spans="3:44" x14ac:dyDescent="0.3">
      <c r="C413" s="1566" t="s">
        <v>3295</v>
      </c>
      <c r="D413" s="1563" t="s">
        <v>3567</v>
      </c>
      <c r="E413" s="1556">
        <v>5</v>
      </c>
      <c r="F413" s="1518">
        <f t="shared" si="254"/>
        <v>5</v>
      </c>
      <c r="G413" s="1532">
        <f t="shared" si="255"/>
        <v>0</v>
      </c>
      <c r="H413" s="1533">
        <f t="shared" si="256"/>
        <v>0</v>
      </c>
      <c r="I413" s="1534">
        <f t="shared" si="257"/>
        <v>0.2</v>
      </c>
      <c r="J413" s="1519">
        <v>3300000</v>
      </c>
      <c r="N413" s="1519">
        <f t="shared" si="258"/>
        <v>3300000</v>
      </c>
      <c r="Q413" s="1557">
        <v>110000</v>
      </c>
      <c r="R413" s="1519">
        <f t="shared" si="259"/>
        <v>3300000</v>
      </c>
      <c r="S413" s="1519">
        <f t="shared" si="260"/>
        <v>3190000</v>
      </c>
      <c r="T413" s="1519">
        <f t="shared" si="261"/>
        <v>0</v>
      </c>
      <c r="U413" s="1535">
        <f t="shared" si="262"/>
        <v>55000</v>
      </c>
      <c r="V413" s="1537">
        <f t="shared" si="263"/>
        <v>165000</v>
      </c>
      <c r="W413" s="1519">
        <f t="shared" si="264"/>
        <v>660000</v>
      </c>
      <c r="X413" s="1537">
        <f t="shared" si="265"/>
        <v>660000</v>
      </c>
      <c r="Y413" s="1537">
        <f t="shared" si="266"/>
        <v>660000</v>
      </c>
      <c r="Z413" s="1537">
        <f t="shared" si="267"/>
        <v>660000</v>
      </c>
      <c r="AA413" s="1537">
        <f t="shared" si="268"/>
        <v>494000</v>
      </c>
      <c r="AB413" s="1537">
        <f t="shared" si="269"/>
        <v>0</v>
      </c>
      <c r="AC413" s="1537">
        <f t="shared" si="270"/>
        <v>0</v>
      </c>
      <c r="AD413" s="1537">
        <f t="shared" si="271"/>
        <v>0</v>
      </c>
      <c r="AE413" s="1537">
        <f t="shared" si="272"/>
        <v>0</v>
      </c>
      <c r="AF413" s="1536">
        <f t="shared" si="273"/>
        <v>0</v>
      </c>
      <c r="AG413" s="1555"/>
      <c r="AH413" s="1537">
        <f t="shared" si="274"/>
        <v>3135000</v>
      </c>
      <c r="AI413" s="1537">
        <f t="shared" si="275"/>
        <v>2475000</v>
      </c>
      <c r="AJ413" s="1537">
        <f t="shared" si="276"/>
        <v>1815000</v>
      </c>
      <c r="AK413" s="1537">
        <f t="shared" si="277"/>
        <v>1155000</v>
      </c>
      <c r="AL413" s="1537">
        <f t="shared" si="278"/>
        <v>495000</v>
      </c>
      <c r="AM413" s="1537">
        <f t="shared" si="279"/>
        <v>1000</v>
      </c>
      <c r="AN413" s="1537">
        <f t="shared" si="280"/>
        <v>1000</v>
      </c>
      <c r="AO413" s="1537">
        <f t="shared" si="281"/>
        <v>1000</v>
      </c>
      <c r="AP413" s="1537">
        <f t="shared" si="282"/>
        <v>1000</v>
      </c>
      <c r="AQ413" s="1537">
        <f t="shared" si="283"/>
        <v>1000</v>
      </c>
      <c r="AR413" s="1537">
        <f t="shared" si="284"/>
        <v>1000</v>
      </c>
    </row>
    <row r="414" spans="3:44" x14ac:dyDescent="0.3">
      <c r="C414" s="1566" t="s">
        <v>3296</v>
      </c>
      <c r="D414" s="1563" t="s">
        <v>3568</v>
      </c>
      <c r="E414" s="1556">
        <v>5</v>
      </c>
      <c r="F414" s="1518">
        <f t="shared" si="254"/>
        <v>5</v>
      </c>
      <c r="G414" s="1532">
        <f t="shared" si="255"/>
        <v>0</v>
      </c>
      <c r="H414" s="1533">
        <f t="shared" si="256"/>
        <v>0</v>
      </c>
      <c r="I414" s="1534">
        <f t="shared" si="257"/>
        <v>0.2</v>
      </c>
      <c r="J414" s="1519">
        <v>1710000</v>
      </c>
      <c r="N414" s="1519">
        <f t="shared" si="258"/>
        <v>1710000</v>
      </c>
      <c r="Q414" s="1557">
        <v>28500</v>
      </c>
      <c r="R414" s="1519">
        <f t="shared" si="259"/>
        <v>1710000</v>
      </c>
      <c r="S414" s="1519">
        <f t="shared" si="260"/>
        <v>1681500</v>
      </c>
      <c r="T414" s="1519">
        <f t="shared" si="261"/>
        <v>0</v>
      </c>
      <c r="U414" s="1535">
        <f t="shared" si="262"/>
        <v>28500</v>
      </c>
      <c r="V414" s="1537">
        <f t="shared" si="263"/>
        <v>57000</v>
      </c>
      <c r="W414" s="1519">
        <f t="shared" si="264"/>
        <v>342000</v>
      </c>
      <c r="X414" s="1537">
        <f t="shared" si="265"/>
        <v>342000</v>
      </c>
      <c r="Y414" s="1537">
        <f t="shared" si="266"/>
        <v>342000</v>
      </c>
      <c r="Z414" s="1537">
        <f t="shared" si="267"/>
        <v>342000</v>
      </c>
      <c r="AA414" s="1537">
        <f t="shared" si="268"/>
        <v>284000</v>
      </c>
      <c r="AB414" s="1537">
        <f t="shared" si="269"/>
        <v>0</v>
      </c>
      <c r="AC414" s="1537">
        <f t="shared" si="270"/>
        <v>0</v>
      </c>
      <c r="AD414" s="1537">
        <f t="shared" si="271"/>
        <v>0</v>
      </c>
      <c r="AE414" s="1537">
        <f t="shared" si="272"/>
        <v>0</v>
      </c>
      <c r="AF414" s="1536">
        <f t="shared" si="273"/>
        <v>0</v>
      </c>
      <c r="AG414" s="1555"/>
      <c r="AH414" s="1537">
        <f t="shared" si="274"/>
        <v>1653000</v>
      </c>
      <c r="AI414" s="1537">
        <f t="shared" si="275"/>
        <v>1311000</v>
      </c>
      <c r="AJ414" s="1537">
        <f t="shared" si="276"/>
        <v>969000</v>
      </c>
      <c r="AK414" s="1537">
        <f t="shared" si="277"/>
        <v>627000</v>
      </c>
      <c r="AL414" s="1537">
        <f t="shared" si="278"/>
        <v>285000</v>
      </c>
      <c r="AM414" s="1537">
        <f t="shared" si="279"/>
        <v>1000</v>
      </c>
      <c r="AN414" s="1537">
        <f t="shared" si="280"/>
        <v>1000</v>
      </c>
      <c r="AO414" s="1537">
        <f t="shared" si="281"/>
        <v>1000</v>
      </c>
      <c r="AP414" s="1537">
        <f t="shared" si="282"/>
        <v>1000</v>
      </c>
      <c r="AQ414" s="1537">
        <f t="shared" si="283"/>
        <v>1000</v>
      </c>
      <c r="AR414" s="1537">
        <f t="shared" si="284"/>
        <v>1000</v>
      </c>
    </row>
    <row r="415" spans="3:44" x14ac:dyDescent="0.3">
      <c r="C415" s="1566" t="s">
        <v>3294</v>
      </c>
      <c r="D415" s="1563" t="s">
        <v>3568</v>
      </c>
      <c r="E415" s="1556">
        <v>5</v>
      </c>
      <c r="F415" s="1518">
        <f t="shared" si="254"/>
        <v>5</v>
      </c>
      <c r="G415" s="1532">
        <f t="shared" si="255"/>
        <v>0</v>
      </c>
      <c r="H415" s="1533">
        <f t="shared" si="256"/>
        <v>0</v>
      </c>
      <c r="I415" s="1534">
        <f t="shared" si="257"/>
        <v>0.2</v>
      </c>
      <c r="J415" s="1519">
        <v>6200000</v>
      </c>
      <c r="N415" s="1519">
        <f t="shared" si="258"/>
        <v>6200000</v>
      </c>
      <c r="Q415" s="1557">
        <v>103333</v>
      </c>
      <c r="R415" s="1519">
        <f t="shared" si="259"/>
        <v>6200000</v>
      </c>
      <c r="S415" s="1519">
        <f t="shared" si="260"/>
        <v>6096667</v>
      </c>
      <c r="T415" s="1519">
        <f t="shared" si="261"/>
        <v>0</v>
      </c>
      <c r="U415" s="1535">
        <f t="shared" si="262"/>
        <v>103333.33333333333</v>
      </c>
      <c r="V415" s="1537">
        <f t="shared" si="263"/>
        <v>206666.33333333331</v>
      </c>
      <c r="W415" s="1519">
        <f t="shared" si="264"/>
        <v>1240000</v>
      </c>
      <c r="X415" s="1537">
        <f t="shared" si="265"/>
        <v>1240000</v>
      </c>
      <c r="Y415" s="1537">
        <f t="shared" si="266"/>
        <v>1240000</v>
      </c>
      <c r="Z415" s="1537">
        <f t="shared" si="267"/>
        <v>1240000</v>
      </c>
      <c r="AA415" s="1537">
        <f t="shared" si="268"/>
        <v>1032333.666666667</v>
      </c>
      <c r="AB415" s="1537">
        <f t="shared" si="269"/>
        <v>0</v>
      </c>
      <c r="AC415" s="1537">
        <f t="shared" si="270"/>
        <v>0</v>
      </c>
      <c r="AD415" s="1537">
        <f t="shared" si="271"/>
        <v>0</v>
      </c>
      <c r="AE415" s="1537">
        <f t="shared" si="272"/>
        <v>0</v>
      </c>
      <c r="AF415" s="1536">
        <f t="shared" si="273"/>
        <v>0</v>
      </c>
      <c r="AG415" s="1555"/>
      <c r="AH415" s="1537">
        <f t="shared" si="274"/>
        <v>5993333.666666667</v>
      </c>
      <c r="AI415" s="1537">
        <f t="shared" si="275"/>
        <v>4753333.666666667</v>
      </c>
      <c r="AJ415" s="1537">
        <f t="shared" si="276"/>
        <v>3513333.666666667</v>
      </c>
      <c r="AK415" s="1537">
        <f t="shared" si="277"/>
        <v>2273333.666666667</v>
      </c>
      <c r="AL415" s="1537">
        <f t="shared" si="278"/>
        <v>1033333.666666667</v>
      </c>
      <c r="AM415" s="1537">
        <f t="shared" si="279"/>
        <v>1000</v>
      </c>
      <c r="AN415" s="1537">
        <f t="shared" si="280"/>
        <v>1000</v>
      </c>
      <c r="AO415" s="1537">
        <f t="shared" si="281"/>
        <v>1000</v>
      </c>
      <c r="AP415" s="1537">
        <f t="shared" si="282"/>
        <v>1000</v>
      </c>
      <c r="AQ415" s="1537">
        <f t="shared" si="283"/>
        <v>1000</v>
      </c>
      <c r="AR415" s="1537">
        <f t="shared" si="284"/>
        <v>1000</v>
      </c>
    </row>
    <row r="416" spans="3:44" x14ac:dyDescent="0.3">
      <c r="C416" s="1566" t="s">
        <v>3289</v>
      </c>
      <c r="D416" s="1563" t="s">
        <v>3569</v>
      </c>
      <c r="E416" s="1556">
        <v>5</v>
      </c>
      <c r="F416" s="1518">
        <f t="shared" si="254"/>
        <v>5</v>
      </c>
      <c r="G416" s="1532">
        <f t="shared" si="255"/>
        <v>0</v>
      </c>
      <c r="H416" s="1533">
        <f t="shared" si="256"/>
        <v>0</v>
      </c>
      <c r="I416" s="1534">
        <f t="shared" si="257"/>
        <v>0.2</v>
      </c>
      <c r="J416" s="1519">
        <v>4280000</v>
      </c>
      <c r="N416" s="1519">
        <f t="shared" si="258"/>
        <v>4280000</v>
      </c>
      <c r="Q416" s="1557">
        <v>71333</v>
      </c>
      <c r="R416" s="1519">
        <f t="shared" si="259"/>
        <v>4280000</v>
      </c>
      <c r="S416" s="1519">
        <f t="shared" si="260"/>
        <v>4208667</v>
      </c>
      <c r="T416" s="1519">
        <f t="shared" si="261"/>
        <v>0</v>
      </c>
      <c r="U416" s="1535">
        <f t="shared" si="262"/>
        <v>71333.333333333328</v>
      </c>
      <c r="V416" s="1537">
        <f t="shared" si="263"/>
        <v>142666.33333333331</v>
      </c>
      <c r="W416" s="1519">
        <f t="shared" si="264"/>
        <v>856000</v>
      </c>
      <c r="X416" s="1537">
        <f t="shared" si="265"/>
        <v>856000</v>
      </c>
      <c r="Y416" s="1537">
        <f t="shared" si="266"/>
        <v>856000</v>
      </c>
      <c r="Z416" s="1537">
        <f t="shared" si="267"/>
        <v>856000</v>
      </c>
      <c r="AA416" s="1537">
        <f t="shared" si="268"/>
        <v>712333.66666666651</v>
      </c>
      <c r="AB416" s="1537">
        <f t="shared" si="269"/>
        <v>0</v>
      </c>
      <c r="AC416" s="1537">
        <f t="shared" si="270"/>
        <v>0</v>
      </c>
      <c r="AD416" s="1537">
        <f t="shared" si="271"/>
        <v>0</v>
      </c>
      <c r="AE416" s="1537">
        <f t="shared" si="272"/>
        <v>0</v>
      </c>
      <c r="AF416" s="1536">
        <f t="shared" si="273"/>
        <v>0</v>
      </c>
      <c r="AG416" s="1555"/>
      <c r="AH416" s="1537">
        <f t="shared" si="274"/>
        <v>4137333.6666666665</v>
      </c>
      <c r="AI416" s="1537">
        <f t="shared" si="275"/>
        <v>3281333.6666666665</v>
      </c>
      <c r="AJ416" s="1537">
        <f t="shared" si="276"/>
        <v>2425333.6666666665</v>
      </c>
      <c r="AK416" s="1537">
        <f t="shared" si="277"/>
        <v>1569333.6666666665</v>
      </c>
      <c r="AL416" s="1537">
        <f t="shared" si="278"/>
        <v>713333.66666666651</v>
      </c>
      <c r="AM416" s="1537">
        <f t="shared" si="279"/>
        <v>1000</v>
      </c>
      <c r="AN416" s="1537">
        <f t="shared" si="280"/>
        <v>1000</v>
      </c>
      <c r="AO416" s="1537">
        <f t="shared" si="281"/>
        <v>1000</v>
      </c>
      <c r="AP416" s="1537">
        <f t="shared" si="282"/>
        <v>1000</v>
      </c>
      <c r="AQ416" s="1537">
        <f t="shared" si="283"/>
        <v>1000</v>
      </c>
      <c r="AR416" s="1537">
        <f t="shared" si="284"/>
        <v>1000</v>
      </c>
    </row>
    <row r="417" spans="2:44" x14ac:dyDescent="0.3">
      <c r="C417" s="1566" t="s">
        <v>3297</v>
      </c>
      <c r="D417" s="1563" t="s">
        <v>3570</v>
      </c>
      <c r="E417" s="1556">
        <v>5</v>
      </c>
      <c r="F417" s="1518">
        <f t="shared" si="254"/>
        <v>5</v>
      </c>
      <c r="G417" s="1532">
        <f t="shared" si="255"/>
        <v>0</v>
      </c>
      <c r="H417" s="1533">
        <f t="shared" si="256"/>
        <v>0</v>
      </c>
      <c r="I417" s="1534">
        <f t="shared" si="257"/>
        <v>0.2</v>
      </c>
      <c r="J417" s="1519">
        <v>1390000</v>
      </c>
      <c r="N417" s="1519">
        <f t="shared" si="258"/>
        <v>1390000</v>
      </c>
      <c r="Q417" s="1557">
        <v>23167</v>
      </c>
      <c r="R417" s="1519">
        <f t="shared" si="259"/>
        <v>1390000</v>
      </c>
      <c r="S417" s="1519">
        <f t="shared" si="260"/>
        <v>1366833</v>
      </c>
      <c r="T417" s="1519">
        <f t="shared" si="261"/>
        <v>0</v>
      </c>
      <c r="U417" s="1535">
        <f t="shared" si="262"/>
        <v>23166.666666666668</v>
      </c>
      <c r="V417" s="1537">
        <f t="shared" si="263"/>
        <v>46333.666666666672</v>
      </c>
      <c r="W417" s="1519">
        <f t="shared" si="264"/>
        <v>278000</v>
      </c>
      <c r="X417" s="1537">
        <f t="shared" si="265"/>
        <v>278000</v>
      </c>
      <c r="Y417" s="1537">
        <f t="shared" si="266"/>
        <v>278000</v>
      </c>
      <c r="Z417" s="1537">
        <f t="shared" si="267"/>
        <v>278000</v>
      </c>
      <c r="AA417" s="1537">
        <f t="shared" si="268"/>
        <v>230666.33333333326</v>
      </c>
      <c r="AB417" s="1537">
        <f t="shared" si="269"/>
        <v>0</v>
      </c>
      <c r="AC417" s="1537">
        <f t="shared" si="270"/>
        <v>0</v>
      </c>
      <c r="AD417" s="1537">
        <f t="shared" si="271"/>
        <v>0</v>
      </c>
      <c r="AE417" s="1537">
        <f t="shared" si="272"/>
        <v>0</v>
      </c>
      <c r="AF417" s="1536">
        <f t="shared" si="273"/>
        <v>0</v>
      </c>
      <c r="AG417" s="1555"/>
      <c r="AH417" s="1537">
        <f t="shared" si="274"/>
        <v>1343666.3333333333</v>
      </c>
      <c r="AI417" s="1537">
        <f t="shared" si="275"/>
        <v>1065666.3333333333</v>
      </c>
      <c r="AJ417" s="1537">
        <f t="shared" si="276"/>
        <v>787666.33333333326</v>
      </c>
      <c r="AK417" s="1537">
        <f t="shared" si="277"/>
        <v>509666.33333333326</v>
      </c>
      <c r="AL417" s="1537">
        <f t="shared" si="278"/>
        <v>231666.33333333326</v>
      </c>
      <c r="AM417" s="1537">
        <f t="shared" si="279"/>
        <v>1000</v>
      </c>
      <c r="AN417" s="1537">
        <f t="shared" si="280"/>
        <v>1000</v>
      </c>
      <c r="AO417" s="1537">
        <f t="shared" si="281"/>
        <v>1000</v>
      </c>
      <c r="AP417" s="1537">
        <f t="shared" si="282"/>
        <v>1000</v>
      </c>
      <c r="AQ417" s="1537">
        <f t="shared" si="283"/>
        <v>1000</v>
      </c>
      <c r="AR417" s="1537">
        <f t="shared" si="284"/>
        <v>1000</v>
      </c>
    </row>
    <row r="418" spans="2:44" x14ac:dyDescent="0.3">
      <c r="B418" s="1541" t="s">
        <v>2921</v>
      </c>
      <c r="C418" s="1541"/>
      <c r="D418" s="1542"/>
      <c r="E418" s="1543"/>
      <c r="F418" s="1543"/>
      <c r="G418" s="1543"/>
      <c r="H418" s="1543"/>
      <c r="I418" s="1541"/>
      <c r="J418" s="1541"/>
      <c r="K418" s="1541"/>
      <c r="L418" s="1541"/>
      <c r="M418" s="1541"/>
      <c r="N418" s="1541"/>
      <c r="O418" s="1541"/>
      <c r="P418" s="1541"/>
      <c r="Q418" s="1544">
        <f>SUM(Q92:Q417)</f>
        <v>206341119.61666667</v>
      </c>
      <c r="R418" s="1544"/>
      <c r="S418" s="1541"/>
      <c r="T418" s="1541"/>
      <c r="U418" s="1568">
        <f t="shared" ref="U418:AF418" si="285">SUM(U92:U417)</f>
        <v>19283280.949999992</v>
      </c>
      <c r="V418" s="1544">
        <f t="shared" si="285"/>
        <v>225624400.56666675</v>
      </c>
      <c r="W418" s="1544">
        <f t="shared" si="285"/>
        <v>204080978.00000003</v>
      </c>
      <c r="X418" s="1544">
        <f t="shared" si="285"/>
        <v>133138193.46666667</v>
      </c>
      <c r="Y418" s="1544">
        <f t="shared" si="285"/>
        <v>87451349.133333325</v>
      </c>
      <c r="Z418" s="1544">
        <f t="shared" si="285"/>
        <v>60241360.466666661</v>
      </c>
      <c r="AA418" s="1545">
        <f t="shared" si="285"/>
        <v>17178427.983333334</v>
      </c>
      <c r="AB418" s="1545">
        <f t="shared" si="285"/>
        <v>0</v>
      </c>
      <c r="AC418" s="1545">
        <f t="shared" si="285"/>
        <v>0</v>
      </c>
      <c r="AD418" s="1545">
        <f t="shared" si="285"/>
        <v>0</v>
      </c>
      <c r="AE418" s="1546">
        <f t="shared" si="285"/>
        <v>0</v>
      </c>
      <c r="AF418" s="1547">
        <f t="shared" si="285"/>
        <v>0</v>
      </c>
      <c r="AG418" s="1541"/>
      <c r="AH418" s="1545">
        <f t="shared" ref="AH418" si="286">SUM(AH92:AH417)</f>
        <v>502413309.05000031</v>
      </c>
      <c r="AI418" s="1545">
        <f t="shared" ref="AI418" si="287">SUM(AI92:AI417)</f>
        <v>298332331.05000007</v>
      </c>
      <c r="AJ418" s="1545">
        <f t="shared" ref="AJ418" si="288">SUM(AJ92:AJ417)</f>
        <v>165194137.58333328</v>
      </c>
      <c r="AK418" s="1545">
        <f t="shared" ref="AK418" si="289">SUM(AK92:AK417)</f>
        <v>77742788.449999988</v>
      </c>
      <c r="AL418" s="1545">
        <f t="shared" ref="AL418" si="290">SUM(AL92:AL417)</f>
        <v>17501427.983333334</v>
      </c>
      <c r="AM418" s="1545">
        <f t="shared" ref="AM418" si="291">SUM(AM92:AM417)</f>
        <v>323000</v>
      </c>
      <c r="AN418" s="1545">
        <f t="shared" ref="AN418" si="292">SUM(AN92:AN417)</f>
        <v>323000</v>
      </c>
      <c r="AO418" s="1545">
        <f t="shared" ref="AO418" si="293">SUM(AO92:AO417)</f>
        <v>323000</v>
      </c>
      <c r="AP418" s="1545">
        <f t="shared" ref="AP418" si="294">SUM(AP92:AP417)</f>
        <v>323000</v>
      </c>
      <c r="AQ418" s="1545">
        <f t="shared" ref="AQ418" si="295">SUM(AQ92:AQ417)</f>
        <v>323000</v>
      </c>
      <c r="AR418" s="1545">
        <f t="shared" ref="AR418" si="296">SUM(AR92:AR417)</f>
        <v>323000</v>
      </c>
    </row>
    <row r="420" spans="2:44" x14ac:dyDescent="0.3">
      <c r="B420" s="1498" t="s">
        <v>3571</v>
      </c>
      <c r="C420" s="1498" t="s">
        <v>3572</v>
      </c>
      <c r="D420" s="1563" t="s">
        <v>3004</v>
      </c>
      <c r="E420" s="1518">
        <v>4</v>
      </c>
      <c r="F420" s="1518">
        <f t="shared" ref="F420:F458" si="297">E420-(YEAR($E$4)-YEAR(D420))</f>
        <v>-5</v>
      </c>
      <c r="G420" s="1532">
        <f t="shared" ref="G420:G458" si="298">IF(YEAR(D420)=YEAR($E$4),IF($E$2=$E$4,0,IF(D420&lt;$E$4,$E$2-$E$4,$E$2-D420)),$E$2-$E$4)</f>
        <v>0</v>
      </c>
      <c r="H420" s="1533">
        <f t="shared" ref="H420:H458" si="299">IF(YEAR(D420)=YEAR($E$4),G420/365,IF($E$2=$E$4,G420/365,($E$2-$E$4)/365))</f>
        <v>0</v>
      </c>
      <c r="I420" s="1534">
        <f t="shared" ref="I420:I458" si="300">1/E420</f>
        <v>0.25</v>
      </c>
      <c r="J420" s="1519">
        <v>65186667</v>
      </c>
      <c r="K420" s="1519">
        <v>65185667</v>
      </c>
      <c r="N420" s="1519">
        <f t="shared" ref="N420:N458" si="301">ROUND(J420-K420-L420+M420,)</f>
        <v>1000</v>
      </c>
      <c r="Q420" s="1557">
        <v>0</v>
      </c>
      <c r="R420" s="1519">
        <f t="shared" ref="R420:R458" si="302">J420+O420-P420</f>
        <v>65186667</v>
      </c>
      <c r="S420" s="1519">
        <f t="shared" ref="S420:S458" si="303">ROUND(N420+O420-P420-Q420,)</f>
        <v>1000</v>
      </c>
      <c r="T420" s="1519">
        <f t="shared" ref="T420:T458" si="304">J420-K420-L420+M420+O420-P420-Q420-S420</f>
        <v>0</v>
      </c>
      <c r="U420" s="1535">
        <f t="shared" ref="U420:U458" si="305">IF(S420&gt;1000,IF(S420-R420*(1/12)*I420&gt;1000,R420*(1/12)*I420,S420-1000),)</f>
        <v>0</v>
      </c>
      <c r="V420" s="1537">
        <f t="shared" ref="V420:V458" si="306">Q420+U420</f>
        <v>0</v>
      </c>
      <c r="W420" s="1519">
        <f t="shared" ref="W420:W458" si="307">IF(AH420&gt;1000,IF(AH420-$I420*$R420&gt;1000,$I420*$R420,AH420-1000),)</f>
        <v>0</v>
      </c>
      <c r="X420" s="1537">
        <f t="shared" ref="X420:X458" si="308">IF(AI420&gt;1000,IF(AI420-$I420*$R420&gt;1000,$I420*$R420,AI420-1000),)</f>
        <v>0</v>
      </c>
      <c r="Y420" s="1537">
        <f t="shared" ref="Y420:Y458" si="309">IF(AJ420&gt;1000,IF(AJ420-$I420*$R420&gt;1000,$I420*$R420,AJ420-1000),)</f>
        <v>0</v>
      </c>
      <c r="Z420" s="1537">
        <f t="shared" ref="Z420:Z458" si="310">IF(AK420&gt;1000,IF(AK420-$I420*$R420&gt;1000,$I420*$R420,AK420-1000),)</f>
        <v>0</v>
      </c>
      <c r="AA420" s="1537">
        <f t="shared" ref="AA420:AA458" si="311">IF(AL420&gt;1000,IF(AL420-$I420*$R420&gt;1000,$I420*$R420,AL420-1000),)</f>
        <v>0</v>
      </c>
      <c r="AB420" s="1537">
        <f t="shared" ref="AB420:AB458" si="312">IF(AM420&gt;1000,IF(AM420-$I420*$R420&gt;1000,$I420*$R420,AM420-1000),)</f>
        <v>0</v>
      </c>
      <c r="AC420" s="1537">
        <f t="shared" ref="AC420:AC458" si="313">IF(AN420&gt;1000,IF(AN420-$I420*$R420&gt;1000,$I420*$R420,AN420-1000),)</f>
        <v>0</v>
      </c>
      <c r="AD420" s="1537">
        <f t="shared" ref="AD420:AD458" si="314">IF(AO420&gt;1000,IF(AO420-$I420*$R420&gt;1000,$I420*$R420,AO420-1000),)</f>
        <v>0</v>
      </c>
      <c r="AE420" s="1537">
        <f t="shared" ref="AE420:AE458" si="315">IF(AP420&gt;1000,IF(AP420-$I420*$R420&gt;1000,$I420*$R420,AP420-1000),)</f>
        <v>0</v>
      </c>
      <c r="AF420" s="1536">
        <f t="shared" ref="AF420:AF458" si="316">IF(AQ420&gt;1000,IF(AQ420-$I420*$R420&gt;1000,$I420*$R420,AQ420-1000),)</f>
        <v>0</v>
      </c>
      <c r="AG420" s="1555"/>
      <c r="AH420" s="1537">
        <f t="shared" ref="AH420:AH458" si="317">S420-U420</f>
        <v>1000</v>
      </c>
      <c r="AI420" s="1537">
        <f t="shared" ref="AI420:AI458" si="318">AH420-W420</f>
        <v>1000</v>
      </c>
      <c r="AJ420" s="1537">
        <f t="shared" ref="AJ420:AJ458" si="319">AI420-X420</f>
        <v>1000</v>
      </c>
      <c r="AK420" s="1537">
        <f t="shared" ref="AK420:AK458" si="320">AJ420-Y420</f>
        <v>1000</v>
      </c>
      <c r="AL420" s="1537">
        <f t="shared" ref="AL420:AL458" si="321">AK420-Z420</f>
        <v>1000</v>
      </c>
      <c r="AM420" s="1537">
        <f t="shared" ref="AM420:AM458" si="322">AL420-AA420</f>
        <v>1000</v>
      </c>
      <c r="AN420" s="1537">
        <f t="shared" ref="AN420:AN458" si="323">AM420-AB420</f>
        <v>1000</v>
      </c>
      <c r="AO420" s="1537">
        <f t="shared" ref="AO420:AO458" si="324">AN420-AC420</f>
        <v>1000</v>
      </c>
      <c r="AP420" s="1537">
        <f t="shared" ref="AP420:AP458" si="325">AO420-AD420</f>
        <v>1000</v>
      </c>
      <c r="AQ420" s="1537">
        <f t="shared" ref="AQ420:AQ458" si="326">AP420-AE420</f>
        <v>1000</v>
      </c>
      <c r="AR420" s="1537">
        <f t="shared" ref="AR420:AR458" si="327">AQ420-AF420</f>
        <v>1000</v>
      </c>
    </row>
    <row r="421" spans="2:44" x14ac:dyDescent="0.3">
      <c r="C421" s="1498" t="s">
        <v>3573</v>
      </c>
      <c r="D421" s="1563" t="s">
        <v>3004</v>
      </c>
      <c r="E421" s="1518">
        <v>5</v>
      </c>
      <c r="F421" s="1518">
        <f t="shared" si="297"/>
        <v>-4</v>
      </c>
      <c r="G421" s="1532">
        <f t="shared" si="298"/>
        <v>0</v>
      </c>
      <c r="H421" s="1533">
        <f t="shared" si="299"/>
        <v>0</v>
      </c>
      <c r="I421" s="1534">
        <f t="shared" si="300"/>
        <v>0.2</v>
      </c>
      <c r="J421" s="1519">
        <v>1933334</v>
      </c>
      <c r="K421" s="1519">
        <v>1932334</v>
      </c>
      <c r="N421" s="1519">
        <f t="shared" si="301"/>
        <v>1000</v>
      </c>
      <c r="Q421" s="1557">
        <v>0</v>
      </c>
      <c r="R421" s="1519">
        <f t="shared" si="302"/>
        <v>1933334</v>
      </c>
      <c r="S421" s="1519">
        <f t="shared" si="303"/>
        <v>1000</v>
      </c>
      <c r="T421" s="1519">
        <f t="shared" si="304"/>
        <v>0</v>
      </c>
      <c r="U421" s="1535">
        <f t="shared" si="305"/>
        <v>0</v>
      </c>
      <c r="V421" s="1537">
        <f t="shared" si="306"/>
        <v>0</v>
      </c>
      <c r="W421" s="1519">
        <f t="shared" si="307"/>
        <v>0</v>
      </c>
      <c r="X421" s="1537">
        <f t="shared" si="308"/>
        <v>0</v>
      </c>
      <c r="Y421" s="1537">
        <f t="shared" si="309"/>
        <v>0</v>
      </c>
      <c r="Z421" s="1537">
        <f t="shared" si="310"/>
        <v>0</v>
      </c>
      <c r="AA421" s="1537">
        <f t="shared" si="311"/>
        <v>0</v>
      </c>
      <c r="AB421" s="1537">
        <f t="shared" si="312"/>
        <v>0</v>
      </c>
      <c r="AC421" s="1537">
        <f t="shared" si="313"/>
        <v>0</v>
      </c>
      <c r="AD421" s="1537">
        <f t="shared" si="314"/>
        <v>0</v>
      </c>
      <c r="AE421" s="1537">
        <f t="shared" si="315"/>
        <v>0</v>
      </c>
      <c r="AF421" s="1536">
        <f t="shared" si="316"/>
        <v>0</v>
      </c>
      <c r="AG421" s="1555"/>
      <c r="AH421" s="1537">
        <f t="shared" si="317"/>
        <v>1000</v>
      </c>
      <c r="AI421" s="1537">
        <f t="shared" si="318"/>
        <v>1000</v>
      </c>
      <c r="AJ421" s="1537">
        <f t="shared" si="319"/>
        <v>1000</v>
      </c>
      <c r="AK421" s="1537">
        <f t="shared" si="320"/>
        <v>1000</v>
      </c>
      <c r="AL421" s="1537">
        <f t="shared" si="321"/>
        <v>1000</v>
      </c>
      <c r="AM421" s="1537">
        <f t="shared" si="322"/>
        <v>1000</v>
      </c>
      <c r="AN421" s="1537">
        <f t="shared" si="323"/>
        <v>1000</v>
      </c>
      <c r="AO421" s="1537">
        <f t="shared" si="324"/>
        <v>1000</v>
      </c>
      <c r="AP421" s="1537">
        <f t="shared" si="325"/>
        <v>1000</v>
      </c>
      <c r="AQ421" s="1537">
        <f t="shared" si="326"/>
        <v>1000</v>
      </c>
      <c r="AR421" s="1537">
        <f t="shared" si="327"/>
        <v>1000</v>
      </c>
    </row>
    <row r="422" spans="2:44" x14ac:dyDescent="0.3">
      <c r="C422" s="1498" t="s">
        <v>3574</v>
      </c>
      <c r="D422" s="1563" t="s">
        <v>3004</v>
      </c>
      <c r="E422" s="1518">
        <v>5</v>
      </c>
      <c r="F422" s="1518">
        <f t="shared" si="297"/>
        <v>-4</v>
      </c>
      <c r="G422" s="1532">
        <f t="shared" si="298"/>
        <v>0</v>
      </c>
      <c r="H422" s="1533">
        <f t="shared" si="299"/>
        <v>0</v>
      </c>
      <c r="I422" s="1534">
        <f t="shared" si="300"/>
        <v>0.2</v>
      </c>
      <c r="J422" s="1519">
        <v>251521</v>
      </c>
      <c r="K422" s="1519">
        <v>250521</v>
      </c>
      <c r="N422" s="1519">
        <f t="shared" si="301"/>
        <v>1000</v>
      </c>
      <c r="Q422" s="1557">
        <v>0</v>
      </c>
      <c r="R422" s="1519">
        <f t="shared" si="302"/>
        <v>251521</v>
      </c>
      <c r="S422" s="1519">
        <f t="shared" si="303"/>
        <v>1000</v>
      </c>
      <c r="T422" s="1519">
        <f t="shared" si="304"/>
        <v>0</v>
      </c>
      <c r="U422" s="1535">
        <f t="shared" si="305"/>
        <v>0</v>
      </c>
      <c r="V422" s="1537">
        <f t="shared" si="306"/>
        <v>0</v>
      </c>
      <c r="W422" s="1519">
        <f t="shared" si="307"/>
        <v>0</v>
      </c>
      <c r="X422" s="1537">
        <f t="shared" si="308"/>
        <v>0</v>
      </c>
      <c r="Y422" s="1537">
        <f t="shared" si="309"/>
        <v>0</v>
      </c>
      <c r="Z422" s="1537">
        <f t="shared" si="310"/>
        <v>0</v>
      </c>
      <c r="AA422" s="1537">
        <f t="shared" si="311"/>
        <v>0</v>
      </c>
      <c r="AB422" s="1537">
        <f t="shared" si="312"/>
        <v>0</v>
      </c>
      <c r="AC422" s="1537">
        <f t="shared" si="313"/>
        <v>0</v>
      </c>
      <c r="AD422" s="1537">
        <f t="shared" si="314"/>
        <v>0</v>
      </c>
      <c r="AE422" s="1537">
        <f t="shared" si="315"/>
        <v>0</v>
      </c>
      <c r="AF422" s="1536">
        <f t="shared" si="316"/>
        <v>0</v>
      </c>
      <c r="AG422" s="1555"/>
      <c r="AH422" s="1537">
        <f t="shared" si="317"/>
        <v>1000</v>
      </c>
      <c r="AI422" s="1537">
        <f t="shared" si="318"/>
        <v>1000</v>
      </c>
      <c r="AJ422" s="1537">
        <f t="shared" si="319"/>
        <v>1000</v>
      </c>
      <c r="AK422" s="1537">
        <f t="shared" si="320"/>
        <v>1000</v>
      </c>
      <c r="AL422" s="1537">
        <f t="shared" si="321"/>
        <v>1000</v>
      </c>
      <c r="AM422" s="1537">
        <f t="shared" si="322"/>
        <v>1000</v>
      </c>
      <c r="AN422" s="1537">
        <f t="shared" si="323"/>
        <v>1000</v>
      </c>
      <c r="AO422" s="1537">
        <f t="shared" si="324"/>
        <v>1000</v>
      </c>
      <c r="AP422" s="1537">
        <f t="shared" si="325"/>
        <v>1000</v>
      </c>
      <c r="AQ422" s="1537">
        <f t="shared" si="326"/>
        <v>1000</v>
      </c>
      <c r="AR422" s="1537">
        <f t="shared" si="327"/>
        <v>1000</v>
      </c>
    </row>
    <row r="423" spans="2:44" x14ac:dyDescent="0.3">
      <c r="C423" s="1498" t="s">
        <v>3575</v>
      </c>
      <c r="D423" s="1563" t="s">
        <v>3611</v>
      </c>
      <c r="E423" s="1518">
        <v>5</v>
      </c>
      <c r="F423" s="1518">
        <f t="shared" si="297"/>
        <v>-2</v>
      </c>
      <c r="G423" s="1532">
        <f t="shared" si="298"/>
        <v>0</v>
      </c>
      <c r="H423" s="1533">
        <f t="shared" si="299"/>
        <v>0</v>
      </c>
      <c r="I423" s="1534">
        <f t="shared" si="300"/>
        <v>0.2</v>
      </c>
      <c r="J423" s="1519">
        <v>33462000</v>
      </c>
      <c r="K423" s="1519">
        <v>33461000</v>
      </c>
      <c r="N423" s="1519">
        <f t="shared" si="301"/>
        <v>1000</v>
      </c>
      <c r="Q423" s="1557">
        <v>0</v>
      </c>
      <c r="R423" s="1519">
        <f t="shared" si="302"/>
        <v>33462000</v>
      </c>
      <c r="S423" s="1519">
        <f t="shared" si="303"/>
        <v>1000</v>
      </c>
      <c r="T423" s="1519">
        <f t="shared" si="304"/>
        <v>0</v>
      </c>
      <c r="U423" s="1535">
        <f t="shared" si="305"/>
        <v>0</v>
      </c>
      <c r="V423" s="1537">
        <f t="shared" si="306"/>
        <v>0</v>
      </c>
      <c r="W423" s="1519">
        <f t="shared" si="307"/>
        <v>0</v>
      </c>
      <c r="X423" s="1537">
        <f t="shared" si="308"/>
        <v>0</v>
      </c>
      <c r="Y423" s="1537">
        <f t="shared" si="309"/>
        <v>0</v>
      </c>
      <c r="Z423" s="1537">
        <f t="shared" si="310"/>
        <v>0</v>
      </c>
      <c r="AA423" s="1537">
        <f t="shared" si="311"/>
        <v>0</v>
      </c>
      <c r="AB423" s="1537">
        <f t="shared" si="312"/>
        <v>0</v>
      </c>
      <c r="AC423" s="1537">
        <f t="shared" si="313"/>
        <v>0</v>
      </c>
      <c r="AD423" s="1537">
        <f t="shared" si="314"/>
        <v>0</v>
      </c>
      <c r="AE423" s="1537">
        <f t="shared" si="315"/>
        <v>0</v>
      </c>
      <c r="AF423" s="1536">
        <f t="shared" si="316"/>
        <v>0</v>
      </c>
      <c r="AG423" s="1555"/>
      <c r="AH423" s="1537">
        <f t="shared" si="317"/>
        <v>1000</v>
      </c>
      <c r="AI423" s="1537">
        <f t="shared" si="318"/>
        <v>1000</v>
      </c>
      <c r="AJ423" s="1537">
        <f t="shared" si="319"/>
        <v>1000</v>
      </c>
      <c r="AK423" s="1537">
        <f t="shared" si="320"/>
        <v>1000</v>
      </c>
      <c r="AL423" s="1537">
        <f t="shared" si="321"/>
        <v>1000</v>
      </c>
      <c r="AM423" s="1537">
        <f t="shared" si="322"/>
        <v>1000</v>
      </c>
      <c r="AN423" s="1537">
        <f t="shared" si="323"/>
        <v>1000</v>
      </c>
      <c r="AO423" s="1537">
        <f t="shared" si="324"/>
        <v>1000</v>
      </c>
      <c r="AP423" s="1537">
        <f t="shared" si="325"/>
        <v>1000</v>
      </c>
      <c r="AQ423" s="1537">
        <f t="shared" si="326"/>
        <v>1000</v>
      </c>
      <c r="AR423" s="1537">
        <f t="shared" si="327"/>
        <v>1000</v>
      </c>
    </row>
    <row r="424" spans="2:44" x14ac:dyDescent="0.3">
      <c r="C424" s="1498" t="s">
        <v>3576</v>
      </c>
      <c r="D424" s="1563" t="s">
        <v>3612</v>
      </c>
      <c r="E424" s="1518">
        <v>5</v>
      </c>
      <c r="F424" s="1518">
        <f t="shared" si="297"/>
        <v>1</v>
      </c>
      <c r="G424" s="1532">
        <f t="shared" si="298"/>
        <v>0</v>
      </c>
      <c r="H424" s="1533">
        <f t="shared" si="299"/>
        <v>0</v>
      </c>
      <c r="I424" s="1534">
        <f t="shared" si="300"/>
        <v>0.2</v>
      </c>
      <c r="J424" s="1519">
        <v>3500000</v>
      </c>
      <c r="K424" s="1519">
        <v>2450000</v>
      </c>
      <c r="N424" s="1519">
        <f t="shared" si="301"/>
        <v>1050000</v>
      </c>
      <c r="Q424" s="1557">
        <v>641667</v>
      </c>
      <c r="R424" s="1519">
        <f t="shared" si="302"/>
        <v>3500000</v>
      </c>
      <c r="S424" s="1519">
        <f t="shared" si="303"/>
        <v>408333</v>
      </c>
      <c r="T424" s="1519">
        <f t="shared" si="304"/>
        <v>0</v>
      </c>
      <c r="U424" s="1535">
        <f t="shared" si="305"/>
        <v>58333.333333333328</v>
      </c>
      <c r="V424" s="1537">
        <f t="shared" si="306"/>
        <v>700000.33333333337</v>
      </c>
      <c r="W424" s="1519">
        <f t="shared" si="307"/>
        <v>348999.66666666669</v>
      </c>
      <c r="X424" s="1537">
        <f t="shared" si="308"/>
        <v>0</v>
      </c>
      <c r="Y424" s="1537">
        <f t="shared" si="309"/>
        <v>0</v>
      </c>
      <c r="Z424" s="1537">
        <f t="shared" si="310"/>
        <v>0</v>
      </c>
      <c r="AA424" s="1537">
        <f t="shared" si="311"/>
        <v>0</v>
      </c>
      <c r="AB424" s="1537">
        <f t="shared" si="312"/>
        <v>0</v>
      </c>
      <c r="AC424" s="1537">
        <f t="shared" si="313"/>
        <v>0</v>
      </c>
      <c r="AD424" s="1537">
        <f t="shared" si="314"/>
        <v>0</v>
      </c>
      <c r="AE424" s="1537">
        <f t="shared" si="315"/>
        <v>0</v>
      </c>
      <c r="AF424" s="1536">
        <f t="shared" si="316"/>
        <v>0</v>
      </c>
      <c r="AG424" s="1555"/>
      <c r="AH424" s="1537">
        <f t="shared" si="317"/>
        <v>349999.66666666669</v>
      </c>
      <c r="AI424" s="1537">
        <f t="shared" si="318"/>
        <v>1000</v>
      </c>
      <c r="AJ424" s="1537">
        <f t="shared" si="319"/>
        <v>1000</v>
      </c>
      <c r="AK424" s="1537">
        <f t="shared" si="320"/>
        <v>1000</v>
      </c>
      <c r="AL424" s="1537">
        <f t="shared" si="321"/>
        <v>1000</v>
      </c>
      <c r="AM424" s="1537">
        <f t="shared" si="322"/>
        <v>1000</v>
      </c>
      <c r="AN424" s="1537">
        <f t="shared" si="323"/>
        <v>1000</v>
      </c>
      <c r="AO424" s="1537">
        <f t="shared" si="324"/>
        <v>1000</v>
      </c>
      <c r="AP424" s="1537">
        <f t="shared" si="325"/>
        <v>1000</v>
      </c>
      <c r="AQ424" s="1537">
        <f t="shared" si="326"/>
        <v>1000</v>
      </c>
      <c r="AR424" s="1537">
        <f t="shared" si="327"/>
        <v>1000</v>
      </c>
    </row>
    <row r="425" spans="2:44" x14ac:dyDescent="0.3">
      <c r="C425" s="1498" t="s">
        <v>3577</v>
      </c>
      <c r="D425" s="1563" t="s">
        <v>3613</v>
      </c>
      <c r="E425" s="1518">
        <v>5</v>
      </c>
      <c r="F425" s="1518">
        <f t="shared" si="297"/>
        <v>1</v>
      </c>
      <c r="G425" s="1532">
        <f t="shared" si="298"/>
        <v>0</v>
      </c>
      <c r="H425" s="1533">
        <f t="shared" si="299"/>
        <v>0</v>
      </c>
      <c r="I425" s="1534">
        <f t="shared" si="300"/>
        <v>0.2</v>
      </c>
      <c r="J425" s="1519">
        <v>94976320</v>
      </c>
      <c r="K425" s="1519">
        <v>64864069</v>
      </c>
      <c r="N425" s="1519">
        <f t="shared" si="301"/>
        <v>30112251</v>
      </c>
      <c r="Q425" s="1557">
        <v>17433409</v>
      </c>
      <c r="R425" s="1519">
        <f t="shared" si="302"/>
        <v>94976320</v>
      </c>
      <c r="S425" s="1519">
        <f t="shared" si="303"/>
        <v>12678842</v>
      </c>
      <c r="T425" s="1519">
        <f t="shared" si="304"/>
        <v>0</v>
      </c>
      <c r="U425" s="1535">
        <f t="shared" si="305"/>
        <v>1582938.6666666667</v>
      </c>
      <c r="V425" s="1537">
        <f t="shared" si="306"/>
        <v>19016347.666666668</v>
      </c>
      <c r="W425" s="1519">
        <f t="shared" si="307"/>
        <v>11094903.333333334</v>
      </c>
      <c r="X425" s="1537">
        <f t="shared" si="308"/>
        <v>0</v>
      </c>
      <c r="Y425" s="1537">
        <f t="shared" si="309"/>
        <v>0</v>
      </c>
      <c r="Z425" s="1537">
        <f t="shared" si="310"/>
        <v>0</v>
      </c>
      <c r="AA425" s="1537">
        <f t="shared" si="311"/>
        <v>0</v>
      </c>
      <c r="AB425" s="1537">
        <f t="shared" si="312"/>
        <v>0</v>
      </c>
      <c r="AC425" s="1537">
        <f t="shared" si="313"/>
        <v>0</v>
      </c>
      <c r="AD425" s="1537">
        <f t="shared" si="314"/>
        <v>0</v>
      </c>
      <c r="AE425" s="1537">
        <f t="shared" si="315"/>
        <v>0</v>
      </c>
      <c r="AF425" s="1536">
        <f t="shared" si="316"/>
        <v>0</v>
      </c>
      <c r="AG425" s="1555"/>
      <c r="AH425" s="1537">
        <f t="shared" si="317"/>
        <v>11095903.333333334</v>
      </c>
      <c r="AI425" s="1537">
        <f t="shared" si="318"/>
        <v>1000</v>
      </c>
      <c r="AJ425" s="1537">
        <f t="shared" si="319"/>
        <v>1000</v>
      </c>
      <c r="AK425" s="1537">
        <f t="shared" si="320"/>
        <v>1000</v>
      </c>
      <c r="AL425" s="1537">
        <f t="shared" si="321"/>
        <v>1000</v>
      </c>
      <c r="AM425" s="1537">
        <f t="shared" si="322"/>
        <v>1000</v>
      </c>
      <c r="AN425" s="1537">
        <f t="shared" si="323"/>
        <v>1000</v>
      </c>
      <c r="AO425" s="1537">
        <f t="shared" si="324"/>
        <v>1000</v>
      </c>
      <c r="AP425" s="1537">
        <f t="shared" si="325"/>
        <v>1000</v>
      </c>
      <c r="AQ425" s="1537">
        <f t="shared" si="326"/>
        <v>1000</v>
      </c>
      <c r="AR425" s="1537">
        <f t="shared" si="327"/>
        <v>1000</v>
      </c>
    </row>
    <row r="426" spans="2:44" x14ac:dyDescent="0.3">
      <c r="C426" s="1498" t="s">
        <v>3578</v>
      </c>
      <c r="D426" s="1563" t="s">
        <v>3614</v>
      </c>
      <c r="E426" s="1518">
        <v>5</v>
      </c>
      <c r="F426" s="1518">
        <f t="shared" si="297"/>
        <v>1</v>
      </c>
      <c r="G426" s="1532">
        <f t="shared" si="298"/>
        <v>0</v>
      </c>
      <c r="H426" s="1533">
        <f t="shared" si="299"/>
        <v>0</v>
      </c>
      <c r="I426" s="1534">
        <f t="shared" si="300"/>
        <v>0.2</v>
      </c>
      <c r="J426" s="1519">
        <v>13946510</v>
      </c>
      <c r="K426" s="1519">
        <v>8832790</v>
      </c>
      <c r="N426" s="1519">
        <f t="shared" si="301"/>
        <v>5113720</v>
      </c>
      <c r="Q426" s="1557">
        <v>2556860</v>
      </c>
      <c r="R426" s="1519">
        <f t="shared" si="302"/>
        <v>13946510</v>
      </c>
      <c r="S426" s="1519">
        <f t="shared" si="303"/>
        <v>2556860</v>
      </c>
      <c r="T426" s="1519">
        <f t="shared" si="304"/>
        <v>0</v>
      </c>
      <c r="U426" s="1535">
        <f t="shared" si="305"/>
        <v>232441.83333333331</v>
      </c>
      <c r="V426" s="1537">
        <f t="shared" si="306"/>
        <v>2789301.8333333335</v>
      </c>
      <c r="W426" s="1519">
        <f t="shared" si="307"/>
        <v>2323418.1666666665</v>
      </c>
      <c r="X426" s="1537">
        <f t="shared" si="308"/>
        <v>0</v>
      </c>
      <c r="Y426" s="1537">
        <f t="shared" si="309"/>
        <v>0</v>
      </c>
      <c r="Z426" s="1537">
        <f t="shared" si="310"/>
        <v>0</v>
      </c>
      <c r="AA426" s="1537">
        <f t="shared" si="311"/>
        <v>0</v>
      </c>
      <c r="AB426" s="1537">
        <f t="shared" si="312"/>
        <v>0</v>
      </c>
      <c r="AC426" s="1537">
        <f t="shared" si="313"/>
        <v>0</v>
      </c>
      <c r="AD426" s="1537">
        <f t="shared" si="314"/>
        <v>0</v>
      </c>
      <c r="AE426" s="1537">
        <f t="shared" si="315"/>
        <v>0</v>
      </c>
      <c r="AF426" s="1536">
        <f t="shared" si="316"/>
        <v>0</v>
      </c>
      <c r="AG426" s="1555"/>
      <c r="AH426" s="1537">
        <f t="shared" si="317"/>
        <v>2324418.1666666665</v>
      </c>
      <c r="AI426" s="1537">
        <f t="shared" si="318"/>
        <v>1000</v>
      </c>
      <c r="AJ426" s="1537">
        <f t="shared" si="319"/>
        <v>1000</v>
      </c>
      <c r="AK426" s="1537">
        <f t="shared" si="320"/>
        <v>1000</v>
      </c>
      <c r="AL426" s="1537">
        <f t="shared" si="321"/>
        <v>1000</v>
      </c>
      <c r="AM426" s="1537">
        <f t="shared" si="322"/>
        <v>1000</v>
      </c>
      <c r="AN426" s="1537">
        <f t="shared" si="323"/>
        <v>1000</v>
      </c>
      <c r="AO426" s="1537">
        <f t="shared" si="324"/>
        <v>1000</v>
      </c>
      <c r="AP426" s="1537">
        <f t="shared" si="325"/>
        <v>1000</v>
      </c>
      <c r="AQ426" s="1537">
        <f t="shared" si="326"/>
        <v>1000</v>
      </c>
      <c r="AR426" s="1537">
        <f t="shared" si="327"/>
        <v>1000</v>
      </c>
    </row>
    <row r="427" spans="2:44" x14ac:dyDescent="0.3">
      <c r="C427" s="1498" t="s">
        <v>3579</v>
      </c>
      <c r="D427" s="1563" t="s">
        <v>3615</v>
      </c>
      <c r="E427" s="1518">
        <v>5</v>
      </c>
      <c r="F427" s="1518">
        <f t="shared" si="297"/>
        <v>1</v>
      </c>
      <c r="G427" s="1532">
        <f t="shared" si="298"/>
        <v>0</v>
      </c>
      <c r="H427" s="1533">
        <f t="shared" si="299"/>
        <v>0</v>
      </c>
      <c r="I427" s="1534">
        <f t="shared" si="300"/>
        <v>0.2</v>
      </c>
      <c r="J427" s="1519">
        <v>5518000</v>
      </c>
      <c r="K427" s="1519">
        <v>3402767</v>
      </c>
      <c r="N427" s="1519">
        <f t="shared" si="301"/>
        <v>2115233</v>
      </c>
      <c r="Q427" s="1557">
        <v>1011633</v>
      </c>
      <c r="R427" s="1519">
        <f t="shared" si="302"/>
        <v>5518000</v>
      </c>
      <c r="S427" s="1519">
        <f t="shared" si="303"/>
        <v>1103600</v>
      </c>
      <c r="T427" s="1519">
        <f t="shared" si="304"/>
        <v>0</v>
      </c>
      <c r="U427" s="1535">
        <f t="shared" si="305"/>
        <v>91966.666666666672</v>
      </c>
      <c r="V427" s="1537">
        <f t="shared" si="306"/>
        <v>1103599.6666666667</v>
      </c>
      <c r="W427" s="1519">
        <f t="shared" si="307"/>
        <v>1010633.3333333334</v>
      </c>
      <c r="X427" s="1537">
        <f t="shared" si="308"/>
        <v>0</v>
      </c>
      <c r="Y427" s="1537">
        <f t="shared" si="309"/>
        <v>0</v>
      </c>
      <c r="Z427" s="1537">
        <f t="shared" si="310"/>
        <v>0</v>
      </c>
      <c r="AA427" s="1537">
        <f t="shared" si="311"/>
        <v>0</v>
      </c>
      <c r="AB427" s="1537">
        <f t="shared" si="312"/>
        <v>0</v>
      </c>
      <c r="AC427" s="1537">
        <f t="shared" si="313"/>
        <v>0</v>
      </c>
      <c r="AD427" s="1537">
        <f t="shared" si="314"/>
        <v>0</v>
      </c>
      <c r="AE427" s="1537">
        <f t="shared" si="315"/>
        <v>0</v>
      </c>
      <c r="AF427" s="1536">
        <f t="shared" si="316"/>
        <v>0</v>
      </c>
      <c r="AG427" s="1555"/>
      <c r="AH427" s="1537">
        <f t="shared" si="317"/>
        <v>1011633.3333333334</v>
      </c>
      <c r="AI427" s="1537">
        <f t="shared" si="318"/>
        <v>1000</v>
      </c>
      <c r="AJ427" s="1537">
        <f t="shared" si="319"/>
        <v>1000</v>
      </c>
      <c r="AK427" s="1537">
        <f t="shared" si="320"/>
        <v>1000</v>
      </c>
      <c r="AL427" s="1537">
        <f t="shared" si="321"/>
        <v>1000</v>
      </c>
      <c r="AM427" s="1537">
        <f t="shared" si="322"/>
        <v>1000</v>
      </c>
      <c r="AN427" s="1537">
        <f t="shared" si="323"/>
        <v>1000</v>
      </c>
      <c r="AO427" s="1537">
        <f t="shared" si="324"/>
        <v>1000</v>
      </c>
      <c r="AP427" s="1537">
        <f t="shared" si="325"/>
        <v>1000</v>
      </c>
      <c r="AQ427" s="1537">
        <f t="shared" si="326"/>
        <v>1000</v>
      </c>
      <c r="AR427" s="1537">
        <f t="shared" si="327"/>
        <v>1000</v>
      </c>
    </row>
    <row r="428" spans="2:44" x14ac:dyDescent="0.3">
      <c r="C428" s="1498" t="s">
        <v>3580</v>
      </c>
      <c r="D428" s="1563" t="s">
        <v>3397</v>
      </c>
      <c r="E428" s="1518">
        <v>5</v>
      </c>
      <c r="F428" s="1518">
        <f t="shared" si="297"/>
        <v>2</v>
      </c>
      <c r="G428" s="1532">
        <f t="shared" si="298"/>
        <v>0</v>
      </c>
      <c r="H428" s="1533">
        <f t="shared" si="299"/>
        <v>0</v>
      </c>
      <c r="I428" s="1534">
        <f t="shared" si="300"/>
        <v>0.2</v>
      </c>
      <c r="J428" s="1519">
        <v>8100000</v>
      </c>
      <c r="K428" s="1519">
        <v>4455000</v>
      </c>
      <c r="N428" s="1519">
        <f t="shared" si="301"/>
        <v>3645000</v>
      </c>
      <c r="Q428" s="1557">
        <v>1485000</v>
      </c>
      <c r="R428" s="1519">
        <f t="shared" si="302"/>
        <v>8100000</v>
      </c>
      <c r="S428" s="1519">
        <f t="shared" si="303"/>
        <v>2160000</v>
      </c>
      <c r="T428" s="1519">
        <f t="shared" si="304"/>
        <v>0</v>
      </c>
      <c r="U428" s="1535">
        <f t="shared" si="305"/>
        <v>135000</v>
      </c>
      <c r="V428" s="1537">
        <f t="shared" si="306"/>
        <v>1620000</v>
      </c>
      <c r="W428" s="1519">
        <f t="shared" si="307"/>
        <v>1620000</v>
      </c>
      <c r="X428" s="1537">
        <f t="shared" si="308"/>
        <v>404000</v>
      </c>
      <c r="Y428" s="1537">
        <f t="shared" si="309"/>
        <v>0</v>
      </c>
      <c r="Z428" s="1537">
        <f t="shared" si="310"/>
        <v>0</v>
      </c>
      <c r="AA428" s="1537">
        <f t="shared" si="311"/>
        <v>0</v>
      </c>
      <c r="AB428" s="1537">
        <f t="shared" si="312"/>
        <v>0</v>
      </c>
      <c r="AC428" s="1537">
        <f t="shared" si="313"/>
        <v>0</v>
      </c>
      <c r="AD428" s="1537">
        <f t="shared" si="314"/>
        <v>0</v>
      </c>
      <c r="AE428" s="1537">
        <f t="shared" si="315"/>
        <v>0</v>
      </c>
      <c r="AF428" s="1536">
        <f t="shared" si="316"/>
        <v>0</v>
      </c>
      <c r="AG428" s="1555"/>
      <c r="AH428" s="1537">
        <f t="shared" si="317"/>
        <v>2025000</v>
      </c>
      <c r="AI428" s="1537">
        <f t="shared" si="318"/>
        <v>405000</v>
      </c>
      <c r="AJ428" s="1537">
        <f t="shared" si="319"/>
        <v>1000</v>
      </c>
      <c r="AK428" s="1537">
        <f t="shared" si="320"/>
        <v>1000</v>
      </c>
      <c r="AL428" s="1537">
        <f t="shared" si="321"/>
        <v>1000</v>
      </c>
      <c r="AM428" s="1537">
        <f t="shared" si="322"/>
        <v>1000</v>
      </c>
      <c r="AN428" s="1537">
        <f t="shared" si="323"/>
        <v>1000</v>
      </c>
      <c r="AO428" s="1537">
        <f t="shared" si="324"/>
        <v>1000</v>
      </c>
      <c r="AP428" s="1537">
        <f t="shared" si="325"/>
        <v>1000</v>
      </c>
      <c r="AQ428" s="1537">
        <f t="shared" si="326"/>
        <v>1000</v>
      </c>
      <c r="AR428" s="1537">
        <f t="shared" si="327"/>
        <v>1000</v>
      </c>
    </row>
    <row r="429" spans="2:44" x14ac:dyDescent="0.3">
      <c r="C429" s="1498" t="s">
        <v>3581</v>
      </c>
      <c r="D429" s="1563" t="s">
        <v>3616</v>
      </c>
      <c r="E429" s="1518">
        <v>5</v>
      </c>
      <c r="F429" s="1518">
        <f t="shared" si="297"/>
        <v>2</v>
      </c>
      <c r="G429" s="1532">
        <f t="shared" si="298"/>
        <v>0</v>
      </c>
      <c r="H429" s="1533">
        <f t="shared" si="299"/>
        <v>0</v>
      </c>
      <c r="I429" s="1534">
        <f t="shared" si="300"/>
        <v>0.2</v>
      </c>
      <c r="J429" s="1519">
        <v>2015000</v>
      </c>
      <c r="K429" s="1519">
        <v>906750</v>
      </c>
      <c r="N429" s="1519">
        <f t="shared" si="301"/>
        <v>1108250</v>
      </c>
      <c r="Q429" s="1557">
        <v>369417</v>
      </c>
      <c r="R429" s="1519">
        <f t="shared" si="302"/>
        <v>2015000</v>
      </c>
      <c r="S429" s="1519">
        <f t="shared" si="303"/>
        <v>738833</v>
      </c>
      <c r="T429" s="1519">
        <f t="shared" si="304"/>
        <v>0</v>
      </c>
      <c r="U429" s="1535">
        <f t="shared" si="305"/>
        <v>33583.333333333336</v>
      </c>
      <c r="V429" s="1537">
        <f t="shared" si="306"/>
        <v>403000.33333333331</v>
      </c>
      <c r="W429" s="1519">
        <f t="shared" si="307"/>
        <v>403000</v>
      </c>
      <c r="X429" s="1537">
        <f t="shared" si="308"/>
        <v>301249.66666666663</v>
      </c>
      <c r="Y429" s="1537">
        <f t="shared" si="309"/>
        <v>0</v>
      </c>
      <c r="Z429" s="1537">
        <f t="shared" si="310"/>
        <v>0</v>
      </c>
      <c r="AA429" s="1537">
        <f t="shared" si="311"/>
        <v>0</v>
      </c>
      <c r="AB429" s="1537">
        <f t="shared" si="312"/>
        <v>0</v>
      </c>
      <c r="AC429" s="1537">
        <f t="shared" si="313"/>
        <v>0</v>
      </c>
      <c r="AD429" s="1537">
        <f t="shared" si="314"/>
        <v>0</v>
      </c>
      <c r="AE429" s="1537">
        <f t="shared" si="315"/>
        <v>0</v>
      </c>
      <c r="AF429" s="1536">
        <f t="shared" si="316"/>
        <v>0</v>
      </c>
      <c r="AG429" s="1555"/>
      <c r="AH429" s="1537">
        <f t="shared" si="317"/>
        <v>705249.66666666663</v>
      </c>
      <c r="AI429" s="1537">
        <f t="shared" si="318"/>
        <v>302249.66666666663</v>
      </c>
      <c r="AJ429" s="1537">
        <f t="shared" si="319"/>
        <v>1000</v>
      </c>
      <c r="AK429" s="1537">
        <f t="shared" si="320"/>
        <v>1000</v>
      </c>
      <c r="AL429" s="1537">
        <f t="shared" si="321"/>
        <v>1000</v>
      </c>
      <c r="AM429" s="1537">
        <f t="shared" si="322"/>
        <v>1000</v>
      </c>
      <c r="AN429" s="1537">
        <f t="shared" si="323"/>
        <v>1000</v>
      </c>
      <c r="AO429" s="1537">
        <f t="shared" si="324"/>
        <v>1000</v>
      </c>
      <c r="AP429" s="1537">
        <f t="shared" si="325"/>
        <v>1000</v>
      </c>
      <c r="AQ429" s="1537">
        <f t="shared" si="326"/>
        <v>1000</v>
      </c>
      <c r="AR429" s="1537">
        <f t="shared" si="327"/>
        <v>1000</v>
      </c>
    </row>
    <row r="430" spans="2:44" x14ac:dyDescent="0.3">
      <c r="C430" s="1498" t="s">
        <v>3582</v>
      </c>
      <c r="D430" s="1563" t="s">
        <v>3617</v>
      </c>
      <c r="E430" s="1518">
        <v>5</v>
      </c>
      <c r="F430" s="1518">
        <f t="shared" si="297"/>
        <v>2</v>
      </c>
      <c r="G430" s="1532">
        <f t="shared" si="298"/>
        <v>0</v>
      </c>
      <c r="H430" s="1533">
        <f t="shared" si="299"/>
        <v>0</v>
      </c>
      <c r="I430" s="1534">
        <f t="shared" si="300"/>
        <v>0.2</v>
      </c>
      <c r="J430" s="1519">
        <v>1630000</v>
      </c>
      <c r="K430" s="1519">
        <v>679167</v>
      </c>
      <c r="N430" s="1519">
        <f t="shared" si="301"/>
        <v>950833</v>
      </c>
      <c r="Q430" s="1557">
        <v>298833</v>
      </c>
      <c r="R430" s="1519">
        <f t="shared" si="302"/>
        <v>1630000</v>
      </c>
      <c r="S430" s="1519">
        <f t="shared" si="303"/>
        <v>652000</v>
      </c>
      <c r="T430" s="1519">
        <f t="shared" si="304"/>
        <v>0</v>
      </c>
      <c r="U430" s="1535">
        <f t="shared" si="305"/>
        <v>27166.666666666664</v>
      </c>
      <c r="V430" s="1537">
        <f t="shared" si="306"/>
        <v>325999.66666666669</v>
      </c>
      <c r="W430" s="1519">
        <f t="shared" si="307"/>
        <v>326000</v>
      </c>
      <c r="X430" s="1537">
        <f t="shared" si="308"/>
        <v>297833.33333333337</v>
      </c>
      <c r="Y430" s="1537">
        <f t="shared" si="309"/>
        <v>0</v>
      </c>
      <c r="Z430" s="1537">
        <f t="shared" si="310"/>
        <v>0</v>
      </c>
      <c r="AA430" s="1537">
        <f t="shared" si="311"/>
        <v>0</v>
      </c>
      <c r="AB430" s="1537">
        <f t="shared" si="312"/>
        <v>0</v>
      </c>
      <c r="AC430" s="1537">
        <f t="shared" si="313"/>
        <v>0</v>
      </c>
      <c r="AD430" s="1537">
        <f t="shared" si="314"/>
        <v>0</v>
      </c>
      <c r="AE430" s="1537">
        <f t="shared" si="315"/>
        <v>0</v>
      </c>
      <c r="AF430" s="1536">
        <f t="shared" si="316"/>
        <v>0</v>
      </c>
      <c r="AG430" s="1555"/>
      <c r="AH430" s="1537">
        <f t="shared" si="317"/>
        <v>624833.33333333337</v>
      </c>
      <c r="AI430" s="1537">
        <f t="shared" si="318"/>
        <v>298833.33333333337</v>
      </c>
      <c r="AJ430" s="1537">
        <f t="shared" si="319"/>
        <v>1000</v>
      </c>
      <c r="AK430" s="1537">
        <f t="shared" si="320"/>
        <v>1000</v>
      </c>
      <c r="AL430" s="1537">
        <f t="shared" si="321"/>
        <v>1000</v>
      </c>
      <c r="AM430" s="1537">
        <f t="shared" si="322"/>
        <v>1000</v>
      </c>
      <c r="AN430" s="1537">
        <f t="shared" si="323"/>
        <v>1000</v>
      </c>
      <c r="AO430" s="1537">
        <f t="shared" si="324"/>
        <v>1000</v>
      </c>
      <c r="AP430" s="1537">
        <f t="shared" si="325"/>
        <v>1000</v>
      </c>
      <c r="AQ430" s="1537">
        <f t="shared" si="326"/>
        <v>1000</v>
      </c>
      <c r="AR430" s="1537">
        <f t="shared" si="327"/>
        <v>1000</v>
      </c>
    </row>
    <row r="431" spans="2:44" x14ac:dyDescent="0.3">
      <c r="C431" s="1498" t="s">
        <v>3583</v>
      </c>
      <c r="D431" s="1563" t="s">
        <v>3427</v>
      </c>
      <c r="E431" s="1518">
        <v>5</v>
      </c>
      <c r="F431" s="1518">
        <f t="shared" si="297"/>
        <v>2</v>
      </c>
      <c r="G431" s="1532">
        <f t="shared" si="298"/>
        <v>0</v>
      </c>
      <c r="H431" s="1533">
        <f t="shared" si="299"/>
        <v>0</v>
      </c>
      <c r="I431" s="1534">
        <f t="shared" si="300"/>
        <v>0.2</v>
      </c>
      <c r="J431" s="1519">
        <v>7765000</v>
      </c>
      <c r="K431" s="1519">
        <v>3235417</v>
      </c>
      <c r="N431" s="1519">
        <f t="shared" si="301"/>
        <v>4529583</v>
      </c>
      <c r="Q431" s="1557">
        <v>1423583</v>
      </c>
      <c r="R431" s="1519">
        <f t="shared" si="302"/>
        <v>7765000</v>
      </c>
      <c r="S431" s="1519">
        <f t="shared" si="303"/>
        <v>3106000</v>
      </c>
      <c r="T431" s="1519">
        <f t="shared" si="304"/>
        <v>0</v>
      </c>
      <c r="U431" s="1535">
        <f t="shared" si="305"/>
        <v>129416.66666666666</v>
      </c>
      <c r="V431" s="1537">
        <f t="shared" si="306"/>
        <v>1552999.6666666667</v>
      </c>
      <c r="W431" s="1519">
        <f t="shared" si="307"/>
        <v>1553000</v>
      </c>
      <c r="X431" s="1537">
        <f t="shared" si="308"/>
        <v>1422583.3333333335</v>
      </c>
      <c r="Y431" s="1537">
        <f t="shared" si="309"/>
        <v>0</v>
      </c>
      <c r="Z431" s="1537">
        <f t="shared" si="310"/>
        <v>0</v>
      </c>
      <c r="AA431" s="1537">
        <f t="shared" si="311"/>
        <v>0</v>
      </c>
      <c r="AB431" s="1537">
        <f t="shared" si="312"/>
        <v>0</v>
      </c>
      <c r="AC431" s="1537">
        <f t="shared" si="313"/>
        <v>0</v>
      </c>
      <c r="AD431" s="1537">
        <f t="shared" si="314"/>
        <v>0</v>
      </c>
      <c r="AE431" s="1537">
        <f t="shared" si="315"/>
        <v>0</v>
      </c>
      <c r="AF431" s="1536">
        <f t="shared" si="316"/>
        <v>0</v>
      </c>
      <c r="AG431" s="1555"/>
      <c r="AH431" s="1537">
        <f t="shared" si="317"/>
        <v>2976583.3333333335</v>
      </c>
      <c r="AI431" s="1537">
        <f t="shared" si="318"/>
        <v>1423583.3333333335</v>
      </c>
      <c r="AJ431" s="1537">
        <f t="shared" si="319"/>
        <v>1000</v>
      </c>
      <c r="AK431" s="1537">
        <f t="shared" si="320"/>
        <v>1000</v>
      </c>
      <c r="AL431" s="1537">
        <f t="shared" si="321"/>
        <v>1000</v>
      </c>
      <c r="AM431" s="1537">
        <f t="shared" si="322"/>
        <v>1000</v>
      </c>
      <c r="AN431" s="1537">
        <f t="shared" si="323"/>
        <v>1000</v>
      </c>
      <c r="AO431" s="1537">
        <f t="shared" si="324"/>
        <v>1000</v>
      </c>
      <c r="AP431" s="1537">
        <f t="shared" si="325"/>
        <v>1000</v>
      </c>
      <c r="AQ431" s="1537">
        <f t="shared" si="326"/>
        <v>1000</v>
      </c>
      <c r="AR431" s="1537">
        <f t="shared" si="327"/>
        <v>1000</v>
      </c>
    </row>
    <row r="432" spans="2:44" x14ac:dyDescent="0.3">
      <c r="C432" s="1498" t="s">
        <v>3584</v>
      </c>
      <c r="D432" s="1563" t="s">
        <v>3618</v>
      </c>
      <c r="E432" s="1518">
        <v>5</v>
      </c>
      <c r="F432" s="1518">
        <f t="shared" si="297"/>
        <v>2</v>
      </c>
      <c r="G432" s="1532">
        <f t="shared" si="298"/>
        <v>0</v>
      </c>
      <c r="H432" s="1533">
        <f t="shared" si="299"/>
        <v>0</v>
      </c>
      <c r="I432" s="1534">
        <f t="shared" si="300"/>
        <v>0.2</v>
      </c>
      <c r="J432" s="1519">
        <v>5668300</v>
      </c>
      <c r="K432" s="1519">
        <v>2111577</v>
      </c>
      <c r="N432" s="1519">
        <f t="shared" si="301"/>
        <v>3556723</v>
      </c>
      <c r="Q432" s="1557">
        <v>1117831</v>
      </c>
      <c r="R432" s="1519">
        <f t="shared" si="302"/>
        <v>5668300</v>
      </c>
      <c r="S432" s="1519">
        <f t="shared" si="303"/>
        <v>2438892</v>
      </c>
      <c r="T432" s="1519">
        <f t="shared" si="304"/>
        <v>0</v>
      </c>
      <c r="U432" s="1535">
        <f t="shared" si="305"/>
        <v>94471.666666666672</v>
      </c>
      <c r="V432" s="1537">
        <f t="shared" si="306"/>
        <v>1212302.6666666667</v>
      </c>
      <c r="W432" s="1519">
        <f t="shared" si="307"/>
        <v>1133660</v>
      </c>
      <c r="X432" s="1537">
        <f t="shared" si="308"/>
        <v>1133660</v>
      </c>
      <c r="Y432" s="1537">
        <f t="shared" si="309"/>
        <v>76100.333333333489</v>
      </c>
      <c r="Z432" s="1537">
        <f t="shared" si="310"/>
        <v>0</v>
      </c>
      <c r="AA432" s="1537">
        <f t="shared" si="311"/>
        <v>0</v>
      </c>
      <c r="AB432" s="1537">
        <f t="shared" si="312"/>
        <v>0</v>
      </c>
      <c r="AC432" s="1537">
        <f t="shared" si="313"/>
        <v>0</v>
      </c>
      <c r="AD432" s="1537">
        <f t="shared" si="314"/>
        <v>0</v>
      </c>
      <c r="AE432" s="1537">
        <f t="shared" si="315"/>
        <v>0</v>
      </c>
      <c r="AF432" s="1536">
        <f t="shared" si="316"/>
        <v>0</v>
      </c>
      <c r="AG432" s="1555"/>
      <c r="AH432" s="1537">
        <f t="shared" si="317"/>
        <v>2344420.3333333335</v>
      </c>
      <c r="AI432" s="1537">
        <f t="shared" si="318"/>
        <v>1210760.3333333335</v>
      </c>
      <c r="AJ432" s="1537">
        <f t="shared" si="319"/>
        <v>77100.333333333489</v>
      </c>
      <c r="AK432" s="1537">
        <f t="shared" si="320"/>
        <v>1000</v>
      </c>
      <c r="AL432" s="1537">
        <f t="shared" si="321"/>
        <v>1000</v>
      </c>
      <c r="AM432" s="1537">
        <f t="shared" si="322"/>
        <v>1000</v>
      </c>
      <c r="AN432" s="1537">
        <f t="shared" si="323"/>
        <v>1000</v>
      </c>
      <c r="AO432" s="1537">
        <f t="shared" si="324"/>
        <v>1000</v>
      </c>
      <c r="AP432" s="1537">
        <f t="shared" si="325"/>
        <v>1000</v>
      </c>
      <c r="AQ432" s="1537">
        <f t="shared" si="326"/>
        <v>1000</v>
      </c>
      <c r="AR432" s="1537">
        <f t="shared" si="327"/>
        <v>1000</v>
      </c>
    </row>
    <row r="433" spans="3:44" x14ac:dyDescent="0.3">
      <c r="C433" s="1498" t="s">
        <v>3585</v>
      </c>
      <c r="D433" s="1563" t="s">
        <v>3619</v>
      </c>
      <c r="E433" s="1518">
        <v>5</v>
      </c>
      <c r="F433" s="1518">
        <f t="shared" si="297"/>
        <v>3</v>
      </c>
      <c r="G433" s="1532">
        <f t="shared" si="298"/>
        <v>0</v>
      </c>
      <c r="H433" s="1533">
        <f t="shared" si="299"/>
        <v>0</v>
      </c>
      <c r="I433" s="1534">
        <f t="shared" si="300"/>
        <v>0.2</v>
      </c>
      <c r="J433" s="1519">
        <v>7762000</v>
      </c>
      <c r="K433" s="1519">
        <v>3104800</v>
      </c>
      <c r="N433" s="1519">
        <f t="shared" si="301"/>
        <v>4657200</v>
      </c>
      <c r="Q433" s="1557">
        <v>1423033</v>
      </c>
      <c r="R433" s="1519">
        <f t="shared" si="302"/>
        <v>7762000</v>
      </c>
      <c r="S433" s="1519">
        <f t="shared" si="303"/>
        <v>3234167</v>
      </c>
      <c r="T433" s="1519">
        <f t="shared" si="304"/>
        <v>0</v>
      </c>
      <c r="U433" s="1535">
        <f t="shared" si="305"/>
        <v>129366.66666666666</v>
      </c>
      <c r="V433" s="1537">
        <f t="shared" si="306"/>
        <v>1552399.6666666667</v>
      </c>
      <c r="W433" s="1519">
        <f t="shared" si="307"/>
        <v>1552400</v>
      </c>
      <c r="X433" s="1537">
        <f t="shared" si="308"/>
        <v>1551400.3333333335</v>
      </c>
      <c r="Y433" s="1537">
        <f t="shared" si="309"/>
        <v>0</v>
      </c>
      <c r="Z433" s="1537">
        <f t="shared" si="310"/>
        <v>0</v>
      </c>
      <c r="AA433" s="1537">
        <f t="shared" si="311"/>
        <v>0</v>
      </c>
      <c r="AB433" s="1537">
        <f t="shared" si="312"/>
        <v>0</v>
      </c>
      <c r="AC433" s="1537">
        <f t="shared" si="313"/>
        <v>0</v>
      </c>
      <c r="AD433" s="1537">
        <f t="shared" si="314"/>
        <v>0</v>
      </c>
      <c r="AE433" s="1537">
        <f t="shared" si="315"/>
        <v>0</v>
      </c>
      <c r="AF433" s="1536">
        <f t="shared" si="316"/>
        <v>0</v>
      </c>
      <c r="AG433" s="1555"/>
      <c r="AH433" s="1537">
        <f t="shared" si="317"/>
        <v>3104800.3333333335</v>
      </c>
      <c r="AI433" s="1537">
        <f t="shared" si="318"/>
        <v>1552400.3333333335</v>
      </c>
      <c r="AJ433" s="1537">
        <f t="shared" si="319"/>
        <v>1000</v>
      </c>
      <c r="AK433" s="1537">
        <f t="shared" si="320"/>
        <v>1000</v>
      </c>
      <c r="AL433" s="1537">
        <f t="shared" si="321"/>
        <v>1000</v>
      </c>
      <c r="AM433" s="1537">
        <f t="shared" si="322"/>
        <v>1000</v>
      </c>
      <c r="AN433" s="1537">
        <f t="shared" si="323"/>
        <v>1000</v>
      </c>
      <c r="AO433" s="1537">
        <f t="shared" si="324"/>
        <v>1000</v>
      </c>
      <c r="AP433" s="1537">
        <f t="shared" si="325"/>
        <v>1000</v>
      </c>
      <c r="AQ433" s="1537">
        <f t="shared" si="326"/>
        <v>1000</v>
      </c>
      <c r="AR433" s="1537">
        <f t="shared" si="327"/>
        <v>1000</v>
      </c>
    </row>
    <row r="434" spans="3:44" x14ac:dyDescent="0.3">
      <c r="C434" s="1498" t="s">
        <v>3586</v>
      </c>
      <c r="D434" s="1563" t="s">
        <v>3620</v>
      </c>
      <c r="E434" s="1518">
        <v>5</v>
      </c>
      <c r="F434" s="1518">
        <f t="shared" si="297"/>
        <v>3</v>
      </c>
      <c r="G434" s="1532">
        <f t="shared" si="298"/>
        <v>0</v>
      </c>
      <c r="H434" s="1533">
        <f t="shared" si="299"/>
        <v>0</v>
      </c>
      <c r="I434" s="1534">
        <f t="shared" si="300"/>
        <v>0.2</v>
      </c>
      <c r="J434" s="1519">
        <v>18300000</v>
      </c>
      <c r="K434" s="1519">
        <v>7320000</v>
      </c>
      <c r="N434" s="1519">
        <f t="shared" si="301"/>
        <v>10980000</v>
      </c>
      <c r="Q434" s="1557">
        <v>3355000</v>
      </c>
      <c r="R434" s="1519">
        <f t="shared" si="302"/>
        <v>18300000</v>
      </c>
      <c r="S434" s="1519">
        <f t="shared" si="303"/>
        <v>7625000</v>
      </c>
      <c r="T434" s="1519">
        <f t="shared" si="304"/>
        <v>0</v>
      </c>
      <c r="U434" s="1535">
        <f t="shared" si="305"/>
        <v>305000</v>
      </c>
      <c r="V434" s="1537">
        <f t="shared" si="306"/>
        <v>3660000</v>
      </c>
      <c r="W434" s="1519">
        <f t="shared" si="307"/>
        <v>3660000</v>
      </c>
      <c r="X434" s="1537">
        <f t="shared" si="308"/>
        <v>3659000</v>
      </c>
      <c r="Y434" s="1537">
        <f t="shared" si="309"/>
        <v>0</v>
      </c>
      <c r="Z434" s="1537">
        <f t="shared" si="310"/>
        <v>0</v>
      </c>
      <c r="AA434" s="1537">
        <f t="shared" si="311"/>
        <v>0</v>
      </c>
      <c r="AB434" s="1537">
        <f t="shared" si="312"/>
        <v>0</v>
      </c>
      <c r="AC434" s="1537">
        <f t="shared" si="313"/>
        <v>0</v>
      </c>
      <c r="AD434" s="1537">
        <f t="shared" si="314"/>
        <v>0</v>
      </c>
      <c r="AE434" s="1537">
        <f t="shared" si="315"/>
        <v>0</v>
      </c>
      <c r="AF434" s="1536">
        <f t="shared" si="316"/>
        <v>0</v>
      </c>
      <c r="AG434" s="1555"/>
      <c r="AH434" s="1537">
        <f t="shared" si="317"/>
        <v>7320000</v>
      </c>
      <c r="AI434" s="1537">
        <f t="shared" si="318"/>
        <v>3660000</v>
      </c>
      <c r="AJ434" s="1537">
        <f t="shared" si="319"/>
        <v>1000</v>
      </c>
      <c r="AK434" s="1537">
        <f t="shared" si="320"/>
        <v>1000</v>
      </c>
      <c r="AL434" s="1537">
        <f t="shared" si="321"/>
        <v>1000</v>
      </c>
      <c r="AM434" s="1537">
        <f t="shared" si="322"/>
        <v>1000</v>
      </c>
      <c r="AN434" s="1537">
        <f t="shared" si="323"/>
        <v>1000</v>
      </c>
      <c r="AO434" s="1537">
        <f t="shared" si="324"/>
        <v>1000</v>
      </c>
      <c r="AP434" s="1537">
        <f t="shared" si="325"/>
        <v>1000</v>
      </c>
      <c r="AQ434" s="1537">
        <f t="shared" si="326"/>
        <v>1000</v>
      </c>
      <c r="AR434" s="1537">
        <f t="shared" si="327"/>
        <v>1000</v>
      </c>
    </row>
    <row r="435" spans="3:44" x14ac:dyDescent="0.3">
      <c r="C435" s="1498" t="s">
        <v>3587</v>
      </c>
      <c r="D435" s="1563" t="s">
        <v>3443</v>
      </c>
      <c r="E435" s="1518">
        <v>5</v>
      </c>
      <c r="F435" s="1518">
        <f t="shared" si="297"/>
        <v>3</v>
      </c>
      <c r="G435" s="1532">
        <f t="shared" si="298"/>
        <v>0</v>
      </c>
      <c r="H435" s="1533">
        <f t="shared" si="299"/>
        <v>0</v>
      </c>
      <c r="I435" s="1534">
        <f t="shared" si="300"/>
        <v>0.2</v>
      </c>
      <c r="J435" s="1519">
        <v>14551000</v>
      </c>
      <c r="K435" s="1519">
        <v>5577883</v>
      </c>
      <c r="N435" s="1519">
        <f t="shared" si="301"/>
        <v>8973117</v>
      </c>
      <c r="Q435" s="1557">
        <v>2667683</v>
      </c>
      <c r="R435" s="1519">
        <f t="shared" si="302"/>
        <v>14551000</v>
      </c>
      <c r="S435" s="1519">
        <f t="shared" si="303"/>
        <v>6305434</v>
      </c>
      <c r="T435" s="1519">
        <f t="shared" si="304"/>
        <v>0</v>
      </c>
      <c r="U435" s="1535">
        <f t="shared" si="305"/>
        <v>242516.66666666666</v>
      </c>
      <c r="V435" s="1537">
        <f t="shared" si="306"/>
        <v>2910199.6666666665</v>
      </c>
      <c r="W435" s="1519">
        <f t="shared" si="307"/>
        <v>2910200</v>
      </c>
      <c r="X435" s="1537">
        <f t="shared" si="308"/>
        <v>2910200</v>
      </c>
      <c r="Y435" s="1537">
        <f t="shared" si="309"/>
        <v>241517.33333333302</v>
      </c>
      <c r="Z435" s="1537">
        <f t="shared" si="310"/>
        <v>0</v>
      </c>
      <c r="AA435" s="1537">
        <f t="shared" si="311"/>
        <v>0</v>
      </c>
      <c r="AB435" s="1537">
        <f t="shared" si="312"/>
        <v>0</v>
      </c>
      <c r="AC435" s="1537">
        <f t="shared" si="313"/>
        <v>0</v>
      </c>
      <c r="AD435" s="1537">
        <f t="shared" si="314"/>
        <v>0</v>
      </c>
      <c r="AE435" s="1537">
        <f t="shared" si="315"/>
        <v>0</v>
      </c>
      <c r="AF435" s="1536">
        <f t="shared" si="316"/>
        <v>0</v>
      </c>
      <c r="AG435" s="1555"/>
      <c r="AH435" s="1537">
        <f t="shared" si="317"/>
        <v>6062917.333333333</v>
      </c>
      <c r="AI435" s="1537">
        <f t="shared" si="318"/>
        <v>3152717.333333333</v>
      </c>
      <c r="AJ435" s="1537">
        <f t="shared" si="319"/>
        <v>242517.33333333302</v>
      </c>
      <c r="AK435" s="1537">
        <f t="shared" si="320"/>
        <v>1000</v>
      </c>
      <c r="AL435" s="1537">
        <f t="shared" si="321"/>
        <v>1000</v>
      </c>
      <c r="AM435" s="1537">
        <f t="shared" si="322"/>
        <v>1000</v>
      </c>
      <c r="AN435" s="1537">
        <f t="shared" si="323"/>
        <v>1000</v>
      </c>
      <c r="AO435" s="1537">
        <f t="shared" si="324"/>
        <v>1000</v>
      </c>
      <c r="AP435" s="1537">
        <f t="shared" si="325"/>
        <v>1000</v>
      </c>
      <c r="AQ435" s="1537">
        <f t="shared" si="326"/>
        <v>1000</v>
      </c>
      <c r="AR435" s="1537">
        <f t="shared" si="327"/>
        <v>1000</v>
      </c>
    </row>
    <row r="436" spans="3:44" x14ac:dyDescent="0.3">
      <c r="C436" s="1498" t="s">
        <v>3588</v>
      </c>
      <c r="D436" s="1563" t="s">
        <v>3443</v>
      </c>
      <c r="E436" s="1518">
        <v>5</v>
      </c>
      <c r="F436" s="1518">
        <f t="shared" si="297"/>
        <v>3</v>
      </c>
      <c r="G436" s="1532">
        <f t="shared" si="298"/>
        <v>0</v>
      </c>
      <c r="H436" s="1533">
        <f t="shared" si="299"/>
        <v>0</v>
      </c>
      <c r="I436" s="1534">
        <f t="shared" si="300"/>
        <v>0.2</v>
      </c>
      <c r="J436" s="1519">
        <v>50000000</v>
      </c>
      <c r="K436" s="1519">
        <v>19166667</v>
      </c>
      <c r="N436" s="1519">
        <f t="shared" si="301"/>
        <v>30833333</v>
      </c>
      <c r="Q436" s="1557">
        <v>9166667</v>
      </c>
      <c r="R436" s="1519">
        <f t="shared" si="302"/>
        <v>50000000</v>
      </c>
      <c r="S436" s="1519">
        <f t="shared" si="303"/>
        <v>21666666</v>
      </c>
      <c r="T436" s="1519">
        <f t="shared" si="304"/>
        <v>0</v>
      </c>
      <c r="U436" s="1535">
        <f t="shared" si="305"/>
        <v>833333.33333333337</v>
      </c>
      <c r="V436" s="1537">
        <f t="shared" si="306"/>
        <v>10000000.333333334</v>
      </c>
      <c r="W436" s="1519">
        <f t="shared" si="307"/>
        <v>10000000</v>
      </c>
      <c r="X436" s="1537">
        <f t="shared" si="308"/>
        <v>10000000</v>
      </c>
      <c r="Y436" s="1537">
        <f t="shared" si="309"/>
        <v>832332.66666666791</v>
      </c>
      <c r="Z436" s="1537">
        <f t="shared" si="310"/>
        <v>0</v>
      </c>
      <c r="AA436" s="1537">
        <f t="shared" si="311"/>
        <v>0</v>
      </c>
      <c r="AB436" s="1537">
        <f t="shared" si="312"/>
        <v>0</v>
      </c>
      <c r="AC436" s="1537">
        <f t="shared" si="313"/>
        <v>0</v>
      </c>
      <c r="AD436" s="1537">
        <f t="shared" si="314"/>
        <v>0</v>
      </c>
      <c r="AE436" s="1537">
        <f t="shared" si="315"/>
        <v>0</v>
      </c>
      <c r="AF436" s="1536">
        <f t="shared" si="316"/>
        <v>0</v>
      </c>
      <c r="AG436" s="1555"/>
      <c r="AH436" s="1537">
        <f t="shared" si="317"/>
        <v>20833332.666666668</v>
      </c>
      <c r="AI436" s="1537">
        <f t="shared" si="318"/>
        <v>10833332.666666668</v>
      </c>
      <c r="AJ436" s="1537">
        <f t="shared" si="319"/>
        <v>833332.66666666791</v>
      </c>
      <c r="AK436" s="1537">
        <f t="shared" si="320"/>
        <v>1000</v>
      </c>
      <c r="AL436" s="1537">
        <f t="shared" si="321"/>
        <v>1000</v>
      </c>
      <c r="AM436" s="1537">
        <f t="shared" si="322"/>
        <v>1000</v>
      </c>
      <c r="AN436" s="1537">
        <f t="shared" si="323"/>
        <v>1000</v>
      </c>
      <c r="AO436" s="1537">
        <f t="shared" si="324"/>
        <v>1000</v>
      </c>
      <c r="AP436" s="1537">
        <f t="shared" si="325"/>
        <v>1000</v>
      </c>
      <c r="AQ436" s="1537">
        <f t="shared" si="326"/>
        <v>1000</v>
      </c>
      <c r="AR436" s="1537">
        <f t="shared" si="327"/>
        <v>1000</v>
      </c>
    </row>
    <row r="437" spans="3:44" x14ac:dyDescent="0.3">
      <c r="C437" s="1498" t="s">
        <v>3589</v>
      </c>
      <c r="D437" s="1563" t="s">
        <v>3443</v>
      </c>
      <c r="E437" s="1518">
        <v>5</v>
      </c>
      <c r="F437" s="1518">
        <f t="shared" si="297"/>
        <v>3</v>
      </c>
      <c r="G437" s="1532">
        <f t="shared" si="298"/>
        <v>0</v>
      </c>
      <c r="H437" s="1533">
        <f t="shared" si="299"/>
        <v>0</v>
      </c>
      <c r="I437" s="1534">
        <f t="shared" si="300"/>
        <v>0.2</v>
      </c>
      <c r="J437" s="1519">
        <v>50000000</v>
      </c>
      <c r="K437" s="1519">
        <v>19166667</v>
      </c>
      <c r="N437" s="1519">
        <f t="shared" si="301"/>
        <v>30833333</v>
      </c>
      <c r="Q437" s="1557">
        <v>9166667</v>
      </c>
      <c r="R437" s="1519">
        <f t="shared" si="302"/>
        <v>50000000</v>
      </c>
      <c r="S437" s="1519">
        <f t="shared" si="303"/>
        <v>21666666</v>
      </c>
      <c r="T437" s="1519">
        <f t="shared" si="304"/>
        <v>0</v>
      </c>
      <c r="U437" s="1535">
        <f t="shared" si="305"/>
        <v>833333.33333333337</v>
      </c>
      <c r="V437" s="1537">
        <f t="shared" si="306"/>
        <v>10000000.333333334</v>
      </c>
      <c r="W437" s="1519">
        <f t="shared" si="307"/>
        <v>10000000</v>
      </c>
      <c r="X437" s="1537">
        <f t="shared" si="308"/>
        <v>10000000</v>
      </c>
      <c r="Y437" s="1537">
        <f t="shared" si="309"/>
        <v>832332.66666666791</v>
      </c>
      <c r="Z437" s="1537">
        <f t="shared" si="310"/>
        <v>0</v>
      </c>
      <c r="AA437" s="1537">
        <f t="shared" si="311"/>
        <v>0</v>
      </c>
      <c r="AB437" s="1537">
        <f t="shared" si="312"/>
        <v>0</v>
      </c>
      <c r="AC437" s="1537">
        <f t="shared" si="313"/>
        <v>0</v>
      </c>
      <c r="AD437" s="1537">
        <f t="shared" si="314"/>
        <v>0</v>
      </c>
      <c r="AE437" s="1537">
        <f t="shared" si="315"/>
        <v>0</v>
      </c>
      <c r="AF437" s="1536">
        <f t="shared" si="316"/>
        <v>0</v>
      </c>
      <c r="AG437" s="1555"/>
      <c r="AH437" s="1537">
        <f t="shared" si="317"/>
        <v>20833332.666666668</v>
      </c>
      <c r="AI437" s="1537">
        <f t="shared" si="318"/>
        <v>10833332.666666668</v>
      </c>
      <c r="AJ437" s="1537">
        <f t="shared" si="319"/>
        <v>833332.66666666791</v>
      </c>
      <c r="AK437" s="1537">
        <f t="shared" si="320"/>
        <v>1000</v>
      </c>
      <c r="AL437" s="1537">
        <f t="shared" si="321"/>
        <v>1000</v>
      </c>
      <c r="AM437" s="1537">
        <f t="shared" si="322"/>
        <v>1000</v>
      </c>
      <c r="AN437" s="1537">
        <f t="shared" si="323"/>
        <v>1000</v>
      </c>
      <c r="AO437" s="1537">
        <f t="shared" si="324"/>
        <v>1000</v>
      </c>
      <c r="AP437" s="1537">
        <f t="shared" si="325"/>
        <v>1000</v>
      </c>
      <c r="AQ437" s="1537">
        <f t="shared" si="326"/>
        <v>1000</v>
      </c>
      <c r="AR437" s="1537">
        <f t="shared" si="327"/>
        <v>1000</v>
      </c>
    </row>
    <row r="438" spans="3:44" x14ac:dyDescent="0.3">
      <c r="C438" s="1498" t="s">
        <v>3590</v>
      </c>
      <c r="D438" s="1563" t="s">
        <v>3438</v>
      </c>
      <c r="E438" s="1518">
        <v>5</v>
      </c>
      <c r="F438" s="1518">
        <f t="shared" si="297"/>
        <v>3</v>
      </c>
      <c r="G438" s="1532">
        <f t="shared" si="298"/>
        <v>0</v>
      </c>
      <c r="H438" s="1533">
        <f t="shared" si="299"/>
        <v>0</v>
      </c>
      <c r="I438" s="1534">
        <f t="shared" si="300"/>
        <v>0.2</v>
      </c>
      <c r="J438" s="1519">
        <v>6909091</v>
      </c>
      <c r="K438" s="1519">
        <v>2648485</v>
      </c>
      <c r="N438" s="1519">
        <f t="shared" si="301"/>
        <v>4260606</v>
      </c>
      <c r="Q438" s="1557">
        <v>1266667</v>
      </c>
      <c r="R438" s="1519">
        <f t="shared" si="302"/>
        <v>6909091</v>
      </c>
      <c r="S438" s="1519">
        <f t="shared" si="303"/>
        <v>2993939</v>
      </c>
      <c r="T438" s="1519">
        <f t="shared" si="304"/>
        <v>0</v>
      </c>
      <c r="U438" s="1535">
        <f t="shared" si="305"/>
        <v>115151.51666666666</v>
      </c>
      <c r="V438" s="1537">
        <f t="shared" si="306"/>
        <v>1381818.5166666666</v>
      </c>
      <c r="W438" s="1519">
        <f t="shared" si="307"/>
        <v>1381818.2000000002</v>
      </c>
      <c r="X438" s="1537">
        <f t="shared" si="308"/>
        <v>1381818.2000000002</v>
      </c>
      <c r="Y438" s="1537">
        <f t="shared" si="309"/>
        <v>114151.08333333302</v>
      </c>
      <c r="Z438" s="1537">
        <f t="shared" si="310"/>
        <v>0</v>
      </c>
      <c r="AA438" s="1537">
        <f t="shared" si="311"/>
        <v>0</v>
      </c>
      <c r="AB438" s="1537">
        <f t="shared" si="312"/>
        <v>0</v>
      </c>
      <c r="AC438" s="1537">
        <f t="shared" si="313"/>
        <v>0</v>
      </c>
      <c r="AD438" s="1537">
        <f t="shared" si="314"/>
        <v>0</v>
      </c>
      <c r="AE438" s="1537">
        <f t="shared" si="315"/>
        <v>0</v>
      </c>
      <c r="AF438" s="1536">
        <f t="shared" si="316"/>
        <v>0</v>
      </c>
      <c r="AG438" s="1555"/>
      <c r="AH438" s="1537">
        <f t="shared" si="317"/>
        <v>2878787.4833333334</v>
      </c>
      <c r="AI438" s="1537">
        <f t="shared" si="318"/>
        <v>1496969.2833333332</v>
      </c>
      <c r="AJ438" s="1537">
        <f t="shared" si="319"/>
        <v>115151.08333333302</v>
      </c>
      <c r="AK438" s="1537">
        <f t="shared" si="320"/>
        <v>1000</v>
      </c>
      <c r="AL438" s="1537">
        <f t="shared" si="321"/>
        <v>1000</v>
      </c>
      <c r="AM438" s="1537">
        <f t="shared" si="322"/>
        <v>1000</v>
      </c>
      <c r="AN438" s="1537">
        <f t="shared" si="323"/>
        <v>1000</v>
      </c>
      <c r="AO438" s="1537">
        <f t="shared" si="324"/>
        <v>1000</v>
      </c>
      <c r="AP438" s="1537">
        <f t="shared" si="325"/>
        <v>1000</v>
      </c>
      <c r="AQ438" s="1537">
        <f t="shared" si="326"/>
        <v>1000</v>
      </c>
      <c r="AR438" s="1537">
        <f t="shared" si="327"/>
        <v>1000</v>
      </c>
    </row>
    <row r="439" spans="3:44" x14ac:dyDescent="0.3">
      <c r="C439" s="1498" t="s">
        <v>3591</v>
      </c>
      <c r="D439" s="1563" t="s">
        <v>3621</v>
      </c>
      <c r="E439" s="1518">
        <v>5</v>
      </c>
      <c r="F439" s="1518">
        <f t="shared" si="297"/>
        <v>3</v>
      </c>
      <c r="G439" s="1532">
        <f t="shared" si="298"/>
        <v>0</v>
      </c>
      <c r="H439" s="1533">
        <f t="shared" si="299"/>
        <v>0</v>
      </c>
      <c r="I439" s="1534">
        <f t="shared" si="300"/>
        <v>0.2</v>
      </c>
      <c r="J439" s="1519">
        <v>2710000</v>
      </c>
      <c r="K439" s="1519">
        <v>1038833</v>
      </c>
      <c r="N439" s="1519">
        <f t="shared" si="301"/>
        <v>1671167</v>
      </c>
      <c r="Q439" s="1557">
        <v>496833</v>
      </c>
      <c r="R439" s="1519">
        <f t="shared" si="302"/>
        <v>2710000</v>
      </c>
      <c r="S439" s="1519">
        <f t="shared" si="303"/>
        <v>1174334</v>
      </c>
      <c r="T439" s="1519">
        <f t="shared" si="304"/>
        <v>0</v>
      </c>
      <c r="U439" s="1535">
        <f t="shared" si="305"/>
        <v>45166.666666666664</v>
      </c>
      <c r="V439" s="1537">
        <f t="shared" si="306"/>
        <v>541999.66666666663</v>
      </c>
      <c r="W439" s="1519">
        <f t="shared" si="307"/>
        <v>542000</v>
      </c>
      <c r="X439" s="1537">
        <f t="shared" si="308"/>
        <v>542000</v>
      </c>
      <c r="Y439" s="1537">
        <f t="shared" si="309"/>
        <v>44167.333333333256</v>
      </c>
      <c r="Z439" s="1537">
        <f t="shared" si="310"/>
        <v>0</v>
      </c>
      <c r="AA439" s="1537">
        <f t="shared" si="311"/>
        <v>0</v>
      </c>
      <c r="AB439" s="1537">
        <f t="shared" si="312"/>
        <v>0</v>
      </c>
      <c r="AC439" s="1537">
        <f t="shared" si="313"/>
        <v>0</v>
      </c>
      <c r="AD439" s="1537">
        <f t="shared" si="314"/>
        <v>0</v>
      </c>
      <c r="AE439" s="1537">
        <f t="shared" si="315"/>
        <v>0</v>
      </c>
      <c r="AF439" s="1536">
        <f t="shared" si="316"/>
        <v>0</v>
      </c>
      <c r="AG439" s="1555"/>
      <c r="AH439" s="1537">
        <f t="shared" si="317"/>
        <v>1129167.3333333333</v>
      </c>
      <c r="AI439" s="1537">
        <f t="shared" si="318"/>
        <v>587167.33333333326</v>
      </c>
      <c r="AJ439" s="1537">
        <f t="shared" si="319"/>
        <v>45167.333333333256</v>
      </c>
      <c r="AK439" s="1537">
        <f t="shared" si="320"/>
        <v>1000</v>
      </c>
      <c r="AL439" s="1537">
        <f t="shared" si="321"/>
        <v>1000</v>
      </c>
      <c r="AM439" s="1537">
        <f t="shared" si="322"/>
        <v>1000</v>
      </c>
      <c r="AN439" s="1537">
        <f t="shared" si="323"/>
        <v>1000</v>
      </c>
      <c r="AO439" s="1537">
        <f t="shared" si="324"/>
        <v>1000</v>
      </c>
      <c r="AP439" s="1537">
        <f t="shared" si="325"/>
        <v>1000</v>
      </c>
      <c r="AQ439" s="1537">
        <f t="shared" si="326"/>
        <v>1000</v>
      </c>
      <c r="AR439" s="1537">
        <f t="shared" si="327"/>
        <v>1000</v>
      </c>
    </row>
    <row r="440" spans="3:44" x14ac:dyDescent="0.3">
      <c r="C440" s="1498" t="s">
        <v>3592</v>
      </c>
      <c r="D440" s="1563" t="s">
        <v>3433</v>
      </c>
      <c r="E440" s="1518">
        <v>5</v>
      </c>
      <c r="F440" s="1518">
        <f t="shared" si="297"/>
        <v>3</v>
      </c>
      <c r="G440" s="1532">
        <f t="shared" si="298"/>
        <v>0</v>
      </c>
      <c r="H440" s="1533">
        <f t="shared" si="299"/>
        <v>0</v>
      </c>
      <c r="I440" s="1534">
        <f t="shared" si="300"/>
        <v>0.2</v>
      </c>
      <c r="J440" s="1519">
        <v>2385000</v>
      </c>
      <c r="K440" s="1519">
        <v>914250</v>
      </c>
      <c r="N440" s="1519">
        <f t="shared" si="301"/>
        <v>1470750</v>
      </c>
      <c r="Q440" s="1557">
        <v>437250</v>
      </c>
      <c r="R440" s="1519">
        <f t="shared" si="302"/>
        <v>2385000</v>
      </c>
      <c r="S440" s="1519">
        <f t="shared" si="303"/>
        <v>1033500</v>
      </c>
      <c r="T440" s="1519">
        <f t="shared" si="304"/>
        <v>0</v>
      </c>
      <c r="U440" s="1535">
        <f t="shared" si="305"/>
        <v>39750</v>
      </c>
      <c r="V440" s="1537">
        <f t="shared" si="306"/>
        <v>477000</v>
      </c>
      <c r="W440" s="1519">
        <f t="shared" si="307"/>
        <v>477000</v>
      </c>
      <c r="X440" s="1537">
        <f t="shared" si="308"/>
        <v>477000</v>
      </c>
      <c r="Y440" s="1537">
        <f t="shared" si="309"/>
        <v>38750</v>
      </c>
      <c r="Z440" s="1537">
        <f t="shared" si="310"/>
        <v>0</v>
      </c>
      <c r="AA440" s="1537">
        <f t="shared" si="311"/>
        <v>0</v>
      </c>
      <c r="AB440" s="1537">
        <f t="shared" si="312"/>
        <v>0</v>
      </c>
      <c r="AC440" s="1537">
        <f t="shared" si="313"/>
        <v>0</v>
      </c>
      <c r="AD440" s="1537">
        <f t="shared" si="314"/>
        <v>0</v>
      </c>
      <c r="AE440" s="1537">
        <f t="shared" si="315"/>
        <v>0</v>
      </c>
      <c r="AF440" s="1536">
        <f t="shared" si="316"/>
        <v>0</v>
      </c>
      <c r="AG440" s="1555"/>
      <c r="AH440" s="1537">
        <f t="shared" si="317"/>
        <v>993750</v>
      </c>
      <c r="AI440" s="1537">
        <f t="shared" si="318"/>
        <v>516750</v>
      </c>
      <c r="AJ440" s="1537">
        <f t="shared" si="319"/>
        <v>39750</v>
      </c>
      <c r="AK440" s="1537">
        <f t="shared" si="320"/>
        <v>1000</v>
      </c>
      <c r="AL440" s="1537">
        <f t="shared" si="321"/>
        <v>1000</v>
      </c>
      <c r="AM440" s="1537">
        <f t="shared" si="322"/>
        <v>1000</v>
      </c>
      <c r="AN440" s="1537">
        <f t="shared" si="323"/>
        <v>1000</v>
      </c>
      <c r="AO440" s="1537">
        <f t="shared" si="324"/>
        <v>1000</v>
      </c>
      <c r="AP440" s="1537">
        <f t="shared" si="325"/>
        <v>1000</v>
      </c>
      <c r="AQ440" s="1537">
        <f t="shared" si="326"/>
        <v>1000</v>
      </c>
      <c r="AR440" s="1537">
        <f t="shared" si="327"/>
        <v>1000</v>
      </c>
    </row>
    <row r="441" spans="3:44" x14ac:dyDescent="0.3">
      <c r="C441" s="1498" t="s">
        <v>3593</v>
      </c>
      <c r="D441" s="1563" t="s">
        <v>3456</v>
      </c>
      <c r="E441" s="1518">
        <v>5</v>
      </c>
      <c r="F441" s="1518">
        <f t="shared" si="297"/>
        <v>3</v>
      </c>
      <c r="G441" s="1532">
        <f t="shared" si="298"/>
        <v>0</v>
      </c>
      <c r="H441" s="1533">
        <f t="shared" si="299"/>
        <v>0</v>
      </c>
      <c r="I441" s="1534">
        <f t="shared" si="300"/>
        <v>0.2</v>
      </c>
      <c r="J441" s="1519">
        <v>259283700</v>
      </c>
      <c r="K441" s="1519">
        <v>86427900</v>
      </c>
      <c r="N441" s="1519">
        <f t="shared" si="301"/>
        <v>172855800</v>
      </c>
      <c r="Q441" s="1557">
        <v>47535345</v>
      </c>
      <c r="R441" s="1519">
        <f t="shared" si="302"/>
        <v>259283700</v>
      </c>
      <c r="S441" s="1519">
        <f t="shared" si="303"/>
        <v>125320455</v>
      </c>
      <c r="T441" s="1519">
        <f t="shared" si="304"/>
        <v>0</v>
      </c>
      <c r="U441" s="1535">
        <f t="shared" si="305"/>
        <v>4321395</v>
      </c>
      <c r="V441" s="1537">
        <f t="shared" si="306"/>
        <v>51856740</v>
      </c>
      <c r="W441" s="1519">
        <f t="shared" si="307"/>
        <v>51856740</v>
      </c>
      <c r="X441" s="1537">
        <f t="shared" si="308"/>
        <v>51856740</v>
      </c>
      <c r="Y441" s="1537">
        <f t="shared" si="309"/>
        <v>17284580</v>
      </c>
      <c r="Z441" s="1537">
        <f t="shared" si="310"/>
        <v>0</v>
      </c>
      <c r="AA441" s="1537">
        <f t="shared" si="311"/>
        <v>0</v>
      </c>
      <c r="AB441" s="1537">
        <f t="shared" si="312"/>
        <v>0</v>
      </c>
      <c r="AC441" s="1537">
        <f t="shared" si="313"/>
        <v>0</v>
      </c>
      <c r="AD441" s="1537">
        <f t="shared" si="314"/>
        <v>0</v>
      </c>
      <c r="AE441" s="1537">
        <f t="shared" si="315"/>
        <v>0</v>
      </c>
      <c r="AF441" s="1536">
        <f t="shared" si="316"/>
        <v>0</v>
      </c>
      <c r="AG441" s="1555"/>
      <c r="AH441" s="1537">
        <f t="shared" si="317"/>
        <v>120999060</v>
      </c>
      <c r="AI441" s="1537">
        <f t="shared" si="318"/>
        <v>69142320</v>
      </c>
      <c r="AJ441" s="1537">
        <f t="shared" si="319"/>
        <v>17285580</v>
      </c>
      <c r="AK441" s="1537">
        <f t="shared" si="320"/>
        <v>1000</v>
      </c>
      <c r="AL441" s="1537">
        <f t="shared" si="321"/>
        <v>1000</v>
      </c>
      <c r="AM441" s="1537">
        <f t="shared" si="322"/>
        <v>1000</v>
      </c>
      <c r="AN441" s="1537">
        <f t="shared" si="323"/>
        <v>1000</v>
      </c>
      <c r="AO441" s="1537">
        <f t="shared" si="324"/>
        <v>1000</v>
      </c>
      <c r="AP441" s="1537">
        <f t="shared" si="325"/>
        <v>1000</v>
      </c>
      <c r="AQ441" s="1537">
        <f t="shared" si="326"/>
        <v>1000</v>
      </c>
      <c r="AR441" s="1537">
        <f t="shared" si="327"/>
        <v>1000</v>
      </c>
    </row>
    <row r="442" spans="3:44" x14ac:dyDescent="0.3">
      <c r="C442" s="1498" t="s">
        <v>3594</v>
      </c>
      <c r="D442" s="1563" t="s">
        <v>3622</v>
      </c>
      <c r="E442" s="1518">
        <v>5</v>
      </c>
      <c r="F442" s="1518">
        <f t="shared" si="297"/>
        <v>3</v>
      </c>
      <c r="G442" s="1532">
        <f t="shared" si="298"/>
        <v>0</v>
      </c>
      <c r="H442" s="1533">
        <f t="shared" si="299"/>
        <v>0</v>
      </c>
      <c r="I442" s="1534">
        <f t="shared" si="300"/>
        <v>0.2</v>
      </c>
      <c r="J442" s="1519">
        <v>977700</v>
      </c>
      <c r="K442" s="1519">
        <v>325900</v>
      </c>
      <c r="N442" s="1519">
        <f t="shared" si="301"/>
        <v>651800</v>
      </c>
      <c r="Q442" s="1557">
        <v>179245</v>
      </c>
      <c r="R442" s="1519">
        <f t="shared" si="302"/>
        <v>977700</v>
      </c>
      <c r="S442" s="1519">
        <f t="shared" si="303"/>
        <v>472555</v>
      </c>
      <c r="T442" s="1519">
        <f t="shared" si="304"/>
        <v>0</v>
      </c>
      <c r="U442" s="1535">
        <f t="shared" si="305"/>
        <v>16295</v>
      </c>
      <c r="V442" s="1537">
        <f t="shared" si="306"/>
        <v>195540</v>
      </c>
      <c r="W442" s="1519">
        <f t="shared" si="307"/>
        <v>195540</v>
      </c>
      <c r="X442" s="1537">
        <f t="shared" si="308"/>
        <v>195540</v>
      </c>
      <c r="Y442" s="1537">
        <f t="shared" si="309"/>
        <v>64180</v>
      </c>
      <c r="Z442" s="1537">
        <f t="shared" si="310"/>
        <v>0</v>
      </c>
      <c r="AA442" s="1537">
        <f t="shared" si="311"/>
        <v>0</v>
      </c>
      <c r="AB442" s="1537">
        <f t="shared" si="312"/>
        <v>0</v>
      </c>
      <c r="AC442" s="1537">
        <f t="shared" si="313"/>
        <v>0</v>
      </c>
      <c r="AD442" s="1537">
        <f t="shared" si="314"/>
        <v>0</v>
      </c>
      <c r="AE442" s="1537">
        <f t="shared" si="315"/>
        <v>0</v>
      </c>
      <c r="AF442" s="1536">
        <f t="shared" si="316"/>
        <v>0</v>
      </c>
      <c r="AG442" s="1555"/>
      <c r="AH442" s="1537">
        <f t="shared" si="317"/>
        <v>456260</v>
      </c>
      <c r="AI442" s="1537">
        <f t="shared" si="318"/>
        <v>260720</v>
      </c>
      <c r="AJ442" s="1537">
        <f t="shared" si="319"/>
        <v>65180</v>
      </c>
      <c r="AK442" s="1537">
        <f t="shared" si="320"/>
        <v>1000</v>
      </c>
      <c r="AL442" s="1537">
        <f t="shared" si="321"/>
        <v>1000</v>
      </c>
      <c r="AM442" s="1537">
        <f t="shared" si="322"/>
        <v>1000</v>
      </c>
      <c r="AN442" s="1537">
        <f t="shared" si="323"/>
        <v>1000</v>
      </c>
      <c r="AO442" s="1537">
        <f t="shared" si="324"/>
        <v>1000</v>
      </c>
      <c r="AP442" s="1537">
        <f t="shared" si="325"/>
        <v>1000</v>
      </c>
      <c r="AQ442" s="1537">
        <f t="shared" si="326"/>
        <v>1000</v>
      </c>
      <c r="AR442" s="1537">
        <f t="shared" si="327"/>
        <v>1000</v>
      </c>
    </row>
    <row r="443" spans="3:44" x14ac:dyDescent="0.3">
      <c r="C443" s="1498" t="s">
        <v>3595</v>
      </c>
      <c r="D443" s="1563" t="s">
        <v>3623</v>
      </c>
      <c r="E443" s="1518">
        <v>5</v>
      </c>
      <c r="F443" s="1518">
        <f t="shared" si="297"/>
        <v>3</v>
      </c>
      <c r="G443" s="1532">
        <f t="shared" si="298"/>
        <v>0</v>
      </c>
      <c r="H443" s="1533">
        <f t="shared" si="299"/>
        <v>0</v>
      </c>
      <c r="I443" s="1534">
        <f t="shared" si="300"/>
        <v>0.2</v>
      </c>
      <c r="J443" s="1519">
        <v>4138000</v>
      </c>
      <c r="K443" s="1519">
        <v>1310367</v>
      </c>
      <c r="N443" s="1519">
        <f t="shared" si="301"/>
        <v>2827633</v>
      </c>
      <c r="Q443" s="1557">
        <v>758633</v>
      </c>
      <c r="R443" s="1519">
        <f t="shared" si="302"/>
        <v>4138000</v>
      </c>
      <c r="S443" s="1519">
        <f t="shared" si="303"/>
        <v>2069000</v>
      </c>
      <c r="T443" s="1519">
        <f t="shared" si="304"/>
        <v>0</v>
      </c>
      <c r="U443" s="1535">
        <f t="shared" si="305"/>
        <v>68966.666666666672</v>
      </c>
      <c r="V443" s="1537">
        <f t="shared" si="306"/>
        <v>827599.66666666663</v>
      </c>
      <c r="W443" s="1519">
        <f t="shared" si="307"/>
        <v>827600</v>
      </c>
      <c r="X443" s="1537">
        <f t="shared" si="308"/>
        <v>827600</v>
      </c>
      <c r="Y443" s="1537">
        <f t="shared" si="309"/>
        <v>343833.33333333326</v>
      </c>
      <c r="Z443" s="1537">
        <f t="shared" si="310"/>
        <v>0</v>
      </c>
      <c r="AA443" s="1537">
        <f t="shared" si="311"/>
        <v>0</v>
      </c>
      <c r="AB443" s="1537">
        <f t="shared" si="312"/>
        <v>0</v>
      </c>
      <c r="AC443" s="1537">
        <f t="shared" si="313"/>
        <v>0</v>
      </c>
      <c r="AD443" s="1537">
        <f t="shared" si="314"/>
        <v>0</v>
      </c>
      <c r="AE443" s="1537">
        <f t="shared" si="315"/>
        <v>0</v>
      </c>
      <c r="AF443" s="1536">
        <f t="shared" si="316"/>
        <v>0</v>
      </c>
      <c r="AG443" s="1555"/>
      <c r="AH443" s="1537">
        <f t="shared" si="317"/>
        <v>2000033.3333333333</v>
      </c>
      <c r="AI443" s="1537">
        <f t="shared" si="318"/>
        <v>1172433.3333333333</v>
      </c>
      <c r="AJ443" s="1537">
        <f t="shared" si="319"/>
        <v>344833.33333333326</v>
      </c>
      <c r="AK443" s="1537">
        <f t="shared" si="320"/>
        <v>1000</v>
      </c>
      <c r="AL443" s="1537">
        <f t="shared" si="321"/>
        <v>1000</v>
      </c>
      <c r="AM443" s="1537">
        <f t="shared" si="322"/>
        <v>1000</v>
      </c>
      <c r="AN443" s="1537">
        <f t="shared" si="323"/>
        <v>1000</v>
      </c>
      <c r="AO443" s="1537">
        <f t="shared" si="324"/>
        <v>1000</v>
      </c>
      <c r="AP443" s="1537">
        <f t="shared" si="325"/>
        <v>1000</v>
      </c>
      <c r="AQ443" s="1537">
        <f t="shared" si="326"/>
        <v>1000</v>
      </c>
      <c r="AR443" s="1537">
        <f t="shared" si="327"/>
        <v>1000</v>
      </c>
    </row>
    <row r="444" spans="3:44" x14ac:dyDescent="0.3">
      <c r="C444" s="1498" t="s">
        <v>3596</v>
      </c>
      <c r="D444" s="1563" t="s">
        <v>3624</v>
      </c>
      <c r="E444" s="1518">
        <v>5</v>
      </c>
      <c r="F444" s="1518">
        <f t="shared" si="297"/>
        <v>3</v>
      </c>
      <c r="G444" s="1532">
        <f t="shared" si="298"/>
        <v>0</v>
      </c>
      <c r="H444" s="1533">
        <f t="shared" si="299"/>
        <v>0</v>
      </c>
      <c r="I444" s="1534">
        <f t="shared" si="300"/>
        <v>0.2</v>
      </c>
      <c r="J444" s="1519">
        <v>1785000</v>
      </c>
      <c r="K444" s="1519">
        <v>565250</v>
      </c>
      <c r="N444" s="1519">
        <f t="shared" si="301"/>
        <v>1219750</v>
      </c>
      <c r="Q444" s="1557">
        <v>327250</v>
      </c>
      <c r="R444" s="1519">
        <f t="shared" si="302"/>
        <v>1785000</v>
      </c>
      <c r="S444" s="1519">
        <f t="shared" si="303"/>
        <v>892500</v>
      </c>
      <c r="T444" s="1519">
        <f t="shared" si="304"/>
        <v>0</v>
      </c>
      <c r="U444" s="1535">
        <f t="shared" si="305"/>
        <v>29750</v>
      </c>
      <c r="V444" s="1537">
        <f t="shared" si="306"/>
        <v>357000</v>
      </c>
      <c r="W444" s="1519">
        <f t="shared" si="307"/>
        <v>357000</v>
      </c>
      <c r="X444" s="1537">
        <f t="shared" si="308"/>
        <v>357000</v>
      </c>
      <c r="Y444" s="1537">
        <f t="shared" si="309"/>
        <v>147750</v>
      </c>
      <c r="Z444" s="1537">
        <f t="shared" si="310"/>
        <v>0</v>
      </c>
      <c r="AA444" s="1537">
        <f t="shared" si="311"/>
        <v>0</v>
      </c>
      <c r="AB444" s="1537">
        <f t="shared" si="312"/>
        <v>0</v>
      </c>
      <c r="AC444" s="1537">
        <f t="shared" si="313"/>
        <v>0</v>
      </c>
      <c r="AD444" s="1537">
        <f t="shared" si="314"/>
        <v>0</v>
      </c>
      <c r="AE444" s="1537">
        <f t="shared" si="315"/>
        <v>0</v>
      </c>
      <c r="AF444" s="1536">
        <f t="shared" si="316"/>
        <v>0</v>
      </c>
      <c r="AG444" s="1555"/>
      <c r="AH444" s="1537">
        <f t="shared" si="317"/>
        <v>862750</v>
      </c>
      <c r="AI444" s="1537">
        <f t="shared" si="318"/>
        <v>505750</v>
      </c>
      <c r="AJ444" s="1537">
        <f t="shared" si="319"/>
        <v>148750</v>
      </c>
      <c r="AK444" s="1537">
        <f t="shared" si="320"/>
        <v>1000</v>
      </c>
      <c r="AL444" s="1537">
        <f t="shared" si="321"/>
        <v>1000</v>
      </c>
      <c r="AM444" s="1537">
        <f t="shared" si="322"/>
        <v>1000</v>
      </c>
      <c r="AN444" s="1537">
        <f t="shared" si="323"/>
        <v>1000</v>
      </c>
      <c r="AO444" s="1537">
        <f t="shared" si="324"/>
        <v>1000</v>
      </c>
      <c r="AP444" s="1537">
        <f t="shared" si="325"/>
        <v>1000</v>
      </c>
      <c r="AQ444" s="1537">
        <f t="shared" si="326"/>
        <v>1000</v>
      </c>
      <c r="AR444" s="1537">
        <f t="shared" si="327"/>
        <v>1000</v>
      </c>
    </row>
    <row r="445" spans="3:44" x14ac:dyDescent="0.3">
      <c r="C445" s="1498" t="s">
        <v>3597</v>
      </c>
      <c r="D445" s="1563" t="s">
        <v>3625</v>
      </c>
      <c r="E445" s="1518">
        <v>5</v>
      </c>
      <c r="F445" s="1518">
        <f t="shared" si="297"/>
        <v>4</v>
      </c>
      <c r="G445" s="1532">
        <f t="shared" si="298"/>
        <v>0</v>
      </c>
      <c r="H445" s="1533">
        <f t="shared" si="299"/>
        <v>0</v>
      </c>
      <c r="I445" s="1534">
        <f t="shared" si="300"/>
        <v>0.2</v>
      </c>
      <c r="J445" s="1519">
        <v>7500000</v>
      </c>
      <c r="K445" s="1519">
        <v>750000</v>
      </c>
      <c r="N445" s="1519">
        <f t="shared" si="301"/>
        <v>6750000</v>
      </c>
      <c r="Q445" s="1557">
        <v>1375000</v>
      </c>
      <c r="R445" s="1519">
        <f t="shared" si="302"/>
        <v>7500000</v>
      </c>
      <c r="S445" s="1519">
        <f t="shared" si="303"/>
        <v>5375000</v>
      </c>
      <c r="T445" s="1519">
        <f t="shared" si="304"/>
        <v>0</v>
      </c>
      <c r="U445" s="1535">
        <f t="shared" si="305"/>
        <v>125000</v>
      </c>
      <c r="V445" s="1537">
        <f t="shared" si="306"/>
        <v>1500000</v>
      </c>
      <c r="W445" s="1519">
        <f t="shared" si="307"/>
        <v>1500000</v>
      </c>
      <c r="X445" s="1537">
        <f t="shared" si="308"/>
        <v>1500000</v>
      </c>
      <c r="Y445" s="1537">
        <f t="shared" si="309"/>
        <v>1500000</v>
      </c>
      <c r="Z445" s="1537">
        <f t="shared" si="310"/>
        <v>749000</v>
      </c>
      <c r="AA445" s="1537">
        <f t="shared" si="311"/>
        <v>0</v>
      </c>
      <c r="AB445" s="1537">
        <f t="shared" si="312"/>
        <v>0</v>
      </c>
      <c r="AC445" s="1537">
        <f t="shared" si="313"/>
        <v>0</v>
      </c>
      <c r="AD445" s="1537">
        <f t="shared" si="314"/>
        <v>0</v>
      </c>
      <c r="AE445" s="1537">
        <f t="shared" si="315"/>
        <v>0</v>
      </c>
      <c r="AF445" s="1536">
        <f t="shared" si="316"/>
        <v>0</v>
      </c>
      <c r="AG445" s="1555"/>
      <c r="AH445" s="1537">
        <f t="shared" si="317"/>
        <v>5250000</v>
      </c>
      <c r="AI445" s="1537">
        <f t="shared" si="318"/>
        <v>3750000</v>
      </c>
      <c r="AJ445" s="1537">
        <f t="shared" si="319"/>
        <v>2250000</v>
      </c>
      <c r="AK445" s="1537">
        <f t="shared" si="320"/>
        <v>750000</v>
      </c>
      <c r="AL445" s="1537">
        <f t="shared" si="321"/>
        <v>1000</v>
      </c>
      <c r="AM445" s="1537">
        <f t="shared" si="322"/>
        <v>1000</v>
      </c>
      <c r="AN445" s="1537">
        <f t="shared" si="323"/>
        <v>1000</v>
      </c>
      <c r="AO445" s="1537">
        <f t="shared" si="324"/>
        <v>1000</v>
      </c>
      <c r="AP445" s="1537">
        <f t="shared" si="325"/>
        <v>1000</v>
      </c>
      <c r="AQ445" s="1537">
        <f t="shared" si="326"/>
        <v>1000</v>
      </c>
      <c r="AR445" s="1537">
        <f t="shared" si="327"/>
        <v>1000</v>
      </c>
    </row>
    <row r="446" spans="3:44" x14ac:dyDescent="0.3">
      <c r="C446" s="1498" t="s">
        <v>3598</v>
      </c>
      <c r="D446" s="1563" t="s">
        <v>3626</v>
      </c>
      <c r="E446" s="1518">
        <v>5</v>
      </c>
      <c r="F446" s="1518">
        <f t="shared" si="297"/>
        <v>4</v>
      </c>
      <c r="G446" s="1532">
        <f t="shared" si="298"/>
        <v>0</v>
      </c>
      <c r="H446" s="1533">
        <f t="shared" si="299"/>
        <v>0</v>
      </c>
      <c r="I446" s="1534">
        <f t="shared" si="300"/>
        <v>0.2</v>
      </c>
      <c r="J446" s="1519">
        <v>5803500</v>
      </c>
      <c r="K446" s="1519">
        <v>483625</v>
      </c>
      <c r="N446" s="1519">
        <f t="shared" si="301"/>
        <v>5319875</v>
      </c>
      <c r="Q446" s="1557">
        <v>1063975</v>
      </c>
      <c r="R446" s="1519">
        <f t="shared" si="302"/>
        <v>5803500</v>
      </c>
      <c r="S446" s="1519">
        <f t="shared" si="303"/>
        <v>4255900</v>
      </c>
      <c r="T446" s="1519">
        <f t="shared" si="304"/>
        <v>0</v>
      </c>
      <c r="U446" s="1535">
        <f t="shared" si="305"/>
        <v>96725</v>
      </c>
      <c r="V446" s="1537">
        <f t="shared" si="306"/>
        <v>1160700</v>
      </c>
      <c r="W446" s="1519">
        <f t="shared" si="307"/>
        <v>1160700</v>
      </c>
      <c r="X446" s="1537">
        <f t="shared" si="308"/>
        <v>1160700</v>
      </c>
      <c r="Y446" s="1537">
        <f t="shared" si="309"/>
        <v>1160700</v>
      </c>
      <c r="Z446" s="1537">
        <f t="shared" si="310"/>
        <v>676075</v>
      </c>
      <c r="AA446" s="1537">
        <f t="shared" si="311"/>
        <v>0</v>
      </c>
      <c r="AB446" s="1537">
        <f t="shared" si="312"/>
        <v>0</v>
      </c>
      <c r="AC446" s="1537">
        <f t="shared" si="313"/>
        <v>0</v>
      </c>
      <c r="AD446" s="1537">
        <f t="shared" si="314"/>
        <v>0</v>
      </c>
      <c r="AE446" s="1537">
        <f t="shared" si="315"/>
        <v>0</v>
      </c>
      <c r="AF446" s="1536">
        <f t="shared" si="316"/>
        <v>0</v>
      </c>
      <c r="AG446" s="1555"/>
      <c r="AH446" s="1537">
        <f t="shared" si="317"/>
        <v>4159175</v>
      </c>
      <c r="AI446" s="1537">
        <f t="shared" si="318"/>
        <v>2998475</v>
      </c>
      <c r="AJ446" s="1537">
        <f t="shared" si="319"/>
        <v>1837775</v>
      </c>
      <c r="AK446" s="1537">
        <f t="shared" si="320"/>
        <v>677075</v>
      </c>
      <c r="AL446" s="1537">
        <f t="shared" si="321"/>
        <v>1000</v>
      </c>
      <c r="AM446" s="1537">
        <f t="shared" si="322"/>
        <v>1000</v>
      </c>
      <c r="AN446" s="1537">
        <f t="shared" si="323"/>
        <v>1000</v>
      </c>
      <c r="AO446" s="1537">
        <f t="shared" si="324"/>
        <v>1000</v>
      </c>
      <c r="AP446" s="1537">
        <f t="shared" si="325"/>
        <v>1000</v>
      </c>
      <c r="AQ446" s="1537">
        <f t="shared" si="326"/>
        <v>1000</v>
      </c>
      <c r="AR446" s="1537">
        <f t="shared" si="327"/>
        <v>1000</v>
      </c>
    </row>
    <row r="447" spans="3:44" x14ac:dyDescent="0.3">
      <c r="C447" s="1498" t="s">
        <v>3599</v>
      </c>
      <c r="D447" s="1563" t="s">
        <v>3627</v>
      </c>
      <c r="E447" s="1518">
        <v>5</v>
      </c>
      <c r="F447" s="1518">
        <f t="shared" si="297"/>
        <v>5</v>
      </c>
      <c r="G447" s="1532">
        <f t="shared" si="298"/>
        <v>0</v>
      </c>
      <c r="H447" s="1533">
        <f t="shared" si="299"/>
        <v>0</v>
      </c>
      <c r="I447" s="1534">
        <f t="shared" si="300"/>
        <v>0.2</v>
      </c>
      <c r="J447" s="1519">
        <v>11700000</v>
      </c>
      <c r="N447" s="1519">
        <f t="shared" si="301"/>
        <v>11700000</v>
      </c>
      <c r="Q447" s="1557">
        <v>1755000</v>
      </c>
      <c r="R447" s="1519">
        <f t="shared" si="302"/>
        <v>11700000</v>
      </c>
      <c r="S447" s="1519">
        <f t="shared" si="303"/>
        <v>9945000</v>
      </c>
      <c r="T447" s="1519">
        <f t="shared" si="304"/>
        <v>0</v>
      </c>
      <c r="U447" s="1535">
        <f t="shared" si="305"/>
        <v>195000</v>
      </c>
      <c r="V447" s="1537">
        <f t="shared" si="306"/>
        <v>1950000</v>
      </c>
      <c r="W447" s="1519">
        <f t="shared" si="307"/>
        <v>2340000</v>
      </c>
      <c r="X447" s="1537">
        <f t="shared" si="308"/>
        <v>2340000</v>
      </c>
      <c r="Y447" s="1537">
        <f t="shared" si="309"/>
        <v>2340000</v>
      </c>
      <c r="Z447" s="1537">
        <f t="shared" si="310"/>
        <v>2340000</v>
      </c>
      <c r="AA447" s="1537">
        <f t="shared" si="311"/>
        <v>389000</v>
      </c>
      <c r="AB447" s="1537">
        <f t="shared" si="312"/>
        <v>0</v>
      </c>
      <c r="AC447" s="1537">
        <f t="shared" si="313"/>
        <v>0</v>
      </c>
      <c r="AD447" s="1537">
        <f t="shared" si="314"/>
        <v>0</v>
      </c>
      <c r="AE447" s="1537">
        <f t="shared" si="315"/>
        <v>0</v>
      </c>
      <c r="AF447" s="1536">
        <f t="shared" si="316"/>
        <v>0</v>
      </c>
      <c r="AG447" s="1555"/>
      <c r="AH447" s="1537">
        <f t="shared" si="317"/>
        <v>9750000</v>
      </c>
      <c r="AI447" s="1537">
        <f t="shared" si="318"/>
        <v>7410000</v>
      </c>
      <c r="AJ447" s="1537">
        <f t="shared" si="319"/>
        <v>5070000</v>
      </c>
      <c r="AK447" s="1537">
        <f t="shared" si="320"/>
        <v>2730000</v>
      </c>
      <c r="AL447" s="1537">
        <f t="shared" si="321"/>
        <v>390000</v>
      </c>
      <c r="AM447" s="1537">
        <f t="shared" si="322"/>
        <v>1000</v>
      </c>
      <c r="AN447" s="1537">
        <f t="shared" si="323"/>
        <v>1000</v>
      </c>
      <c r="AO447" s="1537">
        <f t="shared" si="324"/>
        <v>1000</v>
      </c>
      <c r="AP447" s="1537">
        <f t="shared" si="325"/>
        <v>1000</v>
      </c>
      <c r="AQ447" s="1537">
        <f t="shared" si="326"/>
        <v>1000</v>
      </c>
      <c r="AR447" s="1537">
        <f t="shared" si="327"/>
        <v>1000</v>
      </c>
    </row>
    <row r="448" spans="3:44" x14ac:dyDescent="0.3">
      <c r="C448" s="1498" t="s">
        <v>3600</v>
      </c>
      <c r="D448" s="1563" t="s">
        <v>3628</v>
      </c>
      <c r="E448" s="1518">
        <v>5</v>
      </c>
      <c r="F448" s="1518">
        <f t="shared" si="297"/>
        <v>5</v>
      </c>
      <c r="G448" s="1532">
        <f t="shared" si="298"/>
        <v>0</v>
      </c>
      <c r="H448" s="1533">
        <f t="shared" si="299"/>
        <v>0</v>
      </c>
      <c r="I448" s="1534">
        <f t="shared" si="300"/>
        <v>0.2</v>
      </c>
      <c r="J448" s="1519">
        <v>3800000</v>
      </c>
      <c r="N448" s="1519">
        <f t="shared" si="301"/>
        <v>3800000</v>
      </c>
      <c r="Q448" s="1557">
        <v>570000</v>
      </c>
      <c r="R448" s="1519">
        <f t="shared" si="302"/>
        <v>3800000</v>
      </c>
      <c r="S448" s="1519">
        <f t="shared" si="303"/>
        <v>3230000</v>
      </c>
      <c r="T448" s="1519">
        <f t="shared" si="304"/>
        <v>0</v>
      </c>
      <c r="U448" s="1535">
        <f t="shared" si="305"/>
        <v>63333.333333333328</v>
      </c>
      <c r="V448" s="1537">
        <f t="shared" si="306"/>
        <v>633333.33333333337</v>
      </c>
      <c r="W448" s="1519">
        <f t="shared" si="307"/>
        <v>760000</v>
      </c>
      <c r="X448" s="1537">
        <f t="shared" si="308"/>
        <v>760000</v>
      </c>
      <c r="Y448" s="1537">
        <f t="shared" si="309"/>
        <v>760000</v>
      </c>
      <c r="Z448" s="1537">
        <f t="shared" si="310"/>
        <v>760000</v>
      </c>
      <c r="AA448" s="1537">
        <f t="shared" si="311"/>
        <v>125666.66666666651</v>
      </c>
      <c r="AB448" s="1537">
        <f t="shared" si="312"/>
        <v>0</v>
      </c>
      <c r="AC448" s="1537">
        <f t="shared" si="313"/>
        <v>0</v>
      </c>
      <c r="AD448" s="1537">
        <f t="shared" si="314"/>
        <v>0</v>
      </c>
      <c r="AE448" s="1537">
        <f t="shared" si="315"/>
        <v>0</v>
      </c>
      <c r="AF448" s="1536">
        <f t="shared" si="316"/>
        <v>0</v>
      </c>
      <c r="AG448" s="1555"/>
      <c r="AH448" s="1537">
        <f t="shared" si="317"/>
        <v>3166666.6666666665</v>
      </c>
      <c r="AI448" s="1537">
        <f t="shared" si="318"/>
        <v>2406666.6666666665</v>
      </c>
      <c r="AJ448" s="1537">
        <f t="shared" si="319"/>
        <v>1646666.6666666665</v>
      </c>
      <c r="AK448" s="1537">
        <f t="shared" si="320"/>
        <v>886666.66666666651</v>
      </c>
      <c r="AL448" s="1537">
        <f t="shared" si="321"/>
        <v>126666.66666666651</v>
      </c>
      <c r="AM448" s="1537">
        <f t="shared" si="322"/>
        <v>1000</v>
      </c>
      <c r="AN448" s="1537">
        <f t="shared" si="323"/>
        <v>1000</v>
      </c>
      <c r="AO448" s="1537">
        <f t="shared" si="324"/>
        <v>1000</v>
      </c>
      <c r="AP448" s="1537">
        <f t="shared" si="325"/>
        <v>1000</v>
      </c>
      <c r="AQ448" s="1537">
        <f t="shared" si="326"/>
        <v>1000</v>
      </c>
      <c r="AR448" s="1537">
        <f t="shared" si="327"/>
        <v>1000</v>
      </c>
    </row>
    <row r="449" spans="2:44" x14ac:dyDescent="0.3">
      <c r="C449" s="1498" t="s">
        <v>3601</v>
      </c>
      <c r="D449" s="1563" t="s">
        <v>3537</v>
      </c>
      <c r="E449" s="1518">
        <v>5</v>
      </c>
      <c r="F449" s="1518">
        <f t="shared" si="297"/>
        <v>5</v>
      </c>
      <c r="G449" s="1532">
        <f t="shared" si="298"/>
        <v>0</v>
      </c>
      <c r="H449" s="1533">
        <f t="shared" si="299"/>
        <v>0</v>
      </c>
      <c r="I449" s="1534">
        <f t="shared" si="300"/>
        <v>0.2</v>
      </c>
      <c r="J449" s="1519">
        <v>22000000</v>
      </c>
      <c r="N449" s="1519">
        <f t="shared" si="301"/>
        <v>22000000</v>
      </c>
      <c r="Q449" s="1557">
        <v>3300000</v>
      </c>
      <c r="R449" s="1519">
        <f t="shared" si="302"/>
        <v>22000000</v>
      </c>
      <c r="S449" s="1519">
        <f t="shared" si="303"/>
        <v>18700000</v>
      </c>
      <c r="T449" s="1519">
        <f t="shared" si="304"/>
        <v>0</v>
      </c>
      <c r="U449" s="1535">
        <f t="shared" si="305"/>
        <v>366666.66666666669</v>
      </c>
      <c r="V449" s="1537">
        <f t="shared" si="306"/>
        <v>3666666.6666666665</v>
      </c>
      <c r="W449" s="1519">
        <f t="shared" si="307"/>
        <v>4400000</v>
      </c>
      <c r="X449" s="1537">
        <f t="shared" si="308"/>
        <v>4400000</v>
      </c>
      <c r="Y449" s="1537">
        <f t="shared" si="309"/>
        <v>4400000</v>
      </c>
      <c r="Z449" s="1537">
        <f t="shared" si="310"/>
        <v>4400000</v>
      </c>
      <c r="AA449" s="1537">
        <f t="shared" si="311"/>
        <v>732333.33333333209</v>
      </c>
      <c r="AB449" s="1537">
        <f t="shared" si="312"/>
        <v>0</v>
      </c>
      <c r="AC449" s="1537">
        <f t="shared" si="313"/>
        <v>0</v>
      </c>
      <c r="AD449" s="1537">
        <f t="shared" si="314"/>
        <v>0</v>
      </c>
      <c r="AE449" s="1537">
        <f t="shared" si="315"/>
        <v>0</v>
      </c>
      <c r="AF449" s="1536">
        <f t="shared" si="316"/>
        <v>0</v>
      </c>
      <c r="AG449" s="1555"/>
      <c r="AH449" s="1537">
        <f t="shared" si="317"/>
        <v>18333333.333333332</v>
      </c>
      <c r="AI449" s="1537">
        <f t="shared" si="318"/>
        <v>13933333.333333332</v>
      </c>
      <c r="AJ449" s="1537">
        <f t="shared" si="319"/>
        <v>9533333.3333333321</v>
      </c>
      <c r="AK449" s="1537">
        <f t="shared" si="320"/>
        <v>5133333.3333333321</v>
      </c>
      <c r="AL449" s="1537">
        <f t="shared" si="321"/>
        <v>733333.33333333209</v>
      </c>
      <c r="AM449" s="1537">
        <f t="shared" si="322"/>
        <v>1000</v>
      </c>
      <c r="AN449" s="1537">
        <f t="shared" si="323"/>
        <v>1000</v>
      </c>
      <c r="AO449" s="1537">
        <f t="shared" si="324"/>
        <v>1000</v>
      </c>
      <c r="AP449" s="1537">
        <f t="shared" si="325"/>
        <v>1000</v>
      </c>
      <c r="AQ449" s="1537">
        <f t="shared" si="326"/>
        <v>1000</v>
      </c>
      <c r="AR449" s="1537">
        <f t="shared" si="327"/>
        <v>1000</v>
      </c>
    </row>
    <row r="450" spans="2:44" x14ac:dyDescent="0.3">
      <c r="C450" s="1498" t="s">
        <v>3602</v>
      </c>
      <c r="D450" s="1563" t="s">
        <v>3537</v>
      </c>
      <c r="E450" s="1518">
        <v>5</v>
      </c>
      <c r="F450" s="1518">
        <f t="shared" si="297"/>
        <v>5</v>
      </c>
      <c r="G450" s="1532">
        <f t="shared" si="298"/>
        <v>0</v>
      </c>
      <c r="H450" s="1533">
        <f t="shared" si="299"/>
        <v>0</v>
      </c>
      <c r="I450" s="1534">
        <f t="shared" si="300"/>
        <v>0.2</v>
      </c>
      <c r="J450" s="1519">
        <v>32860000</v>
      </c>
      <c r="N450" s="1519">
        <f t="shared" si="301"/>
        <v>32860000</v>
      </c>
      <c r="Q450" s="1557">
        <v>4929000</v>
      </c>
      <c r="R450" s="1519">
        <f t="shared" si="302"/>
        <v>32860000</v>
      </c>
      <c r="S450" s="1519">
        <f t="shared" si="303"/>
        <v>27931000</v>
      </c>
      <c r="T450" s="1519">
        <f t="shared" si="304"/>
        <v>0</v>
      </c>
      <c r="U450" s="1535">
        <f t="shared" si="305"/>
        <v>547666.66666666663</v>
      </c>
      <c r="V450" s="1537">
        <f t="shared" si="306"/>
        <v>5476666.666666667</v>
      </c>
      <c r="W450" s="1519">
        <f t="shared" si="307"/>
        <v>6572000</v>
      </c>
      <c r="X450" s="1537">
        <f t="shared" si="308"/>
        <v>6572000</v>
      </c>
      <c r="Y450" s="1537">
        <f t="shared" si="309"/>
        <v>6572000</v>
      </c>
      <c r="Z450" s="1537">
        <f t="shared" si="310"/>
        <v>6572000</v>
      </c>
      <c r="AA450" s="1537">
        <f t="shared" si="311"/>
        <v>1094333.3333333321</v>
      </c>
      <c r="AB450" s="1537">
        <f t="shared" si="312"/>
        <v>0</v>
      </c>
      <c r="AC450" s="1537">
        <f t="shared" si="313"/>
        <v>0</v>
      </c>
      <c r="AD450" s="1537">
        <f t="shared" si="314"/>
        <v>0</v>
      </c>
      <c r="AE450" s="1537">
        <f t="shared" si="315"/>
        <v>0</v>
      </c>
      <c r="AF450" s="1536">
        <f t="shared" si="316"/>
        <v>0</v>
      </c>
      <c r="AG450" s="1555"/>
      <c r="AH450" s="1537">
        <f t="shared" si="317"/>
        <v>27383333.333333332</v>
      </c>
      <c r="AI450" s="1537">
        <f t="shared" si="318"/>
        <v>20811333.333333332</v>
      </c>
      <c r="AJ450" s="1537">
        <f t="shared" si="319"/>
        <v>14239333.333333332</v>
      </c>
      <c r="AK450" s="1537">
        <f t="shared" si="320"/>
        <v>7667333.3333333321</v>
      </c>
      <c r="AL450" s="1537">
        <f t="shared" si="321"/>
        <v>1095333.3333333321</v>
      </c>
      <c r="AM450" s="1537">
        <f t="shared" si="322"/>
        <v>1000</v>
      </c>
      <c r="AN450" s="1537">
        <f t="shared" si="323"/>
        <v>1000</v>
      </c>
      <c r="AO450" s="1537">
        <f t="shared" si="324"/>
        <v>1000</v>
      </c>
      <c r="AP450" s="1537">
        <f t="shared" si="325"/>
        <v>1000</v>
      </c>
      <c r="AQ450" s="1537">
        <f t="shared" si="326"/>
        <v>1000</v>
      </c>
      <c r="AR450" s="1537">
        <f t="shared" si="327"/>
        <v>1000</v>
      </c>
    </row>
    <row r="451" spans="2:44" x14ac:dyDescent="0.3">
      <c r="C451" s="1498" t="s">
        <v>3603</v>
      </c>
      <c r="D451" s="1563" t="s">
        <v>3538</v>
      </c>
      <c r="E451" s="1518">
        <v>5</v>
      </c>
      <c r="F451" s="1518">
        <f t="shared" si="297"/>
        <v>5</v>
      </c>
      <c r="G451" s="1532">
        <f t="shared" si="298"/>
        <v>0</v>
      </c>
      <c r="H451" s="1533">
        <f t="shared" si="299"/>
        <v>0</v>
      </c>
      <c r="I451" s="1534">
        <f t="shared" si="300"/>
        <v>0.2</v>
      </c>
      <c r="J451" s="1519">
        <v>66000000</v>
      </c>
      <c r="N451" s="1519">
        <f t="shared" si="301"/>
        <v>66000000</v>
      </c>
      <c r="Q451" s="1557">
        <v>8800000</v>
      </c>
      <c r="R451" s="1519">
        <f t="shared" si="302"/>
        <v>66000000</v>
      </c>
      <c r="S451" s="1519">
        <f t="shared" si="303"/>
        <v>57200000</v>
      </c>
      <c r="T451" s="1519">
        <f t="shared" si="304"/>
        <v>0</v>
      </c>
      <c r="U451" s="1535">
        <f t="shared" si="305"/>
        <v>1100000</v>
      </c>
      <c r="V451" s="1537">
        <f t="shared" si="306"/>
        <v>9900000</v>
      </c>
      <c r="W451" s="1519">
        <f t="shared" si="307"/>
        <v>13200000</v>
      </c>
      <c r="X451" s="1537">
        <f t="shared" si="308"/>
        <v>13200000</v>
      </c>
      <c r="Y451" s="1537">
        <f t="shared" si="309"/>
        <v>13200000</v>
      </c>
      <c r="Z451" s="1537">
        <f t="shared" si="310"/>
        <v>13200000</v>
      </c>
      <c r="AA451" s="1537">
        <f t="shared" si="311"/>
        <v>3299000</v>
      </c>
      <c r="AB451" s="1537">
        <f t="shared" si="312"/>
        <v>0</v>
      </c>
      <c r="AC451" s="1537">
        <f t="shared" si="313"/>
        <v>0</v>
      </c>
      <c r="AD451" s="1537">
        <f t="shared" si="314"/>
        <v>0</v>
      </c>
      <c r="AE451" s="1537">
        <f t="shared" si="315"/>
        <v>0</v>
      </c>
      <c r="AF451" s="1536">
        <f t="shared" si="316"/>
        <v>0</v>
      </c>
      <c r="AG451" s="1555"/>
      <c r="AH451" s="1537">
        <f t="shared" si="317"/>
        <v>56100000</v>
      </c>
      <c r="AI451" s="1537">
        <f t="shared" si="318"/>
        <v>42900000</v>
      </c>
      <c r="AJ451" s="1537">
        <f t="shared" si="319"/>
        <v>29700000</v>
      </c>
      <c r="AK451" s="1537">
        <f t="shared" si="320"/>
        <v>16500000</v>
      </c>
      <c r="AL451" s="1537">
        <f t="shared" si="321"/>
        <v>3300000</v>
      </c>
      <c r="AM451" s="1537">
        <f t="shared" si="322"/>
        <v>1000</v>
      </c>
      <c r="AN451" s="1537">
        <f t="shared" si="323"/>
        <v>1000</v>
      </c>
      <c r="AO451" s="1537">
        <f t="shared" si="324"/>
        <v>1000</v>
      </c>
      <c r="AP451" s="1537">
        <f t="shared" si="325"/>
        <v>1000</v>
      </c>
      <c r="AQ451" s="1537">
        <f t="shared" si="326"/>
        <v>1000</v>
      </c>
      <c r="AR451" s="1537">
        <f t="shared" si="327"/>
        <v>1000</v>
      </c>
    </row>
    <row r="452" spans="2:44" x14ac:dyDescent="0.3">
      <c r="C452" s="1498" t="s">
        <v>3604</v>
      </c>
      <c r="D452" s="1563" t="s">
        <v>3538</v>
      </c>
      <c r="E452" s="1518">
        <v>5</v>
      </c>
      <c r="F452" s="1518">
        <f t="shared" si="297"/>
        <v>5</v>
      </c>
      <c r="G452" s="1532">
        <f t="shared" si="298"/>
        <v>0</v>
      </c>
      <c r="H452" s="1533">
        <f t="shared" si="299"/>
        <v>0</v>
      </c>
      <c r="I452" s="1534">
        <f t="shared" si="300"/>
        <v>0.2</v>
      </c>
      <c r="J452" s="1519">
        <v>83250000</v>
      </c>
      <c r="N452" s="1519">
        <f t="shared" si="301"/>
        <v>83250000</v>
      </c>
      <c r="Q452" s="1557">
        <v>11100000</v>
      </c>
      <c r="R452" s="1519">
        <f t="shared" si="302"/>
        <v>83250000</v>
      </c>
      <c r="S452" s="1519">
        <f t="shared" si="303"/>
        <v>72150000</v>
      </c>
      <c r="T452" s="1519">
        <f t="shared" si="304"/>
        <v>0</v>
      </c>
      <c r="U452" s="1535">
        <f t="shared" si="305"/>
        <v>1387500</v>
      </c>
      <c r="V452" s="1537">
        <f t="shared" si="306"/>
        <v>12487500</v>
      </c>
      <c r="W452" s="1519">
        <f t="shared" si="307"/>
        <v>16650000</v>
      </c>
      <c r="X452" s="1537">
        <f t="shared" si="308"/>
        <v>16650000</v>
      </c>
      <c r="Y452" s="1537">
        <f t="shared" si="309"/>
        <v>16650000</v>
      </c>
      <c r="Z452" s="1537">
        <f t="shared" si="310"/>
        <v>16650000</v>
      </c>
      <c r="AA452" s="1537">
        <f t="shared" si="311"/>
        <v>4161500</v>
      </c>
      <c r="AB452" s="1537">
        <f t="shared" si="312"/>
        <v>0</v>
      </c>
      <c r="AC452" s="1537">
        <f t="shared" si="313"/>
        <v>0</v>
      </c>
      <c r="AD452" s="1537">
        <f t="shared" si="314"/>
        <v>0</v>
      </c>
      <c r="AE452" s="1537">
        <f t="shared" si="315"/>
        <v>0</v>
      </c>
      <c r="AF452" s="1536">
        <f t="shared" si="316"/>
        <v>0</v>
      </c>
      <c r="AG452" s="1555"/>
      <c r="AH452" s="1537">
        <f t="shared" si="317"/>
        <v>70762500</v>
      </c>
      <c r="AI452" s="1537">
        <f t="shared" si="318"/>
        <v>54112500</v>
      </c>
      <c r="AJ452" s="1537">
        <f t="shared" si="319"/>
        <v>37462500</v>
      </c>
      <c r="AK452" s="1537">
        <f t="shared" si="320"/>
        <v>20812500</v>
      </c>
      <c r="AL452" s="1537">
        <f t="shared" si="321"/>
        <v>4162500</v>
      </c>
      <c r="AM452" s="1537">
        <f t="shared" si="322"/>
        <v>1000</v>
      </c>
      <c r="AN452" s="1537">
        <f t="shared" si="323"/>
        <v>1000</v>
      </c>
      <c r="AO452" s="1537">
        <f t="shared" si="324"/>
        <v>1000</v>
      </c>
      <c r="AP452" s="1537">
        <f t="shared" si="325"/>
        <v>1000</v>
      </c>
      <c r="AQ452" s="1537">
        <f t="shared" si="326"/>
        <v>1000</v>
      </c>
      <c r="AR452" s="1537">
        <f t="shared" si="327"/>
        <v>1000</v>
      </c>
    </row>
    <row r="453" spans="2:44" x14ac:dyDescent="0.3">
      <c r="C453" s="1498" t="s">
        <v>3605</v>
      </c>
      <c r="D453" s="1563" t="s">
        <v>3538</v>
      </c>
      <c r="E453" s="1518">
        <v>5</v>
      </c>
      <c r="F453" s="1518">
        <f t="shared" si="297"/>
        <v>5</v>
      </c>
      <c r="G453" s="1532">
        <f t="shared" si="298"/>
        <v>0</v>
      </c>
      <c r="H453" s="1533">
        <f t="shared" si="299"/>
        <v>0</v>
      </c>
      <c r="I453" s="1534">
        <f t="shared" si="300"/>
        <v>0.2</v>
      </c>
      <c r="J453" s="1519">
        <v>49500000</v>
      </c>
      <c r="N453" s="1519">
        <f t="shared" si="301"/>
        <v>49500000</v>
      </c>
      <c r="Q453" s="1557">
        <v>6600000</v>
      </c>
      <c r="R453" s="1519">
        <f t="shared" si="302"/>
        <v>49500000</v>
      </c>
      <c r="S453" s="1519">
        <f t="shared" si="303"/>
        <v>42900000</v>
      </c>
      <c r="T453" s="1519">
        <f t="shared" si="304"/>
        <v>0</v>
      </c>
      <c r="U453" s="1535">
        <f t="shared" si="305"/>
        <v>825000</v>
      </c>
      <c r="V453" s="1537">
        <f t="shared" si="306"/>
        <v>7425000</v>
      </c>
      <c r="W453" s="1519">
        <f t="shared" si="307"/>
        <v>9900000</v>
      </c>
      <c r="X453" s="1537">
        <f t="shared" si="308"/>
        <v>9900000</v>
      </c>
      <c r="Y453" s="1537">
        <f t="shared" si="309"/>
        <v>9900000</v>
      </c>
      <c r="Z453" s="1537">
        <f t="shared" si="310"/>
        <v>9900000</v>
      </c>
      <c r="AA453" s="1537">
        <f t="shared" si="311"/>
        <v>2474000</v>
      </c>
      <c r="AB453" s="1537">
        <f t="shared" si="312"/>
        <v>0</v>
      </c>
      <c r="AC453" s="1537">
        <f t="shared" si="313"/>
        <v>0</v>
      </c>
      <c r="AD453" s="1537">
        <f t="shared" si="314"/>
        <v>0</v>
      </c>
      <c r="AE453" s="1537">
        <f t="shared" si="315"/>
        <v>0</v>
      </c>
      <c r="AF453" s="1536">
        <f t="shared" si="316"/>
        <v>0</v>
      </c>
      <c r="AG453" s="1555"/>
      <c r="AH453" s="1537">
        <f t="shared" si="317"/>
        <v>42075000</v>
      </c>
      <c r="AI453" s="1537">
        <f t="shared" si="318"/>
        <v>32175000</v>
      </c>
      <c r="AJ453" s="1537">
        <f t="shared" si="319"/>
        <v>22275000</v>
      </c>
      <c r="AK453" s="1537">
        <f t="shared" si="320"/>
        <v>12375000</v>
      </c>
      <c r="AL453" s="1537">
        <f t="shared" si="321"/>
        <v>2475000</v>
      </c>
      <c r="AM453" s="1537">
        <f t="shared" si="322"/>
        <v>1000</v>
      </c>
      <c r="AN453" s="1537">
        <f t="shared" si="323"/>
        <v>1000</v>
      </c>
      <c r="AO453" s="1537">
        <f t="shared" si="324"/>
        <v>1000</v>
      </c>
      <c r="AP453" s="1537">
        <f t="shared" si="325"/>
        <v>1000</v>
      </c>
      <c r="AQ453" s="1537">
        <f t="shared" si="326"/>
        <v>1000</v>
      </c>
      <c r="AR453" s="1537">
        <f t="shared" si="327"/>
        <v>1000</v>
      </c>
    </row>
    <row r="454" spans="2:44" x14ac:dyDescent="0.3">
      <c r="C454" s="1498" t="s">
        <v>3606</v>
      </c>
      <c r="D454" s="1563" t="s">
        <v>3543</v>
      </c>
      <c r="E454" s="1518">
        <v>5</v>
      </c>
      <c r="F454" s="1518">
        <f t="shared" si="297"/>
        <v>5</v>
      </c>
      <c r="G454" s="1532">
        <f t="shared" si="298"/>
        <v>0</v>
      </c>
      <c r="H454" s="1533">
        <f t="shared" si="299"/>
        <v>0</v>
      </c>
      <c r="I454" s="1534">
        <f t="shared" si="300"/>
        <v>0.2</v>
      </c>
      <c r="J454" s="1519">
        <v>28200000</v>
      </c>
      <c r="N454" s="1519">
        <f t="shared" si="301"/>
        <v>28200000</v>
      </c>
      <c r="Q454" s="1557">
        <v>3290000</v>
      </c>
      <c r="R454" s="1519">
        <f t="shared" si="302"/>
        <v>28200000</v>
      </c>
      <c r="S454" s="1519">
        <f t="shared" si="303"/>
        <v>24910000</v>
      </c>
      <c r="T454" s="1519">
        <f t="shared" si="304"/>
        <v>0</v>
      </c>
      <c r="U454" s="1535">
        <f t="shared" si="305"/>
        <v>470000</v>
      </c>
      <c r="V454" s="1537">
        <f t="shared" si="306"/>
        <v>3760000</v>
      </c>
      <c r="W454" s="1519">
        <f t="shared" si="307"/>
        <v>5640000</v>
      </c>
      <c r="X454" s="1537">
        <f t="shared" si="308"/>
        <v>5640000</v>
      </c>
      <c r="Y454" s="1537">
        <f t="shared" si="309"/>
        <v>5640000</v>
      </c>
      <c r="Z454" s="1537">
        <f t="shared" si="310"/>
        <v>5640000</v>
      </c>
      <c r="AA454" s="1537">
        <f t="shared" si="311"/>
        <v>1879000</v>
      </c>
      <c r="AB454" s="1537">
        <f t="shared" si="312"/>
        <v>0</v>
      </c>
      <c r="AC454" s="1537">
        <f t="shared" si="313"/>
        <v>0</v>
      </c>
      <c r="AD454" s="1537">
        <f t="shared" si="314"/>
        <v>0</v>
      </c>
      <c r="AE454" s="1537">
        <f t="shared" si="315"/>
        <v>0</v>
      </c>
      <c r="AF454" s="1536">
        <f t="shared" si="316"/>
        <v>0</v>
      </c>
      <c r="AG454" s="1555"/>
      <c r="AH454" s="1537">
        <f t="shared" si="317"/>
        <v>24440000</v>
      </c>
      <c r="AI454" s="1537">
        <f t="shared" si="318"/>
        <v>18800000</v>
      </c>
      <c r="AJ454" s="1537">
        <f t="shared" si="319"/>
        <v>13160000</v>
      </c>
      <c r="AK454" s="1537">
        <f t="shared" si="320"/>
        <v>7520000</v>
      </c>
      <c r="AL454" s="1537">
        <f t="shared" si="321"/>
        <v>1880000</v>
      </c>
      <c r="AM454" s="1537">
        <f t="shared" si="322"/>
        <v>1000</v>
      </c>
      <c r="AN454" s="1537">
        <f t="shared" si="323"/>
        <v>1000</v>
      </c>
      <c r="AO454" s="1537">
        <f t="shared" si="324"/>
        <v>1000</v>
      </c>
      <c r="AP454" s="1537">
        <f t="shared" si="325"/>
        <v>1000</v>
      </c>
      <c r="AQ454" s="1537">
        <f t="shared" si="326"/>
        <v>1000</v>
      </c>
      <c r="AR454" s="1537">
        <f t="shared" si="327"/>
        <v>1000</v>
      </c>
    </row>
    <row r="455" spans="2:44" x14ac:dyDescent="0.3">
      <c r="C455" s="1498" t="s">
        <v>3607</v>
      </c>
      <c r="D455" s="1563" t="s">
        <v>3629</v>
      </c>
      <c r="E455" s="1518">
        <v>5</v>
      </c>
      <c r="F455" s="1518">
        <f t="shared" si="297"/>
        <v>5</v>
      </c>
      <c r="G455" s="1532">
        <f t="shared" si="298"/>
        <v>0</v>
      </c>
      <c r="H455" s="1533">
        <f t="shared" si="299"/>
        <v>0</v>
      </c>
      <c r="I455" s="1534">
        <f t="shared" si="300"/>
        <v>0.2</v>
      </c>
      <c r="J455" s="1519">
        <v>28200000</v>
      </c>
      <c r="N455" s="1519">
        <f t="shared" si="301"/>
        <v>28200000</v>
      </c>
      <c r="Q455" s="1557">
        <v>3290000</v>
      </c>
      <c r="R455" s="1519">
        <f t="shared" si="302"/>
        <v>28200000</v>
      </c>
      <c r="S455" s="1519">
        <f t="shared" si="303"/>
        <v>24910000</v>
      </c>
      <c r="T455" s="1519">
        <f t="shared" si="304"/>
        <v>0</v>
      </c>
      <c r="U455" s="1535">
        <f t="shared" si="305"/>
        <v>470000</v>
      </c>
      <c r="V455" s="1537">
        <f t="shared" si="306"/>
        <v>3760000</v>
      </c>
      <c r="W455" s="1519">
        <f t="shared" si="307"/>
        <v>5640000</v>
      </c>
      <c r="X455" s="1537">
        <f t="shared" si="308"/>
        <v>5640000</v>
      </c>
      <c r="Y455" s="1537">
        <f t="shared" si="309"/>
        <v>5640000</v>
      </c>
      <c r="Z455" s="1537">
        <f t="shared" si="310"/>
        <v>5640000</v>
      </c>
      <c r="AA455" s="1537">
        <f t="shared" si="311"/>
        <v>1879000</v>
      </c>
      <c r="AB455" s="1537">
        <f t="shared" si="312"/>
        <v>0</v>
      </c>
      <c r="AC455" s="1537">
        <f t="shared" si="313"/>
        <v>0</v>
      </c>
      <c r="AD455" s="1537">
        <f t="shared" si="314"/>
        <v>0</v>
      </c>
      <c r="AE455" s="1537">
        <f t="shared" si="315"/>
        <v>0</v>
      </c>
      <c r="AF455" s="1536">
        <f t="shared" si="316"/>
        <v>0</v>
      </c>
      <c r="AG455" s="1555"/>
      <c r="AH455" s="1537">
        <f t="shared" si="317"/>
        <v>24440000</v>
      </c>
      <c r="AI455" s="1537">
        <f t="shared" si="318"/>
        <v>18800000</v>
      </c>
      <c r="AJ455" s="1537">
        <f t="shared" si="319"/>
        <v>13160000</v>
      </c>
      <c r="AK455" s="1537">
        <f t="shared" si="320"/>
        <v>7520000</v>
      </c>
      <c r="AL455" s="1537">
        <f t="shared" si="321"/>
        <v>1880000</v>
      </c>
      <c r="AM455" s="1537">
        <f t="shared" si="322"/>
        <v>1000</v>
      </c>
      <c r="AN455" s="1537">
        <f t="shared" si="323"/>
        <v>1000</v>
      </c>
      <c r="AO455" s="1537">
        <f t="shared" si="324"/>
        <v>1000</v>
      </c>
      <c r="AP455" s="1537">
        <f t="shared" si="325"/>
        <v>1000</v>
      </c>
      <c r="AQ455" s="1537">
        <f t="shared" si="326"/>
        <v>1000</v>
      </c>
      <c r="AR455" s="1537">
        <f t="shared" si="327"/>
        <v>1000</v>
      </c>
    </row>
    <row r="456" spans="2:44" x14ac:dyDescent="0.3">
      <c r="C456" s="1498" t="s">
        <v>3608</v>
      </c>
      <c r="D456" s="1563" t="s">
        <v>3553</v>
      </c>
      <c r="E456" s="1518">
        <v>5</v>
      </c>
      <c r="F456" s="1518">
        <f t="shared" si="297"/>
        <v>5</v>
      </c>
      <c r="G456" s="1532">
        <f t="shared" si="298"/>
        <v>0</v>
      </c>
      <c r="H456" s="1533">
        <f t="shared" si="299"/>
        <v>0</v>
      </c>
      <c r="I456" s="1534">
        <f t="shared" si="300"/>
        <v>0.2</v>
      </c>
      <c r="J456" s="1519">
        <v>9250000</v>
      </c>
      <c r="N456" s="1519">
        <f t="shared" si="301"/>
        <v>9250000</v>
      </c>
      <c r="Q456" s="1557">
        <v>616667</v>
      </c>
      <c r="R456" s="1519">
        <f t="shared" si="302"/>
        <v>9250000</v>
      </c>
      <c r="S456" s="1519">
        <f t="shared" si="303"/>
        <v>8633333</v>
      </c>
      <c r="T456" s="1519">
        <f t="shared" si="304"/>
        <v>0</v>
      </c>
      <c r="U456" s="1535">
        <f t="shared" si="305"/>
        <v>154166.66666666666</v>
      </c>
      <c r="V456" s="1537">
        <f t="shared" si="306"/>
        <v>770833.66666666663</v>
      </c>
      <c r="W456" s="1519">
        <f t="shared" si="307"/>
        <v>1850000</v>
      </c>
      <c r="X456" s="1537">
        <f t="shared" si="308"/>
        <v>1850000</v>
      </c>
      <c r="Y456" s="1537">
        <f t="shared" si="309"/>
        <v>1850000</v>
      </c>
      <c r="Z456" s="1537">
        <f t="shared" si="310"/>
        <v>1850000</v>
      </c>
      <c r="AA456" s="1537">
        <f t="shared" si="311"/>
        <v>1078166.333333334</v>
      </c>
      <c r="AB456" s="1537">
        <f t="shared" si="312"/>
        <v>0</v>
      </c>
      <c r="AC456" s="1537">
        <f t="shared" si="313"/>
        <v>0</v>
      </c>
      <c r="AD456" s="1537">
        <f t="shared" si="314"/>
        <v>0</v>
      </c>
      <c r="AE456" s="1537">
        <f t="shared" si="315"/>
        <v>0</v>
      </c>
      <c r="AF456" s="1536">
        <f t="shared" si="316"/>
        <v>0</v>
      </c>
      <c r="AG456" s="1555"/>
      <c r="AH456" s="1537">
        <f t="shared" si="317"/>
        <v>8479166.333333334</v>
      </c>
      <c r="AI456" s="1537">
        <f t="shared" si="318"/>
        <v>6629166.333333334</v>
      </c>
      <c r="AJ456" s="1537">
        <f t="shared" si="319"/>
        <v>4779166.333333334</v>
      </c>
      <c r="AK456" s="1537">
        <f t="shared" si="320"/>
        <v>2929166.333333334</v>
      </c>
      <c r="AL456" s="1537">
        <f t="shared" si="321"/>
        <v>1079166.333333334</v>
      </c>
      <c r="AM456" s="1537">
        <f t="shared" si="322"/>
        <v>1000</v>
      </c>
      <c r="AN456" s="1537">
        <f t="shared" si="323"/>
        <v>1000</v>
      </c>
      <c r="AO456" s="1537">
        <f t="shared" si="324"/>
        <v>1000</v>
      </c>
      <c r="AP456" s="1537">
        <f t="shared" si="325"/>
        <v>1000</v>
      </c>
      <c r="AQ456" s="1537">
        <f t="shared" si="326"/>
        <v>1000</v>
      </c>
      <c r="AR456" s="1537">
        <f t="shared" si="327"/>
        <v>1000</v>
      </c>
    </row>
    <row r="457" spans="2:44" x14ac:dyDescent="0.3">
      <c r="C457" s="1498" t="s">
        <v>3609</v>
      </c>
      <c r="D457" s="1563" t="s">
        <v>3553</v>
      </c>
      <c r="E457" s="1518">
        <v>5</v>
      </c>
      <c r="F457" s="1518">
        <f t="shared" si="297"/>
        <v>5</v>
      </c>
      <c r="G457" s="1532">
        <f t="shared" si="298"/>
        <v>0</v>
      </c>
      <c r="H457" s="1533">
        <f t="shared" si="299"/>
        <v>0</v>
      </c>
      <c r="I457" s="1534">
        <f t="shared" si="300"/>
        <v>0.2</v>
      </c>
      <c r="J457" s="1519">
        <v>37600000</v>
      </c>
      <c r="N457" s="1519">
        <f t="shared" si="301"/>
        <v>37600000</v>
      </c>
      <c r="Q457" s="1557">
        <v>2506667</v>
      </c>
      <c r="R457" s="1519">
        <f t="shared" si="302"/>
        <v>37600000</v>
      </c>
      <c r="S457" s="1519">
        <f t="shared" si="303"/>
        <v>35093333</v>
      </c>
      <c r="T457" s="1519">
        <f t="shared" si="304"/>
        <v>0</v>
      </c>
      <c r="U457" s="1535">
        <f t="shared" si="305"/>
        <v>626666.66666666663</v>
      </c>
      <c r="V457" s="1537">
        <f t="shared" si="306"/>
        <v>3133333.6666666665</v>
      </c>
      <c r="W457" s="1519">
        <f t="shared" si="307"/>
        <v>7520000</v>
      </c>
      <c r="X457" s="1537">
        <f t="shared" si="308"/>
        <v>7520000</v>
      </c>
      <c r="Y457" s="1537">
        <f t="shared" si="309"/>
        <v>7520000</v>
      </c>
      <c r="Z457" s="1537">
        <f t="shared" si="310"/>
        <v>7520000</v>
      </c>
      <c r="AA457" s="1537">
        <f t="shared" si="311"/>
        <v>4385666.3333333358</v>
      </c>
      <c r="AB457" s="1537">
        <f t="shared" si="312"/>
        <v>0</v>
      </c>
      <c r="AC457" s="1537">
        <f t="shared" si="313"/>
        <v>0</v>
      </c>
      <c r="AD457" s="1537">
        <f t="shared" si="314"/>
        <v>0</v>
      </c>
      <c r="AE457" s="1537">
        <f t="shared" si="315"/>
        <v>0</v>
      </c>
      <c r="AF457" s="1536">
        <f t="shared" si="316"/>
        <v>0</v>
      </c>
      <c r="AG457" s="1555"/>
      <c r="AH457" s="1537">
        <f t="shared" si="317"/>
        <v>34466666.333333336</v>
      </c>
      <c r="AI457" s="1537">
        <f t="shared" si="318"/>
        <v>26946666.333333336</v>
      </c>
      <c r="AJ457" s="1537">
        <f t="shared" si="319"/>
        <v>19426666.333333336</v>
      </c>
      <c r="AK457" s="1537">
        <f t="shared" si="320"/>
        <v>11906666.333333336</v>
      </c>
      <c r="AL457" s="1537">
        <f t="shared" si="321"/>
        <v>4386666.3333333358</v>
      </c>
      <c r="AM457" s="1537">
        <f t="shared" si="322"/>
        <v>1000</v>
      </c>
      <c r="AN457" s="1537">
        <f t="shared" si="323"/>
        <v>1000</v>
      </c>
      <c r="AO457" s="1537">
        <f t="shared" si="324"/>
        <v>1000</v>
      </c>
      <c r="AP457" s="1537">
        <f t="shared" si="325"/>
        <v>1000</v>
      </c>
      <c r="AQ457" s="1537">
        <f t="shared" si="326"/>
        <v>1000</v>
      </c>
      <c r="AR457" s="1537">
        <f t="shared" si="327"/>
        <v>1000</v>
      </c>
    </row>
    <row r="458" spans="2:44" x14ac:dyDescent="0.3">
      <c r="C458" s="1498" t="s">
        <v>3610</v>
      </c>
      <c r="D458" s="1563" t="s">
        <v>3630</v>
      </c>
      <c r="E458" s="1518">
        <v>5</v>
      </c>
      <c r="F458" s="1518">
        <f t="shared" si="297"/>
        <v>5</v>
      </c>
      <c r="G458" s="1532">
        <f t="shared" si="298"/>
        <v>0</v>
      </c>
      <c r="H458" s="1533">
        <f t="shared" si="299"/>
        <v>0</v>
      </c>
      <c r="I458" s="1534">
        <f t="shared" si="300"/>
        <v>0.2</v>
      </c>
      <c r="J458" s="1519">
        <v>1172000</v>
      </c>
      <c r="N458" s="1519">
        <f t="shared" si="301"/>
        <v>1172000</v>
      </c>
      <c r="Q458" s="1557">
        <v>78133</v>
      </c>
      <c r="R458" s="1519">
        <f t="shared" si="302"/>
        <v>1172000</v>
      </c>
      <c r="S458" s="1519">
        <f t="shared" si="303"/>
        <v>1093867</v>
      </c>
      <c r="T458" s="1519">
        <f t="shared" si="304"/>
        <v>0</v>
      </c>
      <c r="U458" s="1535">
        <f t="shared" si="305"/>
        <v>19533.333333333332</v>
      </c>
      <c r="V458" s="1537">
        <f t="shared" si="306"/>
        <v>97666.333333333328</v>
      </c>
      <c r="W458" s="1519">
        <f t="shared" si="307"/>
        <v>234400</v>
      </c>
      <c r="X458" s="1537">
        <f t="shared" si="308"/>
        <v>234400</v>
      </c>
      <c r="Y458" s="1537">
        <f t="shared" si="309"/>
        <v>234400</v>
      </c>
      <c r="Z458" s="1537">
        <f t="shared" si="310"/>
        <v>234400</v>
      </c>
      <c r="AA458" s="1537">
        <f t="shared" si="311"/>
        <v>135733.66666666674</v>
      </c>
      <c r="AB458" s="1537">
        <f t="shared" si="312"/>
        <v>0</v>
      </c>
      <c r="AC458" s="1537">
        <f t="shared" si="313"/>
        <v>0</v>
      </c>
      <c r="AD458" s="1537">
        <f t="shared" si="314"/>
        <v>0</v>
      </c>
      <c r="AE458" s="1537">
        <f t="shared" si="315"/>
        <v>0</v>
      </c>
      <c r="AF458" s="1536">
        <f t="shared" si="316"/>
        <v>0</v>
      </c>
      <c r="AG458" s="1555"/>
      <c r="AH458" s="1537">
        <f t="shared" si="317"/>
        <v>1074333.6666666667</v>
      </c>
      <c r="AI458" s="1537">
        <f t="shared" si="318"/>
        <v>839933.66666666674</v>
      </c>
      <c r="AJ458" s="1537">
        <f t="shared" si="319"/>
        <v>605533.66666666674</v>
      </c>
      <c r="AK458" s="1537">
        <f t="shared" si="320"/>
        <v>371133.66666666674</v>
      </c>
      <c r="AL458" s="1537">
        <f t="shared" si="321"/>
        <v>136733.66666666674</v>
      </c>
      <c r="AM458" s="1537">
        <f t="shared" si="322"/>
        <v>1000</v>
      </c>
      <c r="AN458" s="1537">
        <f t="shared" si="323"/>
        <v>1000</v>
      </c>
      <c r="AO458" s="1537">
        <f t="shared" si="324"/>
        <v>1000</v>
      </c>
      <c r="AP458" s="1537">
        <f t="shared" si="325"/>
        <v>1000</v>
      </c>
      <c r="AQ458" s="1537">
        <f t="shared" si="326"/>
        <v>1000</v>
      </c>
      <c r="AR458" s="1537">
        <f t="shared" si="327"/>
        <v>1000</v>
      </c>
    </row>
    <row r="459" spans="2:44" x14ac:dyDescent="0.3">
      <c r="B459" s="1541" t="s">
        <v>3631</v>
      </c>
      <c r="C459" s="1541"/>
      <c r="D459" s="1542"/>
      <c r="E459" s="1543"/>
      <c r="F459" s="1543"/>
      <c r="G459" s="1543"/>
      <c r="H459" s="1543"/>
      <c r="I459" s="1541"/>
      <c r="J459" s="1541"/>
      <c r="K459" s="1541"/>
      <c r="L459" s="1541"/>
      <c r="M459" s="1541"/>
      <c r="N459" s="1541"/>
      <c r="O459" s="1541"/>
      <c r="P459" s="1541"/>
      <c r="Q459" s="1544">
        <f>SUM(Q420:Q458)</f>
        <v>152392948</v>
      </c>
      <c r="R459" s="1544"/>
      <c r="S459" s="1541"/>
      <c r="T459" s="1541"/>
      <c r="U459" s="1568">
        <f t="shared" ref="U459:AF459" si="328">SUM(U420:U458)</f>
        <v>15812602.016666664</v>
      </c>
      <c r="V459" s="1544">
        <f t="shared" si="328"/>
        <v>168205550.01666668</v>
      </c>
      <c r="W459" s="1544">
        <f t="shared" si="328"/>
        <v>180941012.69999999</v>
      </c>
      <c r="X459" s="1544">
        <f t="shared" si="328"/>
        <v>164684724.86666667</v>
      </c>
      <c r="Y459" s="1544">
        <f t="shared" si="328"/>
        <v>97386794.75</v>
      </c>
      <c r="Z459" s="1544">
        <f t="shared" si="328"/>
        <v>76131475</v>
      </c>
      <c r="AA459" s="1545">
        <f t="shared" si="328"/>
        <v>21633399.666666668</v>
      </c>
      <c r="AB459" s="1545">
        <f t="shared" si="328"/>
        <v>0</v>
      </c>
      <c r="AC459" s="1545">
        <f t="shared" si="328"/>
        <v>0</v>
      </c>
      <c r="AD459" s="1545">
        <f t="shared" si="328"/>
        <v>0</v>
      </c>
      <c r="AE459" s="1546">
        <f t="shared" si="328"/>
        <v>0</v>
      </c>
      <c r="AF459" s="1547">
        <f t="shared" si="328"/>
        <v>0</v>
      </c>
      <c r="AG459" s="1541"/>
      <c r="AH459" s="1545">
        <f t="shared" ref="AH459:AR459" si="329">SUM(AH420:AH458)</f>
        <v>540816406.98333335</v>
      </c>
      <c r="AI459" s="1545">
        <f t="shared" si="329"/>
        <v>359875394.28333336</v>
      </c>
      <c r="AJ459" s="1545">
        <f t="shared" si="329"/>
        <v>195190669.41666666</v>
      </c>
      <c r="AK459" s="1545">
        <f t="shared" si="329"/>
        <v>97803874.666666672</v>
      </c>
      <c r="AL459" s="1545">
        <f t="shared" si="329"/>
        <v>21672399.666666668</v>
      </c>
      <c r="AM459" s="1545">
        <f t="shared" si="329"/>
        <v>39000</v>
      </c>
      <c r="AN459" s="1545">
        <f t="shared" si="329"/>
        <v>39000</v>
      </c>
      <c r="AO459" s="1545">
        <f t="shared" si="329"/>
        <v>39000</v>
      </c>
      <c r="AP459" s="1545">
        <f t="shared" si="329"/>
        <v>39000</v>
      </c>
      <c r="AQ459" s="1545">
        <f t="shared" si="329"/>
        <v>39000</v>
      </c>
      <c r="AR459" s="1545">
        <f t="shared" si="329"/>
        <v>39000</v>
      </c>
    </row>
    <row r="461" spans="2:44" x14ac:dyDescent="0.3">
      <c r="B461" s="1498" t="s">
        <v>3632</v>
      </c>
      <c r="C461" s="1498" t="s">
        <v>3633</v>
      </c>
      <c r="D461" s="1563">
        <v>38899</v>
      </c>
      <c r="E461" s="1518">
        <v>5</v>
      </c>
      <c r="F461" s="1518">
        <f t="shared" ref="F461:F462" si="330">E461-(YEAR($E$4)-YEAR(D461))</f>
        <v>-4</v>
      </c>
      <c r="G461" s="1532">
        <f t="shared" ref="G461:G462" si="331">IF(YEAR(D461)=YEAR($E$4),IF($E$2=$E$4,0,IF(D461&lt;$E$4,$E$2-$E$4,$E$2-D461)),$E$2-$E$4)</f>
        <v>0</v>
      </c>
      <c r="H461" s="1533">
        <f t="shared" ref="H461:H462" si="332">IF(YEAR(D461)=YEAR($E$4),G461/365,IF($E$2=$E$4,G461/365,($E$2-$E$4)/365))</f>
        <v>0</v>
      </c>
      <c r="I461" s="1534">
        <f t="shared" ref="I461:I462" si="333">1/E461</f>
        <v>0.2</v>
      </c>
      <c r="J461" s="1519">
        <v>593000000</v>
      </c>
      <c r="K461" s="1519">
        <v>593000000</v>
      </c>
      <c r="N461" s="1519">
        <f t="shared" ref="N461:N462" si="334">ROUND(J461-K461-L461+M461,)</f>
        <v>0</v>
      </c>
      <c r="Q461" s="1557">
        <v>0</v>
      </c>
      <c r="R461" s="1519">
        <f t="shared" ref="R461:R462" si="335">J461+O461-P461</f>
        <v>593000000</v>
      </c>
      <c r="S461" s="1519">
        <f t="shared" ref="S461:S462" si="336">ROUND(N461+O461-P461-Q461,)</f>
        <v>0</v>
      </c>
      <c r="T461" s="1519">
        <f t="shared" ref="T461:T462" si="337">J461-K461-L461+M461+O461-P461-Q461-S461</f>
        <v>0</v>
      </c>
      <c r="U461" s="1535">
        <f t="shared" ref="U461:U462" si="338">IF(S461&gt;1000,IF(S461-R461*(1/12)*I461&gt;1000,R461*(1/12)*I461,S461-1000),)</f>
        <v>0</v>
      </c>
      <c r="V461" s="1537">
        <f t="shared" ref="V461:V462" si="339">Q461+U461</f>
        <v>0</v>
      </c>
      <c r="W461" s="1519">
        <f t="shared" ref="W461:W462" si="340">IF(AH461&gt;1000,IF(AH461-$I461*$R461&gt;1000,$I461*$R461,AH461-1000),)</f>
        <v>0</v>
      </c>
      <c r="X461" s="1537">
        <f t="shared" ref="X461:X462" si="341">IF(AI461&gt;1000,IF(AI461-$I461*$R461&gt;1000,$I461*$R461,AI461-1000),)</f>
        <v>0</v>
      </c>
      <c r="Y461" s="1537">
        <f t="shared" ref="Y461:Y462" si="342">IF(AJ461&gt;1000,IF(AJ461-$I461*$R461&gt;1000,$I461*$R461,AJ461-1000),)</f>
        <v>0</v>
      </c>
      <c r="Z461" s="1537">
        <f t="shared" ref="Z461:Z462" si="343">IF(AK461&gt;1000,IF(AK461-$I461*$R461&gt;1000,$I461*$R461,AK461-1000),)</f>
        <v>0</v>
      </c>
      <c r="AA461" s="1537">
        <f t="shared" ref="AA461:AA462" si="344">IF(AL461&gt;1000,IF(AL461-$I461*$R461&gt;1000,$I461*$R461,AL461-1000),)</f>
        <v>0</v>
      </c>
      <c r="AB461" s="1537">
        <f t="shared" ref="AB461:AB462" si="345">IF(AM461&gt;1000,IF(AM461-$I461*$R461&gt;1000,$I461*$R461,AM461-1000),)</f>
        <v>0</v>
      </c>
      <c r="AC461" s="1537">
        <f t="shared" ref="AC461:AC462" si="346">IF(AN461&gt;1000,IF(AN461-$I461*$R461&gt;1000,$I461*$R461,AN461-1000),)</f>
        <v>0</v>
      </c>
      <c r="AD461" s="1537">
        <f t="shared" ref="AD461:AD462" si="347">IF(AO461&gt;1000,IF(AO461-$I461*$R461&gt;1000,$I461*$R461,AO461-1000),)</f>
        <v>0</v>
      </c>
      <c r="AE461" s="1537">
        <f t="shared" ref="AE461:AE462" si="348">IF(AP461&gt;1000,IF(AP461-$I461*$R461&gt;1000,$I461*$R461,AP461-1000),)</f>
        <v>0</v>
      </c>
      <c r="AF461" s="1536">
        <f t="shared" ref="AF461:AF462" si="349">IF(AQ461&gt;1000,IF(AQ461-$I461*$R461&gt;1000,$I461*$R461,AQ461-1000),)</f>
        <v>0</v>
      </c>
      <c r="AG461" s="1555"/>
      <c r="AH461" s="1537">
        <f t="shared" ref="AH461:AH462" si="350">S461-U461</f>
        <v>0</v>
      </c>
      <c r="AI461" s="1537">
        <f t="shared" ref="AI461:AI462" si="351">AH461-W461</f>
        <v>0</v>
      </c>
      <c r="AJ461" s="1537">
        <f t="shared" ref="AJ461:AJ462" si="352">AI461-X461</f>
        <v>0</v>
      </c>
      <c r="AK461" s="1537">
        <f t="shared" ref="AK461:AK462" si="353">AJ461-Y461</f>
        <v>0</v>
      </c>
      <c r="AL461" s="1537">
        <f t="shared" ref="AL461:AL462" si="354">AK461-Z461</f>
        <v>0</v>
      </c>
      <c r="AM461" s="1537">
        <f t="shared" ref="AM461:AM462" si="355">AL461-AA461</f>
        <v>0</v>
      </c>
      <c r="AN461" s="1537">
        <f t="shared" ref="AN461:AN462" si="356">AM461-AB461</f>
        <v>0</v>
      </c>
      <c r="AO461" s="1537">
        <f t="shared" ref="AO461:AO462" si="357">AN461-AC461</f>
        <v>0</v>
      </c>
      <c r="AP461" s="1537">
        <f t="shared" ref="AP461:AP462" si="358">AO461-AD461</f>
        <v>0</v>
      </c>
      <c r="AQ461" s="1537">
        <f t="shared" ref="AQ461:AQ462" si="359">AP461-AE461</f>
        <v>0</v>
      </c>
      <c r="AR461" s="1537">
        <f t="shared" ref="AR461:AR462" si="360">AQ461-AF461</f>
        <v>0</v>
      </c>
    </row>
    <row r="462" spans="2:44" x14ac:dyDescent="0.3">
      <c r="C462" s="1498" t="s">
        <v>3634</v>
      </c>
      <c r="D462" s="1563">
        <v>38899</v>
      </c>
      <c r="E462" s="1518">
        <v>5</v>
      </c>
      <c r="F462" s="1518">
        <f t="shared" si="330"/>
        <v>-4</v>
      </c>
      <c r="G462" s="1532">
        <f t="shared" si="331"/>
        <v>0</v>
      </c>
      <c r="H462" s="1533">
        <f t="shared" si="332"/>
        <v>0</v>
      </c>
      <c r="I462" s="1534">
        <f t="shared" si="333"/>
        <v>0.2</v>
      </c>
      <c r="J462" s="1519">
        <v>1418524715</v>
      </c>
      <c r="K462" s="1519">
        <v>1418524715</v>
      </c>
      <c r="N462" s="1519">
        <f t="shared" si="334"/>
        <v>0</v>
      </c>
      <c r="Q462" s="1557">
        <v>0</v>
      </c>
      <c r="R462" s="1519">
        <f t="shared" si="335"/>
        <v>1418524715</v>
      </c>
      <c r="S462" s="1519">
        <f t="shared" si="336"/>
        <v>0</v>
      </c>
      <c r="T462" s="1519">
        <f t="shared" si="337"/>
        <v>0</v>
      </c>
      <c r="U462" s="1535">
        <f t="shared" si="338"/>
        <v>0</v>
      </c>
      <c r="V462" s="1537">
        <f t="shared" si="339"/>
        <v>0</v>
      </c>
      <c r="W462" s="1519">
        <f t="shared" si="340"/>
        <v>0</v>
      </c>
      <c r="X462" s="1537">
        <f t="shared" si="341"/>
        <v>0</v>
      </c>
      <c r="Y462" s="1537">
        <f t="shared" si="342"/>
        <v>0</v>
      </c>
      <c r="Z462" s="1537">
        <f t="shared" si="343"/>
        <v>0</v>
      </c>
      <c r="AA462" s="1537">
        <f t="shared" si="344"/>
        <v>0</v>
      </c>
      <c r="AB462" s="1537">
        <f t="shared" si="345"/>
        <v>0</v>
      </c>
      <c r="AC462" s="1537">
        <f t="shared" si="346"/>
        <v>0</v>
      </c>
      <c r="AD462" s="1537">
        <f t="shared" si="347"/>
        <v>0</v>
      </c>
      <c r="AE462" s="1537">
        <f t="shared" si="348"/>
        <v>0</v>
      </c>
      <c r="AF462" s="1536">
        <f t="shared" si="349"/>
        <v>0</v>
      </c>
      <c r="AG462" s="1555"/>
      <c r="AH462" s="1537">
        <f t="shared" si="350"/>
        <v>0</v>
      </c>
      <c r="AI462" s="1537">
        <f t="shared" si="351"/>
        <v>0</v>
      </c>
      <c r="AJ462" s="1537">
        <f t="shared" si="352"/>
        <v>0</v>
      </c>
      <c r="AK462" s="1537">
        <f t="shared" si="353"/>
        <v>0</v>
      </c>
      <c r="AL462" s="1537">
        <f t="shared" si="354"/>
        <v>0</v>
      </c>
      <c r="AM462" s="1537">
        <f t="shared" si="355"/>
        <v>0</v>
      </c>
      <c r="AN462" s="1537">
        <f t="shared" si="356"/>
        <v>0</v>
      </c>
      <c r="AO462" s="1537">
        <f t="shared" si="357"/>
        <v>0</v>
      </c>
      <c r="AP462" s="1537">
        <f t="shared" si="358"/>
        <v>0</v>
      </c>
      <c r="AQ462" s="1537">
        <f t="shared" si="359"/>
        <v>0</v>
      </c>
      <c r="AR462" s="1537">
        <f t="shared" si="360"/>
        <v>0</v>
      </c>
    </row>
    <row r="463" spans="2:44" x14ac:dyDescent="0.3">
      <c r="B463" s="1541" t="s">
        <v>3635</v>
      </c>
      <c r="C463" s="1541"/>
      <c r="D463" s="1542"/>
      <c r="E463" s="1543"/>
      <c r="F463" s="1543"/>
      <c r="G463" s="1543"/>
      <c r="H463" s="1543"/>
      <c r="I463" s="1541"/>
      <c r="J463" s="1541"/>
      <c r="K463" s="1541"/>
      <c r="L463" s="1541"/>
      <c r="M463" s="1541"/>
      <c r="N463" s="1541"/>
      <c r="O463" s="1541"/>
      <c r="P463" s="1541"/>
      <c r="Q463" s="1544">
        <f>SUM(Q461:Q462)</f>
        <v>0</v>
      </c>
      <c r="R463" s="1544"/>
      <c r="S463" s="1541"/>
      <c r="T463" s="1541"/>
      <c r="U463" s="1568">
        <f t="shared" ref="U463:AF463" si="361">SUM(U461:U462)</f>
        <v>0</v>
      </c>
      <c r="V463" s="1544">
        <f t="shared" si="361"/>
        <v>0</v>
      </c>
      <c r="W463" s="1544">
        <f t="shared" si="361"/>
        <v>0</v>
      </c>
      <c r="X463" s="1544">
        <f t="shared" si="361"/>
        <v>0</v>
      </c>
      <c r="Y463" s="1544">
        <f t="shared" si="361"/>
        <v>0</v>
      </c>
      <c r="Z463" s="1544">
        <f t="shared" si="361"/>
        <v>0</v>
      </c>
      <c r="AA463" s="1545">
        <f t="shared" si="361"/>
        <v>0</v>
      </c>
      <c r="AB463" s="1545">
        <f t="shared" si="361"/>
        <v>0</v>
      </c>
      <c r="AC463" s="1545">
        <f t="shared" si="361"/>
        <v>0</v>
      </c>
      <c r="AD463" s="1545">
        <f t="shared" si="361"/>
        <v>0</v>
      </c>
      <c r="AE463" s="1546">
        <f t="shared" si="361"/>
        <v>0</v>
      </c>
      <c r="AF463" s="1547">
        <f t="shared" si="361"/>
        <v>0</v>
      </c>
      <c r="AG463" s="1541"/>
      <c r="AH463" s="1545">
        <f t="shared" ref="AH463:AR463" si="362">SUM(AH461:AH462)</f>
        <v>0</v>
      </c>
      <c r="AI463" s="1545">
        <f t="shared" si="362"/>
        <v>0</v>
      </c>
      <c r="AJ463" s="1545">
        <f t="shared" si="362"/>
        <v>0</v>
      </c>
      <c r="AK463" s="1545">
        <f t="shared" si="362"/>
        <v>0</v>
      </c>
      <c r="AL463" s="1545">
        <f t="shared" si="362"/>
        <v>0</v>
      </c>
      <c r="AM463" s="1545">
        <f t="shared" si="362"/>
        <v>0</v>
      </c>
      <c r="AN463" s="1545">
        <f t="shared" si="362"/>
        <v>0</v>
      </c>
      <c r="AO463" s="1545">
        <f t="shared" si="362"/>
        <v>0</v>
      </c>
      <c r="AP463" s="1545">
        <f t="shared" si="362"/>
        <v>0</v>
      </c>
      <c r="AQ463" s="1545">
        <f t="shared" si="362"/>
        <v>0</v>
      </c>
      <c r="AR463" s="1545">
        <f t="shared" si="362"/>
        <v>0</v>
      </c>
    </row>
    <row r="465" spans="1:44" x14ac:dyDescent="0.3">
      <c r="B465" s="1498" t="s">
        <v>3636</v>
      </c>
      <c r="C465" s="1498" t="s">
        <v>3637</v>
      </c>
      <c r="D465" s="1563">
        <v>39307</v>
      </c>
      <c r="E465" s="1518">
        <v>5</v>
      </c>
      <c r="F465" s="1518">
        <f t="shared" ref="F465" si="363">E465-(YEAR($E$4)-YEAR(D465))</f>
        <v>-3</v>
      </c>
      <c r="G465" s="1532">
        <f t="shared" ref="G465" si="364">IF(YEAR(D465)=YEAR($E$4),IF($E$2=$E$4,0,IF(D465&lt;$E$4,$E$2-$E$4,$E$2-D465)),$E$2-$E$4)</f>
        <v>0</v>
      </c>
      <c r="H465" s="1533">
        <f t="shared" ref="H465" si="365">IF(YEAR(D465)=YEAR($E$4),G465/365,IF($E$2=$E$4,G465/365,($E$2-$E$4)/365))</f>
        <v>0</v>
      </c>
      <c r="I465" s="1534">
        <f t="shared" ref="I465" si="366">1/E465</f>
        <v>0.2</v>
      </c>
      <c r="J465" s="1519">
        <v>831120</v>
      </c>
      <c r="K465" s="1519">
        <v>831120</v>
      </c>
      <c r="N465" s="1519">
        <f t="shared" ref="N465" si="367">ROUND(J465-K465-L465+M465,)</f>
        <v>0</v>
      </c>
      <c r="Q465" s="1557">
        <v>0</v>
      </c>
      <c r="R465" s="1519">
        <f t="shared" ref="R465" si="368">J465+O465-P465</f>
        <v>831120</v>
      </c>
      <c r="S465" s="1519">
        <f t="shared" ref="S465" si="369">ROUND(N465+O465-P465-Q465,)</f>
        <v>0</v>
      </c>
      <c r="T465" s="1519">
        <f t="shared" ref="T465" si="370">J465-K465-L465+M465+O465-P465-Q465-S465</f>
        <v>0</v>
      </c>
      <c r="U465" s="1535">
        <f t="shared" ref="U465" si="371">IF(S465&gt;1000,IF(S465-R465*(1/12)*I465&gt;1000,R465*(1/12)*I465,S465-1000),)</f>
        <v>0</v>
      </c>
      <c r="V465" s="1537">
        <f t="shared" ref="V465" si="372">Q465+U465</f>
        <v>0</v>
      </c>
      <c r="W465" s="1519">
        <f t="shared" ref="W465" si="373">IF(AH465&gt;1000,IF(AH465-$I465*$R465&gt;1000,$I465*$R465,AH465-1000),)</f>
        <v>0</v>
      </c>
      <c r="X465" s="1537">
        <f t="shared" ref="X465" si="374">IF(AI465&gt;1000,IF(AI465-$I465*$R465&gt;1000,$I465*$R465,AI465-1000),)</f>
        <v>0</v>
      </c>
      <c r="Y465" s="1537">
        <f t="shared" ref="Y465" si="375">IF(AJ465&gt;1000,IF(AJ465-$I465*$R465&gt;1000,$I465*$R465,AJ465-1000),)</f>
        <v>0</v>
      </c>
      <c r="Z465" s="1537">
        <f t="shared" ref="Z465" si="376">IF(AK465&gt;1000,IF(AK465-$I465*$R465&gt;1000,$I465*$R465,AK465-1000),)</f>
        <v>0</v>
      </c>
      <c r="AA465" s="1537">
        <f t="shared" ref="AA465" si="377">IF(AL465&gt;1000,IF(AL465-$I465*$R465&gt;1000,$I465*$R465,AL465-1000),)</f>
        <v>0</v>
      </c>
      <c r="AB465" s="1537">
        <f t="shared" ref="AB465" si="378">IF(AM465&gt;1000,IF(AM465-$I465*$R465&gt;1000,$I465*$R465,AM465-1000),)</f>
        <v>0</v>
      </c>
      <c r="AC465" s="1537">
        <f t="shared" ref="AC465" si="379">IF(AN465&gt;1000,IF(AN465-$I465*$R465&gt;1000,$I465*$R465,AN465-1000),)</f>
        <v>0</v>
      </c>
      <c r="AD465" s="1537">
        <f t="shared" ref="AD465" si="380">IF(AO465&gt;1000,IF(AO465-$I465*$R465&gt;1000,$I465*$R465,AO465-1000),)</f>
        <v>0</v>
      </c>
      <c r="AE465" s="1537">
        <f t="shared" ref="AE465" si="381">IF(AP465&gt;1000,IF(AP465-$I465*$R465&gt;1000,$I465*$R465,AP465-1000),)</f>
        <v>0</v>
      </c>
      <c r="AF465" s="1536">
        <f t="shared" ref="AF465" si="382">IF(AQ465&gt;1000,IF(AQ465-$I465*$R465&gt;1000,$I465*$R465,AQ465-1000),)</f>
        <v>0</v>
      </c>
      <c r="AH465" s="1537">
        <f t="shared" ref="AH465" si="383">S465-U465</f>
        <v>0</v>
      </c>
      <c r="AI465" s="1537">
        <f t="shared" ref="AI465" si="384">AH465-W465</f>
        <v>0</v>
      </c>
      <c r="AJ465" s="1537">
        <f t="shared" ref="AJ465" si="385">AI465-X465</f>
        <v>0</v>
      </c>
      <c r="AK465" s="1537">
        <f t="shared" ref="AK465" si="386">AJ465-Y465</f>
        <v>0</v>
      </c>
      <c r="AL465" s="1537">
        <f t="shared" ref="AL465" si="387">AK465-Z465</f>
        <v>0</v>
      </c>
      <c r="AM465" s="1537">
        <f t="shared" ref="AM465" si="388">AL465-AA465</f>
        <v>0</v>
      </c>
      <c r="AN465" s="1537">
        <f t="shared" ref="AN465" si="389">AM465-AB465</f>
        <v>0</v>
      </c>
      <c r="AO465" s="1537">
        <f t="shared" ref="AO465" si="390">AN465-AC465</f>
        <v>0</v>
      </c>
      <c r="AP465" s="1537">
        <f t="shared" ref="AP465" si="391">AO465-AD465</f>
        <v>0</v>
      </c>
      <c r="AQ465" s="1537">
        <f t="shared" ref="AQ465" si="392">AP465-AE465</f>
        <v>0</v>
      </c>
      <c r="AR465" s="1537">
        <f t="shared" ref="AR465" si="393">AQ465-AF465</f>
        <v>0</v>
      </c>
    </row>
    <row r="466" spans="1:44" x14ac:dyDescent="0.3">
      <c r="B466" s="1541" t="s">
        <v>2926</v>
      </c>
      <c r="C466" s="1541"/>
      <c r="D466" s="1564"/>
      <c r="E466" s="1543"/>
      <c r="F466" s="1543"/>
      <c r="G466" s="1543"/>
      <c r="H466" s="1543"/>
      <c r="I466" s="1541"/>
      <c r="J466" s="1541"/>
      <c r="K466" s="1541"/>
      <c r="L466" s="1541"/>
      <c r="M466" s="1541"/>
      <c r="N466" s="1541"/>
      <c r="O466" s="1541"/>
      <c r="P466" s="1541"/>
      <c r="Q466" s="1544">
        <f>SUM(Q465)</f>
        <v>0</v>
      </c>
      <c r="R466" s="1544"/>
      <c r="S466" s="1541"/>
      <c r="T466" s="1541"/>
      <c r="U466" s="1568">
        <f t="shared" ref="U466:AF466" si="394">SUM(U465)</f>
        <v>0</v>
      </c>
      <c r="V466" s="1544">
        <f t="shared" si="394"/>
        <v>0</v>
      </c>
      <c r="W466" s="1544">
        <f t="shared" si="394"/>
        <v>0</v>
      </c>
      <c r="X466" s="1544">
        <f t="shared" si="394"/>
        <v>0</v>
      </c>
      <c r="Y466" s="1544">
        <f t="shared" si="394"/>
        <v>0</v>
      </c>
      <c r="Z466" s="1544">
        <f t="shared" si="394"/>
        <v>0</v>
      </c>
      <c r="AA466" s="1545">
        <f t="shared" si="394"/>
        <v>0</v>
      </c>
      <c r="AB466" s="1545">
        <f t="shared" si="394"/>
        <v>0</v>
      </c>
      <c r="AC466" s="1545">
        <f t="shared" si="394"/>
        <v>0</v>
      </c>
      <c r="AD466" s="1545">
        <f t="shared" si="394"/>
        <v>0</v>
      </c>
      <c r="AE466" s="1546">
        <f t="shared" si="394"/>
        <v>0</v>
      </c>
      <c r="AF466" s="1547">
        <f t="shared" si="394"/>
        <v>0</v>
      </c>
      <c r="AG466" s="1541"/>
      <c r="AH466" s="1545">
        <f t="shared" ref="AH466:AR466" si="395">SUM(AH465)</f>
        <v>0</v>
      </c>
      <c r="AI466" s="1545">
        <f t="shared" si="395"/>
        <v>0</v>
      </c>
      <c r="AJ466" s="1545">
        <f t="shared" si="395"/>
        <v>0</v>
      </c>
      <c r="AK466" s="1545">
        <f t="shared" si="395"/>
        <v>0</v>
      </c>
      <c r="AL466" s="1545">
        <f t="shared" si="395"/>
        <v>0</v>
      </c>
      <c r="AM466" s="1545">
        <f t="shared" si="395"/>
        <v>0</v>
      </c>
      <c r="AN466" s="1545">
        <f t="shared" si="395"/>
        <v>0</v>
      </c>
      <c r="AO466" s="1545">
        <f t="shared" si="395"/>
        <v>0</v>
      </c>
      <c r="AP466" s="1545">
        <f t="shared" si="395"/>
        <v>0</v>
      </c>
      <c r="AQ466" s="1545">
        <f t="shared" si="395"/>
        <v>0</v>
      </c>
      <c r="AR466" s="1545">
        <f t="shared" si="395"/>
        <v>0</v>
      </c>
    </row>
    <row r="467" spans="1:44" x14ac:dyDescent="0.3">
      <c r="D467" s="1563"/>
    </row>
    <row r="468" spans="1:44" x14ac:dyDescent="0.3">
      <c r="B468" s="1498" t="s">
        <v>3638</v>
      </c>
      <c r="C468" s="1498" t="s">
        <v>3640</v>
      </c>
      <c r="D468" s="1563">
        <v>40616</v>
      </c>
      <c r="E468" s="1518">
        <v>10</v>
      </c>
      <c r="F468" s="1518">
        <f t="shared" ref="F468" si="396">E468-(YEAR($E$4)-YEAR(D468))</f>
        <v>6</v>
      </c>
      <c r="G468" s="1532">
        <f t="shared" ref="G468" si="397">IF(YEAR(D468)=YEAR($E$4),IF($E$2=$E$4,0,IF(D468&lt;$E$4,$E$2-$E$4,$E$2-D468)),$E$2-$E$4)</f>
        <v>0</v>
      </c>
      <c r="H468" s="1533">
        <f t="shared" ref="H468" si="398">IF(YEAR(D468)=YEAR($E$4),G468/365,IF($E$2=$E$4,G468/365,($E$2-$E$4)/365))</f>
        <v>0</v>
      </c>
      <c r="I468" s="1534">
        <f t="shared" ref="I468" si="399">1/E468</f>
        <v>0.1</v>
      </c>
      <c r="J468" s="1519">
        <v>4098000</v>
      </c>
      <c r="K468" s="1519">
        <v>1570900</v>
      </c>
      <c r="N468" s="1519">
        <f t="shared" ref="N468" si="400">ROUND(J468-K468-L468+M468,)</f>
        <v>2527100</v>
      </c>
      <c r="Q468" s="1557">
        <v>1946550</v>
      </c>
      <c r="R468" s="1519">
        <f t="shared" ref="R468" si="401">J468+O468-P468</f>
        <v>4098000</v>
      </c>
      <c r="S468" s="1519">
        <f t="shared" ref="S468" si="402">ROUND(N468+O468-P468-Q468,)</f>
        <v>580550</v>
      </c>
      <c r="T468" s="1519">
        <f t="shared" ref="T468" si="403">J468-K468-L468+M468+O468-P468-Q468-S468</f>
        <v>0</v>
      </c>
      <c r="U468" s="1535">
        <f t="shared" ref="U468" si="404">IF(S468&gt;1000,IF(S468-R468*(1/12)*I468&gt;1000,R468*(1/12)*I468,S468-1000),)</f>
        <v>34150</v>
      </c>
      <c r="V468" s="1537">
        <f t="shared" ref="V468" si="405">Q468+U468</f>
        <v>1980700</v>
      </c>
      <c r="W468" s="1519">
        <f t="shared" ref="W468" si="406">IF(AH468&gt;1000,IF(AH468-$I468*$R468&gt;1000,$I468*$R468,AH468-1000),)</f>
        <v>409800</v>
      </c>
      <c r="X468" s="1537">
        <f t="shared" ref="X468" si="407">IF(AI468&gt;1000,IF(AI468-$I468*$R468&gt;1000,$I468*$R468,AI468-1000),)</f>
        <v>135600</v>
      </c>
      <c r="Y468" s="1537">
        <f t="shared" ref="Y468" si="408">IF(AJ468&gt;1000,IF(AJ468-$I468*$R468&gt;1000,$I468*$R468,AJ468-1000),)</f>
        <v>0</v>
      </c>
      <c r="Z468" s="1537">
        <f t="shared" ref="Z468" si="409">IF(AK468&gt;1000,IF(AK468-$I468*$R468&gt;1000,$I468*$R468,AK468-1000),)</f>
        <v>0</v>
      </c>
      <c r="AA468" s="1537">
        <f t="shared" ref="AA468" si="410">IF(AL468&gt;1000,IF(AL468-$I468*$R468&gt;1000,$I468*$R468,AL468-1000),)</f>
        <v>0</v>
      </c>
      <c r="AB468" s="1537">
        <f t="shared" ref="AB468" si="411">IF(AM468&gt;1000,IF(AM468-$I468*$R468&gt;1000,$I468*$R468,AM468-1000),)</f>
        <v>0</v>
      </c>
      <c r="AC468" s="1537">
        <f t="shared" ref="AC468" si="412">IF(AN468&gt;1000,IF(AN468-$I468*$R468&gt;1000,$I468*$R468,AN468-1000),)</f>
        <v>0</v>
      </c>
      <c r="AD468" s="1537">
        <f t="shared" ref="AD468" si="413">IF(AO468&gt;1000,IF(AO468-$I468*$R468&gt;1000,$I468*$R468,AO468-1000),)</f>
        <v>0</v>
      </c>
      <c r="AE468" s="1537">
        <f t="shared" ref="AE468" si="414">IF(AP468&gt;1000,IF(AP468-$I468*$R468&gt;1000,$I468*$R468,AP468-1000),)</f>
        <v>0</v>
      </c>
      <c r="AF468" s="1536">
        <f t="shared" ref="AF468" si="415">IF(AQ468&gt;1000,IF(AQ468-$I468*$R468&gt;1000,$I468*$R468,AQ468-1000),)</f>
        <v>0</v>
      </c>
      <c r="AH468" s="1537">
        <f t="shared" ref="AH468" si="416">S468-U468</f>
        <v>546400</v>
      </c>
      <c r="AI468" s="1537">
        <f t="shared" ref="AI468" si="417">AH468-W468</f>
        <v>136600</v>
      </c>
      <c r="AJ468" s="1537">
        <f t="shared" ref="AJ468" si="418">AI468-X468</f>
        <v>1000</v>
      </c>
      <c r="AK468" s="1537">
        <f t="shared" ref="AK468" si="419">AJ468-Y468</f>
        <v>1000</v>
      </c>
      <c r="AL468" s="1537">
        <f t="shared" ref="AL468" si="420">AK468-Z468</f>
        <v>1000</v>
      </c>
      <c r="AM468" s="1537">
        <f t="shared" ref="AM468" si="421">AL468-AA468</f>
        <v>1000</v>
      </c>
      <c r="AN468" s="1537">
        <f t="shared" ref="AN468" si="422">AM468-AB468</f>
        <v>1000</v>
      </c>
      <c r="AO468" s="1537">
        <f t="shared" ref="AO468" si="423">AN468-AC468</f>
        <v>1000</v>
      </c>
      <c r="AP468" s="1537">
        <f t="shared" ref="AP468" si="424">AO468-AD468</f>
        <v>1000</v>
      </c>
      <c r="AQ468" s="1537">
        <f t="shared" ref="AQ468" si="425">AP468-AE468</f>
        <v>1000</v>
      </c>
      <c r="AR468" s="1537">
        <f t="shared" ref="AR468" si="426">AQ468-AF468</f>
        <v>1000</v>
      </c>
    </row>
    <row r="469" spans="1:44" x14ac:dyDescent="0.3">
      <c r="B469" s="1541" t="s">
        <v>3639</v>
      </c>
      <c r="C469" s="1541"/>
      <c r="D469" s="1542"/>
      <c r="E469" s="1543"/>
      <c r="F469" s="1543"/>
      <c r="G469" s="1543"/>
      <c r="H469" s="1543"/>
      <c r="I469" s="1541"/>
      <c r="J469" s="1541"/>
      <c r="K469" s="1541"/>
      <c r="L469" s="1541"/>
      <c r="M469" s="1541"/>
      <c r="N469" s="1541"/>
      <c r="O469" s="1541"/>
      <c r="P469" s="1541"/>
      <c r="Q469" s="1544">
        <f>SUM(Q468)</f>
        <v>1946550</v>
      </c>
      <c r="R469" s="1544"/>
      <c r="S469" s="1541"/>
      <c r="T469" s="1541"/>
      <c r="U469" s="1568">
        <f t="shared" ref="U469" si="427">SUM(U468)</f>
        <v>34150</v>
      </c>
      <c r="V469" s="1544">
        <f t="shared" ref="V469" si="428">SUM(V468)</f>
        <v>1980700</v>
      </c>
      <c r="W469" s="1544">
        <f t="shared" ref="W469" si="429">SUM(W468)</f>
        <v>409800</v>
      </c>
      <c r="X469" s="1544">
        <f t="shared" ref="X469" si="430">SUM(X468)</f>
        <v>135600</v>
      </c>
      <c r="Y469" s="1544">
        <f t="shared" ref="Y469" si="431">SUM(Y468)</f>
        <v>0</v>
      </c>
      <c r="Z469" s="1544">
        <f t="shared" ref="Z469" si="432">SUM(Z468)</f>
        <v>0</v>
      </c>
      <c r="AA469" s="1545">
        <f t="shared" ref="AA469" si="433">SUM(AA468)</f>
        <v>0</v>
      </c>
      <c r="AB469" s="1545">
        <f t="shared" ref="AB469" si="434">SUM(AB468)</f>
        <v>0</v>
      </c>
      <c r="AC469" s="1545">
        <f t="shared" ref="AC469" si="435">SUM(AC468)</f>
        <v>0</v>
      </c>
      <c r="AD469" s="1545">
        <f t="shared" ref="AD469" si="436">SUM(AD468)</f>
        <v>0</v>
      </c>
      <c r="AE469" s="1546">
        <f t="shared" ref="AE469" si="437">SUM(AE468)</f>
        <v>0</v>
      </c>
      <c r="AF469" s="1547">
        <f t="shared" ref="AF469" si="438">SUM(AF468)</f>
        <v>0</v>
      </c>
      <c r="AG469" s="1541"/>
      <c r="AH469" s="1545">
        <f t="shared" ref="AH469" si="439">SUM(AH468)</f>
        <v>546400</v>
      </c>
      <c r="AI469" s="1545">
        <f t="shared" ref="AI469" si="440">SUM(AI468)</f>
        <v>136600</v>
      </c>
      <c r="AJ469" s="1545">
        <f t="shared" ref="AJ469" si="441">SUM(AJ468)</f>
        <v>1000</v>
      </c>
      <c r="AK469" s="1545">
        <f t="shared" ref="AK469" si="442">SUM(AK468)</f>
        <v>1000</v>
      </c>
      <c r="AL469" s="1545">
        <f t="shared" ref="AL469" si="443">SUM(AL468)</f>
        <v>1000</v>
      </c>
      <c r="AM469" s="1545">
        <f t="shared" ref="AM469" si="444">SUM(AM468)</f>
        <v>1000</v>
      </c>
      <c r="AN469" s="1545">
        <f t="shared" ref="AN469" si="445">SUM(AN468)</f>
        <v>1000</v>
      </c>
      <c r="AO469" s="1545">
        <f t="shared" ref="AO469" si="446">SUM(AO468)</f>
        <v>1000</v>
      </c>
      <c r="AP469" s="1545">
        <f t="shared" ref="AP469" si="447">SUM(AP468)</f>
        <v>1000</v>
      </c>
      <c r="AQ469" s="1545">
        <f t="shared" ref="AQ469" si="448">SUM(AQ468)</f>
        <v>1000</v>
      </c>
      <c r="AR469" s="1545">
        <f t="shared" ref="AR469" si="449">SUM(AR468)</f>
        <v>1000</v>
      </c>
    </row>
    <row r="471" spans="1:44" x14ac:dyDescent="0.3">
      <c r="A471" s="1498" t="s">
        <v>3796</v>
      </c>
      <c r="B471" s="1498" t="s">
        <v>3641</v>
      </c>
      <c r="C471" s="1498" t="s">
        <v>3642</v>
      </c>
      <c r="D471" s="1563" t="s">
        <v>3004</v>
      </c>
      <c r="E471" s="1518">
        <v>4</v>
      </c>
      <c r="F471" s="1518">
        <f t="shared" ref="F471:F519" si="450">E471-(YEAR($E$4)-YEAR(D471))</f>
        <v>-5</v>
      </c>
      <c r="G471" s="1532">
        <f t="shared" ref="G471:G519" si="451">IF(YEAR(D471)=YEAR($E$4),IF($E$2=$E$4,0,IF(D471&lt;$E$4,$E$2-$E$4,$E$2-D471)),$E$2-$E$4)</f>
        <v>0</v>
      </c>
      <c r="H471" s="1533">
        <f t="shared" ref="H471:H519" si="452">IF(YEAR(D471)=YEAR($E$4),G471/365,IF($E$2=$E$4,G471/365,($E$2-$E$4)/365))</f>
        <v>0</v>
      </c>
      <c r="I471" s="1534">
        <f t="shared" ref="I471:I519" si="453">1/E471</f>
        <v>0.25</v>
      </c>
      <c r="J471" s="1519">
        <v>26290758</v>
      </c>
      <c r="K471" s="1519">
        <v>26290758</v>
      </c>
      <c r="N471" s="1519">
        <f t="shared" ref="N471:N515" si="454">ROUND(J471-K471-L471+M471,)</f>
        <v>0</v>
      </c>
      <c r="Q471" s="1557">
        <v>0</v>
      </c>
      <c r="R471" s="1519">
        <f t="shared" ref="R471:R519" si="455">J471+O471-P471</f>
        <v>26290758</v>
      </c>
      <c r="S471" s="1519">
        <f t="shared" ref="S471:S519" si="456">ROUND(N471+O471-P471-Q471,)</f>
        <v>0</v>
      </c>
      <c r="T471" s="1519">
        <f t="shared" ref="T471:T519" si="457">J471-K471-L471+M471+O471-P471-Q471-S471</f>
        <v>0</v>
      </c>
      <c r="U471" s="1535">
        <f t="shared" ref="U471:U519" si="458">IF(S471&gt;1000,IF(S471-R471*(1/12)*I471&gt;1000,R471*(1/12)*I471,S471-1000),)</f>
        <v>0</v>
      </c>
      <c r="V471" s="1537">
        <f t="shared" ref="V471:V519" si="459">Q471+U471</f>
        <v>0</v>
      </c>
      <c r="W471" s="1519">
        <f t="shared" ref="W471:W519" si="460">IF(AH471&gt;1000,IF(AH471-$I471*$R471&gt;1000,$I471*$R471,AH471-1000),)</f>
        <v>0</v>
      </c>
      <c r="X471" s="1537">
        <f t="shared" ref="X471:X519" si="461">IF(AI471&gt;1000,IF(AI471-$I471*$R471&gt;1000,$I471*$R471,AI471-1000),)</f>
        <v>0</v>
      </c>
      <c r="Y471" s="1537">
        <f t="shared" ref="Y471:Y519" si="462">IF(AJ471&gt;1000,IF(AJ471-$I471*$R471&gt;1000,$I471*$R471,AJ471-1000),)</f>
        <v>0</v>
      </c>
      <c r="Z471" s="1537">
        <f t="shared" ref="Z471:Z519" si="463">IF(AK471&gt;1000,IF(AK471-$I471*$R471&gt;1000,$I471*$R471,AK471-1000),)</f>
        <v>0</v>
      </c>
      <c r="AA471" s="1537">
        <f t="shared" ref="AA471:AA519" si="464">IF(AL471&gt;1000,IF(AL471-$I471*$R471&gt;1000,$I471*$R471,AL471-1000),)</f>
        <v>0</v>
      </c>
      <c r="AB471" s="1537">
        <f t="shared" ref="AB471:AB519" si="465">IF(AM471&gt;1000,IF(AM471-$I471*$R471&gt;1000,$I471*$R471,AM471-1000),)</f>
        <v>0</v>
      </c>
      <c r="AC471" s="1537">
        <f t="shared" ref="AC471:AC519" si="466">IF(AN471&gt;1000,IF(AN471-$I471*$R471&gt;1000,$I471*$R471,AN471-1000),)</f>
        <v>0</v>
      </c>
      <c r="AD471" s="1537">
        <f t="shared" ref="AD471:AD519" si="467">IF(AO471&gt;1000,IF(AO471-$I471*$R471&gt;1000,$I471*$R471,AO471-1000),)</f>
        <v>0</v>
      </c>
      <c r="AE471" s="1537">
        <f t="shared" ref="AE471:AE519" si="468">IF(AP471&gt;1000,IF(AP471-$I471*$R471&gt;1000,$I471*$R471,AP471-1000),)</f>
        <v>0</v>
      </c>
      <c r="AF471" s="1536">
        <f t="shared" ref="AF471:AF519" si="469">IF(AQ471&gt;1000,IF(AQ471-$I471*$R471&gt;1000,$I471*$R471,AQ471-1000),)</f>
        <v>0</v>
      </c>
      <c r="AH471" s="1537">
        <f t="shared" ref="AH471:AH519" si="470">S471-U471</f>
        <v>0</v>
      </c>
      <c r="AI471" s="1537">
        <f t="shared" ref="AI471:AI519" si="471">AH471-W471</f>
        <v>0</v>
      </c>
      <c r="AJ471" s="1537">
        <f t="shared" ref="AJ471:AJ519" si="472">AI471-X471</f>
        <v>0</v>
      </c>
      <c r="AK471" s="1537">
        <f t="shared" ref="AK471:AK519" si="473">AJ471-Y471</f>
        <v>0</v>
      </c>
      <c r="AL471" s="1537">
        <f t="shared" ref="AL471:AL519" si="474">AK471-Z471</f>
        <v>0</v>
      </c>
      <c r="AM471" s="1537">
        <f t="shared" ref="AM471:AM519" si="475">AL471-AA471</f>
        <v>0</v>
      </c>
      <c r="AN471" s="1537">
        <f t="shared" ref="AN471:AN519" si="476">AM471-AB471</f>
        <v>0</v>
      </c>
      <c r="AO471" s="1537">
        <f t="shared" ref="AO471:AO519" si="477">AN471-AC471</f>
        <v>0</v>
      </c>
      <c r="AP471" s="1537">
        <f t="shared" ref="AP471:AP519" si="478">AO471-AD471</f>
        <v>0</v>
      </c>
      <c r="AQ471" s="1537">
        <f t="shared" ref="AQ471:AQ519" si="479">AP471-AE471</f>
        <v>0</v>
      </c>
      <c r="AR471" s="1537">
        <f t="shared" ref="AR471:AR519" si="480">AQ471-AF471</f>
        <v>0</v>
      </c>
    </row>
    <row r="472" spans="1:44" x14ac:dyDescent="0.3">
      <c r="A472" s="1498" t="s">
        <v>3796</v>
      </c>
      <c r="C472" s="1498" t="s">
        <v>3643</v>
      </c>
      <c r="D472" s="1563" t="s">
        <v>3004</v>
      </c>
      <c r="E472" s="1518">
        <v>3</v>
      </c>
      <c r="F472" s="1518">
        <f t="shared" si="450"/>
        <v>-6</v>
      </c>
      <c r="G472" s="1532">
        <f t="shared" si="451"/>
        <v>0</v>
      </c>
      <c r="H472" s="1533">
        <f t="shared" si="452"/>
        <v>0</v>
      </c>
      <c r="I472" s="1534">
        <f t="shared" si="453"/>
        <v>0.33333333333333331</v>
      </c>
      <c r="J472" s="1519">
        <v>2008550</v>
      </c>
      <c r="K472" s="1519">
        <v>2008550</v>
      </c>
      <c r="N472" s="1519">
        <f t="shared" si="454"/>
        <v>0</v>
      </c>
      <c r="Q472" s="1557">
        <v>0</v>
      </c>
      <c r="R472" s="1519">
        <f t="shared" si="455"/>
        <v>2008550</v>
      </c>
      <c r="S472" s="1519">
        <f t="shared" si="456"/>
        <v>0</v>
      </c>
      <c r="T472" s="1519">
        <f t="shared" si="457"/>
        <v>0</v>
      </c>
      <c r="U472" s="1535">
        <f t="shared" si="458"/>
        <v>0</v>
      </c>
      <c r="V472" s="1537">
        <f t="shared" si="459"/>
        <v>0</v>
      </c>
      <c r="W472" s="1519">
        <f t="shared" si="460"/>
        <v>0</v>
      </c>
      <c r="X472" s="1537">
        <f t="shared" si="461"/>
        <v>0</v>
      </c>
      <c r="Y472" s="1537">
        <f t="shared" si="462"/>
        <v>0</v>
      </c>
      <c r="Z472" s="1537">
        <f t="shared" si="463"/>
        <v>0</v>
      </c>
      <c r="AA472" s="1537">
        <f t="shared" si="464"/>
        <v>0</v>
      </c>
      <c r="AB472" s="1537">
        <f t="shared" si="465"/>
        <v>0</v>
      </c>
      <c r="AC472" s="1537">
        <f t="shared" si="466"/>
        <v>0</v>
      </c>
      <c r="AD472" s="1537">
        <f t="shared" si="467"/>
        <v>0</v>
      </c>
      <c r="AE472" s="1537">
        <f t="shared" si="468"/>
        <v>0</v>
      </c>
      <c r="AF472" s="1536">
        <f t="shared" si="469"/>
        <v>0</v>
      </c>
      <c r="AH472" s="1537">
        <f t="shared" si="470"/>
        <v>0</v>
      </c>
      <c r="AI472" s="1537">
        <f t="shared" si="471"/>
        <v>0</v>
      </c>
      <c r="AJ472" s="1537">
        <f t="shared" si="472"/>
        <v>0</v>
      </c>
      <c r="AK472" s="1537">
        <f t="shared" si="473"/>
        <v>0</v>
      </c>
      <c r="AL472" s="1537">
        <f t="shared" si="474"/>
        <v>0</v>
      </c>
      <c r="AM472" s="1537">
        <f t="shared" si="475"/>
        <v>0</v>
      </c>
      <c r="AN472" s="1537">
        <f t="shared" si="476"/>
        <v>0</v>
      </c>
      <c r="AO472" s="1537">
        <f t="shared" si="477"/>
        <v>0</v>
      </c>
      <c r="AP472" s="1537">
        <f t="shared" si="478"/>
        <v>0</v>
      </c>
      <c r="AQ472" s="1537">
        <f t="shared" si="479"/>
        <v>0</v>
      </c>
      <c r="AR472" s="1537">
        <f t="shared" si="480"/>
        <v>0</v>
      </c>
    </row>
    <row r="473" spans="1:44" x14ac:dyDescent="0.3">
      <c r="A473" s="1498" t="s">
        <v>3796</v>
      </c>
      <c r="C473" s="1498" t="s">
        <v>3644</v>
      </c>
      <c r="D473" s="1563" t="s">
        <v>3004</v>
      </c>
      <c r="E473" s="1518">
        <v>4</v>
      </c>
      <c r="F473" s="1518">
        <f t="shared" si="450"/>
        <v>-5</v>
      </c>
      <c r="G473" s="1532">
        <f t="shared" si="451"/>
        <v>0</v>
      </c>
      <c r="H473" s="1533">
        <f t="shared" si="452"/>
        <v>0</v>
      </c>
      <c r="I473" s="1534">
        <f t="shared" si="453"/>
        <v>0.25</v>
      </c>
      <c r="J473" s="1519">
        <v>6244000</v>
      </c>
      <c r="K473" s="1519">
        <v>6244000</v>
      </c>
      <c r="N473" s="1519">
        <f t="shared" si="454"/>
        <v>0</v>
      </c>
      <c r="Q473" s="1557">
        <v>0</v>
      </c>
      <c r="R473" s="1519">
        <f t="shared" si="455"/>
        <v>6244000</v>
      </c>
      <c r="S473" s="1519">
        <f t="shared" si="456"/>
        <v>0</v>
      </c>
      <c r="T473" s="1519">
        <f t="shared" si="457"/>
        <v>0</v>
      </c>
      <c r="U473" s="1535">
        <f t="shared" si="458"/>
        <v>0</v>
      </c>
      <c r="V473" s="1537">
        <f t="shared" si="459"/>
        <v>0</v>
      </c>
      <c r="W473" s="1519">
        <f t="shared" si="460"/>
        <v>0</v>
      </c>
      <c r="X473" s="1537">
        <f t="shared" si="461"/>
        <v>0</v>
      </c>
      <c r="Y473" s="1537">
        <f t="shared" si="462"/>
        <v>0</v>
      </c>
      <c r="Z473" s="1537">
        <f t="shared" si="463"/>
        <v>0</v>
      </c>
      <c r="AA473" s="1537">
        <f t="shared" si="464"/>
        <v>0</v>
      </c>
      <c r="AB473" s="1537">
        <f t="shared" si="465"/>
        <v>0</v>
      </c>
      <c r="AC473" s="1537">
        <f t="shared" si="466"/>
        <v>0</v>
      </c>
      <c r="AD473" s="1537">
        <f t="shared" si="467"/>
        <v>0</v>
      </c>
      <c r="AE473" s="1537">
        <f t="shared" si="468"/>
        <v>0</v>
      </c>
      <c r="AF473" s="1536">
        <f t="shared" si="469"/>
        <v>0</v>
      </c>
      <c r="AH473" s="1537">
        <f t="shared" si="470"/>
        <v>0</v>
      </c>
      <c r="AI473" s="1537">
        <f t="shared" si="471"/>
        <v>0</v>
      </c>
      <c r="AJ473" s="1537">
        <f t="shared" si="472"/>
        <v>0</v>
      </c>
      <c r="AK473" s="1537">
        <f t="shared" si="473"/>
        <v>0</v>
      </c>
      <c r="AL473" s="1537">
        <f t="shared" si="474"/>
        <v>0</v>
      </c>
      <c r="AM473" s="1537">
        <f t="shared" si="475"/>
        <v>0</v>
      </c>
      <c r="AN473" s="1537">
        <f t="shared" si="476"/>
        <v>0</v>
      </c>
      <c r="AO473" s="1537">
        <f t="shared" si="477"/>
        <v>0</v>
      </c>
      <c r="AP473" s="1537">
        <f t="shared" si="478"/>
        <v>0</v>
      </c>
      <c r="AQ473" s="1537">
        <f t="shared" si="479"/>
        <v>0</v>
      </c>
      <c r="AR473" s="1537">
        <f t="shared" si="480"/>
        <v>0</v>
      </c>
    </row>
    <row r="474" spans="1:44" x14ac:dyDescent="0.3">
      <c r="C474" s="1498" t="s">
        <v>3645</v>
      </c>
      <c r="D474" s="1563" t="s">
        <v>3004</v>
      </c>
      <c r="E474" s="1518">
        <v>3</v>
      </c>
      <c r="F474" s="1518">
        <f t="shared" si="450"/>
        <v>-6</v>
      </c>
      <c r="G474" s="1532">
        <f t="shared" si="451"/>
        <v>0</v>
      </c>
      <c r="H474" s="1533">
        <f t="shared" si="452"/>
        <v>0</v>
      </c>
      <c r="I474" s="1534">
        <f t="shared" si="453"/>
        <v>0.33333333333333331</v>
      </c>
      <c r="J474" s="1519">
        <v>24985984</v>
      </c>
      <c r="K474" s="1519">
        <v>24985984</v>
      </c>
      <c r="N474" s="1519">
        <f t="shared" si="454"/>
        <v>0</v>
      </c>
      <c r="Q474" s="1557">
        <v>0</v>
      </c>
      <c r="R474" s="1519">
        <f t="shared" si="455"/>
        <v>24985984</v>
      </c>
      <c r="S474" s="1519">
        <f t="shared" si="456"/>
        <v>0</v>
      </c>
      <c r="T474" s="1519">
        <f t="shared" si="457"/>
        <v>0</v>
      </c>
      <c r="U474" s="1535">
        <f t="shared" si="458"/>
        <v>0</v>
      </c>
      <c r="V474" s="1537">
        <f t="shared" si="459"/>
        <v>0</v>
      </c>
      <c r="W474" s="1519">
        <f t="shared" si="460"/>
        <v>0</v>
      </c>
      <c r="X474" s="1537">
        <f t="shared" si="461"/>
        <v>0</v>
      </c>
      <c r="Y474" s="1537">
        <f t="shared" si="462"/>
        <v>0</v>
      </c>
      <c r="Z474" s="1537">
        <f t="shared" si="463"/>
        <v>0</v>
      </c>
      <c r="AA474" s="1537">
        <f t="shared" si="464"/>
        <v>0</v>
      </c>
      <c r="AB474" s="1537">
        <f t="shared" si="465"/>
        <v>0</v>
      </c>
      <c r="AC474" s="1537">
        <f t="shared" si="466"/>
        <v>0</v>
      </c>
      <c r="AD474" s="1537">
        <f t="shared" si="467"/>
        <v>0</v>
      </c>
      <c r="AE474" s="1537">
        <f t="shared" si="468"/>
        <v>0</v>
      </c>
      <c r="AF474" s="1536">
        <f t="shared" si="469"/>
        <v>0</v>
      </c>
      <c r="AH474" s="1537">
        <f t="shared" si="470"/>
        <v>0</v>
      </c>
      <c r="AI474" s="1537">
        <f t="shared" si="471"/>
        <v>0</v>
      </c>
      <c r="AJ474" s="1537">
        <f t="shared" si="472"/>
        <v>0</v>
      </c>
      <c r="AK474" s="1537">
        <f t="shared" si="473"/>
        <v>0</v>
      </c>
      <c r="AL474" s="1537">
        <f t="shared" si="474"/>
        <v>0</v>
      </c>
      <c r="AM474" s="1537">
        <f t="shared" si="475"/>
        <v>0</v>
      </c>
      <c r="AN474" s="1537">
        <f t="shared" si="476"/>
        <v>0</v>
      </c>
      <c r="AO474" s="1537">
        <f t="shared" si="477"/>
        <v>0</v>
      </c>
      <c r="AP474" s="1537">
        <f t="shared" si="478"/>
        <v>0</v>
      </c>
      <c r="AQ474" s="1537">
        <f t="shared" si="479"/>
        <v>0</v>
      </c>
      <c r="AR474" s="1537">
        <f t="shared" si="480"/>
        <v>0</v>
      </c>
    </row>
    <row r="475" spans="1:44" x14ac:dyDescent="0.3">
      <c r="C475" s="1498" t="s">
        <v>3646</v>
      </c>
      <c r="D475" s="1563" t="s">
        <v>3004</v>
      </c>
      <c r="E475" s="1518">
        <v>3</v>
      </c>
      <c r="F475" s="1518">
        <f t="shared" si="450"/>
        <v>-6</v>
      </c>
      <c r="G475" s="1532">
        <f t="shared" si="451"/>
        <v>0</v>
      </c>
      <c r="H475" s="1533">
        <f t="shared" si="452"/>
        <v>0</v>
      </c>
      <c r="I475" s="1534">
        <f t="shared" si="453"/>
        <v>0.33333333333333331</v>
      </c>
      <c r="J475" s="1519">
        <v>5071500</v>
      </c>
      <c r="K475" s="1519">
        <v>5071500</v>
      </c>
      <c r="N475" s="1519">
        <f t="shared" si="454"/>
        <v>0</v>
      </c>
      <c r="Q475" s="1557">
        <v>0</v>
      </c>
      <c r="R475" s="1519">
        <f t="shared" si="455"/>
        <v>5071500</v>
      </c>
      <c r="S475" s="1519">
        <f t="shared" si="456"/>
        <v>0</v>
      </c>
      <c r="T475" s="1519">
        <f t="shared" si="457"/>
        <v>0</v>
      </c>
      <c r="U475" s="1535">
        <f t="shared" si="458"/>
        <v>0</v>
      </c>
      <c r="V475" s="1537">
        <f t="shared" si="459"/>
        <v>0</v>
      </c>
      <c r="W475" s="1519">
        <f t="shared" si="460"/>
        <v>0</v>
      </c>
      <c r="X475" s="1537">
        <f t="shared" si="461"/>
        <v>0</v>
      </c>
      <c r="Y475" s="1537">
        <f t="shared" si="462"/>
        <v>0</v>
      </c>
      <c r="Z475" s="1537">
        <f t="shared" si="463"/>
        <v>0</v>
      </c>
      <c r="AA475" s="1537">
        <f t="shared" si="464"/>
        <v>0</v>
      </c>
      <c r="AB475" s="1537">
        <f t="shared" si="465"/>
        <v>0</v>
      </c>
      <c r="AC475" s="1537">
        <f t="shared" si="466"/>
        <v>0</v>
      </c>
      <c r="AD475" s="1537">
        <f t="shared" si="467"/>
        <v>0</v>
      </c>
      <c r="AE475" s="1537">
        <f t="shared" si="468"/>
        <v>0</v>
      </c>
      <c r="AF475" s="1536">
        <f t="shared" si="469"/>
        <v>0</v>
      </c>
      <c r="AH475" s="1537">
        <f t="shared" si="470"/>
        <v>0</v>
      </c>
      <c r="AI475" s="1537">
        <f t="shared" si="471"/>
        <v>0</v>
      </c>
      <c r="AJ475" s="1537">
        <f t="shared" si="472"/>
        <v>0</v>
      </c>
      <c r="AK475" s="1537">
        <f t="shared" si="473"/>
        <v>0</v>
      </c>
      <c r="AL475" s="1537">
        <f t="shared" si="474"/>
        <v>0</v>
      </c>
      <c r="AM475" s="1537">
        <f t="shared" si="475"/>
        <v>0</v>
      </c>
      <c r="AN475" s="1537">
        <f t="shared" si="476"/>
        <v>0</v>
      </c>
      <c r="AO475" s="1537">
        <f t="shared" si="477"/>
        <v>0</v>
      </c>
      <c r="AP475" s="1537">
        <f t="shared" si="478"/>
        <v>0</v>
      </c>
      <c r="AQ475" s="1537">
        <f t="shared" si="479"/>
        <v>0</v>
      </c>
      <c r="AR475" s="1537">
        <f t="shared" si="480"/>
        <v>0</v>
      </c>
    </row>
    <row r="476" spans="1:44" x14ac:dyDescent="0.3">
      <c r="C476" s="1498" t="s">
        <v>3647</v>
      </c>
      <c r="D476" s="1563" t="s">
        <v>3004</v>
      </c>
      <c r="E476" s="1518">
        <v>3</v>
      </c>
      <c r="F476" s="1518">
        <f t="shared" si="450"/>
        <v>-6</v>
      </c>
      <c r="G476" s="1532">
        <f t="shared" si="451"/>
        <v>0</v>
      </c>
      <c r="H476" s="1533">
        <f t="shared" si="452"/>
        <v>0</v>
      </c>
      <c r="I476" s="1534">
        <f t="shared" si="453"/>
        <v>0.33333333333333331</v>
      </c>
      <c r="J476" s="1519">
        <v>909865</v>
      </c>
      <c r="K476" s="1519">
        <v>909865</v>
      </c>
      <c r="N476" s="1519">
        <f t="shared" si="454"/>
        <v>0</v>
      </c>
      <c r="Q476" s="1557">
        <v>0</v>
      </c>
      <c r="R476" s="1519">
        <f t="shared" si="455"/>
        <v>909865</v>
      </c>
      <c r="S476" s="1519">
        <f t="shared" si="456"/>
        <v>0</v>
      </c>
      <c r="T476" s="1519">
        <f t="shared" si="457"/>
        <v>0</v>
      </c>
      <c r="U476" s="1535">
        <f t="shared" si="458"/>
        <v>0</v>
      </c>
      <c r="V476" s="1537">
        <f t="shared" si="459"/>
        <v>0</v>
      </c>
      <c r="W476" s="1519">
        <f t="shared" si="460"/>
        <v>0</v>
      </c>
      <c r="X476" s="1537">
        <f t="shared" si="461"/>
        <v>0</v>
      </c>
      <c r="Y476" s="1537">
        <f t="shared" si="462"/>
        <v>0</v>
      </c>
      <c r="Z476" s="1537">
        <f t="shared" si="463"/>
        <v>0</v>
      </c>
      <c r="AA476" s="1537">
        <f t="shared" si="464"/>
        <v>0</v>
      </c>
      <c r="AB476" s="1537">
        <f t="shared" si="465"/>
        <v>0</v>
      </c>
      <c r="AC476" s="1537">
        <f t="shared" si="466"/>
        <v>0</v>
      </c>
      <c r="AD476" s="1537">
        <f t="shared" si="467"/>
        <v>0</v>
      </c>
      <c r="AE476" s="1537">
        <f t="shared" si="468"/>
        <v>0</v>
      </c>
      <c r="AF476" s="1536">
        <f t="shared" si="469"/>
        <v>0</v>
      </c>
      <c r="AH476" s="1537">
        <f t="shared" si="470"/>
        <v>0</v>
      </c>
      <c r="AI476" s="1537">
        <f t="shared" si="471"/>
        <v>0</v>
      </c>
      <c r="AJ476" s="1537">
        <f t="shared" si="472"/>
        <v>0</v>
      </c>
      <c r="AK476" s="1537">
        <f t="shared" si="473"/>
        <v>0</v>
      </c>
      <c r="AL476" s="1537">
        <f t="shared" si="474"/>
        <v>0</v>
      </c>
      <c r="AM476" s="1537">
        <f t="shared" si="475"/>
        <v>0</v>
      </c>
      <c r="AN476" s="1537">
        <f t="shared" si="476"/>
        <v>0</v>
      </c>
      <c r="AO476" s="1537">
        <f t="shared" si="477"/>
        <v>0</v>
      </c>
      <c r="AP476" s="1537">
        <f t="shared" si="478"/>
        <v>0</v>
      </c>
      <c r="AQ476" s="1537">
        <f t="shared" si="479"/>
        <v>0</v>
      </c>
      <c r="AR476" s="1537">
        <f t="shared" si="480"/>
        <v>0</v>
      </c>
    </row>
    <row r="477" spans="1:44" x14ac:dyDescent="0.3">
      <c r="C477" s="1498" t="s">
        <v>3648</v>
      </c>
      <c r="D477" s="1563" t="s">
        <v>3004</v>
      </c>
      <c r="E477" s="1518">
        <v>2</v>
      </c>
      <c r="F477" s="1518">
        <f t="shared" si="450"/>
        <v>-7</v>
      </c>
      <c r="G477" s="1532">
        <f t="shared" si="451"/>
        <v>0</v>
      </c>
      <c r="H477" s="1533">
        <f t="shared" si="452"/>
        <v>0</v>
      </c>
      <c r="I477" s="1534">
        <f t="shared" si="453"/>
        <v>0.5</v>
      </c>
      <c r="J477" s="1519">
        <v>1000</v>
      </c>
      <c r="K477" s="1519">
        <v>1000</v>
      </c>
      <c r="N477" s="1519">
        <f t="shared" si="454"/>
        <v>0</v>
      </c>
      <c r="Q477" s="1557">
        <v>0</v>
      </c>
      <c r="R477" s="1519">
        <f t="shared" si="455"/>
        <v>1000</v>
      </c>
      <c r="S477" s="1519">
        <f t="shared" si="456"/>
        <v>0</v>
      </c>
      <c r="T477" s="1519">
        <f t="shared" si="457"/>
        <v>0</v>
      </c>
      <c r="U477" s="1535">
        <f t="shared" si="458"/>
        <v>0</v>
      </c>
      <c r="V477" s="1537">
        <f t="shared" si="459"/>
        <v>0</v>
      </c>
      <c r="W477" s="1519">
        <f t="shared" si="460"/>
        <v>0</v>
      </c>
      <c r="X477" s="1537">
        <f t="shared" si="461"/>
        <v>0</v>
      </c>
      <c r="Y477" s="1537">
        <f t="shared" si="462"/>
        <v>0</v>
      </c>
      <c r="Z477" s="1537">
        <f t="shared" si="463"/>
        <v>0</v>
      </c>
      <c r="AA477" s="1537">
        <f t="shared" si="464"/>
        <v>0</v>
      </c>
      <c r="AB477" s="1537">
        <f t="shared" si="465"/>
        <v>0</v>
      </c>
      <c r="AC477" s="1537">
        <f t="shared" si="466"/>
        <v>0</v>
      </c>
      <c r="AD477" s="1537">
        <f t="shared" si="467"/>
        <v>0</v>
      </c>
      <c r="AE477" s="1537">
        <f t="shared" si="468"/>
        <v>0</v>
      </c>
      <c r="AF477" s="1536">
        <f t="shared" si="469"/>
        <v>0</v>
      </c>
      <c r="AH477" s="1537">
        <f t="shared" si="470"/>
        <v>0</v>
      </c>
      <c r="AI477" s="1537">
        <f t="shared" si="471"/>
        <v>0</v>
      </c>
      <c r="AJ477" s="1537">
        <f t="shared" si="472"/>
        <v>0</v>
      </c>
      <c r="AK477" s="1537">
        <f t="shared" si="473"/>
        <v>0</v>
      </c>
      <c r="AL477" s="1537">
        <f t="shared" si="474"/>
        <v>0</v>
      </c>
      <c r="AM477" s="1537">
        <f t="shared" si="475"/>
        <v>0</v>
      </c>
      <c r="AN477" s="1537">
        <f t="shared" si="476"/>
        <v>0</v>
      </c>
      <c r="AO477" s="1537">
        <f t="shared" si="477"/>
        <v>0</v>
      </c>
      <c r="AP477" s="1537">
        <f t="shared" si="478"/>
        <v>0</v>
      </c>
      <c r="AQ477" s="1537">
        <f t="shared" si="479"/>
        <v>0</v>
      </c>
      <c r="AR477" s="1537">
        <f t="shared" si="480"/>
        <v>0</v>
      </c>
    </row>
    <row r="478" spans="1:44" x14ac:dyDescent="0.3">
      <c r="C478" s="1498" t="s">
        <v>3649</v>
      </c>
      <c r="D478" s="1563" t="s">
        <v>3004</v>
      </c>
      <c r="E478" s="1518">
        <v>2</v>
      </c>
      <c r="F478" s="1518">
        <f t="shared" si="450"/>
        <v>-7</v>
      </c>
      <c r="G478" s="1532">
        <f t="shared" si="451"/>
        <v>0</v>
      </c>
      <c r="H478" s="1533">
        <f t="shared" si="452"/>
        <v>0</v>
      </c>
      <c r="I478" s="1534">
        <f t="shared" si="453"/>
        <v>0.5</v>
      </c>
      <c r="J478" s="1519">
        <v>183034</v>
      </c>
      <c r="K478" s="1519">
        <v>183034</v>
      </c>
      <c r="N478" s="1519">
        <f t="shared" si="454"/>
        <v>0</v>
      </c>
      <c r="Q478" s="1557">
        <v>0</v>
      </c>
      <c r="R478" s="1519">
        <f t="shared" si="455"/>
        <v>183034</v>
      </c>
      <c r="S478" s="1519">
        <f t="shared" si="456"/>
        <v>0</v>
      </c>
      <c r="T478" s="1519">
        <f t="shared" si="457"/>
        <v>0</v>
      </c>
      <c r="U478" s="1535">
        <f t="shared" si="458"/>
        <v>0</v>
      </c>
      <c r="V478" s="1537">
        <f t="shared" si="459"/>
        <v>0</v>
      </c>
      <c r="W478" s="1519">
        <f t="shared" si="460"/>
        <v>0</v>
      </c>
      <c r="X478" s="1537">
        <f t="shared" si="461"/>
        <v>0</v>
      </c>
      <c r="Y478" s="1537">
        <f t="shared" si="462"/>
        <v>0</v>
      </c>
      <c r="Z478" s="1537">
        <f t="shared" si="463"/>
        <v>0</v>
      </c>
      <c r="AA478" s="1537">
        <f t="shared" si="464"/>
        <v>0</v>
      </c>
      <c r="AB478" s="1537">
        <f t="shared" si="465"/>
        <v>0</v>
      </c>
      <c r="AC478" s="1537">
        <f t="shared" si="466"/>
        <v>0</v>
      </c>
      <c r="AD478" s="1537">
        <f t="shared" si="467"/>
        <v>0</v>
      </c>
      <c r="AE478" s="1537">
        <f t="shared" si="468"/>
        <v>0</v>
      </c>
      <c r="AF478" s="1536">
        <f t="shared" si="469"/>
        <v>0</v>
      </c>
      <c r="AH478" s="1537">
        <f t="shared" si="470"/>
        <v>0</v>
      </c>
      <c r="AI478" s="1537">
        <f t="shared" si="471"/>
        <v>0</v>
      </c>
      <c r="AJ478" s="1537">
        <f t="shared" si="472"/>
        <v>0</v>
      </c>
      <c r="AK478" s="1537">
        <f t="shared" si="473"/>
        <v>0</v>
      </c>
      <c r="AL478" s="1537">
        <f t="shared" si="474"/>
        <v>0</v>
      </c>
      <c r="AM478" s="1537">
        <f t="shared" si="475"/>
        <v>0</v>
      </c>
      <c r="AN478" s="1537">
        <f t="shared" si="476"/>
        <v>0</v>
      </c>
      <c r="AO478" s="1537">
        <f t="shared" si="477"/>
        <v>0</v>
      </c>
      <c r="AP478" s="1537">
        <f t="shared" si="478"/>
        <v>0</v>
      </c>
      <c r="AQ478" s="1537">
        <f t="shared" si="479"/>
        <v>0</v>
      </c>
      <c r="AR478" s="1537">
        <f t="shared" si="480"/>
        <v>0</v>
      </c>
    </row>
    <row r="479" spans="1:44" x14ac:dyDescent="0.3">
      <c r="C479" s="1498" t="s">
        <v>3650</v>
      </c>
      <c r="D479" s="1563" t="s">
        <v>3004</v>
      </c>
      <c r="E479" s="1518">
        <v>2</v>
      </c>
      <c r="F479" s="1518">
        <f t="shared" si="450"/>
        <v>-7</v>
      </c>
      <c r="G479" s="1532">
        <f t="shared" si="451"/>
        <v>0</v>
      </c>
      <c r="H479" s="1533">
        <f t="shared" si="452"/>
        <v>0</v>
      </c>
      <c r="I479" s="1534">
        <f t="shared" si="453"/>
        <v>0.5</v>
      </c>
      <c r="J479" s="1519">
        <v>17000000</v>
      </c>
      <c r="K479" s="1519">
        <v>17000000</v>
      </c>
      <c r="N479" s="1519">
        <f t="shared" si="454"/>
        <v>0</v>
      </c>
      <c r="Q479" s="1557">
        <v>0</v>
      </c>
      <c r="R479" s="1519">
        <f t="shared" si="455"/>
        <v>17000000</v>
      </c>
      <c r="S479" s="1519">
        <f t="shared" si="456"/>
        <v>0</v>
      </c>
      <c r="T479" s="1519">
        <f t="shared" si="457"/>
        <v>0</v>
      </c>
      <c r="U479" s="1535">
        <f t="shared" si="458"/>
        <v>0</v>
      </c>
      <c r="V479" s="1537">
        <f t="shared" si="459"/>
        <v>0</v>
      </c>
      <c r="W479" s="1519">
        <f t="shared" si="460"/>
        <v>0</v>
      </c>
      <c r="X479" s="1537">
        <f t="shared" si="461"/>
        <v>0</v>
      </c>
      <c r="Y479" s="1537">
        <f t="shared" si="462"/>
        <v>0</v>
      </c>
      <c r="Z479" s="1537">
        <f t="shared" si="463"/>
        <v>0</v>
      </c>
      <c r="AA479" s="1537">
        <f t="shared" si="464"/>
        <v>0</v>
      </c>
      <c r="AB479" s="1537">
        <f t="shared" si="465"/>
        <v>0</v>
      </c>
      <c r="AC479" s="1537">
        <f t="shared" si="466"/>
        <v>0</v>
      </c>
      <c r="AD479" s="1537">
        <f t="shared" si="467"/>
        <v>0</v>
      </c>
      <c r="AE479" s="1537">
        <f t="shared" si="468"/>
        <v>0</v>
      </c>
      <c r="AF479" s="1536">
        <f t="shared" si="469"/>
        <v>0</v>
      </c>
      <c r="AH479" s="1537">
        <f t="shared" si="470"/>
        <v>0</v>
      </c>
      <c r="AI479" s="1537">
        <f t="shared" si="471"/>
        <v>0</v>
      </c>
      <c r="AJ479" s="1537">
        <f t="shared" si="472"/>
        <v>0</v>
      </c>
      <c r="AK479" s="1537">
        <f t="shared" si="473"/>
        <v>0</v>
      </c>
      <c r="AL479" s="1537">
        <f t="shared" si="474"/>
        <v>0</v>
      </c>
      <c r="AM479" s="1537">
        <f t="shared" si="475"/>
        <v>0</v>
      </c>
      <c r="AN479" s="1537">
        <f t="shared" si="476"/>
        <v>0</v>
      </c>
      <c r="AO479" s="1537">
        <f t="shared" si="477"/>
        <v>0</v>
      </c>
      <c r="AP479" s="1537">
        <f t="shared" si="478"/>
        <v>0</v>
      </c>
      <c r="AQ479" s="1537">
        <f t="shared" si="479"/>
        <v>0</v>
      </c>
      <c r="AR479" s="1537">
        <f t="shared" si="480"/>
        <v>0</v>
      </c>
    </row>
    <row r="480" spans="1:44" x14ac:dyDescent="0.3">
      <c r="A480" s="1498" t="s">
        <v>3796</v>
      </c>
      <c r="C480" s="1498" t="s">
        <v>3651</v>
      </c>
      <c r="D480" s="1563" t="s">
        <v>3004</v>
      </c>
      <c r="E480" s="1518">
        <v>2</v>
      </c>
      <c r="F480" s="1518">
        <f t="shared" si="450"/>
        <v>-7</v>
      </c>
      <c r="G480" s="1532">
        <f t="shared" si="451"/>
        <v>0</v>
      </c>
      <c r="H480" s="1533">
        <f t="shared" si="452"/>
        <v>0</v>
      </c>
      <c r="I480" s="1534">
        <f t="shared" si="453"/>
        <v>0.5</v>
      </c>
      <c r="J480" s="1519">
        <v>345000</v>
      </c>
      <c r="K480" s="1519">
        <v>345000</v>
      </c>
      <c r="N480" s="1519">
        <f t="shared" si="454"/>
        <v>0</v>
      </c>
      <c r="Q480" s="1557">
        <v>0</v>
      </c>
      <c r="R480" s="1519">
        <f t="shared" si="455"/>
        <v>345000</v>
      </c>
      <c r="S480" s="1519">
        <f t="shared" si="456"/>
        <v>0</v>
      </c>
      <c r="T480" s="1519">
        <f t="shared" si="457"/>
        <v>0</v>
      </c>
      <c r="U480" s="1535">
        <f t="shared" si="458"/>
        <v>0</v>
      </c>
      <c r="V480" s="1537">
        <f t="shared" si="459"/>
        <v>0</v>
      </c>
      <c r="W480" s="1519">
        <f t="shared" si="460"/>
        <v>0</v>
      </c>
      <c r="X480" s="1537">
        <f t="shared" si="461"/>
        <v>0</v>
      </c>
      <c r="Y480" s="1537">
        <f t="shared" si="462"/>
        <v>0</v>
      </c>
      <c r="Z480" s="1537">
        <f t="shared" si="463"/>
        <v>0</v>
      </c>
      <c r="AA480" s="1537">
        <f t="shared" si="464"/>
        <v>0</v>
      </c>
      <c r="AB480" s="1537">
        <f t="shared" si="465"/>
        <v>0</v>
      </c>
      <c r="AC480" s="1537">
        <f t="shared" si="466"/>
        <v>0</v>
      </c>
      <c r="AD480" s="1537">
        <f t="shared" si="467"/>
        <v>0</v>
      </c>
      <c r="AE480" s="1537">
        <f t="shared" si="468"/>
        <v>0</v>
      </c>
      <c r="AF480" s="1536">
        <f t="shared" si="469"/>
        <v>0</v>
      </c>
      <c r="AH480" s="1537">
        <f t="shared" si="470"/>
        <v>0</v>
      </c>
      <c r="AI480" s="1537">
        <f t="shared" si="471"/>
        <v>0</v>
      </c>
      <c r="AJ480" s="1537">
        <f t="shared" si="472"/>
        <v>0</v>
      </c>
      <c r="AK480" s="1537">
        <f t="shared" si="473"/>
        <v>0</v>
      </c>
      <c r="AL480" s="1537">
        <f t="shared" si="474"/>
        <v>0</v>
      </c>
      <c r="AM480" s="1537">
        <f t="shared" si="475"/>
        <v>0</v>
      </c>
      <c r="AN480" s="1537">
        <f t="shared" si="476"/>
        <v>0</v>
      </c>
      <c r="AO480" s="1537">
        <f t="shared" si="477"/>
        <v>0</v>
      </c>
      <c r="AP480" s="1537">
        <f t="shared" si="478"/>
        <v>0</v>
      </c>
      <c r="AQ480" s="1537">
        <f t="shared" si="479"/>
        <v>0</v>
      </c>
      <c r="AR480" s="1537">
        <f t="shared" si="480"/>
        <v>0</v>
      </c>
    </row>
    <row r="481" spans="1:44" x14ac:dyDescent="0.3">
      <c r="A481" s="1498" t="s">
        <v>3796</v>
      </c>
      <c r="C481" s="1498" t="s">
        <v>3652</v>
      </c>
      <c r="D481" s="1563" t="s">
        <v>3004</v>
      </c>
      <c r="E481" s="1518">
        <v>2</v>
      </c>
      <c r="F481" s="1518">
        <f t="shared" si="450"/>
        <v>-7</v>
      </c>
      <c r="G481" s="1532">
        <f t="shared" si="451"/>
        <v>0</v>
      </c>
      <c r="H481" s="1533">
        <f t="shared" si="452"/>
        <v>0</v>
      </c>
      <c r="I481" s="1534">
        <f t="shared" si="453"/>
        <v>0.5</v>
      </c>
      <c r="J481" s="1519">
        <v>1400850</v>
      </c>
      <c r="K481" s="1519">
        <v>1400850</v>
      </c>
      <c r="N481" s="1519">
        <f t="shared" si="454"/>
        <v>0</v>
      </c>
      <c r="Q481" s="1557">
        <v>0</v>
      </c>
      <c r="R481" s="1519">
        <f t="shared" si="455"/>
        <v>1400850</v>
      </c>
      <c r="S481" s="1519">
        <f t="shared" si="456"/>
        <v>0</v>
      </c>
      <c r="T481" s="1519">
        <f t="shared" si="457"/>
        <v>0</v>
      </c>
      <c r="U481" s="1535">
        <f t="shared" si="458"/>
        <v>0</v>
      </c>
      <c r="V481" s="1537">
        <f t="shared" si="459"/>
        <v>0</v>
      </c>
      <c r="W481" s="1519">
        <f t="shared" si="460"/>
        <v>0</v>
      </c>
      <c r="X481" s="1537">
        <f t="shared" si="461"/>
        <v>0</v>
      </c>
      <c r="Y481" s="1537">
        <f t="shared" si="462"/>
        <v>0</v>
      </c>
      <c r="Z481" s="1537">
        <f t="shared" si="463"/>
        <v>0</v>
      </c>
      <c r="AA481" s="1537">
        <f t="shared" si="464"/>
        <v>0</v>
      </c>
      <c r="AB481" s="1537">
        <f t="shared" si="465"/>
        <v>0</v>
      </c>
      <c r="AC481" s="1537">
        <f t="shared" si="466"/>
        <v>0</v>
      </c>
      <c r="AD481" s="1537">
        <f t="shared" si="467"/>
        <v>0</v>
      </c>
      <c r="AE481" s="1537">
        <f t="shared" si="468"/>
        <v>0</v>
      </c>
      <c r="AF481" s="1536">
        <f t="shared" si="469"/>
        <v>0</v>
      </c>
      <c r="AH481" s="1537">
        <f t="shared" si="470"/>
        <v>0</v>
      </c>
      <c r="AI481" s="1537">
        <f t="shared" si="471"/>
        <v>0</v>
      </c>
      <c r="AJ481" s="1537">
        <f t="shared" si="472"/>
        <v>0</v>
      </c>
      <c r="AK481" s="1537">
        <f t="shared" si="473"/>
        <v>0</v>
      </c>
      <c r="AL481" s="1537">
        <f t="shared" si="474"/>
        <v>0</v>
      </c>
      <c r="AM481" s="1537">
        <f t="shared" si="475"/>
        <v>0</v>
      </c>
      <c r="AN481" s="1537">
        <f t="shared" si="476"/>
        <v>0</v>
      </c>
      <c r="AO481" s="1537">
        <f t="shared" si="477"/>
        <v>0</v>
      </c>
      <c r="AP481" s="1537">
        <f t="shared" si="478"/>
        <v>0</v>
      </c>
      <c r="AQ481" s="1537">
        <f t="shared" si="479"/>
        <v>0</v>
      </c>
      <c r="AR481" s="1537">
        <f t="shared" si="480"/>
        <v>0</v>
      </c>
    </row>
    <row r="482" spans="1:44" x14ac:dyDescent="0.3">
      <c r="A482" s="1498" t="s">
        <v>3796</v>
      </c>
      <c r="C482" s="1498" t="s">
        <v>3653</v>
      </c>
      <c r="D482" s="1563" t="s">
        <v>3004</v>
      </c>
      <c r="E482" s="1518">
        <v>2</v>
      </c>
      <c r="F482" s="1518">
        <f t="shared" si="450"/>
        <v>-7</v>
      </c>
      <c r="G482" s="1532">
        <f t="shared" si="451"/>
        <v>0</v>
      </c>
      <c r="H482" s="1533">
        <f t="shared" si="452"/>
        <v>0</v>
      </c>
      <c r="I482" s="1534">
        <f t="shared" si="453"/>
        <v>0.5</v>
      </c>
      <c r="J482" s="1519">
        <v>2597100</v>
      </c>
      <c r="K482" s="1519">
        <v>2597100</v>
      </c>
      <c r="N482" s="1519">
        <f t="shared" si="454"/>
        <v>0</v>
      </c>
      <c r="Q482" s="1557">
        <v>0</v>
      </c>
      <c r="R482" s="1519">
        <f t="shared" si="455"/>
        <v>2597100</v>
      </c>
      <c r="S482" s="1519">
        <f t="shared" si="456"/>
        <v>0</v>
      </c>
      <c r="T482" s="1519">
        <f t="shared" si="457"/>
        <v>0</v>
      </c>
      <c r="U482" s="1535">
        <f t="shared" si="458"/>
        <v>0</v>
      </c>
      <c r="V482" s="1537">
        <f t="shared" si="459"/>
        <v>0</v>
      </c>
      <c r="W482" s="1519">
        <f t="shared" si="460"/>
        <v>0</v>
      </c>
      <c r="X482" s="1537">
        <f t="shared" si="461"/>
        <v>0</v>
      </c>
      <c r="Y482" s="1537">
        <f t="shared" si="462"/>
        <v>0</v>
      </c>
      <c r="Z482" s="1537">
        <f t="shared" si="463"/>
        <v>0</v>
      </c>
      <c r="AA482" s="1537">
        <f t="shared" si="464"/>
        <v>0</v>
      </c>
      <c r="AB482" s="1537">
        <f t="shared" si="465"/>
        <v>0</v>
      </c>
      <c r="AC482" s="1537">
        <f t="shared" si="466"/>
        <v>0</v>
      </c>
      <c r="AD482" s="1537">
        <f t="shared" si="467"/>
        <v>0</v>
      </c>
      <c r="AE482" s="1537">
        <f t="shared" si="468"/>
        <v>0</v>
      </c>
      <c r="AF482" s="1536">
        <f t="shared" si="469"/>
        <v>0</v>
      </c>
      <c r="AH482" s="1537">
        <f t="shared" si="470"/>
        <v>0</v>
      </c>
      <c r="AI482" s="1537">
        <f t="shared" si="471"/>
        <v>0</v>
      </c>
      <c r="AJ482" s="1537">
        <f t="shared" si="472"/>
        <v>0</v>
      </c>
      <c r="AK482" s="1537">
        <f t="shared" si="473"/>
        <v>0</v>
      </c>
      <c r="AL482" s="1537">
        <f t="shared" si="474"/>
        <v>0</v>
      </c>
      <c r="AM482" s="1537">
        <f t="shared" si="475"/>
        <v>0</v>
      </c>
      <c r="AN482" s="1537">
        <f t="shared" si="476"/>
        <v>0</v>
      </c>
      <c r="AO482" s="1537">
        <f t="shared" si="477"/>
        <v>0</v>
      </c>
      <c r="AP482" s="1537">
        <f t="shared" si="478"/>
        <v>0</v>
      </c>
      <c r="AQ482" s="1537">
        <f t="shared" si="479"/>
        <v>0</v>
      </c>
      <c r="AR482" s="1537">
        <f t="shared" si="480"/>
        <v>0</v>
      </c>
    </row>
    <row r="483" spans="1:44" x14ac:dyDescent="0.3">
      <c r="A483" s="1498" t="s">
        <v>3796</v>
      </c>
      <c r="C483" s="1498" t="s">
        <v>3654</v>
      </c>
      <c r="D483" s="1563" t="s">
        <v>3004</v>
      </c>
      <c r="E483" s="1518">
        <v>2</v>
      </c>
      <c r="F483" s="1518">
        <f t="shared" si="450"/>
        <v>-7</v>
      </c>
      <c r="G483" s="1532">
        <f t="shared" si="451"/>
        <v>0</v>
      </c>
      <c r="H483" s="1533">
        <f t="shared" si="452"/>
        <v>0</v>
      </c>
      <c r="I483" s="1534">
        <f t="shared" si="453"/>
        <v>0.5</v>
      </c>
      <c r="J483" s="1519">
        <v>554400</v>
      </c>
      <c r="K483" s="1519">
        <v>554400</v>
      </c>
      <c r="N483" s="1519">
        <f t="shared" si="454"/>
        <v>0</v>
      </c>
      <c r="Q483" s="1557">
        <v>0</v>
      </c>
      <c r="R483" s="1519">
        <f t="shared" si="455"/>
        <v>554400</v>
      </c>
      <c r="S483" s="1519">
        <f t="shared" si="456"/>
        <v>0</v>
      </c>
      <c r="T483" s="1519">
        <f t="shared" si="457"/>
        <v>0</v>
      </c>
      <c r="U483" s="1535">
        <f t="shared" si="458"/>
        <v>0</v>
      </c>
      <c r="V483" s="1537">
        <f t="shared" si="459"/>
        <v>0</v>
      </c>
      <c r="W483" s="1519">
        <f t="shared" si="460"/>
        <v>0</v>
      </c>
      <c r="X483" s="1537">
        <f t="shared" si="461"/>
        <v>0</v>
      </c>
      <c r="Y483" s="1537">
        <f t="shared" si="462"/>
        <v>0</v>
      </c>
      <c r="Z483" s="1537">
        <f t="shared" si="463"/>
        <v>0</v>
      </c>
      <c r="AA483" s="1537">
        <f t="shared" si="464"/>
        <v>0</v>
      </c>
      <c r="AB483" s="1537">
        <f t="shared" si="465"/>
        <v>0</v>
      </c>
      <c r="AC483" s="1537">
        <f t="shared" si="466"/>
        <v>0</v>
      </c>
      <c r="AD483" s="1537">
        <f t="shared" si="467"/>
        <v>0</v>
      </c>
      <c r="AE483" s="1537">
        <f t="shared" si="468"/>
        <v>0</v>
      </c>
      <c r="AF483" s="1536">
        <f t="shared" si="469"/>
        <v>0</v>
      </c>
      <c r="AH483" s="1537">
        <f t="shared" si="470"/>
        <v>0</v>
      </c>
      <c r="AI483" s="1537">
        <f t="shared" si="471"/>
        <v>0</v>
      </c>
      <c r="AJ483" s="1537">
        <f t="shared" si="472"/>
        <v>0</v>
      </c>
      <c r="AK483" s="1537">
        <f t="shared" si="473"/>
        <v>0</v>
      </c>
      <c r="AL483" s="1537">
        <f t="shared" si="474"/>
        <v>0</v>
      </c>
      <c r="AM483" s="1537">
        <f t="shared" si="475"/>
        <v>0</v>
      </c>
      <c r="AN483" s="1537">
        <f t="shared" si="476"/>
        <v>0</v>
      </c>
      <c r="AO483" s="1537">
        <f t="shared" si="477"/>
        <v>0</v>
      </c>
      <c r="AP483" s="1537">
        <f t="shared" si="478"/>
        <v>0</v>
      </c>
      <c r="AQ483" s="1537">
        <f t="shared" si="479"/>
        <v>0</v>
      </c>
      <c r="AR483" s="1537">
        <f t="shared" si="480"/>
        <v>0</v>
      </c>
    </row>
    <row r="484" spans="1:44" x14ac:dyDescent="0.3">
      <c r="A484" s="1498" t="s">
        <v>3796</v>
      </c>
      <c r="C484" s="1498" t="s">
        <v>3655</v>
      </c>
      <c r="D484" s="1563" t="s">
        <v>3004</v>
      </c>
      <c r="E484" s="1518">
        <v>2</v>
      </c>
      <c r="F484" s="1518">
        <f t="shared" si="450"/>
        <v>-7</v>
      </c>
      <c r="G484" s="1532">
        <f t="shared" si="451"/>
        <v>0</v>
      </c>
      <c r="H484" s="1533">
        <f t="shared" si="452"/>
        <v>0</v>
      </c>
      <c r="I484" s="1534">
        <f t="shared" si="453"/>
        <v>0.5</v>
      </c>
      <c r="J484" s="1519">
        <v>3104750</v>
      </c>
      <c r="K484" s="1519">
        <v>3104750</v>
      </c>
      <c r="N484" s="1519">
        <f t="shared" si="454"/>
        <v>0</v>
      </c>
      <c r="Q484" s="1557">
        <v>0</v>
      </c>
      <c r="R484" s="1519">
        <f t="shared" si="455"/>
        <v>3104750</v>
      </c>
      <c r="S484" s="1519">
        <f t="shared" si="456"/>
        <v>0</v>
      </c>
      <c r="T484" s="1519">
        <f t="shared" si="457"/>
        <v>0</v>
      </c>
      <c r="U484" s="1535">
        <f t="shared" si="458"/>
        <v>0</v>
      </c>
      <c r="V484" s="1537">
        <f t="shared" si="459"/>
        <v>0</v>
      </c>
      <c r="W484" s="1519">
        <f t="shared" si="460"/>
        <v>0</v>
      </c>
      <c r="X484" s="1537">
        <f t="shared" si="461"/>
        <v>0</v>
      </c>
      <c r="Y484" s="1537">
        <f t="shared" si="462"/>
        <v>0</v>
      </c>
      <c r="Z484" s="1537">
        <f t="shared" si="463"/>
        <v>0</v>
      </c>
      <c r="AA484" s="1537">
        <f t="shared" si="464"/>
        <v>0</v>
      </c>
      <c r="AB484" s="1537">
        <f t="shared" si="465"/>
        <v>0</v>
      </c>
      <c r="AC484" s="1537">
        <f t="shared" si="466"/>
        <v>0</v>
      </c>
      <c r="AD484" s="1537">
        <f t="shared" si="467"/>
        <v>0</v>
      </c>
      <c r="AE484" s="1537">
        <f t="shared" si="468"/>
        <v>0</v>
      </c>
      <c r="AF484" s="1536">
        <f t="shared" si="469"/>
        <v>0</v>
      </c>
      <c r="AH484" s="1537">
        <f t="shared" si="470"/>
        <v>0</v>
      </c>
      <c r="AI484" s="1537">
        <f t="shared" si="471"/>
        <v>0</v>
      </c>
      <c r="AJ484" s="1537">
        <f t="shared" si="472"/>
        <v>0</v>
      </c>
      <c r="AK484" s="1537">
        <f t="shared" si="473"/>
        <v>0</v>
      </c>
      <c r="AL484" s="1537">
        <f t="shared" si="474"/>
        <v>0</v>
      </c>
      <c r="AM484" s="1537">
        <f t="shared" si="475"/>
        <v>0</v>
      </c>
      <c r="AN484" s="1537">
        <f t="shared" si="476"/>
        <v>0</v>
      </c>
      <c r="AO484" s="1537">
        <f t="shared" si="477"/>
        <v>0</v>
      </c>
      <c r="AP484" s="1537">
        <f t="shared" si="478"/>
        <v>0</v>
      </c>
      <c r="AQ484" s="1537">
        <f t="shared" si="479"/>
        <v>0</v>
      </c>
      <c r="AR484" s="1537">
        <f t="shared" si="480"/>
        <v>0</v>
      </c>
    </row>
    <row r="485" spans="1:44" x14ac:dyDescent="0.3">
      <c r="C485" s="1498" t="s">
        <v>3656</v>
      </c>
      <c r="D485" s="1563" t="s">
        <v>3691</v>
      </c>
      <c r="E485" s="1518">
        <v>4</v>
      </c>
      <c r="F485" s="1518">
        <f t="shared" si="450"/>
        <v>-4</v>
      </c>
      <c r="G485" s="1532">
        <f t="shared" si="451"/>
        <v>0</v>
      </c>
      <c r="H485" s="1533">
        <f t="shared" si="452"/>
        <v>0</v>
      </c>
      <c r="I485" s="1534">
        <f t="shared" si="453"/>
        <v>0.25</v>
      </c>
      <c r="J485" s="1519">
        <v>3837000</v>
      </c>
      <c r="K485" s="1519">
        <v>3837000</v>
      </c>
      <c r="N485" s="1519">
        <f t="shared" si="454"/>
        <v>0</v>
      </c>
      <c r="Q485" s="1557">
        <v>0</v>
      </c>
      <c r="R485" s="1519">
        <f t="shared" si="455"/>
        <v>3837000</v>
      </c>
      <c r="S485" s="1519">
        <f t="shared" si="456"/>
        <v>0</v>
      </c>
      <c r="T485" s="1519">
        <f t="shared" si="457"/>
        <v>0</v>
      </c>
      <c r="U485" s="1535">
        <f t="shared" si="458"/>
        <v>0</v>
      </c>
      <c r="V485" s="1537">
        <f t="shared" si="459"/>
        <v>0</v>
      </c>
      <c r="W485" s="1519">
        <f t="shared" si="460"/>
        <v>0</v>
      </c>
      <c r="X485" s="1537">
        <f t="shared" si="461"/>
        <v>0</v>
      </c>
      <c r="Y485" s="1537">
        <f t="shared" si="462"/>
        <v>0</v>
      </c>
      <c r="Z485" s="1537">
        <f t="shared" si="463"/>
        <v>0</v>
      </c>
      <c r="AA485" s="1537">
        <f t="shared" si="464"/>
        <v>0</v>
      </c>
      <c r="AB485" s="1537">
        <f t="shared" si="465"/>
        <v>0</v>
      </c>
      <c r="AC485" s="1537">
        <f t="shared" si="466"/>
        <v>0</v>
      </c>
      <c r="AD485" s="1537">
        <f t="shared" si="467"/>
        <v>0</v>
      </c>
      <c r="AE485" s="1537">
        <f t="shared" si="468"/>
        <v>0</v>
      </c>
      <c r="AF485" s="1536">
        <f t="shared" si="469"/>
        <v>0</v>
      </c>
      <c r="AH485" s="1537">
        <f t="shared" si="470"/>
        <v>0</v>
      </c>
      <c r="AI485" s="1537">
        <f t="shared" si="471"/>
        <v>0</v>
      </c>
      <c r="AJ485" s="1537">
        <f t="shared" si="472"/>
        <v>0</v>
      </c>
      <c r="AK485" s="1537">
        <f t="shared" si="473"/>
        <v>0</v>
      </c>
      <c r="AL485" s="1537">
        <f t="shared" si="474"/>
        <v>0</v>
      </c>
      <c r="AM485" s="1537">
        <f t="shared" si="475"/>
        <v>0</v>
      </c>
      <c r="AN485" s="1537">
        <f t="shared" si="476"/>
        <v>0</v>
      </c>
      <c r="AO485" s="1537">
        <f t="shared" si="477"/>
        <v>0</v>
      </c>
      <c r="AP485" s="1537">
        <f t="shared" si="478"/>
        <v>0</v>
      </c>
      <c r="AQ485" s="1537">
        <f t="shared" si="479"/>
        <v>0</v>
      </c>
      <c r="AR485" s="1537">
        <f t="shared" si="480"/>
        <v>0</v>
      </c>
    </row>
    <row r="486" spans="1:44" x14ac:dyDescent="0.3">
      <c r="C486" s="1498" t="s">
        <v>3657</v>
      </c>
      <c r="D486" s="1563" t="s">
        <v>3692</v>
      </c>
      <c r="E486" s="1518">
        <v>4</v>
      </c>
      <c r="F486" s="1518">
        <f t="shared" si="450"/>
        <v>-4</v>
      </c>
      <c r="G486" s="1532">
        <f t="shared" si="451"/>
        <v>0</v>
      </c>
      <c r="H486" s="1533">
        <f t="shared" si="452"/>
        <v>0</v>
      </c>
      <c r="I486" s="1534">
        <f t="shared" si="453"/>
        <v>0.25</v>
      </c>
      <c r="J486" s="1519">
        <v>1585000</v>
      </c>
      <c r="K486" s="1519">
        <v>1585000</v>
      </c>
      <c r="N486" s="1519">
        <f t="shared" si="454"/>
        <v>0</v>
      </c>
      <c r="Q486" s="1557">
        <v>0</v>
      </c>
      <c r="R486" s="1519">
        <f t="shared" si="455"/>
        <v>1585000</v>
      </c>
      <c r="S486" s="1519">
        <f t="shared" si="456"/>
        <v>0</v>
      </c>
      <c r="T486" s="1519">
        <f t="shared" si="457"/>
        <v>0</v>
      </c>
      <c r="U486" s="1535">
        <f t="shared" si="458"/>
        <v>0</v>
      </c>
      <c r="V486" s="1537">
        <f t="shared" si="459"/>
        <v>0</v>
      </c>
      <c r="W486" s="1519">
        <f t="shared" si="460"/>
        <v>0</v>
      </c>
      <c r="X486" s="1537">
        <f t="shared" si="461"/>
        <v>0</v>
      </c>
      <c r="Y486" s="1537">
        <f t="shared" si="462"/>
        <v>0</v>
      </c>
      <c r="Z486" s="1537">
        <f t="shared" si="463"/>
        <v>0</v>
      </c>
      <c r="AA486" s="1537">
        <f t="shared" si="464"/>
        <v>0</v>
      </c>
      <c r="AB486" s="1537">
        <f t="shared" si="465"/>
        <v>0</v>
      </c>
      <c r="AC486" s="1537">
        <f t="shared" si="466"/>
        <v>0</v>
      </c>
      <c r="AD486" s="1537">
        <f t="shared" si="467"/>
        <v>0</v>
      </c>
      <c r="AE486" s="1537">
        <f t="shared" si="468"/>
        <v>0</v>
      </c>
      <c r="AF486" s="1536">
        <f t="shared" si="469"/>
        <v>0</v>
      </c>
      <c r="AH486" s="1537">
        <f t="shared" si="470"/>
        <v>0</v>
      </c>
      <c r="AI486" s="1537">
        <f t="shared" si="471"/>
        <v>0</v>
      </c>
      <c r="AJ486" s="1537">
        <f t="shared" si="472"/>
        <v>0</v>
      </c>
      <c r="AK486" s="1537">
        <f t="shared" si="473"/>
        <v>0</v>
      </c>
      <c r="AL486" s="1537">
        <f t="shared" si="474"/>
        <v>0</v>
      </c>
      <c r="AM486" s="1537">
        <f t="shared" si="475"/>
        <v>0</v>
      </c>
      <c r="AN486" s="1537">
        <f t="shared" si="476"/>
        <v>0</v>
      </c>
      <c r="AO486" s="1537">
        <f t="shared" si="477"/>
        <v>0</v>
      </c>
      <c r="AP486" s="1537">
        <f t="shared" si="478"/>
        <v>0</v>
      </c>
      <c r="AQ486" s="1537">
        <f t="shared" si="479"/>
        <v>0</v>
      </c>
      <c r="AR486" s="1537">
        <f t="shared" si="480"/>
        <v>0</v>
      </c>
    </row>
    <row r="487" spans="1:44" x14ac:dyDescent="0.3">
      <c r="C487" s="1498" t="s">
        <v>3658</v>
      </c>
      <c r="D487" s="1563" t="s">
        <v>3693</v>
      </c>
      <c r="E487" s="1518">
        <v>4</v>
      </c>
      <c r="F487" s="1518">
        <f t="shared" si="450"/>
        <v>-4</v>
      </c>
      <c r="G487" s="1532">
        <f t="shared" si="451"/>
        <v>0</v>
      </c>
      <c r="H487" s="1533">
        <f t="shared" si="452"/>
        <v>0</v>
      </c>
      <c r="I487" s="1534">
        <f t="shared" si="453"/>
        <v>0.25</v>
      </c>
      <c r="J487" s="1519">
        <v>1765400</v>
      </c>
      <c r="K487" s="1519">
        <v>1765400</v>
      </c>
      <c r="N487" s="1519">
        <f t="shared" si="454"/>
        <v>0</v>
      </c>
      <c r="Q487" s="1557">
        <v>0</v>
      </c>
      <c r="R487" s="1519">
        <f t="shared" si="455"/>
        <v>1765400</v>
      </c>
      <c r="S487" s="1519">
        <f t="shared" si="456"/>
        <v>0</v>
      </c>
      <c r="T487" s="1519">
        <f t="shared" si="457"/>
        <v>0</v>
      </c>
      <c r="U487" s="1535">
        <f t="shared" si="458"/>
        <v>0</v>
      </c>
      <c r="V487" s="1537">
        <f t="shared" si="459"/>
        <v>0</v>
      </c>
      <c r="W487" s="1519">
        <f t="shared" si="460"/>
        <v>0</v>
      </c>
      <c r="X487" s="1537">
        <f t="shared" si="461"/>
        <v>0</v>
      </c>
      <c r="Y487" s="1537">
        <f t="shared" si="462"/>
        <v>0</v>
      </c>
      <c r="Z487" s="1537">
        <f t="shared" si="463"/>
        <v>0</v>
      </c>
      <c r="AA487" s="1537">
        <f t="shared" si="464"/>
        <v>0</v>
      </c>
      <c r="AB487" s="1537">
        <f t="shared" si="465"/>
        <v>0</v>
      </c>
      <c r="AC487" s="1537">
        <f t="shared" si="466"/>
        <v>0</v>
      </c>
      <c r="AD487" s="1537">
        <f t="shared" si="467"/>
        <v>0</v>
      </c>
      <c r="AE487" s="1537">
        <f t="shared" si="468"/>
        <v>0</v>
      </c>
      <c r="AF487" s="1536">
        <f t="shared" si="469"/>
        <v>0</v>
      </c>
      <c r="AH487" s="1537">
        <f t="shared" si="470"/>
        <v>0</v>
      </c>
      <c r="AI487" s="1537">
        <f t="shared" si="471"/>
        <v>0</v>
      </c>
      <c r="AJ487" s="1537">
        <f t="shared" si="472"/>
        <v>0</v>
      </c>
      <c r="AK487" s="1537">
        <f t="shared" si="473"/>
        <v>0</v>
      </c>
      <c r="AL487" s="1537">
        <f t="shared" si="474"/>
        <v>0</v>
      </c>
      <c r="AM487" s="1537">
        <f t="shared" si="475"/>
        <v>0</v>
      </c>
      <c r="AN487" s="1537">
        <f t="shared" si="476"/>
        <v>0</v>
      </c>
      <c r="AO487" s="1537">
        <f t="shared" si="477"/>
        <v>0</v>
      </c>
      <c r="AP487" s="1537">
        <f t="shared" si="478"/>
        <v>0</v>
      </c>
      <c r="AQ487" s="1537">
        <f t="shared" si="479"/>
        <v>0</v>
      </c>
      <c r="AR487" s="1537">
        <f t="shared" si="480"/>
        <v>0</v>
      </c>
    </row>
    <row r="488" spans="1:44" x14ac:dyDescent="0.3">
      <c r="C488" s="1498" t="s">
        <v>3659</v>
      </c>
      <c r="D488" s="1563" t="s">
        <v>3694</v>
      </c>
      <c r="E488" s="1518">
        <v>4</v>
      </c>
      <c r="F488" s="1518">
        <f t="shared" si="450"/>
        <v>-4</v>
      </c>
      <c r="G488" s="1532">
        <f t="shared" si="451"/>
        <v>0</v>
      </c>
      <c r="H488" s="1533">
        <f t="shared" si="452"/>
        <v>0</v>
      </c>
      <c r="I488" s="1534">
        <f t="shared" si="453"/>
        <v>0.25</v>
      </c>
      <c r="J488" s="1519">
        <v>10000000</v>
      </c>
      <c r="K488" s="1519">
        <v>10000000</v>
      </c>
      <c r="N488" s="1519">
        <f t="shared" si="454"/>
        <v>0</v>
      </c>
      <c r="Q488" s="1557">
        <v>0</v>
      </c>
      <c r="R488" s="1519">
        <f t="shared" si="455"/>
        <v>10000000</v>
      </c>
      <c r="S488" s="1519">
        <f t="shared" si="456"/>
        <v>0</v>
      </c>
      <c r="T488" s="1519">
        <f t="shared" si="457"/>
        <v>0</v>
      </c>
      <c r="U488" s="1535">
        <f t="shared" si="458"/>
        <v>0</v>
      </c>
      <c r="V488" s="1537">
        <f t="shared" si="459"/>
        <v>0</v>
      </c>
      <c r="W488" s="1519">
        <f t="shared" si="460"/>
        <v>0</v>
      </c>
      <c r="X488" s="1537">
        <f t="shared" si="461"/>
        <v>0</v>
      </c>
      <c r="Y488" s="1537">
        <f t="shared" si="462"/>
        <v>0</v>
      </c>
      <c r="Z488" s="1537">
        <f t="shared" si="463"/>
        <v>0</v>
      </c>
      <c r="AA488" s="1537">
        <f t="shared" si="464"/>
        <v>0</v>
      </c>
      <c r="AB488" s="1537">
        <f t="shared" si="465"/>
        <v>0</v>
      </c>
      <c r="AC488" s="1537">
        <f t="shared" si="466"/>
        <v>0</v>
      </c>
      <c r="AD488" s="1537">
        <f t="shared" si="467"/>
        <v>0</v>
      </c>
      <c r="AE488" s="1537">
        <f t="shared" si="468"/>
        <v>0</v>
      </c>
      <c r="AF488" s="1536">
        <f t="shared" si="469"/>
        <v>0</v>
      </c>
      <c r="AH488" s="1537">
        <f t="shared" si="470"/>
        <v>0</v>
      </c>
      <c r="AI488" s="1537">
        <f t="shared" si="471"/>
        <v>0</v>
      </c>
      <c r="AJ488" s="1537">
        <f t="shared" si="472"/>
        <v>0</v>
      </c>
      <c r="AK488" s="1537">
        <f t="shared" si="473"/>
        <v>0</v>
      </c>
      <c r="AL488" s="1537">
        <f t="shared" si="474"/>
        <v>0</v>
      </c>
      <c r="AM488" s="1537">
        <f t="shared" si="475"/>
        <v>0</v>
      </c>
      <c r="AN488" s="1537">
        <f t="shared" si="476"/>
        <v>0</v>
      </c>
      <c r="AO488" s="1537">
        <f t="shared" si="477"/>
        <v>0</v>
      </c>
      <c r="AP488" s="1537">
        <f t="shared" si="478"/>
        <v>0</v>
      </c>
      <c r="AQ488" s="1537">
        <f t="shared" si="479"/>
        <v>0</v>
      </c>
      <c r="AR488" s="1537">
        <f t="shared" si="480"/>
        <v>0</v>
      </c>
    </row>
    <row r="489" spans="1:44" x14ac:dyDescent="0.3">
      <c r="C489" s="1498" t="s">
        <v>3660</v>
      </c>
      <c r="D489" s="1563" t="s">
        <v>3695</v>
      </c>
      <c r="E489" s="1518">
        <v>4</v>
      </c>
      <c r="F489" s="1518">
        <f t="shared" si="450"/>
        <v>-4</v>
      </c>
      <c r="G489" s="1532">
        <f t="shared" si="451"/>
        <v>0</v>
      </c>
      <c r="H489" s="1533">
        <f t="shared" si="452"/>
        <v>0</v>
      </c>
      <c r="I489" s="1534">
        <f t="shared" si="453"/>
        <v>0.25</v>
      </c>
      <c r="J489" s="1519">
        <v>2879000</v>
      </c>
      <c r="K489" s="1519">
        <v>2879000</v>
      </c>
      <c r="N489" s="1519">
        <f t="shared" si="454"/>
        <v>0</v>
      </c>
      <c r="Q489" s="1557">
        <v>0</v>
      </c>
      <c r="R489" s="1519">
        <f t="shared" si="455"/>
        <v>2879000</v>
      </c>
      <c r="S489" s="1519">
        <f t="shared" si="456"/>
        <v>0</v>
      </c>
      <c r="T489" s="1519">
        <f t="shared" si="457"/>
        <v>0</v>
      </c>
      <c r="U489" s="1535">
        <f t="shared" si="458"/>
        <v>0</v>
      </c>
      <c r="V489" s="1537">
        <f t="shared" si="459"/>
        <v>0</v>
      </c>
      <c r="W489" s="1519">
        <f t="shared" si="460"/>
        <v>0</v>
      </c>
      <c r="X489" s="1537">
        <f t="shared" si="461"/>
        <v>0</v>
      </c>
      <c r="Y489" s="1537">
        <f t="shared" si="462"/>
        <v>0</v>
      </c>
      <c r="Z489" s="1537">
        <f t="shared" si="463"/>
        <v>0</v>
      </c>
      <c r="AA489" s="1537">
        <f t="shared" si="464"/>
        <v>0</v>
      </c>
      <c r="AB489" s="1537">
        <f t="shared" si="465"/>
        <v>0</v>
      </c>
      <c r="AC489" s="1537">
        <f t="shared" si="466"/>
        <v>0</v>
      </c>
      <c r="AD489" s="1537">
        <f t="shared" si="467"/>
        <v>0</v>
      </c>
      <c r="AE489" s="1537">
        <f t="shared" si="468"/>
        <v>0</v>
      </c>
      <c r="AF489" s="1536">
        <f t="shared" si="469"/>
        <v>0</v>
      </c>
      <c r="AH489" s="1537">
        <f t="shared" si="470"/>
        <v>0</v>
      </c>
      <c r="AI489" s="1537">
        <f t="shared" si="471"/>
        <v>0</v>
      </c>
      <c r="AJ489" s="1537">
        <f t="shared" si="472"/>
        <v>0</v>
      </c>
      <c r="AK489" s="1537">
        <f t="shared" si="473"/>
        <v>0</v>
      </c>
      <c r="AL489" s="1537">
        <f t="shared" si="474"/>
        <v>0</v>
      </c>
      <c r="AM489" s="1537">
        <f t="shared" si="475"/>
        <v>0</v>
      </c>
      <c r="AN489" s="1537">
        <f t="shared" si="476"/>
        <v>0</v>
      </c>
      <c r="AO489" s="1537">
        <f t="shared" si="477"/>
        <v>0</v>
      </c>
      <c r="AP489" s="1537">
        <f t="shared" si="478"/>
        <v>0</v>
      </c>
      <c r="AQ489" s="1537">
        <f t="shared" si="479"/>
        <v>0</v>
      </c>
      <c r="AR489" s="1537">
        <f t="shared" si="480"/>
        <v>0</v>
      </c>
    </row>
    <row r="490" spans="1:44" x14ac:dyDescent="0.3">
      <c r="C490" s="1498" t="s">
        <v>3661</v>
      </c>
      <c r="D490" s="1563" t="s">
        <v>3696</v>
      </c>
      <c r="E490" s="1518">
        <v>4</v>
      </c>
      <c r="F490" s="1518">
        <f t="shared" si="450"/>
        <v>-4</v>
      </c>
      <c r="G490" s="1532">
        <f t="shared" si="451"/>
        <v>0</v>
      </c>
      <c r="H490" s="1533">
        <f t="shared" si="452"/>
        <v>0</v>
      </c>
      <c r="I490" s="1534">
        <f t="shared" si="453"/>
        <v>0.25</v>
      </c>
      <c r="J490" s="1519">
        <v>50171400</v>
      </c>
      <c r="K490" s="1519">
        <v>50171400</v>
      </c>
      <c r="N490" s="1519">
        <f t="shared" si="454"/>
        <v>0</v>
      </c>
      <c r="Q490" s="1557">
        <v>0</v>
      </c>
      <c r="R490" s="1519">
        <f t="shared" si="455"/>
        <v>50171400</v>
      </c>
      <c r="S490" s="1519">
        <f t="shared" si="456"/>
        <v>0</v>
      </c>
      <c r="T490" s="1519">
        <f t="shared" si="457"/>
        <v>0</v>
      </c>
      <c r="U490" s="1535">
        <f t="shared" si="458"/>
        <v>0</v>
      </c>
      <c r="V490" s="1537">
        <f t="shared" si="459"/>
        <v>0</v>
      </c>
      <c r="W490" s="1519">
        <f t="shared" si="460"/>
        <v>0</v>
      </c>
      <c r="X490" s="1537">
        <f t="shared" si="461"/>
        <v>0</v>
      </c>
      <c r="Y490" s="1537">
        <f t="shared" si="462"/>
        <v>0</v>
      </c>
      <c r="Z490" s="1537">
        <f t="shared" si="463"/>
        <v>0</v>
      </c>
      <c r="AA490" s="1537">
        <f t="shared" si="464"/>
        <v>0</v>
      </c>
      <c r="AB490" s="1537">
        <f t="shared" si="465"/>
        <v>0</v>
      </c>
      <c r="AC490" s="1537">
        <f t="shared" si="466"/>
        <v>0</v>
      </c>
      <c r="AD490" s="1537">
        <f t="shared" si="467"/>
        <v>0</v>
      </c>
      <c r="AE490" s="1537">
        <f t="shared" si="468"/>
        <v>0</v>
      </c>
      <c r="AF490" s="1536">
        <f t="shared" si="469"/>
        <v>0</v>
      </c>
      <c r="AH490" s="1537">
        <f t="shared" si="470"/>
        <v>0</v>
      </c>
      <c r="AI490" s="1537">
        <f t="shared" si="471"/>
        <v>0</v>
      </c>
      <c r="AJ490" s="1537">
        <f t="shared" si="472"/>
        <v>0</v>
      </c>
      <c r="AK490" s="1537">
        <f t="shared" si="473"/>
        <v>0</v>
      </c>
      <c r="AL490" s="1537">
        <f t="shared" si="474"/>
        <v>0</v>
      </c>
      <c r="AM490" s="1537">
        <f t="shared" si="475"/>
        <v>0</v>
      </c>
      <c r="AN490" s="1537">
        <f t="shared" si="476"/>
        <v>0</v>
      </c>
      <c r="AO490" s="1537">
        <f t="shared" si="477"/>
        <v>0</v>
      </c>
      <c r="AP490" s="1537">
        <f t="shared" si="478"/>
        <v>0</v>
      </c>
      <c r="AQ490" s="1537">
        <f t="shared" si="479"/>
        <v>0</v>
      </c>
      <c r="AR490" s="1537">
        <f t="shared" si="480"/>
        <v>0</v>
      </c>
    </row>
    <row r="491" spans="1:44" x14ac:dyDescent="0.3">
      <c r="C491" s="1498" t="s">
        <v>3662</v>
      </c>
      <c r="D491" s="1563" t="s">
        <v>3697</v>
      </c>
      <c r="E491" s="1518">
        <v>4</v>
      </c>
      <c r="F491" s="1518">
        <f t="shared" si="450"/>
        <v>-3</v>
      </c>
      <c r="G491" s="1532">
        <f t="shared" si="451"/>
        <v>0</v>
      </c>
      <c r="H491" s="1533">
        <f t="shared" si="452"/>
        <v>0</v>
      </c>
      <c r="I491" s="1534">
        <f t="shared" si="453"/>
        <v>0.25</v>
      </c>
      <c r="J491" s="1519">
        <v>2710000</v>
      </c>
      <c r="K491" s="1519">
        <v>2710000</v>
      </c>
      <c r="N491" s="1519">
        <f t="shared" si="454"/>
        <v>0</v>
      </c>
      <c r="Q491" s="1557">
        <v>0</v>
      </c>
      <c r="R491" s="1519">
        <f t="shared" si="455"/>
        <v>2710000</v>
      </c>
      <c r="S491" s="1519">
        <f t="shared" si="456"/>
        <v>0</v>
      </c>
      <c r="T491" s="1519">
        <f t="shared" si="457"/>
        <v>0</v>
      </c>
      <c r="U491" s="1535">
        <f t="shared" si="458"/>
        <v>0</v>
      </c>
      <c r="V491" s="1537">
        <f t="shared" si="459"/>
        <v>0</v>
      </c>
      <c r="W491" s="1519">
        <f t="shared" si="460"/>
        <v>0</v>
      </c>
      <c r="X491" s="1537">
        <f t="shared" si="461"/>
        <v>0</v>
      </c>
      <c r="Y491" s="1537">
        <f t="shared" si="462"/>
        <v>0</v>
      </c>
      <c r="Z491" s="1537">
        <f t="shared" si="463"/>
        <v>0</v>
      </c>
      <c r="AA491" s="1537">
        <f t="shared" si="464"/>
        <v>0</v>
      </c>
      <c r="AB491" s="1537">
        <f t="shared" si="465"/>
        <v>0</v>
      </c>
      <c r="AC491" s="1537">
        <f t="shared" si="466"/>
        <v>0</v>
      </c>
      <c r="AD491" s="1537">
        <f t="shared" si="467"/>
        <v>0</v>
      </c>
      <c r="AE491" s="1537">
        <f t="shared" si="468"/>
        <v>0</v>
      </c>
      <c r="AF491" s="1536">
        <f t="shared" si="469"/>
        <v>0</v>
      </c>
      <c r="AH491" s="1537">
        <f t="shared" si="470"/>
        <v>0</v>
      </c>
      <c r="AI491" s="1537">
        <f t="shared" si="471"/>
        <v>0</v>
      </c>
      <c r="AJ491" s="1537">
        <f t="shared" si="472"/>
        <v>0</v>
      </c>
      <c r="AK491" s="1537">
        <f t="shared" si="473"/>
        <v>0</v>
      </c>
      <c r="AL491" s="1537">
        <f t="shared" si="474"/>
        <v>0</v>
      </c>
      <c r="AM491" s="1537">
        <f t="shared" si="475"/>
        <v>0</v>
      </c>
      <c r="AN491" s="1537">
        <f t="shared" si="476"/>
        <v>0</v>
      </c>
      <c r="AO491" s="1537">
        <f t="shared" si="477"/>
        <v>0</v>
      </c>
      <c r="AP491" s="1537">
        <f t="shared" si="478"/>
        <v>0</v>
      </c>
      <c r="AQ491" s="1537">
        <f t="shared" si="479"/>
        <v>0</v>
      </c>
      <c r="AR491" s="1537">
        <f t="shared" si="480"/>
        <v>0</v>
      </c>
    </row>
    <row r="492" spans="1:44" x14ac:dyDescent="0.3">
      <c r="C492" s="1498" t="s">
        <v>3663</v>
      </c>
      <c r="D492" s="1563" t="s">
        <v>3698</v>
      </c>
      <c r="E492" s="1518">
        <v>4</v>
      </c>
      <c r="F492" s="1518">
        <f t="shared" si="450"/>
        <v>-3</v>
      </c>
      <c r="G492" s="1532">
        <f t="shared" si="451"/>
        <v>0</v>
      </c>
      <c r="H492" s="1533">
        <f t="shared" si="452"/>
        <v>0</v>
      </c>
      <c r="I492" s="1534">
        <f t="shared" si="453"/>
        <v>0.25</v>
      </c>
      <c r="J492" s="1519">
        <v>5300000</v>
      </c>
      <c r="K492" s="1519">
        <v>5300000</v>
      </c>
      <c r="N492" s="1519">
        <f t="shared" si="454"/>
        <v>0</v>
      </c>
      <c r="Q492" s="1557">
        <v>0</v>
      </c>
      <c r="R492" s="1519">
        <f t="shared" si="455"/>
        <v>5300000</v>
      </c>
      <c r="S492" s="1519">
        <f t="shared" si="456"/>
        <v>0</v>
      </c>
      <c r="T492" s="1519">
        <f t="shared" si="457"/>
        <v>0</v>
      </c>
      <c r="U492" s="1535">
        <f t="shared" si="458"/>
        <v>0</v>
      </c>
      <c r="V492" s="1537">
        <f t="shared" si="459"/>
        <v>0</v>
      </c>
      <c r="W492" s="1519">
        <f t="shared" si="460"/>
        <v>0</v>
      </c>
      <c r="X492" s="1537">
        <f t="shared" si="461"/>
        <v>0</v>
      </c>
      <c r="Y492" s="1537">
        <f t="shared" si="462"/>
        <v>0</v>
      </c>
      <c r="Z492" s="1537">
        <f t="shared" si="463"/>
        <v>0</v>
      </c>
      <c r="AA492" s="1537">
        <f t="shared" si="464"/>
        <v>0</v>
      </c>
      <c r="AB492" s="1537">
        <f t="shared" si="465"/>
        <v>0</v>
      </c>
      <c r="AC492" s="1537">
        <f t="shared" si="466"/>
        <v>0</v>
      </c>
      <c r="AD492" s="1537">
        <f t="shared" si="467"/>
        <v>0</v>
      </c>
      <c r="AE492" s="1537">
        <f t="shared" si="468"/>
        <v>0</v>
      </c>
      <c r="AF492" s="1536">
        <f t="shared" si="469"/>
        <v>0</v>
      </c>
      <c r="AH492" s="1537">
        <f t="shared" si="470"/>
        <v>0</v>
      </c>
      <c r="AI492" s="1537">
        <f t="shared" si="471"/>
        <v>0</v>
      </c>
      <c r="AJ492" s="1537">
        <f t="shared" si="472"/>
        <v>0</v>
      </c>
      <c r="AK492" s="1537">
        <f t="shared" si="473"/>
        <v>0</v>
      </c>
      <c r="AL492" s="1537">
        <f t="shared" si="474"/>
        <v>0</v>
      </c>
      <c r="AM492" s="1537">
        <f t="shared" si="475"/>
        <v>0</v>
      </c>
      <c r="AN492" s="1537">
        <f t="shared" si="476"/>
        <v>0</v>
      </c>
      <c r="AO492" s="1537">
        <f t="shared" si="477"/>
        <v>0</v>
      </c>
      <c r="AP492" s="1537">
        <f t="shared" si="478"/>
        <v>0</v>
      </c>
      <c r="AQ492" s="1537">
        <f t="shared" si="479"/>
        <v>0</v>
      </c>
      <c r="AR492" s="1537">
        <f t="shared" si="480"/>
        <v>0</v>
      </c>
    </row>
    <row r="493" spans="1:44" x14ac:dyDescent="0.3">
      <c r="A493" s="1498" t="s">
        <v>3796</v>
      </c>
      <c r="C493" s="1498" t="s">
        <v>3664</v>
      </c>
      <c r="D493" s="1563" t="s">
        <v>3006</v>
      </c>
      <c r="E493" s="1518">
        <v>4</v>
      </c>
      <c r="F493" s="1518">
        <f t="shared" si="450"/>
        <v>-3</v>
      </c>
      <c r="G493" s="1532">
        <f t="shared" si="451"/>
        <v>0</v>
      </c>
      <c r="H493" s="1533">
        <f t="shared" si="452"/>
        <v>0</v>
      </c>
      <c r="I493" s="1534">
        <f t="shared" si="453"/>
        <v>0.25</v>
      </c>
      <c r="J493" s="1519">
        <v>4600000</v>
      </c>
      <c r="K493" s="1519">
        <v>4600000</v>
      </c>
      <c r="N493" s="1519">
        <f t="shared" si="454"/>
        <v>0</v>
      </c>
      <c r="Q493" s="1557">
        <v>0</v>
      </c>
      <c r="R493" s="1519">
        <f t="shared" si="455"/>
        <v>4600000</v>
      </c>
      <c r="S493" s="1519">
        <f t="shared" si="456"/>
        <v>0</v>
      </c>
      <c r="T493" s="1519">
        <f t="shared" si="457"/>
        <v>0</v>
      </c>
      <c r="U493" s="1535">
        <f t="shared" si="458"/>
        <v>0</v>
      </c>
      <c r="V493" s="1537">
        <f t="shared" si="459"/>
        <v>0</v>
      </c>
      <c r="W493" s="1519">
        <f t="shared" si="460"/>
        <v>0</v>
      </c>
      <c r="X493" s="1537">
        <f t="shared" si="461"/>
        <v>0</v>
      </c>
      <c r="Y493" s="1537">
        <f t="shared" si="462"/>
        <v>0</v>
      </c>
      <c r="Z493" s="1537">
        <f t="shared" si="463"/>
        <v>0</v>
      </c>
      <c r="AA493" s="1537">
        <f t="shared" si="464"/>
        <v>0</v>
      </c>
      <c r="AB493" s="1537">
        <f t="shared" si="465"/>
        <v>0</v>
      </c>
      <c r="AC493" s="1537">
        <f t="shared" si="466"/>
        <v>0</v>
      </c>
      <c r="AD493" s="1537">
        <f t="shared" si="467"/>
        <v>0</v>
      </c>
      <c r="AE493" s="1537">
        <f t="shared" si="468"/>
        <v>0</v>
      </c>
      <c r="AF493" s="1536">
        <f t="shared" si="469"/>
        <v>0</v>
      </c>
      <c r="AH493" s="1537">
        <f t="shared" si="470"/>
        <v>0</v>
      </c>
      <c r="AI493" s="1537">
        <f t="shared" si="471"/>
        <v>0</v>
      </c>
      <c r="AJ493" s="1537">
        <f t="shared" si="472"/>
        <v>0</v>
      </c>
      <c r="AK493" s="1537">
        <f t="shared" si="473"/>
        <v>0</v>
      </c>
      <c r="AL493" s="1537">
        <f t="shared" si="474"/>
        <v>0</v>
      </c>
      <c r="AM493" s="1537">
        <f t="shared" si="475"/>
        <v>0</v>
      </c>
      <c r="AN493" s="1537">
        <f t="shared" si="476"/>
        <v>0</v>
      </c>
      <c r="AO493" s="1537">
        <f t="shared" si="477"/>
        <v>0</v>
      </c>
      <c r="AP493" s="1537">
        <f t="shared" si="478"/>
        <v>0</v>
      </c>
      <c r="AQ493" s="1537">
        <f t="shared" si="479"/>
        <v>0</v>
      </c>
      <c r="AR493" s="1537">
        <f t="shared" si="480"/>
        <v>0</v>
      </c>
    </row>
    <row r="494" spans="1:44" x14ac:dyDescent="0.3">
      <c r="A494" s="1498" t="s">
        <v>3796</v>
      </c>
      <c r="C494" s="1498" t="s">
        <v>3665</v>
      </c>
      <c r="D494" s="1563" t="s">
        <v>3006</v>
      </c>
      <c r="E494" s="1518">
        <v>4</v>
      </c>
      <c r="F494" s="1518">
        <f t="shared" si="450"/>
        <v>-3</v>
      </c>
      <c r="G494" s="1532">
        <f t="shared" si="451"/>
        <v>0</v>
      </c>
      <c r="H494" s="1533">
        <f t="shared" si="452"/>
        <v>0</v>
      </c>
      <c r="I494" s="1534">
        <f t="shared" si="453"/>
        <v>0.25</v>
      </c>
      <c r="J494" s="1519">
        <v>3300000</v>
      </c>
      <c r="K494" s="1519">
        <v>3300000</v>
      </c>
      <c r="N494" s="1519">
        <f t="shared" si="454"/>
        <v>0</v>
      </c>
      <c r="Q494" s="1557">
        <v>0</v>
      </c>
      <c r="R494" s="1519">
        <f t="shared" si="455"/>
        <v>3300000</v>
      </c>
      <c r="S494" s="1519">
        <f t="shared" si="456"/>
        <v>0</v>
      </c>
      <c r="T494" s="1519">
        <f t="shared" si="457"/>
        <v>0</v>
      </c>
      <c r="U494" s="1535">
        <f t="shared" si="458"/>
        <v>0</v>
      </c>
      <c r="V494" s="1537">
        <f t="shared" si="459"/>
        <v>0</v>
      </c>
      <c r="W494" s="1519">
        <f t="shared" si="460"/>
        <v>0</v>
      </c>
      <c r="X494" s="1537">
        <f t="shared" si="461"/>
        <v>0</v>
      </c>
      <c r="Y494" s="1537">
        <f t="shared" si="462"/>
        <v>0</v>
      </c>
      <c r="Z494" s="1537">
        <f t="shared" si="463"/>
        <v>0</v>
      </c>
      <c r="AA494" s="1537">
        <f t="shared" si="464"/>
        <v>0</v>
      </c>
      <c r="AB494" s="1537">
        <f t="shared" si="465"/>
        <v>0</v>
      </c>
      <c r="AC494" s="1537">
        <f t="shared" si="466"/>
        <v>0</v>
      </c>
      <c r="AD494" s="1537">
        <f t="shared" si="467"/>
        <v>0</v>
      </c>
      <c r="AE494" s="1537">
        <f t="shared" si="468"/>
        <v>0</v>
      </c>
      <c r="AF494" s="1536">
        <f t="shared" si="469"/>
        <v>0</v>
      </c>
      <c r="AH494" s="1537">
        <f t="shared" si="470"/>
        <v>0</v>
      </c>
      <c r="AI494" s="1537">
        <f t="shared" si="471"/>
        <v>0</v>
      </c>
      <c r="AJ494" s="1537">
        <f t="shared" si="472"/>
        <v>0</v>
      </c>
      <c r="AK494" s="1537">
        <f t="shared" si="473"/>
        <v>0</v>
      </c>
      <c r="AL494" s="1537">
        <f t="shared" si="474"/>
        <v>0</v>
      </c>
      <c r="AM494" s="1537">
        <f t="shared" si="475"/>
        <v>0</v>
      </c>
      <c r="AN494" s="1537">
        <f t="shared" si="476"/>
        <v>0</v>
      </c>
      <c r="AO494" s="1537">
        <f t="shared" si="477"/>
        <v>0</v>
      </c>
      <c r="AP494" s="1537">
        <f t="shared" si="478"/>
        <v>0</v>
      </c>
      <c r="AQ494" s="1537">
        <f t="shared" si="479"/>
        <v>0</v>
      </c>
      <c r="AR494" s="1537">
        <f t="shared" si="480"/>
        <v>0</v>
      </c>
    </row>
    <row r="495" spans="1:44" x14ac:dyDescent="0.3">
      <c r="A495" s="1498" t="s">
        <v>3796</v>
      </c>
      <c r="C495" s="1498" t="s">
        <v>3666</v>
      </c>
      <c r="D495" s="1563" t="s">
        <v>3699</v>
      </c>
      <c r="E495" s="1518">
        <v>4</v>
      </c>
      <c r="F495" s="1518">
        <f t="shared" si="450"/>
        <v>-3</v>
      </c>
      <c r="G495" s="1532">
        <f t="shared" si="451"/>
        <v>0</v>
      </c>
      <c r="H495" s="1533">
        <f t="shared" si="452"/>
        <v>0</v>
      </c>
      <c r="I495" s="1534">
        <f t="shared" si="453"/>
        <v>0.25</v>
      </c>
      <c r="J495" s="1519">
        <v>6800000</v>
      </c>
      <c r="K495" s="1519">
        <v>6800000</v>
      </c>
      <c r="N495" s="1519">
        <f t="shared" si="454"/>
        <v>0</v>
      </c>
      <c r="Q495" s="1557">
        <v>0</v>
      </c>
      <c r="R495" s="1519">
        <f t="shared" si="455"/>
        <v>6800000</v>
      </c>
      <c r="S495" s="1519">
        <f t="shared" si="456"/>
        <v>0</v>
      </c>
      <c r="T495" s="1519">
        <f t="shared" si="457"/>
        <v>0</v>
      </c>
      <c r="U495" s="1535">
        <f t="shared" si="458"/>
        <v>0</v>
      </c>
      <c r="V495" s="1537">
        <f t="shared" si="459"/>
        <v>0</v>
      </c>
      <c r="W495" s="1519">
        <f t="shared" si="460"/>
        <v>0</v>
      </c>
      <c r="X495" s="1537">
        <f t="shared" si="461"/>
        <v>0</v>
      </c>
      <c r="Y495" s="1537">
        <f t="shared" si="462"/>
        <v>0</v>
      </c>
      <c r="Z495" s="1537">
        <f t="shared" si="463"/>
        <v>0</v>
      </c>
      <c r="AA495" s="1537">
        <f t="shared" si="464"/>
        <v>0</v>
      </c>
      <c r="AB495" s="1537">
        <f t="shared" si="465"/>
        <v>0</v>
      </c>
      <c r="AC495" s="1537">
        <f t="shared" si="466"/>
        <v>0</v>
      </c>
      <c r="AD495" s="1537">
        <f t="shared" si="467"/>
        <v>0</v>
      </c>
      <c r="AE495" s="1537">
        <f t="shared" si="468"/>
        <v>0</v>
      </c>
      <c r="AF495" s="1536">
        <f t="shared" si="469"/>
        <v>0</v>
      </c>
      <c r="AH495" s="1537">
        <f t="shared" si="470"/>
        <v>0</v>
      </c>
      <c r="AI495" s="1537">
        <f t="shared" si="471"/>
        <v>0</v>
      </c>
      <c r="AJ495" s="1537">
        <f t="shared" si="472"/>
        <v>0</v>
      </c>
      <c r="AK495" s="1537">
        <f t="shared" si="473"/>
        <v>0</v>
      </c>
      <c r="AL495" s="1537">
        <f t="shared" si="474"/>
        <v>0</v>
      </c>
      <c r="AM495" s="1537">
        <f t="shared" si="475"/>
        <v>0</v>
      </c>
      <c r="AN495" s="1537">
        <f t="shared" si="476"/>
        <v>0</v>
      </c>
      <c r="AO495" s="1537">
        <f t="shared" si="477"/>
        <v>0</v>
      </c>
      <c r="AP495" s="1537">
        <f t="shared" si="478"/>
        <v>0</v>
      </c>
      <c r="AQ495" s="1537">
        <f t="shared" si="479"/>
        <v>0</v>
      </c>
      <c r="AR495" s="1537">
        <f t="shared" si="480"/>
        <v>0</v>
      </c>
    </row>
    <row r="496" spans="1:44" x14ac:dyDescent="0.3">
      <c r="C496" s="1498" t="s">
        <v>3667</v>
      </c>
      <c r="D496" s="1563" t="s">
        <v>3010</v>
      </c>
      <c r="E496" s="1518">
        <v>4</v>
      </c>
      <c r="F496" s="1518">
        <f t="shared" si="450"/>
        <v>-3</v>
      </c>
      <c r="G496" s="1532">
        <f t="shared" si="451"/>
        <v>0</v>
      </c>
      <c r="H496" s="1533">
        <f t="shared" si="452"/>
        <v>0</v>
      </c>
      <c r="I496" s="1534">
        <f t="shared" si="453"/>
        <v>0.25</v>
      </c>
      <c r="J496" s="1519">
        <v>34915000</v>
      </c>
      <c r="K496" s="1519">
        <v>34915000</v>
      </c>
      <c r="N496" s="1519">
        <f t="shared" si="454"/>
        <v>0</v>
      </c>
      <c r="Q496" s="1557">
        <v>0</v>
      </c>
      <c r="R496" s="1519">
        <f t="shared" si="455"/>
        <v>34915000</v>
      </c>
      <c r="S496" s="1519">
        <f t="shared" si="456"/>
        <v>0</v>
      </c>
      <c r="T496" s="1519">
        <f t="shared" si="457"/>
        <v>0</v>
      </c>
      <c r="U496" s="1535">
        <f t="shared" si="458"/>
        <v>0</v>
      </c>
      <c r="V496" s="1537">
        <f t="shared" si="459"/>
        <v>0</v>
      </c>
      <c r="W496" s="1519">
        <f t="shared" si="460"/>
        <v>0</v>
      </c>
      <c r="X496" s="1537">
        <f t="shared" si="461"/>
        <v>0</v>
      </c>
      <c r="Y496" s="1537">
        <f t="shared" si="462"/>
        <v>0</v>
      </c>
      <c r="Z496" s="1537">
        <f t="shared" si="463"/>
        <v>0</v>
      </c>
      <c r="AA496" s="1537">
        <f t="shared" si="464"/>
        <v>0</v>
      </c>
      <c r="AB496" s="1537">
        <f t="shared" si="465"/>
        <v>0</v>
      </c>
      <c r="AC496" s="1537">
        <f t="shared" si="466"/>
        <v>0</v>
      </c>
      <c r="AD496" s="1537">
        <f t="shared" si="467"/>
        <v>0</v>
      </c>
      <c r="AE496" s="1537">
        <f t="shared" si="468"/>
        <v>0</v>
      </c>
      <c r="AF496" s="1536">
        <f t="shared" si="469"/>
        <v>0</v>
      </c>
      <c r="AH496" s="1537">
        <f t="shared" si="470"/>
        <v>0</v>
      </c>
      <c r="AI496" s="1537">
        <f t="shared" si="471"/>
        <v>0</v>
      </c>
      <c r="AJ496" s="1537">
        <f t="shared" si="472"/>
        <v>0</v>
      </c>
      <c r="AK496" s="1537">
        <f t="shared" si="473"/>
        <v>0</v>
      </c>
      <c r="AL496" s="1537">
        <f t="shared" si="474"/>
        <v>0</v>
      </c>
      <c r="AM496" s="1537">
        <f t="shared" si="475"/>
        <v>0</v>
      </c>
      <c r="AN496" s="1537">
        <f t="shared" si="476"/>
        <v>0</v>
      </c>
      <c r="AO496" s="1537">
        <f t="shared" si="477"/>
        <v>0</v>
      </c>
      <c r="AP496" s="1537">
        <f t="shared" si="478"/>
        <v>0</v>
      </c>
      <c r="AQ496" s="1537">
        <f t="shared" si="479"/>
        <v>0</v>
      </c>
      <c r="AR496" s="1537">
        <f t="shared" si="480"/>
        <v>0</v>
      </c>
    </row>
    <row r="497" spans="1:44" x14ac:dyDescent="0.3">
      <c r="A497" s="1498" t="s">
        <v>3796</v>
      </c>
      <c r="C497" s="1498" t="s">
        <v>3668</v>
      </c>
      <c r="D497" s="1563" t="s">
        <v>3700</v>
      </c>
      <c r="E497" s="1518">
        <v>4</v>
      </c>
      <c r="F497" s="1518">
        <f t="shared" si="450"/>
        <v>-2</v>
      </c>
      <c r="G497" s="1532">
        <f t="shared" si="451"/>
        <v>0</v>
      </c>
      <c r="H497" s="1533">
        <f t="shared" si="452"/>
        <v>0</v>
      </c>
      <c r="I497" s="1534">
        <f t="shared" si="453"/>
        <v>0.25</v>
      </c>
      <c r="J497" s="1519">
        <v>9211469</v>
      </c>
      <c r="K497" s="1519">
        <v>9211469</v>
      </c>
      <c r="N497" s="1519">
        <f t="shared" si="454"/>
        <v>0</v>
      </c>
      <c r="Q497" s="1557">
        <v>0</v>
      </c>
      <c r="R497" s="1519">
        <f t="shared" si="455"/>
        <v>9211469</v>
      </c>
      <c r="S497" s="1519">
        <f t="shared" si="456"/>
        <v>0</v>
      </c>
      <c r="T497" s="1519">
        <f t="shared" si="457"/>
        <v>0</v>
      </c>
      <c r="U497" s="1535">
        <f t="shared" si="458"/>
        <v>0</v>
      </c>
      <c r="V497" s="1537">
        <f t="shared" si="459"/>
        <v>0</v>
      </c>
      <c r="W497" s="1519">
        <f t="shared" si="460"/>
        <v>0</v>
      </c>
      <c r="X497" s="1537">
        <f t="shared" si="461"/>
        <v>0</v>
      </c>
      <c r="Y497" s="1537">
        <f t="shared" si="462"/>
        <v>0</v>
      </c>
      <c r="Z497" s="1537">
        <f t="shared" si="463"/>
        <v>0</v>
      </c>
      <c r="AA497" s="1537">
        <f t="shared" si="464"/>
        <v>0</v>
      </c>
      <c r="AB497" s="1537">
        <f t="shared" si="465"/>
        <v>0</v>
      </c>
      <c r="AC497" s="1537">
        <f t="shared" si="466"/>
        <v>0</v>
      </c>
      <c r="AD497" s="1537">
        <f t="shared" si="467"/>
        <v>0</v>
      </c>
      <c r="AE497" s="1537">
        <f t="shared" si="468"/>
        <v>0</v>
      </c>
      <c r="AF497" s="1536">
        <f t="shared" si="469"/>
        <v>0</v>
      </c>
      <c r="AH497" s="1537">
        <f t="shared" si="470"/>
        <v>0</v>
      </c>
      <c r="AI497" s="1537">
        <f t="shared" si="471"/>
        <v>0</v>
      </c>
      <c r="AJ497" s="1537">
        <f t="shared" si="472"/>
        <v>0</v>
      </c>
      <c r="AK497" s="1537">
        <f t="shared" si="473"/>
        <v>0</v>
      </c>
      <c r="AL497" s="1537">
        <f t="shared" si="474"/>
        <v>0</v>
      </c>
      <c r="AM497" s="1537">
        <f t="shared" si="475"/>
        <v>0</v>
      </c>
      <c r="AN497" s="1537">
        <f t="shared" si="476"/>
        <v>0</v>
      </c>
      <c r="AO497" s="1537">
        <f t="shared" si="477"/>
        <v>0</v>
      </c>
      <c r="AP497" s="1537">
        <f t="shared" si="478"/>
        <v>0</v>
      </c>
      <c r="AQ497" s="1537">
        <f t="shared" si="479"/>
        <v>0</v>
      </c>
      <c r="AR497" s="1537">
        <f t="shared" si="480"/>
        <v>0</v>
      </c>
    </row>
    <row r="498" spans="1:44" x14ac:dyDescent="0.3">
      <c r="A498" s="1498" t="s">
        <v>3796</v>
      </c>
      <c r="C498" s="1498" t="s">
        <v>3669</v>
      </c>
      <c r="D498" s="1563" t="s">
        <v>3701</v>
      </c>
      <c r="E498" s="1518">
        <v>4</v>
      </c>
      <c r="F498" s="1518">
        <f t="shared" si="450"/>
        <v>-2</v>
      </c>
      <c r="G498" s="1532">
        <f t="shared" si="451"/>
        <v>0</v>
      </c>
      <c r="H498" s="1533">
        <f t="shared" si="452"/>
        <v>0</v>
      </c>
      <c r="I498" s="1534">
        <f t="shared" si="453"/>
        <v>0.25</v>
      </c>
      <c r="J498" s="1519">
        <v>5130000</v>
      </c>
      <c r="K498" s="1519">
        <v>5130000</v>
      </c>
      <c r="N498" s="1519">
        <f t="shared" si="454"/>
        <v>0</v>
      </c>
      <c r="Q498" s="1557">
        <v>0</v>
      </c>
      <c r="R498" s="1519">
        <f t="shared" si="455"/>
        <v>5130000</v>
      </c>
      <c r="S498" s="1519">
        <f t="shared" si="456"/>
        <v>0</v>
      </c>
      <c r="T498" s="1519">
        <f t="shared" si="457"/>
        <v>0</v>
      </c>
      <c r="U498" s="1535">
        <f t="shared" si="458"/>
        <v>0</v>
      </c>
      <c r="V498" s="1537">
        <f t="shared" si="459"/>
        <v>0</v>
      </c>
      <c r="W498" s="1519">
        <f t="shared" si="460"/>
        <v>0</v>
      </c>
      <c r="X498" s="1537">
        <f t="shared" si="461"/>
        <v>0</v>
      </c>
      <c r="Y498" s="1537">
        <f t="shared" si="462"/>
        <v>0</v>
      </c>
      <c r="Z498" s="1537">
        <f t="shared" si="463"/>
        <v>0</v>
      </c>
      <c r="AA498" s="1537">
        <f t="shared" si="464"/>
        <v>0</v>
      </c>
      <c r="AB498" s="1537">
        <f t="shared" si="465"/>
        <v>0</v>
      </c>
      <c r="AC498" s="1537">
        <f t="shared" si="466"/>
        <v>0</v>
      </c>
      <c r="AD498" s="1537">
        <f t="shared" si="467"/>
        <v>0</v>
      </c>
      <c r="AE498" s="1537">
        <f t="shared" si="468"/>
        <v>0</v>
      </c>
      <c r="AF498" s="1536">
        <f t="shared" si="469"/>
        <v>0</v>
      </c>
      <c r="AH498" s="1537">
        <f t="shared" si="470"/>
        <v>0</v>
      </c>
      <c r="AI498" s="1537">
        <f t="shared" si="471"/>
        <v>0</v>
      </c>
      <c r="AJ498" s="1537">
        <f t="shared" si="472"/>
        <v>0</v>
      </c>
      <c r="AK498" s="1537">
        <f t="shared" si="473"/>
        <v>0</v>
      </c>
      <c r="AL498" s="1537">
        <f t="shared" si="474"/>
        <v>0</v>
      </c>
      <c r="AM498" s="1537">
        <f t="shared" si="475"/>
        <v>0</v>
      </c>
      <c r="AN498" s="1537">
        <f t="shared" si="476"/>
        <v>0</v>
      </c>
      <c r="AO498" s="1537">
        <f t="shared" si="477"/>
        <v>0</v>
      </c>
      <c r="AP498" s="1537">
        <f t="shared" si="478"/>
        <v>0</v>
      </c>
      <c r="AQ498" s="1537">
        <f t="shared" si="479"/>
        <v>0</v>
      </c>
      <c r="AR498" s="1537">
        <f t="shared" si="480"/>
        <v>0</v>
      </c>
    </row>
    <row r="499" spans="1:44" x14ac:dyDescent="0.3">
      <c r="C499" s="1498" t="s">
        <v>3670</v>
      </c>
      <c r="D499" s="1563" t="s">
        <v>3702</v>
      </c>
      <c r="E499" s="1518">
        <v>4</v>
      </c>
      <c r="F499" s="1518">
        <f t="shared" si="450"/>
        <v>-2</v>
      </c>
      <c r="G499" s="1532">
        <f t="shared" si="451"/>
        <v>0</v>
      </c>
      <c r="H499" s="1533">
        <f t="shared" si="452"/>
        <v>0</v>
      </c>
      <c r="I499" s="1534">
        <f t="shared" si="453"/>
        <v>0.25</v>
      </c>
      <c r="J499" s="1519">
        <v>11618000</v>
      </c>
      <c r="K499" s="1519">
        <v>11618000</v>
      </c>
      <c r="N499" s="1519">
        <f t="shared" si="454"/>
        <v>0</v>
      </c>
      <c r="Q499" s="1557">
        <v>0</v>
      </c>
      <c r="R499" s="1519">
        <f t="shared" si="455"/>
        <v>11618000</v>
      </c>
      <c r="S499" s="1519">
        <f t="shared" si="456"/>
        <v>0</v>
      </c>
      <c r="T499" s="1519">
        <f t="shared" si="457"/>
        <v>0</v>
      </c>
      <c r="U499" s="1535">
        <f t="shared" si="458"/>
        <v>0</v>
      </c>
      <c r="V499" s="1537">
        <f t="shared" si="459"/>
        <v>0</v>
      </c>
      <c r="W499" s="1519">
        <f t="shared" si="460"/>
        <v>0</v>
      </c>
      <c r="X499" s="1537">
        <f t="shared" si="461"/>
        <v>0</v>
      </c>
      <c r="Y499" s="1537">
        <f t="shared" si="462"/>
        <v>0</v>
      </c>
      <c r="Z499" s="1537">
        <f t="shared" si="463"/>
        <v>0</v>
      </c>
      <c r="AA499" s="1537">
        <f t="shared" si="464"/>
        <v>0</v>
      </c>
      <c r="AB499" s="1537">
        <f t="shared" si="465"/>
        <v>0</v>
      </c>
      <c r="AC499" s="1537">
        <f t="shared" si="466"/>
        <v>0</v>
      </c>
      <c r="AD499" s="1537">
        <f t="shared" si="467"/>
        <v>0</v>
      </c>
      <c r="AE499" s="1537">
        <f t="shared" si="468"/>
        <v>0</v>
      </c>
      <c r="AF499" s="1536">
        <f t="shared" si="469"/>
        <v>0</v>
      </c>
      <c r="AH499" s="1537">
        <f t="shared" si="470"/>
        <v>0</v>
      </c>
      <c r="AI499" s="1537">
        <f t="shared" si="471"/>
        <v>0</v>
      </c>
      <c r="AJ499" s="1537">
        <f t="shared" si="472"/>
        <v>0</v>
      </c>
      <c r="AK499" s="1537">
        <f t="shared" si="473"/>
        <v>0</v>
      </c>
      <c r="AL499" s="1537">
        <f t="shared" si="474"/>
        <v>0</v>
      </c>
      <c r="AM499" s="1537">
        <f t="shared" si="475"/>
        <v>0</v>
      </c>
      <c r="AN499" s="1537">
        <f t="shared" si="476"/>
        <v>0</v>
      </c>
      <c r="AO499" s="1537">
        <f t="shared" si="477"/>
        <v>0</v>
      </c>
      <c r="AP499" s="1537">
        <f t="shared" si="478"/>
        <v>0</v>
      </c>
      <c r="AQ499" s="1537">
        <f t="shared" si="479"/>
        <v>0</v>
      </c>
      <c r="AR499" s="1537">
        <f t="shared" si="480"/>
        <v>0</v>
      </c>
    </row>
    <row r="500" spans="1:44" x14ac:dyDescent="0.3">
      <c r="C500" s="1498" t="s">
        <v>3671</v>
      </c>
      <c r="D500" s="1563" t="s">
        <v>3024</v>
      </c>
      <c r="E500" s="1518">
        <v>4</v>
      </c>
      <c r="F500" s="1518">
        <f t="shared" si="450"/>
        <v>-1</v>
      </c>
      <c r="G500" s="1532">
        <f t="shared" si="451"/>
        <v>0</v>
      </c>
      <c r="H500" s="1533">
        <f t="shared" si="452"/>
        <v>0</v>
      </c>
      <c r="I500" s="1534">
        <f t="shared" si="453"/>
        <v>0.25</v>
      </c>
      <c r="J500" s="1519">
        <v>9980000</v>
      </c>
      <c r="K500" s="1519">
        <v>9980000</v>
      </c>
      <c r="N500" s="1519">
        <f t="shared" si="454"/>
        <v>0</v>
      </c>
      <c r="Q500" s="1557">
        <v>0</v>
      </c>
      <c r="R500" s="1519">
        <f t="shared" si="455"/>
        <v>9980000</v>
      </c>
      <c r="S500" s="1519">
        <f t="shared" si="456"/>
        <v>0</v>
      </c>
      <c r="T500" s="1519">
        <f t="shared" si="457"/>
        <v>0</v>
      </c>
      <c r="U500" s="1535">
        <f t="shared" si="458"/>
        <v>0</v>
      </c>
      <c r="V500" s="1537">
        <f t="shared" si="459"/>
        <v>0</v>
      </c>
      <c r="W500" s="1519">
        <f t="shared" si="460"/>
        <v>0</v>
      </c>
      <c r="X500" s="1537">
        <f t="shared" si="461"/>
        <v>0</v>
      </c>
      <c r="Y500" s="1537">
        <f t="shared" si="462"/>
        <v>0</v>
      </c>
      <c r="Z500" s="1537">
        <f t="shared" si="463"/>
        <v>0</v>
      </c>
      <c r="AA500" s="1537">
        <f t="shared" si="464"/>
        <v>0</v>
      </c>
      <c r="AB500" s="1537">
        <f t="shared" si="465"/>
        <v>0</v>
      </c>
      <c r="AC500" s="1537">
        <f t="shared" si="466"/>
        <v>0</v>
      </c>
      <c r="AD500" s="1537">
        <f t="shared" si="467"/>
        <v>0</v>
      </c>
      <c r="AE500" s="1537">
        <f t="shared" si="468"/>
        <v>0</v>
      </c>
      <c r="AF500" s="1536">
        <f t="shared" si="469"/>
        <v>0</v>
      </c>
      <c r="AH500" s="1537">
        <f t="shared" si="470"/>
        <v>0</v>
      </c>
      <c r="AI500" s="1537">
        <f t="shared" si="471"/>
        <v>0</v>
      </c>
      <c r="AJ500" s="1537">
        <f t="shared" si="472"/>
        <v>0</v>
      </c>
      <c r="AK500" s="1537">
        <f t="shared" si="473"/>
        <v>0</v>
      </c>
      <c r="AL500" s="1537">
        <f t="shared" si="474"/>
        <v>0</v>
      </c>
      <c r="AM500" s="1537">
        <f t="shared" si="475"/>
        <v>0</v>
      </c>
      <c r="AN500" s="1537">
        <f t="shared" si="476"/>
        <v>0</v>
      </c>
      <c r="AO500" s="1537">
        <f t="shared" si="477"/>
        <v>0</v>
      </c>
      <c r="AP500" s="1537">
        <f t="shared" si="478"/>
        <v>0</v>
      </c>
      <c r="AQ500" s="1537">
        <f t="shared" si="479"/>
        <v>0</v>
      </c>
      <c r="AR500" s="1537">
        <f t="shared" si="480"/>
        <v>0</v>
      </c>
    </row>
    <row r="501" spans="1:44" x14ac:dyDescent="0.3">
      <c r="C501" s="1498" t="s">
        <v>3672</v>
      </c>
      <c r="D501" s="1563" t="s">
        <v>3023</v>
      </c>
      <c r="E501" s="1518">
        <v>4</v>
      </c>
      <c r="F501" s="1518">
        <f t="shared" si="450"/>
        <v>-1</v>
      </c>
      <c r="G501" s="1532">
        <f t="shared" si="451"/>
        <v>0</v>
      </c>
      <c r="H501" s="1533">
        <f t="shared" si="452"/>
        <v>0</v>
      </c>
      <c r="I501" s="1534">
        <f t="shared" si="453"/>
        <v>0.25</v>
      </c>
      <c r="J501" s="1519">
        <v>3924000</v>
      </c>
      <c r="K501" s="1519">
        <v>3924000</v>
      </c>
      <c r="N501" s="1519">
        <f t="shared" si="454"/>
        <v>0</v>
      </c>
      <c r="Q501" s="1557">
        <v>0</v>
      </c>
      <c r="R501" s="1519">
        <f t="shared" si="455"/>
        <v>3924000</v>
      </c>
      <c r="S501" s="1519">
        <f t="shared" si="456"/>
        <v>0</v>
      </c>
      <c r="T501" s="1519">
        <f t="shared" si="457"/>
        <v>0</v>
      </c>
      <c r="U501" s="1535">
        <f t="shared" si="458"/>
        <v>0</v>
      </c>
      <c r="V501" s="1537">
        <f t="shared" si="459"/>
        <v>0</v>
      </c>
      <c r="W501" s="1519">
        <f t="shared" si="460"/>
        <v>0</v>
      </c>
      <c r="X501" s="1537">
        <f t="shared" si="461"/>
        <v>0</v>
      </c>
      <c r="Y501" s="1537">
        <f t="shared" si="462"/>
        <v>0</v>
      </c>
      <c r="Z501" s="1537">
        <f t="shared" si="463"/>
        <v>0</v>
      </c>
      <c r="AA501" s="1537">
        <f t="shared" si="464"/>
        <v>0</v>
      </c>
      <c r="AB501" s="1537">
        <f t="shared" si="465"/>
        <v>0</v>
      </c>
      <c r="AC501" s="1537">
        <f t="shared" si="466"/>
        <v>0</v>
      </c>
      <c r="AD501" s="1537">
        <f t="shared" si="467"/>
        <v>0</v>
      </c>
      <c r="AE501" s="1537">
        <f t="shared" si="468"/>
        <v>0</v>
      </c>
      <c r="AF501" s="1536">
        <f t="shared" si="469"/>
        <v>0</v>
      </c>
      <c r="AH501" s="1537">
        <f t="shared" si="470"/>
        <v>0</v>
      </c>
      <c r="AI501" s="1537">
        <f t="shared" si="471"/>
        <v>0</v>
      </c>
      <c r="AJ501" s="1537">
        <f t="shared" si="472"/>
        <v>0</v>
      </c>
      <c r="AK501" s="1537">
        <f t="shared" si="473"/>
        <v>0</v>
      </c>
      <c r="AL501" s="1537">
        <f t="shared" si="474"/>
        <v>0</v>
      </c>
      <c r="AM501" s="1537">
        <f t="shared" si="475"/>
        <v>0</v>
      </c>
      <c r="AN501" s="1537">
        <f t="shared" si="476"/>
        <v>0</v>
      </c>
      <c r="AO501" s="1537">
        <f t="shared" si="477"/>
        <v>0</v>
      </c>
      <c r="AP501" s="1537">
        <f t="shared" si="478"/>
        <v>0</v>
      </c>
      <c r="AQ501" s="1537">
        <f t="shared" si="479"/>
        <v>0</v>
      </c>
      <c r="AR501" s="1537">
        <f t="shared" si="480"/>
        <v>0</v>
      </c>
    </row>
    <row r="502" spans="1:44" x14ac:dyDescent="0.3">
      <c r="C502" s="1498" t="s">
        <v>3673</v>
      </c>
      <c r="D502" s="1563" t="s">
        <v>3703</v>
      </c>
      <c r="E502" s="1518">
        <v>4</v>
      </c>
      <c r="F502" s="1518">
        <f t="shared" si="450"/>
        <v>-1</v>
      </c>
      <c r="G502" s="1532">
        <f t="shared" si="451"/>
        <v>0</v>
      </c>
      <c r="H502" s="1533">
        <f t="shared" si="452"/>
        <v>0</v>
      </c>
      <c r="I502" s="1534">
        <f t="shared" si="453"/>
        <v>0.25</v>
      </c>
      <c r="J502" s="1519">
        <v>1120000</v>
      </c>
      <c r="K502" s="1519">
        <v>1120000</v>
      </c>
      <c r="N502" s="1519">
        <f t="shared" si="454"/>
        <v>0</v>
      </c>
      <c r="Q502" s="1557">
        <v>0</v>
      </c>
      <c r="R502" s="1519">
        <f t="shared" si="455"/>
        <v>1120000</v>
      </c>
      <c r="S502" s="1519">
        <f t="shared" si="456"/>
        <v>0</v>
      </c>
      <c r="T502" s="1519">
        <f t="shared" si="457"/>
        <v>0</v>
      </c>
      <c r="U502" s="1535">
        <f t="shared" si="458"/>
        <v>0</v>
      </c>
      <c r="V502" s="1537">
        <f t="shared" si="459"/>
        <v>0</v>
      </c>
      <c r="W502" s="1519">
        <f t="shared" si="460"/>
        <v>0</v>
      </c>
      <c r="X502" s="1537">
        <f t="shared" si="461"/>
        <v>0</v>
      </c>
      <c r="Y502" s="1537">
        <f t="shared" si="462"/>
        <v>0</v>
      </c>
      <c r="Z502" s="1537">
        <f t="shared" si="463"/>
        <v>0</v>
      </c>
      <c r="AA502" s="1537">
        <f t="shared" si="464"/>
        <v>0</v>
      </c>
      <c r="AB502" s="1537">
        <f t="shared" si="465"/>
        <v>0</v>
      </c>
      <c r="AC502" s="1537">
        <f t="shared" si="466"/>
        <v>0</v>
      </c>
      <c r="AD502" s="1537">
        <f t="shared" si="467"/>
        <v>0</v>
      </c>
      <c r="AE502" s="1537">
        <f t="shared" si="468"/>
        <v>0</v>
      </c>
      <c r="AF502" s="1536">
        <f t="shared" si="469"/>
        <v>0</v>
      </c>
      <c r="AH502" s="1537">
        <f t="shared" si="470"/>
        <v>0</v>
      </c>
      <c r="AI502" s="1537">
        <f t="shared" si="471"/>
        <v>0</v>
      </c>
      <c r="AJ502" s="1537">
        <f t="shared" si="472"/>
        <v>0</v>
      </c>
      <c r="AK502" s="1537">
        <f t="shared" si="473"/>
        <v>0</v>
      </c>
      <c r="AL502" s="1537">
        <f t="shared" si="474"/>
        <v>0</v>
      </c>
      <c r="AM502" s="1537">
        <f t="shared" si="475"/>
        <v>0</v>
      </c>
      <c r="AN502" s="1537">
        <f t="shared" si="476"/>
        <v>0</v>
      </c>
      <c r="AO502" s="1537">
        <f t="shared" si="477"/>
        <v>0</v>
      </c>
      <c r="AP502" s="1537">
        <f t="shared" si="478"/>
        <v>0</v>
      </c>
      <c r="AQ502" s="1537">
        <f t="shared" si="479"/>
        <v>0</v>
      </c>
      <c r="AR502" s="1537">
        <f t="shared" si="480"/>
        <v>0</v>
      </c>
    </row>
    <row r="503" spans="1:44" x14ac:dyDescent="0.3">
      <c r="C503" s="1498" t="s">
        <v>3674</v>
      </c>
      <c r="D503" s="1563" t="s">
        <v>3704</v>
      </c>
      <c r="E503" s="1518">
        <v>4</v>
      </c>
      <c r="F503" s="1518">
        <f t="shared" si="450"/>
        <v>-1</v>
      </c>
      <c r="G503" s="1532">
        <f t="shared" si="451"/>
        <v>0</v>
      </c>
      <c r="H503" s="1533">
        <f t="shared" si="452"/>
        <v>0</v>
      </c>
      <c r="I503" s="1534">
        <f t="shared" si="453"/>
        <v>0.25</v>
      </c>
      <c r="J503" s="1519">
        <v>2380000</v>
      </c>
      <c r="K503" s="1519">
        <v>2380000</v>
      </c>
      <c r="N503" s="1519">
        <f t="shared" si="454"/>
        <v>0</v>
      </c>
      <c r="Q503" s="1557">
        <v>0</v>
      </c>
      <c r="R503" s="1519">
        <f t="shared" si="455"/>
        <v>2380000</v>
      </c>
      <c r="S503" s="1519">
        <f t="shared" si="456"/>
        <v>0</v>
      </c>
      <c r="T503" s="1519">
        <f t="shared" si="457"/>
        <v>0</v>
      </c>
      <c r="U503" s="1535">
        <f t="shared" si="458"/>
        <v>0</v>
      </c>
      <c r="V503" s="1537">
        <f t="shared" si="459"/>
        <v>0</v>
      </c>
      <c r="W503" s="1519">
        <f t="shared" si="460"/>
        <v>0</v>
      </c>
      <c r="X503" s="1537">
        <f t="shared" si="461"/>
        <v>0</v>
      </c>
      <c r="Y503" s="1537">
        <f t="shared" si="462"/>
        <v>0</v>
      </c>
      <c r="Z503" s="1537">
        <f t="shared" si="463"/>
        <v>0</v>
      </c>
      <c r="AA503" s="1537">
        <f t="shared" si="464"/>
        <v>0</v>
      </c>
      <c r="AB503" s="1537">
        <f t="shared" si="465"/>
        <v>0</v>
      </c>
      <c r="AC503" s="1537">
        <f t="shared" si="466"/>
        <v>0</v>
      </c>
      <c r="AD503" s="1537">
        <f t="shared" si="467"/>
        <v>0</v>
      </c>
      <c r="AE503" s="1537">
        <f t="shared" si="468"/>
        <v>0</v>
      </c>
      <c r="AF503" s="1536">
        <f t="shared" si="469"/>
        <v>0</v>
      </c>
      <c r="AH503" s="1537">
        <f t="shared" si="470"/>
        <v>0</v>
      </c>
      <c r="AI503" s="1537">
        <f t="shared" si="471"/>
        <v>0</v>
      </c>
      <c r="AJ503" s="1537">
        <f t="shared" si="472"/>
        <v>0</v>
      </c>
      <c r="AK503" s="1537">
        <f t="shared" si="473"/>
        <v>0</v>
      </c>
      <c r="AL503" s="1537">
        <f t="shared" si="474"/>
        <v>0</v>
      </c>
      <c r="AM503" s="1537">
        <f t="shared" si="475"/>
        <v>0</v>
      </c>
      <c r="AN503" s="1537">
        <f t="shared" si="476"/>
        <v>0</v>
      </c>
      <c r="AO503" s="1537">
        <f t="shared" si="477"/>
        <v>0</v>
      </c>
      <c r="AP503" s="1537">
        <f t="shared" si="478"/>
        <v>0</v>
      </c>
      <c r="AQ503" s="1537">
        <f t="shared" si="479"/>
        <v>0</v>
      </c>
      <c r="AR503" s="1537">
        <f t="shared" si="480"/>
        <v>0</v>
      </c>
    </row>
    <row r="504" spans="1:44" x14ac:dyDescent="0.3">
      <c r="C504" s="1498" t="s">
        <v>3675</v>
      </c>
      <c r="D504" s="1563" t="s">
        <v>3705</v>
      </c>
      <c r="E504" s="1518">
        <v>4</v>
      </c>
      <c r="F504" s="1518">
        <f t="shared" si="450"/>
        <v>0</v>
      </c>
      <c r="G504" s="1532">
        <f t="shared" si="451"/>
        <v>0</v>
      </c>
      <c r="H504" s="1533">
        <f t="shared" si="452"/>
        <v>0</v>
      </c>
      <c r="I504" s="1534">
        <f t="shared" si="453"/>
        <v>0.25</v>
      </c>
      <c r="J504" s="1519">
        <v>148298000</v>
      </c>
      <c r="K504" s="1519">
        <v>142118917</v>
      </c>
      <c r="N504" s="1519">
        <f t="shared" si="454"/>
        <v>6179083</v>
      </c>
      <c r="Q504" s="1557">
        <v>6179083</v>
      </c>
      <c r="R504" s="1519">
        <f t="shared" si="455"/>
        <v>148298000</v>
      </c>
      <c r="S504" s="1519">
        <f t="shared" si="456"/>
        <v>0</v>
      </c>
      <c r="T504" s="1519">
        <f t="shared" si="457"/>
        <v>0</v>
      </c>
      <c r="U504" s="1535">
        <f t="shared" si="458"/>
        <v>0</v>
      </c>
      <c r="V504" s="1537">
        <f t="shared" si="459"/>
        <v>6179083</v>
      </c>
      <c r="W504" s="1519">
        <f t="shared" si="460"/>
        <v>0</v>
      </c>
      <c r="X504" s="1537">
        <f t="shared" si="461"/>
        <v>0</v>
      </c>
      <c r="Y504" s="1537">
        <f t="shared" si="462"/>
        <v>0</v>
      </c>
      <c r="Z504" s="1537">
        <f t="shared" si="463"/>
        <v>0</v>
      </c>
      <c r="AA504" s="1537">
        <f t="shared" si="464"/>
        <v>0</v>
      </c>
      <c r="AB504" s="1537">
        <f t="shared" si="465"/>
        <v>0</v>
      </c>
      <c r="AC504" s="1537">
        <f t="shared" si="466"/>
        <v>0</v>
      </c>
      <c r="AD504" s="1537">
        <f t="shared" si="467"/>
        <v>0</v>
      </c>
      <c r="AE504" s="1537">
        <f t="shared" si="468"/>
        <v>0</v>
      </c>
      <c r="AF504" s="1536">
        <f t="shared" si="469"/>
        <v>0</v>
      </c>
      <c r="AH504" s="1537">
        <f t="shared" si="470"/>
        <v>0</v>
      </c>
      <c r="AI504" s="1537">
        <f t="shared" si="471"/>
        <v>0</v>
      </c>
      <c r="AJ504" s="1537">
        <f t="shared" si="472"/>
        <v>0</v>
      </c>
      <c r="AK504" s="1537">
        <f t="shared" si="473"/>
        <v>0</v>
      </c>
      <c r="AL504" s="1537">
        <f t="shared" si="474"/>
        <v>0</v>
      </c>
      <c r="AM504" s="1537">
        <f t="shared" si="475"/>
        <v>0</v>
      </c>
      <c r="AN504" s="1537">
        <f t="shared" si="476"/>
        <v>0</v>
      </c>
      <c r="AO504" s="1537">
        <f t="shared" si="477"/>
        <v>0</v>
      </c>
      <c r="AP504" s="1537">
        <f t="shared" si="478"/>
        <v>0</v>
      </c>
      <c r="AQ504" s="1537">
        <f t="shared" si="479"/>
        <v>0</v>
      </c>
      <c r="AR504" s="1537">
        <f t="shared" si="480"/>
        <v>0</v>
      </c>
    </row>
    <row r="505" spans="1:44" x14ac:dyDescent="0.3">
      <c r="C505" s="1498" t="s">
        <v>3676</v>
      </c>
      <c r="D505" s="1563" t="s">
        <v>3706</v>
      </c>
      <c r="E505" s="1518">
        <v>4</v>
      </c>
      <c r="F505" s="1518">
        <f t="shared" si="450"/>
        <v>0</v>
      </c>
      <c r="G505" s="1532">
        <f t="shared" si="451"/>
        <v>0</v>
      </c>
      <c r="H505" s="1533">
        <f t="shared" si="452"/>
        <v>0</v>
      </c>
      <c r="I505" s="1534">
        <f t="shared" si="453"/>
        <v>0.25</v>
      </c>
      <c r="J505" s="1519">
        <v>21000000</v>
      </c>
      <c r="K505" s="1519">
        <v>19687500</v>
      </c>
      <c r="N505" s="1519">
        <f t="shared" si="454"/>
        <v>1312500</v>
      </c>
      <c r="Q505" s="1557">
        <v>1312500</v>
      </c>
      <c r="R505" s="1519">
        <f t="shared" si="455"/>
        <v>21000000</v>
      </c>
      <c r="S505" s="1519">
        <f t="shared" si="456"/>
        <v>0</v>
      </c>
      <c r="T505" s="1519">
        <f t="shared" si="457"/>
        <v>0</v>
      </c>
      <c r="U505" s="1535">
        <f t="shared" si="458"/>
        <v>0</v>
      </c>
      <c r="V505" s="1537">
        <f t="shared" si="459"/>
        <v>1312500</v>
      </c>
      <c r="W505" s="1519">
        <f t="shared" si="460"/>
        <v>0</v>
      </c>
      <c r="X505" s="1537">
        <f t="shared" si="461"/>
        <v>0</v>
      </c>
      <c r="Y505" s="1537">
        <f t="shared" si="462"/>
        <v>0</v>
      </c>
      <c r="Z505" s="1537">
        <f t="shared" si="463"/>
        <v>0</v>
      </c>
      <c r="AA505" s="1537">
        <f t="shared" si="464"/>
        <v>0</v>
      </c>
      <c r="AB505" s="1537">
        <f t="shared" si="465"/>
        <v>0</v>
      </c>
      <c r="AC505" s="1537">
        <f t="shared" si="466"/>
        <v>0</v>
      </c>
      <c r="AD505" s="1537">
        <f t="shared" si="467"/>
        <v>0</v>
      </c>
      <c r="AE505" s="1537">
        <f t="shared" si="468"/>
        <v>0</v>
      </c>
      <c r="AF505" s="1536">
        <f t="shared" si="469"/>
        <v>0</v>
      </c>
      <c r="AH505" s="1537">
        <f t="shared" si="470"/>
        <v>0</v>
      </c>
      <c r="AI505" s="1537">
        <f t="shared" si="471"/>
        <v>0</v>
      </c>
      <c r="AJ505" s="1537">
        <f t="shared" si="472"/>
        <v>0</v>
      </c>
      <c r="AK505" s="1537">
        <f t="shared" si="473"/>
        <v>0</v>
      </c>
      <c r="AL505" s="1537">
        <f t="shared" si="474"/>
        <v>0</v>
      </c>
      <c r="AM505" s="1537">
        <f t="shared" si="475"/>
        <v>0</v>
      </c>
      <c r="AN505" s="1537">
        <f t="shared" si="476"/>
        <v>0</v>
      </c>
      <c r="AO505" s="1537">
        <f t="shared" si="477"/>
        <v>0</v>
      </c>
      <c r="AP505" s="1537">
        <f t="shared" si="478"/>
        <v>0</v>
      </c>
      <c r="AQ505" s="1537">
        <f t="shared" si="479"/>
        <v>0</v>
      </c>
      <c r="AR505" s="1537">
        <f t="shared" si="480"/>
        <v>0</v>
      </c>
    </row>
    <row r="506" spans="1:44" x14ac:dyDescent="0.3">
      <c r="C506" s="1498" t="s">
        <v>3677</v>
      </c>
      <c r="D506" s="1563" t="s">
        <v>3707</v>
      </c>
      <c r="E506" s="1518">
        <v>4</v>
      </c>
      <c r="F506" s="1518">
        <f t="shared" si="450"/>
        <v>0</v>
      </c>
      <c r="G506" s="1532">
        <f t="shared" si="451"/>
        <v>0</v>
      </c>
      <c r="H506" s="1533">
        <f t="shared" si="452"/>
        <v>0</v>
      </c>
      <c r="I506" s="1534">
        <f t="shared" si="453"/>
        <v>0.25</v>
      </c>
      <c r="J506" s="1519">
        <v>3400000</v>
      </c>
      <c r="K506" s="1519">
        <v>3045833</v>
      </c>
      <c r="N506" s="1519">
        <f t="shared" si="454"/>
        <v>354167</v>
      </c>
      <c r="Q506" s="1557">
        <v>354167</v>
      </c>
      <c r="R506" s="1519">
        <f t="shared" si="455"/>
        <v>3400000</v>
      </c>
      <c r="S506" s="1519">
        <f t="shared" si="456"/>
        <v>0</v>
      </c>
      <c r="T506" s="1519">
        <f t="shared" si="457"/>
        <v>0</v>
      </c>
      <c r="U506" s="1535">
        <f t="shared" si="458"/>
        <v>0</v>
      </c>
      <c r="V506" s="1537">
        <f t="shared" si="459"/>
        <v>354167</v>
      </c>
      <c r="W506" s="1519">
        <f t="shared" si="460"/>
        <v>0</v>
      </c>
      <c r="X506" s="1537">
        <f t="shared" si="461"/>
        <v>0</v>
      </c>
      <c r="Y506" s="1537">
        <f t="shared" si="462"/>
        <v>0</v>
      </c>
      <c r="Z506" s="1537">
        <f t="shared" si="463"/>
        <v>0</v>
      </c>
      <c r="AA506" s="1537">
        <f t="shared" si="464"/>
        <v>0</v>
      </c>
      <c r="AB506" s="1537">
        <f t="shared" si="465"/>
        <v>0</v>
      </c>
      <c r="AC506" s="1537">
        <f t="shared" si="466"/>
        <v>0</v>
      </c>
      <c r="AD506" s="1537">
        <f t="shared" si="467"/>
        <v>0</v>
      </c>
      <c r="AE506" s="1537">
        <f t="shared" si="468"/>
        <v>0</v>
      </c>
      <c r="AF506" s="1536">
        <f t="shared" si="469"/>
        <v>0</v>
      </c>
      <c r="AH506" s="1537">
        <f t="shared" si="470"/>
        <v>0</v>
      </c>
      <c r="AI506" s="1537">
        <f t="shared" si="471"/>
        <v>0</v>
      </c>
      <c r="AJ506" s="1537">
        <f t="shared" si="472"/>
        <v>0</v>
      </c>
      <c r="AK506" s="1537">
        <f t="shared" si="473"/>
        <v>0</v>
      </c>
      <c r="AL506" s="1537">
        <f t="shared" si="474"/>
        <v>0</v>
      </c>
      <c r="AM506" s="1537">
        <f t="shared" si="475"/>
        <v>0</v>
      </c>
      <c r="AN506" s="1537">
        <f t="shared" si="476"/>
        <v>0</v>
      </c>
      <c r="AO506" s="1537">
        <f t="shared" si="477"/>
        <v>0</v>
      </c>
      <c r="AP506" s="1537">
        <f t="shared" si="478"/>
        <v>0</v>
      </c>
      <c r="AQ506" s="1537">
        <f t="shared" si="479"/>
        <v>0</v>
      </c>
      <c r="AR506" s="1537">
        <f t="shared" si="480"/>
        <v>0</v>
      </c>
    </row>
    <row r="507" spans="1:44" x14ac:dyDescent="0.3">
      <c r="C507" s="1498" t="s">
        <v>3678</v>
      </c>
      <c r="D507" s="1563" t="s">
        <v>3708</v>
      </c>
      <c r="E507" s="1518">
        <v>4</v>
      </c>
      <c r="F507" s="1518">
        <f t="shared" si="450"/>
        <v>0</v>
      </c>
      <c r="G507" s="1532">
        <f t="shared" si="451"/>
        <v>0</v>
      </c>
      <c r="H507" s="1533">
        <f t="shared" si="452"/>
        <v>0</v>
      </c>
      <c r="I507" s="1534">
        <f t="shared" si="453"/>
        <v>0.25</v>
      </c>
      <c r="J507" s="1519">
        <v>10000000</v>
      </c>
      <c r="K507" s="1519">
        <v>7916667</v>
      </c>
      <c r="N507" s="1519">
        <f t="shared" si="454"/>
        <v>2083333</v>
      </c>
      <c r="Q507" s="1557">
        <f t="shared" ref="Q507" si="481">N507-1000</f>
        <v>2082333</v>
      </c>
      <c r="R507" s="1519">
        <f t="shared" si="455"/>
        <v>10000000</v>
      </c>
      <c r="S507" s="1567">
        <f t="shared" si="456"/>
        <v>1000</v>
      </c>
      <c r="T507" s="1519">
        <f t="shared" si="457"/>
        <v>0</v>
      </c>
      <c r="U507" s="1535">
        <f t="shared" si="458"/>
        <v>0</v>
      </c>
      <c r="V507" s="1537">
        <f t="shared" si="459"/>
        <v>2082333</v>
      </c>
      <c r="W507" s="1519">
        <f t="shared" si="460"/>
        <v>0</v>
      </c>
      <c r="X507" s="1537">
        <f t="shared" si="461"/>
        <v>0</v>
      </c>
      <c r="Y507" s="1537">
        <f t="shared" si="462"/>
        <v>0</v>
      </c>
      <c r="Z507" s="1537">
        <f t="shared" si="463"/>
        <v>0</v>
      </c>
      <c r="AA507" s="1537">
        <f t="shared" si="464"/>
        <v>0</v>
      </c>
      <c r="AB507" s="1537">
        <f t="shared" si="465"/>
        <v>0</v>
      </c>
      <c r="AC507" s="1537">
        <f t="shared" si="466"/>
        <v>0</v>
      </c>
      <c r="AD507" s="1537">
        <f t="shared" si="467"/>
        <v>0</v>
      </c>
      <c r="AE507" s="1537">
        <f t="shared" si="468"/>
        <v>0</v>
      </c>
      <c r="AF507" s="1536">
        <f t="shared" si="469"/>
        <v>0</v>
      </c>
      <c r="AH507" s="1537">
        <f t="shared" si="470"/>
        <v>1000</v>
      </c>
      <c r="AI507" s="1537">
        <f t="shared" si="471"/>
        <v>1000</v>
      </c>
      <c r="AJ507" s="1537">
        <f t="shared" si="472"/>
        <v>1000</v>
      </c>
      <c r="AK507" s="1537">
        <f t="shared" si="473"/>
        <v>1000</v>
      </c>
      <c r="AL507" s="1537">
        <f t="shared" si="474"/>
        <v>1000</v>
      </c>
      <c r="AM507" s="1537">
        <f t="shared" si="475"/>
        <v>1000</v>
      </c>
      <c r="AN507" s="1537">
        <f t="shared" si="476"/>
        <v>1000</v>
      </c>
      <c r="AO507" s="1537">
        <f t="shared" si="477"/>
        <v>1000</v>
      </c>
      <c r="AP507" s="1537">
        <f t="shared" si="478"/>
        <v>1000</v>
      </c>
      <c r="AQ507" s="1537">
        <f t="shared" si="479"/>
        <v>1000</v>
      </c>
      <c r="AR507" s="1537">
        <f t="shared" si="480"/>
        <v>1000</v>
      </c>
    </row>
    <row r="508" spans="1:44" x14ac:dyDescent="0.3">
      <c r="C508" s="1498" t="s">
        <v>3679</v>
      </c>
      <c r="D508" s="1563" t="s">
        <v>3389</v>
      </c>
      <c r="E508" s="1518">
        <v>4</v>
      </c>
      <c r="F508" s="1518">
        <f t="shared" si="450"/>
        <v>1</v>
      </c>
      <c r="G508" s="1532">
        <f t="shared" si="451"/>
        <v>0</v>
      </c>
      <c r="H508" s="1533">
        <f t="shared" si="452"/>
        <v>0</v>
      </c>
      <c r="I508" s="1534">
        <f t="shared" si="453"/>
        <v>0.25</v>
      </c>
      <c r="J508" s="1519">
        <v>106400000</v>
      </c>
      <c r="K508" s="1519">
        <v>79800004</v>
      </c>
      <c r="N508" s="1519">
        <f t="shared" si="454"/>
        <v>26599996</v>
      </c>
      <c r="Q508" s="1557">
        <v>24383333</v>
      </c>
      <c r="R508" s="1519">
        <f t="shared" si="455"/>
        <v>106400000</v>
      </c>
      <c r="S508" s="1519">
        <f t="shared" si="456"/>
        <v>2216663</v>
      </c>
      <c r="T508" s="1519">
        <f t="shared" si="457"/>
        <v>0</v>
      </c>
      <c r="U508" s="1535">
        <f t="shared" si="458"/>
        <v>2215663</v>
      </c>
      <c r="V508" s="1537">
        <f t="shared" si="459"/>
        <v>26598996</v>
      </c>
      <c r="W508" s="1519">
        <f t="shared" si="460"/>
        <v>0</v>
      </c>
      <c r="X508" s="1537">
        <f t="shared" si="461"/>
        <v>0</v>
      </c>
      <c r="Y508" s="1537">
        <f t="shared" si="462"/>
        <v>0</v>
      </c>
      <c r="Z508" s="1537">
        <f t="shared" si="463"/>
        <v>0</v>
      </c>
      <c r="AA508" s="1537">
        <f t="shared" si="464"/>
        <v>0</v>
      </c>
      <c r="AB508" s="1537">
        <f t="shared" si="465"/>
        <v>0</v>
      </c>
      <c r="AC508" s="1537">
        <f t="shared" si="466"/>
        <v>0</v>
      </c>
      <c r="AD508" s="1537">
        <f t="shared" si="467"/>
        <v>0</v>
      </c>
      <c r="AE508" s="1537">
        <f t="shared" si="468"/>
        <v>0</v>
      </c>
      <c r="AF508" s="1536">
        <f t="shared" si="469"/>
        <v>0</v>
      </c>
      <c r="AH508" s="1537">
        <f t="shared" si="470"/>
        <v>1000</v>
      </c>
      <c r="AI508" s="1537">
        <f t="shared" si="471"/>
        <v>1000</v>
      </c>
      <c r="AJ508" s="1537">
        <f t="shared" si="472"/>
        <v>1000</v>
      </c>
      <c r="AK508" s="1537">
        <f t="shared" si="473"/>
        <v>1000</v>
      </c>
      <c r="AL508" s="1537">
        <f t="shared" si="474"/>
        <v>1000</v>
      </c>
      <c r="AM508" s="1537">
        <f t="shared" si="475"/>
        <v>1000</v>
      </c>
      <c r="AN508" s="1537">
        <f t="shared" si="476"/>
        <v>1000</v>
      </c>
      <c r="AO508" s="1537">
        <f t="shared" si="477"/>
        <v>1000</v>
      </c>
      <c r="AP508" s="1537">
        <f t="shared" si="478"/>
        <v>1000</v>
      </c>
      <c r="AQ508" s="1537">
        <f t="shared" si="479"/>
        <v>1000</v>
      </c>
      <c r="AR508" s="1537">
        <f t="shared" si="480"/>
        <v>1000</v>
      </c>
    </row>
    <row r="509" spans="1:44" x14ac:dyDescent="0.3">
      <c r="C509" s="1498" t="s">
        <v>3680</v>
      </c>
      <c r="D509" s="1563" t="s">
        <v>3709</v>
      </c>
      <c r="E509" s="1518">
        <v>4</v>
      </c>
      <c r="F509" s="1518">
        <f t="shared" si="450"/>
        <v>1</v>
      </c>
      <c r="G509" s="1532">
        <f t="shared" si="451"/>
        <v>0</v>
      </c>
      <c r="H509" s="1533">
        <f t="shared" si="452"/>
        <v>0</v>
      </c>
      <c r="I509" s="1534">
        <f t="shared" si="453"/>
        <v>0.25</v>
      </c>
      <c r="J509" s="1519">
        <v>2050000</v>
      </c>
      <c r="K509" s="1519">
        <v>1409375</v>
      </c>
      <c r="N509" s="1519">
        <f t="shared" si="454"/>
        <v>640625</v>
      </c>
      <c r="Q509" s="1557">
        <v>469792</v>
      </c>
      <c r="R509" s="1519">
        <f t="shared" si="455"/>
        <v>2050000</v>
      </c>
      <c r="S509" s="1519">
        <f t="shared" si="456"/>
        <v>170833</v>
      </c>
      <c r="T509" s="1519">
        <f t="shared" si="457"/>
        <v>0</v>
      </c>
      <c r="U509" s="1535">
        <f t="shared" si="458"/>
        <v>42708.333333333328</v>
      </c>
      <c r="V509" s="1537">
        <f t="shared" si="459"/>
        <v>512500.33333333331</v>
      </c>
      <c r="W509" s="1519">
        <f t="shared" si="460"/>
        <v>127124.66666666667</v>
      </c>
      <c r="X509" s="1537">
        <f t="shared" si="461"/>
        <v>0</v>
      </c>
      <c r="Y509" s="1537">
        <f t="shared" si="462"/>
        <v>0</v>
      </c>
      <c r="Z509" s="1537">
        <f t="shared" si="463"/>
        <v>0</v>
      </c>
      <c r="AA509" s="1537">
        <f t="shared" si="464"/>
        <v>0</v>
      </c>
      <c r="AB509" s="1537">
        <f t="shared" si="465"/>
        <v>0</v>
      </c>
      <c r="AC509" s="1537">
        <f t="shared" si="466"/>
        <v>0</v>
      </c>
      <c r="AD509" s="1537">
        <f t="shared" si="467"/>
        <v>0</v>
      </c>
      <c r="AE509" s="1537">
        <f t="shared" si="468"/>
        <v>0</v>
      </c>
      <c r="AF509" s="1536">
        <f t="shared" si="469"/>
        <v>0</v>
      </c>
      <c r="AH509" s="1537">
        <f t="shared" si="470"/>
        <v>128124.66666666667</v>
      </c>
      <c r="AI509" s="1537">
        <f t="shared" si="471"/>
        <v>1000</v>
      </c>
      <c r="AJ509" s="1537">
        <f t="shared" si="472"/>
        <v>1000</v>
      </c>
      <c r="AK509" s="1537">
        <f t="shared" si="473"/>
        <v>1000</v>
      </c>
      <c r="AL509" s="1537">
        <f t="shared" si="474"/>
        <v>1000</v>
      </c>
      <c r="AM509" s="1537">
        <f t="shared" si="475"/>
        <v>1000</v>
      </c>
      <c r="AN509" s="1537">
        <f t="shared" si="476"/>
        <v>1000</v>
      </c>
      <c r="AO509" s="1537">
        <f t="shared" si="477"/>
        <v>1000</v>
      </c>
      <c r="AP509" s="1537">
        <f t="shared" si="478"/>
        <v>1000</v>
      </c>
      <c r="AQ509" s="1537">
        <f t="shared" si="479"/>
        <v>1000</v>
      </c>
      <c r="AR509" s="1537">
        <f t="shared" si="480"/>
        <v>1000</v>
      </c>
    </row>
    <row r="510" spans="1:44" x14ac:dyDescent="0.3">
      <c r="C510" s="1498" t="s">
        <v>3681</v>
      </c>
      <c r="D510" s="1563" t="s">
        <v>3709</v>
      </c>
      <c r="E510" s="1518">
        <v>4</v>
      </c>
      <c r="F510" s="1518">
        <f t="shared" si="450"/>
        <v>1</v>
      </c>
      <c r="G510" s="1532">
        <f t="shared" si="451"/>
        <v>0</v>
      </c>
      <c r="H510" s="1533">
        <f t="shared" si="452"/>
        <v>0</v>
      </c>
      <c r="I510" s="1534">
        <f t="shared" si="453"/>
        <v>0.25</v>
      </c>
      <c r="J510" s="1519">
        <v>39460000</v>
      </c>
      <c r="K510" s="1519">
        <v>27128750</v>
      </c>
      <c r="N510" s="1519">
        <f t="shared" si="454"/>
        <v>12331250</v>
      </c>
      <c r="Q510" s="1557">
        <v>9042917</v>
      </c>
      <c r="R510" s="1519">
        <f t="shared" si="455"/>
        <v>39460000</v>
      </c>
      <c r="S510" s="1519">
        <f t="shared" si="456"/>
        <v>3288333</v>
      </c>
      <c r="T510" s="1519">
        <f t="shared" si="457"/>
        <v>0</v>
      </c>
      <c r="U510" s="1535">
        <f t="shared" si="458"/>
        <v>822083.33333333326</v>
      </c>
      <c r="V510" s="1537">
        <f t="shared" si="459"/>
        <v>9865000.333333334</v>
      </c>
      <c r="W510" s="1519">
        <f t="shared" si="460"/>
        <v>2465249.666666667</v>
      </c>
      <c r="X510" s="1537">
        <f t="shared" si="461"/>
        <v>0</v>
      </c>
      <c r="Y510" s="1537">
        <f t="shared" si="462"/>
        <v>0</v>
      </c>
      <c r="Z510" s="1537">
        <f t="shared" si="463"/>
        <v>0</v>
      </c>
      <c r="AA510" s="1537">
        <f t="shared" si="464"/>
        <v>0</v>
      </c>
      <c r="AB510" s="1537">
        <f t="shared" si="465"/>
        <v>0</v>
      </c>
      <c r="AC510" s="1537">
        <f t="shared" si="466"/>
        <v>0</v>
      </c>
      <c r="AD510" s="1537">
        <f t="shared" si="467"/>
        <v>0</v>
      </c>
      <c r="AE510" s="1537">
        <f t="shared" si="468"/>
        <v>0</v>
      </c>
      <c r="AF510" s="1536">
        <f t="shared" si="469"/>
        <v>0</v>
      </c>
      <c r="AH510" s="1537">
        <f t="shared" si="470"/>
        <v>2466249.666666667</v>
      </c>
      <c r="AI510" s="1537">
        <f t="shared" si="471"/>
        <v>1000</v>
      </c>
      <c r="AJ510" s="1537">
        <f t="shared" si="472"/>
        <v>1000</v>
      </c>
      <c r="AK510" s="1537">
        <f t="shared" si="473"/>
        <v>1000</v>
      </c>
      <c r="AL510" s="1537">
        <f t="shared" si="474"/>
        <v>1000</v>
      </c>
      <c r="AM510" s="1537">
        <f t="shared" si="475"/>
        <v>1000</v>
      </c>
      <c r="AN510" s="1537">
        <f t="shared" si="476"/>
        <v>1000</v>
      </c>
      <c r="AO510" s="1537">
        <f t="shared" si="477"/>
        <v>1000</v>
      </c>
      <c r="AP510" s="1537">
        <f t="shared" si="478"/>
        <v>1000</v>
      </c>
      <c r="AQ510" s="1537">
        <f t="shared" si="479"/>
        <v>1000</v>
      </c>
      <c r="AR510" s="1537">
        <f t="shared" si="480"/>
        <v>1000</v>
      </c>
    </row>
    <row r="511" spans="1:44" x14ac:dyDescent="0.3">
      <c r="C511" s="1498" t="s">
        <v>3682</v>
      </c>
      <c r="D511" s="1563" t="s">
        <v>3439</v>
      </c>
      <c r="E511" s="1518">
        <v>4</v>
      </c>
      <c r="F511" s="1518">
        <f t="shared" si="450"/>
        <v>2</v>
      </c>
      <c r="G511" s="1532">
        <f t="shared" si="451"/>
        <v>0</v>
      </c>
      <c r="H511" s="1533">
        <f t="shared" si="452"/>
        <v>0</v>
      </c>
      <c r="I511" s="1534">
        <f t="shared" si="453"/>
        <v>0.25</v>
      </c>
      <c r="J511" s="1519">
        <v>1000000</v>
      </c>
      <c r="K511" s="1519">
        <v>479167</v>
      </c>
      <c r="N511" s="1519">
        <f t="shared" si="454"/>
        <v>520833</v>
      </c>
      <c r="Q511" s="1557">
        <v>229167</v>
      </c>
      <c r="R511" s="1519">
        <f t="shared" si="455"/>
        <v>1000000</v>
      </c>
      <c r="S511" s="1519">
        <f t="shared" si="456"/>
        <v>291666</v>
      </c>
      <c r="T511" s="1519">
        <f t="shared" si="457"/>
        <v>0</v>
      </c>
      <c r="U511" s="1535">
        <f t="shared" si="458"/>
        <v>20833.333333333332</v>
      </c>
      <c r="V511" s="1537">
        <f t="shared" si="459"/>
        <v>250000.33333333334</v>
      </c>
      <c r="W511" s="1519">
        <f t="shared" si="460"/>
        <v>250000</v>
      </c>
      <c r="X511" s="1537">
        <f t="shared" si="461"/>
        <v>19832.666666666686</v>
      </c>
      <c r="Y511" s="1537">
        <f t="shared" si="462"/>
        <v>0</v>
      </c>
      <c r="Z511" s="1537">
        <f t="shared" si="463"/>
        <v>0</v>
      </c>
      <c r="AA511" s="1537">
        <f t="shared" si="464"/>
        <v>0</v>
      </c>
      <c r="AB511" s="1537">
        <f t="shared" si="465"/>
        <v>0</v>
      </c>
      <c r="AC511" s="1537">
        <f t="shared" si="466"/>
        <v>0</v>
      </c>
      <c r="AD511" s="1537">
        <f t="shared" si="467"/>
        <v>0</v>
      </c>
      <c r="AE511" s="1537">
        <f t="shared" si="468"/>
        <v>0</v>
      </c>
      <c r="AF511" s="1536">
        <f t="shared" si="469"/>
        <v>0</v>
      </c>
      <c r="AH511" s="1537">
        <f t="shared" si="470"/>
        <v>270832.66666666669</v>
      </c>
      <c r="AI511" s="1537">
        <f t="shared" si="471"/>
        <v>20832.666666666686</v>
      </c>
      <c r="AJ511" s="1537">
        <f t="shared" si="472"/>
        <v>1000</v>
      </c>
      <c r="AK511" s="1537">
        <f t="shared" si="473"/>
        <v>1000</v>
      </c>
      <c r="AL511" s="1537">
        <f t="shared" si="474"/>
        <v>1000</v>
      </c>
      <c r="AM511" s="1537">
        <f t="shared" si="475"/>
        <v>1000</v>
      </c>
      <c r="AN511" s="1537">
        <f t="shared" si="476"/>
        <v>1000</v>
      </c>
      <c r="AO511" s="1537">
        <f t="shared" si="477"/>
        <v>1000</v>
      </c>
      <c r="AP511" s="1537">
        <f t="shared" si="478"/>
        <v>1000</v>
      </c>
      <c r="AQ511" s="1537">
        <f t="shared" si="479"/>
        <v>1000</v>
      </c>
      <c r="AR511" s="1537">
        <f t="shared" si="480"/>
        <v>1000</v>
      </c>
    </row>
    <row r="512" spans="1:44" x14ac:dyDescent="0.3">
      <c r="C512" s="1498" t="s">
        <v>3683</v>
      </c>
      <c r="D512" s="1563" t="s">
        <v>3441</v>
      </c>
      <c r="E512" s="1518">
        <v>4</v>
      </c>
      <c r="F512" s="1518">
        <f t="shared" si="450"/>
        <v>2</v>
      </c>
      <c r="G512" s="1532">
        <f t="shared" si="451"/>
        <v>0</v>
      </c>
      <c r="H512" s="1533">
        <f t="shared" si="452"/>
        <v>0</v>
      </c>
      <c r="I512" s="1534">
        <f t="shared" si="453"/>
        <v>0.25</v>
      </c>
      <c r="J512" s="1519">
        <v>34290000</v>
      </c>
      <c r="K512" s="1519">
        <v>16430625</v>
      </c>
      <c r="N512" s="1519">
        <f t="shared" si="454"/>
        <v>17859375</v>
      </c>
      <c r="Q512" s="1557">
        <v>7858125</v>
      </c>
      <c r="R512" s="1519">
        <f t="shared" si="455"/>
        <v>34290000</v>
      </c>
      <c r="S512" s="1519">
        <f t="shared" si="456"/>
        <v>10001250</v>
      </c>
      <c r="T512" s="1519">
        <f t="shared" si="457"/>
        <v>0</v>
      </c>
      <c r="U512" s="1535">
        <f t="shared" si="458"/>
        <v>714375</v>
      </c>
      <c r="V512" s="1537">
        <f t="shared" si="459"/>
        <v>8572500</v>
      </c>
      <c r="W512" s="1519">
        <f t="shared" si="460"/>
        <v>8572500</v>
      </c>
      <c r="X512" s="1537">
        <f t="shared" si="461"/>
        <v>713375</v>
      </c>
      <c r="Y512" s="1537">
        <f t="shared" si="462"/>
        <v>0</v>
      </c>
      <c r="Z512" s="1537">
        <f t="shared" si="463"/>
        <v>0</v>
      </c>
      <c r="AA512" s="1537">
        <f t="shared" si="464"/>
        <v>0</v>
      </c>
      <c r="AB512" s="1537">
        <f t="shared" si="465"/>
        <v>0</v>
      </c>
      <c r="AC512" s="1537">
        <f t="shared" si="466"/>
        <v>0</v>
      </c>
      <c r="AD512" s="1537">
        <f t="shared" si="467"/>
        <v>0</v>
      </c>
      <c r="AE512" s="1537">
        <f t="shared" si="468"/>
        <v>0</v>
      </c>
      <c r="AF512" s="1536">
        <f t="shared" si="469"/>
        <v>0</v>
      </c>
      <c r="AH512" s="1537">
        <f t="shared" si="470"/>
        <v>9286875</v>
      </c>
      <c r="AI512" s="1537">
        <f t="shared" si="471"/>
        <v>714375</v>
      </c>
      <c r="AJ512" s="1537">
        <f t="shared" si="472"/>
        <v>1000</v>
      </c>
      <c r="AK512" s="1537">
        <f t="shared" si="473"/>
        <v>1000</v>
      </c>
      <c r="AL512" s="1537">
        <f t="shared" si="474"/>
        <v>1000</v>
      </c>
      <c r="AM512" s="1537">
        <f t="shared" si="475"/>
        <v>1000</v>
      </c>
      <c r="AN512" s="1537">
        <f t="shared" si="476"/>
        <v>1000</v>
      </c>
      <c r="AO512" s="1537">
        <f t="shared" si="477"/>
        <v>1000</v>
      </c>
      <c r="AP512" s="1537">
        <f t="shared" si="478"/>
        <v>1000</v>
      </c>
      <c r="AQ512" s="1537">
        <f t="shared" si="479"/>
        <v>1000</v>
      </c>
      <c r="AR512" s="1537">
        <f t="shared" si="480"/>
        <v>1000</v>
      </c>
    </row>
    <row r="513" spans="1:44" x14ac:dyDescent="0.3">
      <c r="C513" s="1498" t="s">
        <v>3684</v>
      </c>
      <c r="D513" s="1563" t="s">
        <v>3710</v>
      </c>
      <c r="E513" s="1518">
        <v>4</v>
      </c>
      <c r="F513" s="1518">
        <f t="shared" si="450"/>
        <v>2</v>
      </c>
      <c r="G513" s="1532">
        <f t="shared" si="451"/>
        <v>0</v>
      </c>
      <c r="H513" s="1533">
        <f t="shared" si="452"/>
        <v>0</v>
      </c>
      <c r="I513" s="1534">
        <f t="shared" si="453"/>
        <v>0.25</v>
      </c>
      <c r="J513" s="1519">
        <v>2100000</v>
      </c>
      <c r="K513" s="1519">
        <v>918750</v>
      </c>
      <c r="N513" s="1519">
        <f t="shared" si="454"/>
        <v>1181250</v>
      </c>
      <c r="Q513" s="1557">
        <v>481250</v>
      </c>
      <c r="R513" s="1519">
        <f t="shared" si="455"/>
        <v>2100000</v>
      </c>
      <c r="S513" s="1519">
        <f t="shared" si="456"/>
        <v>700000</v>
      </c>
      <c r="T513" s="1519">
        <f t="shared" si="457"/>
        <v>0</v>
      </c>
      <c r="U513" s="1535">
        <f t="shared" si="458"/>
        <v>43750</v>
      </c>
      <c r="V513" s="1537">
        <f t="shared" si="459"/>
        <v>525000</v>
      </c>
      <c r="W513" s="1519">
        <f t="shared" si="460"/>
        <v>525000</v>
      </c>
      <c r="X513" s="1537">
        <f t="shared" si="461"/>
        <v>130250</v>
      </c>
      <c r="Y513" s="1537">
        <f t="shared" si="462"/>
        <v>0</v>
      </c>
      <c r="Z513" s="1537">
        <f t="shared" si="463"/>
        <v>0</v>
      </c>
      <c r="AA513" s="1537">
        <f t="shared" si="464"/>
        <v>0</v>
      </c>
      <c r="AB513" s="1537">
        <f t="shared" si="465"/>
        <v>0</v>
      </c>
      <c r="AC513" s="1537">
        <f t="shared" si="466"/>
        <v>0</v>
      </c>
      <c r="AD513" s="1537">
        <f t="shared" si="467"/>
        <v>0</v>
      </c>
      <c r="AE513" s="1537">
        <f t="shared" si="468"/>
        <v>0</v>
      </c>
      <c r="AF513" s="1536">
        <f t="shared" si="469"/>
        <v>0</v>
      </c>
      <c r="AH513" s="1537">
        <f t="shared" si="470"/>
        <v>656250</v>
      </c>
      <c r="AI513" s="1537">
        <f t="shared" si="471"/>
        <v>131250</v>
      </c>
      <c r="AJ513" s="1537">
        <f t="shared" si="472"/>
        <v>1000</v>
      </c>
      <c r="AK513" s="1537">
        <f t="shared" si="473"/>
        <v>1000</v>
      </c>
      <c r="AL513" s="1537">
        <f t="shared" si="474"/>
        <v>1000</v>
      </c>
      <c r="AM513" s="1537">
        <f t="shared" si="475"/>
        <v>1000</v>
      </c>
      <c r="AN513" s="1537">
        <f t="shared" si="476"/>
        <v>1000</v>
      </c>
      <c r="AO513" s="1537">
        <f t="shared" si="477"/>
        <v>1000</v>
      </c>
      <c r="AP513" s="1537">
        <f t="shared" si="478"/>
        <v>1000</v>
      </c>
      <c r="AQ513" s="1537">
        <f t="shared" si="479"/>
        <v>1000</v>
      </c>
      <c r="AR513" s="1537">
        <f t="shared" si="480"/>
        <v>1000</v>
      </c>
    </row>
    <row r="514" spans="1:44" x14ac:dyDescent="0.3">
      <c r="C514" s="1498" t="s">
        <v>3685</v>
      </c>
      <c r="D514" s="1563" t="s">
        <v>3711</v>
      </c>
      <c r="E514" s="1518">
        <v>4</v>
      </c>
      <c r="F514" s="1518">
        <f t="shared" si="450"/>
        <v>3</v>
      </c>
      <c r="G514" s="1532">
        <f t="shared" si="451"/>
        <v>0</v>
      </c>
      <c r="H514" s="1533">
        <f t="shared" si="452"/>
        <v>0</v>
      </c>
      <c r="I514" s="1534">
        <f t="shared" si="453"/>
        <v>0.25</v>
      </c>
      <c r="J514" s="1519">
        <v>3900000</v>
      </c>
      <c r="K514" s="1519">
        <v>650000</v>
      </c>
      <c r="N514" s="1519">
        <f t="shared" si="454"/>
        <v>3250000</v>
      </c>
      <c r="Q514" s="1557">
        <v>893750</v>
      </c>
      <c r="R514" s="1519">
        <f t="shared" si="455"/>
        <v>3900000</v>
      </c>
      <c r="S514" s="1519">
        <f t="shared" si="456"/>
        <v>2356250</v>
      </c>
      <c r="T514" s="1519">
        <f t="shared" si="457"/>
        <v>0</v>
      </c>
      <c r="U514" s="1535">
        <f t="shared" si="458"/>
        <v>81250</v>
      </c>
      <c r="V514" s="1537">
        <f t="shared" si="459"/>
        <v>975000</v>
      </c>
      <c r="W514" s="1519">
        <f t="shared" si="460"/>
        <v>975000</v>
      </c>
      <c r="X514" s="1537">
        <f t="shared" si="461"/>
        <v>975000</v>
      </c>
      <c r="Y514" s="1537">
        <f t="shared" si="462"/>
        <v>324000</v>
      </c>
      <c r="Z514" s="1537">
        <f t="shared" si="463"/>
        <v>0</v>
      </c>
      <c r="AA514" s="1537">
        <f t="shared" si="464"/>
        <v>0</v>
      </c>
      <c r="AB514" s="1537">
        <f t="shared" si="465"/>
        <v>0</v>
      </c>
      <c r="AC514" s="1537">
        <f t="shared" si="466"/>
        <v>0</v>
      </c>
      <c r="AD514" s="1537">
        <f t="shared" si="467"/>
        <v>0</v>
      </c>
      <c r="AE514" s="1537">
        <f t="shared" si="468"/>
        <v>0</v>
      </c>
      <c r="AF514" s="1536">
        <f t="shared" si="469"/>
        <v>0</v>
      </c>
      <c r="AH514" s="1537">
        <f t="shared" si="470"/>
        <v>2275000</v>
      </c>
      <c r="AI514" s="1537">
        <f t="shared" si="471"/>
        <v>1300000</v>
      </c>
      <c r="AJ514" s="1537">
        <f t="shared" si="472"/>
        <v>325000</v>
      </c>
      <c r="AK514" s="1537">
        <f t="shared" si="473"/>
        <v>1000</v>
      </c>
      <c r="AL514" s="1537">
        <f t="shared" si="474"/>
        <v>1000</v>
      </c>
      <c r="AM514" s="1537">
        <f t="shared" si="475"/>
        <v>1000</v>
      </c>
      <c r="AN514" s="1537">
        <f t="shared" si="476"/>
        <v>1000</v>
      </c>
      <c r="AO514" s="1537">
        <f t="shared" si="477"/>
        <v>1000</v>
      </c>
      <c r="AP514" s="1537">
        <f t="shared" si="478"/>
        <v>1000</v>
      </c>
      <c r="AQ514" s="1537">
        <f t="shared" si="479"/>
        <v>1000</v>
      </c>
      <c r="AR514" s="1537">
        <f t="shared" si="480"/>
        <v>1000</v>
      </c>
    </row>
    <row r="515" spans="1:44" x14ac:dyDescent="0.3">
      <c r="C515" s="1498" t="s">
        <v>3686</v>
      </c>
      <c r="D515" s="1563" t="s">
        <v>3518</v>
      </c>
      <c r="E515" s="1518">
        <v>4</v>
      </c>
      <c r="F515" s="1518">
        <f t="shared" si="450"/>
        <v>3</v>
      </c>
      <c r="G515" s="1532">
        <f t="shared" si="451"/>
        <v>0</v>
      </c>
      <c r="H515" s="1533">
        <f t="shared" si="452"/>
        <v>0</v>
      </c>
      <c r="I515" s="1534">
        <f t="shared" si="453"/>
        <v>0.25</v>
      </c>
      <c r="J515" s="1519">
        <v>3486131</v>
      </c>
      <c r="K515" s="1519">
        <v>217883</v>
      </c>
      <c r="N515" s="1519">
        <f t="shared" si="454"/>
        <v>3268248</v>
      </c>
      <c r="Q515" s="1557">
        <v>798905</v>
      </c>
      <c r="R515" s="1519">
        <f t="shared" si="455"/>
        <v>3486131</v>
      </c>
      <c r="S515" s="1519">
        <f t="shared" si="456"/>
        <v>2469343</v>
      </c>
      <c r="T515" s="1519">
        <f t="shared" si="457"/>
        <v>0</v>
      </c>
      <c r="U515" s="1535">
        <f t="shared" si="458"/>
        <v>72627.729166666657</v>
      </c>
      <c r="V515" s="1537">
        <f t="shared" si="459"/>
        <v>871532.72916666663</v>
      </c>
      <c r="W515" s="1519">
        <f t="shared" si="460"/>
        <v>871532.75</v>
      </c>
      <c r="X515" s="1537">
        <f t="shared" si="461"/>
        <v>871532.75</v>
      </c>
      <c r="Y515" s="1537">
        <f t="shared" si="462"/>
        <v>652649.77083333349</v>
      </c>
      <c r="Z515" s="1537">
        <f t="shared" si="463"/>
        <v>0</v>
      </c>
      <c r="AA515" s="1537">
        <f t="shared" si="464"/>
        <v>0</v>
      </c>
      <c r="AB515" s="1537">
        <f t="shared" si="465"/>
        <v>0</v>
      </c>
      <c r="AC515" s="1537">
        <f t="shared" si="466"/>
        <v>0</v>
      </c>
      <c r="AD515" s="1537">
        <f t="shared" si="467"/>
        <v>0</v>
      </c>
      <c r="AE515" s="1537">
        <f t="shared" si="468"/>
        <v>0</v>
      </c>
      <c r="AF515" s="1536">
        <f t="shared" si="469"/>
        <v>0</v>
      </c>
      <c r="AH515" s="1537">
        <f t="shared" si="470"/>
        <v>2396715.2708333335</v>
      </c>
      <c r="AI515" s="1537">
        <f t="shared" si="471"/>
        <v>1525182.5208333335</v>
      </c>
      <c r="AJ515" s="1537">
        <f t="shared" si="472"/>
        <v>653649.77083333349</v>
      </c>
      <c r="AK515" s="1537">
        <f t="shared" si="473"/>
        <v>1000</v>
      </c>
      <c r="AL515" s="1537">
        <f t="shared" si="474"/>
        <v>1000</v>
      </c>
      <c r="AM515" s="1537">
        <f t="shared" si="475"/>
        <v>1000</v>
      </c>
      <c r="AN515" s="1537">
        <f t="shared" si="476"/>
        <v>1000</v>
      </c>
      <c r="AO515" s="1537">
        <f t="shared" si="477"/>
        <v>1000</v>
      </c>
      <c r="AP515" s="1537">
        <f t="shared" si="478"/>
        <v>1000</v>
      </c>
      <c r="AQ515" s="1537">
        <f t="shared" si="479"/>
        <v>1000</v>
      </c>
      <c r="AR515" s="1537">
        <f t="shared" si="480"/>
        <v>1000</v>
      </c>
    </row>
    <row r="516" spans="1:44" x14ac:dyDescent="0.3">
      <c r="A516" s="1498" t="s">
        <v>3796</v>
      </c>
      <c r="C516" s="1498" t="s">
        <v>3687</v>
      </c>
      <c r="D516" s="1563" t="s">
        <v>3712</v>
      </c>
      <c r="E516" s="1518">
        <v>4</v>
      </c>
      <c r="F516" s="1518">
        <f t="shared" si="450"/>
        <v>4</v>
      </c>
      <c r="G516" s="1532">
        <f t="shared" si="451"/>
        <v>0</v>
      </c>
      <c r="H516" s="1533">
        <f t="shared" si="452"/>
        <v>0</v>
      </c>
      <c r="I516" s="1534">
        <f t="shared" si="453"/>
        <v>0.25</v>
      </c>
      <c r="J516" s="1519">
        <v>26000000</v>
      </c>
      <c r="N516" s="1519">
        <v>26000000</v>
      </c>
      <c r="Q516" s="1557">
        <v>5958333</v>
      </c>
      <c r="R516" s="1519">
        <f t="shared" si="455"/>
        <v>26000000</v>
      </c>
      <c r="S516" s="1519">
        <f t="shared" si="456"/>
        <v>20041667</v>
      </c>
      <c r="T516" s="1519">
        <f t="shared" si="457"/>
        <v>0</v>
      </c>
      <c r="U516" s="1535">
        <f t="shared" si="458"/>
        <v>541666.66666666663</v>
      </c>
      <c r="V516" s="1537">
        <f t="shared" si="459"/>
        <v>6499999.666666667</v>
      </c>
      <c r="W516" s="1519">
        <f t="shared" si="460"/>
        <v>6500000</v>
      </c>
      <c r="X516" s="1537">
        <f t="shared" si="461"/>
        <v>6500000</v>
      </c>
      <c r="Y516" s="1537">
        <f t="shared" si="462"/>
        <v>6499000.3333333321</v>
      </c>
      <c r="Z516" s="1537">
        <f t="shared" si="463"/>
        <v>0</v>
      </c>
      <c r="AA516" s="1537">
        <f t="shared" si="464"/>
        <v>0</v>
      </c>
      <c r="AB516" s="1537">
        <f t="shared" si="465"/>
        <v>0</v>
      </c>
      <c r="AC516" s="1537">
        <f t="shared" si="466"/>
        <v>0</v>
      </c>
      <c r="AD516" s="1537">
        <f t="shared" si="467"/>
        <v>0</v>
      </c>
      <c r="AE516" s="1537">
        <f t="shared" si="468"/>
        <v>0</v>
      </c>
      <c r="AF516" s="1536">
        <f t="shared" si="469"/>
        <v>0</v>
      </c>
      <c r="AH516" s="1537">
        <f t="shared" si="470"/>
        <v>19500000.333333332</v>
      </c>
      <c r="AI516" s="1537">
        <f t="shared" si="471"/>
        <v>13000000.333333332</v>
      </c>
      <c r="AJ516" s="1537">
        <f t="shared" si="472"/>
        <v>6500000.3333333321</v>
      </c>
      <c r="AK516" s="1537">
        <f t="shared" si="473"/>
        <v>1000</v>
      </c>
      <c r="AL516" s="1537">
        <f t="shared" si="474"/>
        <v>1000</v>
      </c>
      <c r="AM516" s="1537">
        <f t="shared" si="475"/>
        <v>1000</v>
      </c>
      <c r="AN516" s="1537">
        <f t="shared" si="476"/>
        <v>1000</v>
      </c>
      <c r="AO516" s="1537">
        <f t="shared" si="477"/>
        <v>1000</v>
      </c>
      <c r="AP516" s="1537">
        <f t="shared" si="478"/>
        <v>1000</v>
      </c>
      <c r="AQ516" s="1537">
        <f t="shared" si="479"/>
        <v>1000</v>
      </c>
      <c r="AR516" s="1537">
        <f t="shared" si="480"/>
        <v>1000</v>
      </c>
    </row>
    <row r="517" spans="1:44" x14ac:dyDescent="0.3">
      <c r="A517" s="1498" t="s">
        <v>3796</v>
      </c>
      <c r="C517" s="1498" t="s">
        <v>3688</v>
      </c>
      <c r="D517" s="1563" t="s">
        <v>3037</v>
      </c>
      <c r="E517" s="1518">
        <v>4</v>
      </c>
      <c r="F517" s="1518">
        <f t="shared" si="450"/>
        <v>4</v>
      </c>
      <c r="G517" s="1532">
        <f t="shared" si="451"/>
        <v>0</v>
      </c>
      <c r="H517" s="1533">
        <f t="shared" si="452"/>
        <v>0</v>
      </c>
      <c r="I517" s="1534">
        <f t="shared" si="453"/>
        <v>0.25</v>
      </c>
      <c r="J517" s="1519">
        <v>1500000</v>
      </c>
      <c r="N517" s="1519">
        <v>1500000</v>
      </c>
      <c r="Q517" s="1557">
        <v>218750</v>
      </c>
      <c r="R517" s="1519">
        <f t="shared" si="455"/>
        <v>1500000</v>
      </c>
      <c r="S517" s="1519">
        <f t="shared" si="456"/>
        <v>1281250</v>
      </c>
      <c r="T517" s="1519">
        <f t="shared" si="457"/>
        <v>0</v>
      </c>
      <c r="U517" s="1535">
        <f t="shared" si="458"/>
        <v>31250</v>
      </c>
      <c r="V517" s="1537">
        <f t="shared" si="459"/>
        <v>250000</v>
      </c>
      <c r="W517" s="1519">
        <f t="shared" si="460"/>
        <v>375000</v>
      </c>
      <c r="X517" s="1537">
        <f t="shared" si="461"/>
        <v>375000</v>
      </c>
      <c r="Y517" s="1537">
        <f t="shared" si="462"/>
        <v>375000</v>
      </c>
      <c r="Z517" s="1537">
        <f t="shared" si="463"/>
        <v>124000</v>
      </c>
      <c r="AA517" s="1537">
        <f t="shared" si="464"/>
        <v>0</v>
      </c>
      <c r="AB517" s="1537">
        <f t="shared" si="465"/>
        <v>0</v>
      </c>
      <c r="AC517" s="1537">
        <f t="shared" si="466"/>
        <v>0</v>
      </c>
      <c r="AD517" s="1537">
        <f t="shared" si="467"/>
        <v>0</v>
      </c>
      <c r="AE517" s="1537">
        <f t="shared" si="468"/>
        <v>0</v>
      </c>
      <c r="AF517" s="1536">
        <f t="shared" si="469"/>
        <v>0</v>
      </c>
      <c r="AH517" s="1537">
        <f t="shared" si="470"/>
        <v>1250000</v>
      </c>
      <c r="AI517" s="1537">
        <f t="shared" si="471"/>
        <v>875000</v>
      </c>
      <c r="AJ517" s="1537">
        <f t="shared" si="472"/>
        <v>500000</v>
      </c>
      <c r="AK517" s="1537">
        <f t="shared" si="473"/>
        <v>125000</v>
      </c>
      <c r="AL517" s="1537">
        <f t="shared" si="474"/>
        <v>1000</v>
      </c>
      <c r="AM517" s="1537">
        <f t="shared" si="475"/>
        <v>1000</v>
      </c>
      <c r="AN517" s="1537">
        <f t="shared" si="476"/>
        <v>1000</v>
      </c>
      <c r="AO517" s="1537">
        <f t="shared" si="477"/>
        <v>1000</v>
      </c>
      <c r="AP517" s="1537">
        <f t="shared" si="478"/>
        <v>1000</v>
      </c>
      <c r="AQ517" s="1537">
        <f t="shared" si="479"/>
        <v>1000</v>
      </c>
      <c r="AR517" s="1537">
        <f t="shared" si="480"/>
        <v>1000</v>
      </c>
    </row>
    <row r="518" spans="1:44" x14ac:dyDescent="0.3">
      <c r="A518" s="1498" t="s">
        <v>3796</v>
      </c>
      <c r="C518" s="1498" t="s">
        <v>3689</v>
      </c>
      <c r="D518" s="1563" t="s">
        <v>3547</v>
      </c>
      <c r="E518" s="1518">
        <v>4</v>
      </c>
      <c r="F518" s="1518">
        <f t="shared" si="450"/>
        <v>4</v>
      </c>
      <c r="G518" s="1532">
        <f t="shared" si="451"/>
        <v>0</v>
      </c>
      <c r="H518" s="1533">
        <f t="shared" si="452"/>
        <v>0</v>
      </c>
      <c r="I518" s="1534">
        <f t="shared" si="453"/>
        <v>0.25</v>
      </c>
      <c r="J518" s="1519">
        <v>1500000</v>
      </c>
      <c r="N518" s="1519">
        <v>1500000</v>
      </c>
      <c r="Q518" s="1557">
        <v>218750</v>
      </c>
      <c r="R518" s="1519">
        <f t="shared" si="455"/>
        <v>1500000</v>
      </c>
      <c r="S518" s="1519">
        <f t="shared" si="456"/>
        <v>1281250</v>
      </c>
      <c r="T518" s="1519">
        <f t="shared" si="457"/>
        <v>0</v>
      </c>
      <c r="U518" s="1535">
        <f t="shared" si="458"/>
        <v>31250</v>
      </c>
      <c r="V518" s="1537">
        <f t="shared" si="459"/>
        <v>250000</v>
      </c>
      <c r="W518" s="1519">
        <f t="shared" si="460"/>
        <v>375000</v>
      </c>
      <c r="X518" s="1537">
        <f t="shared" si="461"/>
        <v>375000</v>
      </c>
      <c r="Y518" s="1537">
        <f t="shared" si="462"/>
        <v>375000</v>
      </c>
      <c r="Z518" s="1537">
        <f t="shared" si="463"/>
        <v>124000</v>
      </c>
      <c r="AA518" s="1537">
        <f t="shared" si="464"/>
        <v>0</v>
      </c>
      <c r="AB518" s="1537">
        <f t="shared" si="465"/>
        <v>0</v>
      </c>
      <c r="AC518" s="1537">
        <f t="shared" si="466"/>
        <v>0</v>
      </c>
      <c r="AD518" s="1537">
        <f t="shared" si="467"/>
        <v>0</v>
      </c>
      <c r="AE518" s="1537">
        <f t="shared" si="468"/>
        <v>0</v>
      </c>
      <c r="AF518" s="1536">
        <f t="shared" si="469"/>
        <v>0</v>
      </c>
      <c r="AH518" s="1537">
        <f t="shared" si="470"/>
        <v>1250000</v>
      </c>
      <c r="AI518" s="1537">
        <f t="shared" si="471"/>
        <v>875000</v>
      </c>
      <c r="AJ518" s="1537">
        <f t="shared" si="472"/>
        <v>500000</v>
      </c>
      <c r="AK518" s="1537">
        <f t="shared" si="473"/>
        <v>125000</v>
      </c>
      <c r="AL518" s="1537">
        <f t="shared" si="474"/>
        <v>1000</v>
      </c>
      <c r="AM518" s="1537">
        <f t="shared" si="475"/>
        <v>1000</v>
      </c>
      <c r="AN518" s="1537">
        <f t="shared" si="476"/>
        <v>1000</v>
      </c>
      <c r="AO518" s="1537">
        <f t="shared" si="477"/>
        <v>1000</v>
      </c>
      <c r="AP518" s="1537">
        <f t="shared" si="478"/>
        <v>1000</v>
      </c>
      <c r="AQ518" s="1537">
        <f t="shared" si="479"/>
        <v>1000</v>
      </c>
      <c r="AR518" s="1537">
        <f t="shared" si="480"/>
        <v>1000</v>
      </c>
    </row>
    <row r="519" spans="1:44" x14ac:dyDescent="0.3">
      <c r="A519" s="1498" t="s">
        <v>3796</v>
      </c>
      <c r="C519" s="1498" t="s">
        <v>3690</v>
      </c>
      <c r="D519" s="1563" t="s">
        <v>3713</v>
      </c>
      <c r="E519" s="1518">
        <v>4</v>
      </c>
      <c r="F519" s="1518">
        <f t="shared" si="450"/>
        <v>4</v>
      </c>
      <c r="G519" s="1532">
        <f t="shared" si="451"/>
        <v>0</v>
      </c>
      <c r="H519" s="1533">
        <f t="shared" si="452"/>
        <v>0</v>
      </c>
      <c r="I519" s="1534">
        <f t="shared" si="453"/>
        <v>0.25</v>
      </c>
      <c r="J519" s="1519">
        <v>3184000</v>
      </c>
      <c r="N519" s="1519">
        <v>3184000</v>
      </c>
      <c r="Q519" s="1557">
        <v>66333</v>
      </c>
      <c r="R519" s="1519">
        <f t="shared" si="455"/>
        <v>3184000</v>
      </c>
      <c r="S519" s="1519">
        <f t="shared" si="456"/>
        <v>3117667</v>
      </c>
      <c r="T519" s="1519">
        <f t="shared" si="457"/>
        <v>0</v>
      </c>
      <c r="U519" s="1535">
        <f t="shared" si="458"/>
        <v>66333.333333333328</v>
      </c>
      <c r="V519" s="1537">
        <f t="shared" si="459"/>
        <v>132666.33333333331</v>
      </c>
      <c r="W519" s="1519">
        <f t="shared" si="460"/>
        <v>796000</v>
      </c>
      <c r="X519" s="1537">
        <f t="shared" si="461"/>
        <v>796000</v>
      </c>
      <c r="Y519" s="1537">
        <f t="shared" si="462"/>
        <v>796000</v>
      </c>
      <c r="Z519" s="1537">
        <f t="shared" si="463"/>
        <v>662333.66666666651</v>
      </c>
      <c r="AA519" s="1537">
        <f t="shared" si="464"/>
        <v>0</v>
      </c>
      <c r="AB519" s="1537">
        <f t="shared" si="465"/>
        <v>0</v>
      </c>
      <c r="AC519" s="1537">
        <f t="shared" si="466"/>
        <v>0</v>
      </c>
      <c r="AD519" s="1537">
        <f t="shared" si="467"/>
        <v>0</v>
      </c>
      <c r="AE519" s="1537">
        <f t="shared" si="468"/>
        <v>0</v>
      </c>
      <c r="AF519" s="1536">
        <f t="shared" si="469"/>
        <v>0</v>
      </c>
      <c r="AH519" s="1537">
        <f t="shared" si="470"/>
        <v>3051333.6666666665</v>
      </c>
      <c r="AI519" s="1537">
        <f t="shared" si="471"/>
        <v>2255333.6666666665</v>
      </c>
      <c r="AJ519" s="1537">
        <f t="shared" si="472"/>
        <v>1459333.6666666665</v>
      </c>
      <c r="AK519" s="1537">
        <f t="shared" si="473"/>
        <v>663333.66666666651</v>
      </c>
      <c r="AL519" s="1537">
        <f t="shared" si="474"/>
        <v>1000</v>
      </c>
      <c r="AM519" s="1537">
        <f t="shared" si="475"/>
        <v>1000</v>
      </c>
      <c r="AN519" s="1537">
        <f t="shared" si="476"/>
        <v>1000</v>
      </c>
      <c r="AO519" s="1537">
        <f t="shared" si="477"/>
        <v>1000</v>
      </c>
      <c r="AP519" s="1537">
        <f t="shared" si="478"/>
        <v>1000</v>
      </c>
      <c r="AQ519" s="1537">
        <f t="shared" si="479"/>
        <v>1000</v>
      </c>
      <c r="AR519" s="1537">
        <f t="shared" si="480"/>
        <v>1000</v>
      </c>
    </row>
    <row r="520" spans="1:44" x14ac:dyDescent="0.3">
      <c r="B520" s="1541" t="s">
        <v>2925</v>
      </c>
      <c r="C520" s="1541"/>
      <c r="D520" s="1542"/>
      <c r="E520" s="1543"/>
      <c r="F520" s="1543"/>
      <c r="G520" s="1543"/>
      <c r="H520" s="1543"/>
      <c r="I520" s="1541"/>
      <c r="J520" s="1541"/>
      <c r="K520" s="1541"/>
      <c r="L520" s="1541"/>
      <c r="M520" s="1541"/>
      <c r="N520" s="1541"/>
      <c r="O520" s="1541"/>
      <c r="P520" s="1541"/>
      <c r="Q520" s="1544">
        <f>SUM(Q471:Q519)</f>
        <v>60547488</v>
      </c>
      <c r="R520" s="1544"/>
      <c r="S520" s="1541"/>
      <c r="T520" s="1541"/>
      <c r="U520" s="1568">
        <f t="shared" ref="U520:AF520" si="482">SUM(U471:U519)</f>
        <v>4683790.729166667</v>
      </c>
      <c r="V520" s="1544">
        <f t="shared" si="482"/>
        <v>65231278.729166672</v>
      </c>
      <c r="W520" s="1544">
        <f t="shared" si="482"/>
        <v>21832407.083333336</v>
      </c>
      <c r="X520" s="1544">
        <f t="shared" si="482"/>
        <v>10755990.416666668</v>
      </c>
      <c r="Y520" s="1544">
        <f t="shared" si="482"/>
        <v>9021650.104166666</v>
      </c>
      <c r="Z520" s="1544">
        <f t="shared" si="482"/>
        <v>910333.66666666651</v>
      </c>
      <c r="AA520" s="1545">
        <f t="shared" si="482"/>
        <v>0</v>
      </c>
      <c r="AB520" s="1545">
        <f t="shared" si="482"/>
        <v>0</v>
      </c>
      <c r="AC520" s="1545">
        <f t="shared" si="482"/>
        <v>0</v>
      </c>
      <c r="AD520" s="1545">
        <f t="shared" si="482"/>
        <v>0</v>
      </c>
      <c r="AE520" s="1546">
        <f t="shared" si="482"/>
        <v>0</v>
      </c>
      <c r="AF520" s="1547">
        <f t="shared" si="482"/>
        <v>0</v>
      </c>
      <c r="AG520" s="1541"/>
      <c r="AH520" s="1545">
        <f t="shared" ref="AH520:AR520" si="483">SUM(AH471:AH519)</f>
        <v>42533381.270833328</v>
      </c>
      <c r="AI520" s="1545">
        <f t="shared" si="483"/>
        <v>20700974.1875</v>
      </c>
      <c r="AJ520" s="1545">
        <f t="shared" si="483"/>
        <v>9944983.7708333321</v>
      </c>
      <c r="AK520" s="1545">
        <f t="shared" si="483"/>
        <v>923333.66666666651</v>
      </c>
      <c r="AL520" s="1545">
        <f t="shared" si="483"/>
        <v>13000</v>
      </c>
      <c r="AM520" s="1545">
        <f t="shared" si="483"/>
        <v>13000</v>
      </c>
      <c r="AN520" s="1545">
        <f t="shared" si="483"/>
        <v>13000</v>
      </c>
      <c r="AO520" s="1545">
        <f t="shared" si="483"/>
        <v>13000</v>
      </c>
      <c r="AP520" s="1545">
        <f t="shared" si="483"/>
        <v>13000</v>
      </c>
      <c r="AQ520" s="1545">
        <f t="shared" si="483"/>
        <v>13000</v>
      </c>
      <c r="AR520" s="1545">
        <f t="shared" si="483"/>
        <v>13000</v>
      </c>
    </row>
    <row r="522" spans="1:44" x14ac:dyDescent="0.3">
      <c r="B522" s="1498" t="s">
        <v>3714</v>
      </c>
      <c r="C522" s="1498" t="s">
        <v>3715</v>
      </c>
      <c r="D522" s="1563">
        <v>39227</v>
      </c>
      <c r="J522" s="1519">
        <v>27360000</v>
      </c>
      <c r="N522" s="1519">
        <v>27360000</v>
      </c>
      <c r="R522" s="1519">
        <f t="shared" ref="R522" si="484">J522+O522-P522</f>
        <v>27360000</v>
      </c>
      <c r="S522" s="1519">
        <f t="shared" ref="S522" si="485">ROUND(N522+O522-P522-Q522,)</f>
        <v>27360000</v>
      </c>
      <c r="T522" s="1519">
        <f t="shared" ref="T522" si="486">J522-K522-L522+M522+O522-P522-Q522-S522</f>
        <v>0</v>
      </c>
      <c r="U522" s="1535">
        <f t="shared" ref="U522" si="487">IF(S522&gt;1000,IF(S522-R522*(1/12)*I522&gt;1000,R522*(1/12)*I522,S522-1000),)</f>
        <v>0</v>
      </c>
      <c r="V522" s="1537">
        <f t="shared" ref="V522" si="488">Q522+U522</f>
        <v>0</v>
      </c>
      <c r="W522" s="1519">
        <f t="shared" ref="W522" si="489">IF(AH522&gt;1000,IF(AH522-$I522*$R522&gt;1000,$I522*$R522,AH522-1000),)</f>
        <v>0</v>
      </c>
      <c r="X522" s="1537">
        <f t="shared" ref="X522" si="490">IF(AI522&gt;1000,IF(AI522-$I522*$R522&gt;1000,$I522*$R522,AI522-1000),)</f>
        <v>0</v>
      </c>
      <c r="Y522" s="1537">
        <f t="shared" ref="Y522" si="491">IF(AJ522&gt;1000,IF(AJ522-$I522*$R522&gt;1000,$I522*$R522,AJ522-1000),)</f>
        <v>0</v>
      </c>
      <c r="Z522" s="1537">
        <f t="shared" ref="Z522" si="492">IF(AK522&gt;1000,IF(AK522-$I522*$R522&gt;1000,$I522*$R522,AK522-1000),)</f>
        <v>0</v>
      </c>
      <c r="AA522" s="1537">
        <f t="shared" ref="AA522" si="493">IF(AL522&gt;1000,IF(AL522-$I522*$R522&gt;1000,$I522*$R522,AL522-1000),)</f>
        <v>0</v>
      </c>
      <c r="AB522" s="1537">
        <f t="shared" ref="AB522" si="494">IF(AM522&gt;1000,IF(AM522-$I522*$R522&gt;1000,$I522*$R522,AM522-1000),)</f>
        <v>0</v>
      </c>
      <c r="AC522" s="1537">
        <f t="shared" ref="AC522" si="495">IF(AN522&gt;1000,IF(AN522-$I522*$R522&gt;1000,$I522*$R522,AN522-1000),)</f>
        <v>0</v>
      </c>
      <c r="AD522" s="1537">
        <f t="shared" ref="AD522" si="496">IF(AO522&gt;1000,IF(AO522-$I522*$R522&gt;1000,$I522*$R522,AO522-1000),)</f>
        <v>0</v>
      </c>
      <c r="AE522" s="1537">
        <f t="shared" ref="AE522" si="497">IF(AP522&gt;1000,IF(AP522-$I522*$R522&gt;1000,$I522*$R522,AP522-1000),)</f>
        <v>0</v>
      </c>
      <c r="AF522" s="1536">
        <f t="shared" ref="AF522" si="498">IF(AQ522&gt;1000,IF(AQ522-$I522*$R522&gt;1000,$I522*$R522,AQ522-1000),)</f>
        <v>0</v>
      </c>
      <c r="AH522" s="1537">
        <f t="shared" ref="AH522" si="499">S522-U522</f>
        <v>27360000</v>
      </c>
      <c r="AI522" s="1537">
        <f t="shared" ref="AI522" si="500">AH522-W522</f>
        <v>27360000</v>
      </c>
      <c r="AJ522" s="1537">
        <f t="shared" ref="AJ522" si="501">AI522-X522</f>
        <v>27360000</v>
      </c>
      <c r="AK522" s="1537">
        <f t="shared" ref="AK522" si="502">AJ522-Y522</f>
        <v>27360000</v>
      </c>
      <c r="AL522" s="1537">
        <f t="shared" ref="AL522" si="503">AK522-Z522</f>
        <v>27360000</v>
      </c>
      <c r="AM522" s="1537">
        <f t="shared" ref="AM522" si="504">AL522-AA522</f>
        <v>27360000</v>
      </c>
      <c r="AN522" s="1537">
        <f t="shared" ref="AN522" si="505">AM522-AB522</f>
        <v>27360000</v>
      </c>
      <c r="AO522" s="1537">
        <f t="shared" ref="AO522" si="506">AN522-AC522</f>
        <v>27360000</v>
      </c>
      <c r="AP522" s="1537">
        <f t="shared" ref="AP522" si="507">AO522-AD522</f>
        <v>27360000</v>
      </c>
      <c r="AQ522" s="1537">
        <f t="shared" ref="AQ522" si="508">AP522-AE522</f>
        <v>27360000</v>
      </c>
      <c r="AR522" s="1537">
        <f t="shared" ref="AR522" si="509">AQ522-AF522</f>
        <v>27360000</v>
      </c>
    </row>
    <row r="523" spans="1:44" x14ac:dyDescent="0.3">
      <c r="B523" s="1541" t="s">
        <v>3716</v>
      </c>
      <c r="C523" s="1541"/>
      <c r="D523" s="1542"/>
      <c r="E523" s="1543"/>
      <c r="F523" s="1543"/>
      <c r="G523" s="1543"/>
      <c r="H523" s="1543"/>
      <c r="I523" s="1541"/>
      <c r="J523" s="1541"/>
      <c r="K523" s="1541"/>
      <c r="L523" s="1541"/>
      <c r="M523" s="1541"/>
      <c r="N523" s="1541"/>
      <c r="O523" s="1541"/>
      <c r="P523" s="1541"/>
      <c r="Q523" s="1544">
        <f>SUM(Q522)</f>
        <v>0</v>
      </c>
      <c r="R523" s="1544"/>
      <c r="S523" s="1541"/>
      <c r="T523" s="1541"/>
      <c r="U523" s="1568">
        <f t="shared" ref="U523" si="510">SUM(U522)</f>
        <v>0</v>
      </c>
      <c r="V523" s="1544">
        <f t="shared" ref="V523" si="511">SUM(V522)</f>
        <v>0</v>
      </c>
      <c r="W523" s="1544">
        <f t="shared" ref="W523" si="512">SUM(W522)</f>
        <v>0</v>
      </c>
      <c r="X523" s="1544">
        <f t="shared" ref="X523" si="513">SUM(X522)</f>
        <v>0</v>
      </c>
      <c r="Y523" s="1544">
        <f t="shared" ref="Y523" si="514">SUM(Y522)</f>
        <v>0</v>
      </c>
      <c r="Z523" s="1544">
        <f t="shared" ref="Z523" si="515">SUM(Z522)</f>
        <v>0</v>
      </c>
      <c r="AA523" s="1545">
        <f t="shared" ref="AA523" si="516">SUM(AA522)</f>
        <v>0</v>
      </c>
      <c r="AB523" s="1545">
        <f t="shared" ref="AB523" si="517">SUM(AB522)</f>
        <v>0</v>
      </c>
      <c r="AC523" s="1545">
        <f t="shared" ref="AC523" si="518">SUM(AC522)</f>
        <v>0</v>
      </c>
      <c r="AD523" s="1545">
        <f t="shared" ref="AD523" si="519">SUM(AD522)</f>
        <v>0</v>
      </c>
      <c r="AE523" s="1546">
        <f t="shared" ref="AE523" si="520">SUM(AE522)</f>
        <v>0</v>
      </c>
      <c r="AF523" s="1547">
        <f t="shared" ref="AF523" si="521">SUM(AF522)</f>
        <v>0</v>
      </c>
      <c r="AG523" s="1541"/>
      <c r="AH523" s="1545">
        <f t="shared" ref="AH523" si="522">SUM(AH522)</f>
        <v>27360000</v>
      </c>
      <c r="AI523" s="1545">
        <f t="shared" ref="AI523" si="523">SUM(AI522)</f>
        <v>27360000</v>
      </c>
      <c r="AJ523" s="1545">
        <f t="shared" ref="AJ523" si="524">SUM(AJ522)</f>
        <v>27360000</v>
      </c>
      <c r="AK523" s="1545">
        <f t="shared" ref="AK523" si="525">SUM(AK522)</f>
        <v>27360000</v>
      </c>
      <c r="AL523" s="1545">
        <f t="shared" ref="AL523" si="526">SUM(AL522)</f>
        <v>27360000</v>
      </c>
      <c r="AM523" s="1545">
        <f t="shared" ref="AM523" si="527">SUM(AM522)</f>
        <v>27360000</v>
      </c>
      <c r="AN523" s="1545">
        <f t="shared" ref="AN523" si="528">SUM(AN522)</f>
        <v>27360000</v>
      </c>
      <c r="AO523" s="1545">
        <f t="shared" ref="AO523" si="529">SUM(AO522)</f>
        <v>27360000</v>
      </c>
      <c r="AP523" s="1545">
        <f t="shared" ref="AP523" si="530">SUM(AP522)</f>
        <v>27360000</v>
      </c>
      <c r="AQ523" s="1545">
        <f t="shared" ref="AQ523" si="531">SUM(AQ522)</f>
        <v>27360000</v>
      </c>
      <c r="AR523" s="1545">
        <f t="shared" ref="AR523" si="532">SUM(AR522)</f>
        <v>27360000</v>
      </c>
    </row>
    <row r="525" spans="1:44" s="1555" customFormat="1" x14ac:dyDescent="0.3">
      <c r="B525" s="1555" t="s">
        <v>3717</v>
      </c>
      <c r="C525" s="1555" t="s">
        <v>3718</v>
      </c>
      <c r="D525" s="1507"/>
      <c r="E525" s="1556"/>
      <c r="F525" s="1556"/>
      <c r="G525" s="1556"/>
      <c r="H525" s="1556"/>
      <c r="I525" s="1555">
        <v>0.20000000000000029</v>
      </c>
      <c r="J525" s="1557">
        <v>226784000</v>
      </c>
      <c r="K525" s="1557">
        <v>86911436</v>
      </c>
      <c r="N525" s="1557">
        <v>139872564</v>
      </c>
      <c r="O525" s="1557">
        <v>11970000</v>
      </c>
      <c r="Q525" s="1557">
        <v>42617113</v>
      </c>
      <c r="R525" s="1557">
        <f t="shared" ref="R525" si="533">J525+O525-P525</f>
        <v>238754000</v>
      </c>
      <c r="S525" s="1557">
        <f t="shared" ref="S525" si="534">ROUND(N525+O525-P525-Q525,)</f>
        <v>109225451</v>
      </c>
      <c r="T525" s="1557">
        <f t="shared" ref="T525" si="535">J525-K525-L525+M525+O525-P525-Q525-S525</f>
        <v>0</v>
      </c>
      <c r="U525" s="1535">
        <f t="shared" ref="U525" si="536">IF(S525&gt;1000,IF(S525-R525*(1/12)*I525&gt;1000,R525*(1/12)*I525,S525-1000),)</f>
        <v>3979233.3333333386</v>
      </c>
      <c r="V525" s="1537">
        <f t="shared" ref="V525" si="537">Q525+U525</f>
        <v>46596346.333333336</v>
      </c>
      <c r="W525" s="1519">
        <f t="shared" ref="W525" si="538">IF(AH525&gt;1000,IF(AH525-$I525*$R525&gt;1000,$I525*$R525,AH525-1000),)</f>
        <v>47750800.000000067</v>
      </c>
      <c r="X525" s="1537">
        <f t="shared" ref="X525" si="539">IF(AI525&gt;1000,IF(AI525-$I525*$R525&gt;1000,$I525*$R525,AI525-1000),)</f>
        <v>47750800.000000067</v>
      </c>
      <c r="Y525" s="1537">
        <f t="shared" ref="Y525" si="540">IF(AJ525&gt;1000,IF(AJ525-$I525*$R525&gt;1000,$I525*$R525,AJ525-1000),)</f>
        <v>9743617.6666665226</v>
      </c>
      <c r="Z525" s="1537">
        <f t="shared" ref="Z525" si="541">IF(AK525&gt;1000,IF(AK525-$I525*$R525&gt;1000,$I525*$R525,AK525-1000),)</f>
        <v>0</v>
      </c>
      <c r="AA525" s="1537">
        <f t="shared" ref="AA525" si="542">IF(AL525&gt;1000,IF(AL525-$I525*$R525&gt;1000,$I525*$R525,AL525-1000),)</f>
        <v>0</v>
      </c>
      <c r="AB525" s="1537">
        <f t="shared" ref="AB525" si="543">IF(AM525&gt;1000,IF(AM525-$I525*$R525&gt;1000,$I525*$R525,AM525-1000),)</f>
        <v>0</v>
      </c>
      <c r="AC525" s="1537">
        <f t="shared" ref="AC525" si="544">IF(AN525&gt;1000,IF(AN525-$I525*$R525&gt;1000,$I525*$R525,AN525-1000),)</f>
        <v>0</v>
      </c>
      <c r="AD525" s="1537">
        <f t="shared" ref="AD525" si="545">IF(AO525&gt;1000,IF(AO525-$I525*$R525&gt;1000,$I525*$R525,AO525-1000),)</f>
        <v>0</v>
      </c>
      <c r="AE525" s="1537">
        <f t="shared" ref="AE525" si="546">IF(AP525&gt;1000,IF(AP525-$I525*$R525&gt;1000,$I525*$R525,AP525-1000),)</f>
        <v>0</v>
      </c>
      <c r="AF525" s="1536">
        <f t="shared" ref="AF525" si="547">IF(AQ525&gt;1000,IF(AQ525-$I525*$R525&gt;1000,$I525*$R525,AQ525-1000),)</f>
        <v>0</v>
      </c>
      <c r="AH525" s="1537">
        <f t="shared" ref="AH525" si="548">S525-U525</f>
        <v>105246217.66666666</v>
      </c>
      <c r="AI525" s="1537">
        <f t="shared" ref="AI525" si="549">AH525-W525</f>
        <v>57495417.66666659</v>
      </c>
      <c r="AJ525" s="1537">
        <f t="shared" ref="AJ525" si="550">AI525-X525</f>
        <v>9744617.6666665226</v>
      </c>
      <c r="AK525" s="1537">
        <f t="shared" ref="AK525" si="551">AJ525-Y525</f>
        <v>1000</v>
      </c>
      <c r="AL525" s="1537">
        <f t="shared" ref="AL525" si="552">AK525-Z525</f>
        <v>1000</v>
      </c>
      <c r="AM525" s="1537">
        <f t="shared" ref="AM525" si="553">AL525-AA525</f>
        <v>1000</v>
      </c>
      <c r="AN525" s="1537">
        <f t="shared" ref="AN525" si="554">AM525-AB525</f>
        <v>1000</v>
      </c>
      <c r="AO525" s="1537">
        <f t="shared" ref="AO525" si="555">AN525-AC525</f>
        <v>1000</v>
      </c>
      <c r="AP525" s="1537">
        <f t="shared" ref="AP525" si="556">AO525-AD525</f>
        <v>1000</v>
      </c>
      <c r="AQ525" s="1537">
        <f t="shared" ref="AQ525" si="557">AP525-AE525</f>
        <v>1000</v>
      </c>
      <c r="AR525" s="1537">
        <f t="shared" ref="AR525" si="558">AQ525-AF525</f>
        <v>1000</v>
      </c>
    </row>
    <row r="526" spans="1:44" s="1555" customFormat="1" x14ac:dyDescent="0.3">
      <c r="B526" s="1541" t="s">
        <v>3767</v>
      </c>
      <c r="C526" s="1541"/>
      <c r="D526" s="1542"/>
      <c r="E526" s="1543"/>
      <c r="F526" s="1543"/>
      <c r="G526" s="1543"/>
      <c r="H526" s="1543"/>
      <c r="I526" s="1541"/>
      <c r="J526" s="1541"/>
      <c r="K526" s="1541"/>
      <c r="L526" s="1541"/>
      <c r="M526" s="1541"/>
      <c r="N526" s="1541"/>
      <c r="O526" s="1541"/>
      <c r="P526" s="1541"/>
      <c r="Q526" s="1544">
        <f>SUM(Q525)</f>
        <v>42617113</v>
      </c>
      <c r="R526" s="1544"/>
      <c r="S526" s="1541"/>
      <c r="T526" s="1541"/>
      <c r="U526" s="1568">
        <f t="shared" ref="U526:AF526" si="559">SUM(U525)</f>
        <v>3979233.3333333386</v>
      </c>
      <c r="V526" s="1544">
        <f t="shared" si="559"/>
        <v>46596346.333333336</v>
      </c>
      <c r="W526" s="1544">
        <f t="shared" si="559"/>
        <v>47750800.000000067</v>
      </c>
      <c r="X526" s="1544">
        <f t="shared" si="559"/>
        <v>47750800.000000067</v>
      </c>
      <c r="Y526" s="1544">
        <f t="shared" si="559"/>
        <v>9743617.6666665226</v>
      </c>
      <c r="Z526" s="1544">
        <f t="shared" si="559"/>
        <v>0</v>
      </c>
      <c r="AA526" s="1545">
        <f t="shared" si="559"/>
        <v>0</v>
      </c>
      <c r="AB526" s="1545">
        <f t="shared" si="559"/>
        <v>0</v>
      </c>
      <c r="AC526" s="1545">
        <f t="shared" si="559"/>
        <v>0</v>
      </c>
      <c r="AD526" s="1545">
        <f t="shared" si="559"/>
        <v>0</v>
      </c>
      <c r="AE526" s="1546">
        <f t="shared" si="559"/>
        <v>0</v>
      </c>
      <c r="AF526" s="1547">
        <f t="shared" si="559"/>
        <v>0</v>
      </c>
      <c r="AG526" s="1541"/>
      <c r="AH526" s="1545">
        <f t="shared" ref="AH526:AR526" si="560">SUM(AH525)</f>
        <v>105246217.66666666</v>
      </c>
      <c r="AI526" s="1545">
        <f t="shared" si="560"/>
        <v>57495417.66666659</v>
      </c>
      <c r="AJ526" s="1545">
        <f t="shared" si="560"/>
        <v>9744617.6666665226</v>
      </c>
      <c r="AK526" s="1545">
        <f t="shared" si="560"/>
        <v>1000</v>
      </c>
      <c r="AL526" s="1545">
        <f t="shared" si="560"/>
        <v>1000</v>
      </c>
      <c r="AM526" s="1545">
        <f t="shared" si="560"/>
        <v>1000</v>
      </c>
      <c r="AN526" s="1545">
        <f t="shared" si="560"/>
        <v>1000</v>
      </c>
      <c r="AO526" s="1545">
        <f t="shared" si="560"/>
        <v>1000</v>
      </c>
      <c r="AP526" s="1545">
        <f t="shared" si="560"/>
        <v>1000</v>
      </c>
      <c r="AQ526" s="1545">
        <f t="shared" si="560"/>
        <v>1000</v>
      </c>
      <c r="AR526" s="1545">
        <f t="shared" si="560"/>
        <v>1000</v>
      </c>
    </row>
  </sheetData>
  <dataConsolidate/>
  <mergeCells count="21">
    <mergeCell ref="N22:N23"/>
    <mergeCell ref="O22:O23"/>
    <mergeCell ref="R22:R23"/>
    <mergeCell ref="M22:M23"/>
    <mergeCell ref="B22:B23"/>
    <mergeCell ref="C22:C23"/>
    <mergeCell ref="D22:D23"/>
    <mergeCell ref="E22:E23"/>
    <mergeCell ref="F22:F23"/>
    <mergeCell ref="G22:G23"/>
    <mergeCell ref="H22:H23"/>
    <mergeCell ref="I22:I23"/>
    <mergeCell ref="J22:J23"/>
    <mergeCell ref="K22:K23"/>
    <mergeCell ref="L22:L23"/>
    <mergeCell ref="P22:P23"/>
    <mergeCell ref="Q22:Q23"/>
    <mergeCell ref="S22:S23"/>
    <mergeCell ref="T22:T23"/>
    <mergeCell ref="AH22:AR22"/>
    <mergeCell ref="U22:AF22"/>
  </mergeCells>
  <phoneticPr fontId="1"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B1:BK105"/>
  <sheetViews>
    <sheetView showGridLines="0" zoomScale="85" zoomScaleNormal="85" workbookViewId="0">
      <selection activeCell="L6" sqref="L6"/>
    </sheetView>
  </sheetViews>
  <sheetFormatPr defaultRowHeight="13.5" customHeight="1" x14ac:dyDescent="0.3"/>
  <cols>
    <col min="1" max="1" width="1.25" style="825" customWidth="1"/>
    <col min="2" max="2" width="10.625" style="825" customWidth="1"/>
    <col min="3" max="15" width="11.875" style="825" customWidth="1"/>
    <col min="16" max="19" width="9" style="825"/>
    <col min="20" max="20" width="9.625" style="691" customWidth="1"/>
    <col min="21" max="22" width="12.625" style="691" customWidth="1"/>
    <col min="23" max="27" width="13.625" style="691" customWidth="1"/>
    <col min="28" max="28" width="9" style="825"/>
    <col min="29" max="29" width="9.625" style="691" customWidth="1"/>
    <col min="30" max="31" width="12.625" style="691" customWidth="1"/>
    <col min="32" max="36" width="13.625" style="691" customWidth="1"/>
    <col min="37" max="37" width="9" style="825"/>
    <col min="38" max="38" width="9.625" style="691" customWidth="1"/>
    <col min="39" max="40" width="12.625" style="691" customWidth="1"/>
    <col min="41" max="45" width="13.625" style="691" customWidth="1"/>
    <col min="46" max="46" width="9" style="825"/>
    <col min="47" max="47" width="9.625" style="691" customWidth="1"/>
    <col min="48" max="49" width="12.625" style="691" customWidth="1"/>
    <col min="50" max="54" width="13.625" style="691" customWidth="1"/>
    <col min="55" max="55" width="9" style="825"/>
    <col min="56" max="56" width="9.625" style="691" customWidth="1"/>
    <col min="57" max="58" width="12.625" style="691" customWidth="1"/>
    <col min="59" max="63" width="13.625" style="691" customWidth="1"/>
    <col min="64" max="16384" width="9" style="825"/>
  </cols>
  <sheetData>
    <row r="1" spans="2:63" s="691" customFormat="1" ht="30" customHeight="1" x14ac:dyDescent="0.3">
      <c r="B1" s="58" t="str">
        <f>"Project"&amp;" "&amp;Title!L6</f>
        <v>Project IT</v>
      </c>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row>
    <row r="2" spans="2:63" s="691" customFormat="1" ht="20.100000000000001" customHeight="1" x14ac:dyDescent="0.3">
      <c r="B2" s="51" t="s">
        <v>3889</v>
      </c>
      <c r="C2" s="51"/>
      <c r="D2" s="51"/>
      <c r="E2" s="51"/>
      <c r="F2" s="51"/>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row>
    <row r="3" spans="2:63" s="691" customFormat="1" ht="14.1" customHeight="1" x14ac:dyDescent="0.3"/>
    <row r="4" spans="2:63" ht="13.5" customHeight="1" x14ac:dyDescent="0.3">
      <c r="B4" s="1731" t="s">
        <v>3892</v>
      </c>
      <c r="C4" s="184"/>
      <c r="D4" s="1420"/>
      <c r="E4" s="1420"/>
      <c r="F4" s="1420"/>
      <c r="G4" s="1420"/>
      <c r="H4" s="1420"/>
      <c r="I4" s="1420"/>
      <c r="J4" s="1421"/>
      <c r="K4" s="1421"/>
      <c r="L4" s="1421"/>
      <c r="M4" s="1421"/>
      <c r="N4" s="1421"/>
    </row>
    <row r="5" spans="2:63" ht="13.5" customHeight="1" x14ac:dyDescent="0.3">
      <c r="B5" s="1405" t="s">
        <v>2556</v>
      </c>
      <c r="C5" s="1405" t="s">
        <v>3890</v>
      </c>
      <c r="D5" s="1405">
        <v>2008</v>
      </c>
      <c r="E5" s="1405">
        <v>2009</v>
      </c>
      <c r="F5" s="1405">
        <v>2010</v>
      </c>
      <c r="G5" s="1405">
        <v>2011</v>
      </c>
      <c r="H5" s="1405">
        <v>2012</v>
      </c>
      <c r="I5" s="1405">
        <v>2013</v>
      </c>
      <c r="J5" s="1405">
        <v>2014</v>
      </c>
      <c r="K5" s="1422">
        <v>2015</v>
      </c>
      <c r="L5" s="1422">
        <v>2016</v>
      </c>
      <c r="M5" s="1422">
        <v>2017</v>
      </c>
      <c r="N5" s="1422">
        <v>2018</v>
      </c>
      <c r="O5" s="1422">
        <v>2018</v>
      </c>
      <c r="T5" s="400" t="s">
        <v>3948</v>
      </c>
      <c r="V5" s="400"/>
      <c r="W5" s="400"/>
      <c r="X5" s="400"/>
      <c r="Y5" s="400"/>
      <c r="Z5" s="400"/>
      <c r="AA5" s="400"/>
      <c r="AC5" s="400" t="s">
        <v>3948</v>
      </c>
      <c r="AE5" s="400"/>
      <c r="AF5" s="400"/>
      <c r="AG5" s="400"/>
      <c r="AH5" s="400"/>
      <c r="AI5" s="400"/>
      <c r="AJ5" s="400"/>
      <c r="AL5" s="400" t="s">
        <v>3948</v>
      </c>
      <c r="AN5" s="400"/>
      <c r="AO5" s="400"/>
      <c r="AP5" s="400"/>
      <c r="AQ5" s="400"/>
      <c r="AR5" s="400"/>
      <c r="AS5" s="400"/>
      <c r="AU5" s="400" t="s">
        <v>3948</v>
      </c>
      <c r="AW5" s="400"/>
      <c r="AX5" s="400"/>
      <c r="AY5" s="400"/>
      <c r="AZ5" s="400"/>
      <c r="BA5" s="400"/>
      <c r="BB5" s="400"/>
      <c r="BD5" s="400" t="s">
        <v>3948</v>
      </c>
      <c r="BF5" s="400"/>
      <c r="BG5" s="400"/>
      <c r="BH5" s="400"/>
      <c r="BI5" s="400"/>
      <c r="BJ5" s="400"/>
      <c r="BK5" s="400"/>
    </row>
    <row r="6" spans="2:63" ht="13.5" customHeight="1" x14ac:dyDescent="0.3">
      <c r="B6" s="1759" t="s">
        <v>3987</v>
      </c>
      <c r="C6" s="1732" t="s">
        <v>3893</v>
      </c>
      <c r="D6" s="1834">
        <v>686330.79099999997</v>
      </c>
      <c r="E6" s="1834">
        <v>811800.77399999998</v>
      </c>
      <c r="F6" s="1834">
        <v>817546.96699999995</v>
      </c>
      <c r="G6" s="1834">
        <v>921612.777</v>
      </c>
      <c r="H6" s="1835">
        <v>1024722.868</v>
      </c>
      <c r="I6" s="1835">
        <v>1049118.2409999999</v>
      </c>
      <c r="J6" s="1836">
        <v>1085540.8570000001</v>
      </c>
      <c r="K6" s="1836">
        <f>W14</f>
        <v>1121340</v>
      </c>
      <c r="L6" s="1836">
        <f t="shared" ref="L6:M6" si="0">X14</f>
        <v>1173920</v>
      </c>
      <c r="M6" s="1836">
        <f t="shared" si="0"/>
        <v>1211550</v>
      </c>
      <c r="N6" s="1734"/>
      <c r="O6" s="1734"/>
      <c r="T6" s="400"/>
      <c r="U6" s="400"/>
      <c r="V6" s="400"/>
      <c r="W6" s="400"/>
      <c r="X6" s="400"/>
      <c r="Y6" s="400"/>
      <c r="Z6" s="400"/>
      <c r="AA6" s="400"/>
      <c r="AC6" s="400"/>
      <c r="AD6" s="400"/>
      <c r="AE6" s="400"/>
      <c r="AF6" s="400"/>
      <c r="AG6" s="400"/>
      <c r="AH6" s="400"/>
      <c r="AI6" s="400"/>
      <c r="AJ6" s="400"/>
      <c r="AL6" s="400"/>
      <c r="AM6" s="400"/>
      <c r="AN6" s="400"/>
      <c r="AO6" s="400"/>
      <c r="AP6" s="400"/>
      <c r="AQ6" s="400"/>
      <c r="AR6" s="400"/>
      <c r="AS6" s="400"/>
      <c r="AU6" s="400"/>
      <c r="AV6" s="400"/>
      <c r="AW6" s="400"/>
      <c r="AX6" s="400"/>
      <c r="AY6" s="400"/>
      <c r="AZ6" s="400"/>
      <c r="BA6" s="400"/>
      <c r="BB6" s="400"/>
      <c r="BD6" s="400"/>
      <c r="BE6" s="400"/>
      <c r="BF6" s="400"/>
      <c r="BG6" s="400"/>
      <c r="BH6" s="400"/>
      <c r="BI6" s="400"/>
      <c r="BJ6" s="400"/>
      <c r="BK6" s="400"/>
    </row>
    <row r="7" spans="2:63" ht="13.5" customHeight="1" x14ac:dyDescent="0.3">
      <c r="B7" s="1409"/>
      <c r="C7" s="1410" t="s">
        <v>2566</v>
      </c>
      <c r="D7" s="1411" t="s">
        <v>92</v>
      </c>
      <c r="E7" s="1412">
        <f>E6/D6-1</f>
        <v>0.18281269709200609</v>
      </c>
      <c r="F7" s="1412">
        <f t="shared" ref="F7:M7" si="1">F6/E6-1</f>
        <v>7.0783290482547834E-3</v>
      </c>
      <c r="G7" s="1412">
        <f t="shared" si="1"/>
        <v>0.12729031382976208</v>
      </c>
      <c r="H7" s="1412">
        <f t="shared" si="1"/>
        <v>0.11188005806043644</v>
      </c>
      <c r="I7" s="1412">
        <f t="shared" si="1"/>
        <v>2.3806800610991941E-2</v>
      </c>
      <c r="J7" s="1424">
        <f t="shared" si="1"/>
        <v>3.4717360328500924E-2</v>
      </c>
      <c r="K7" s="1424">
        <f t="shared" si="1"/>
        <v>3.2978162700328495E-2</v>
      </c>
      <c r="L7" s="1424">
        <f t="shared" si="1"/>
        <v>4.6890327643712038E-2</v>
      </c>
      <c r="M7" s="1424">
        <f t="shared" si="1"/>
        <v>3.2054995229657823E-2</v>
      </c>
      <c r="N7" s="1424"/>
      <c r="O7" s="1424"/>
      <c r="T7" s="1736" t="s">
        <v>3893</v>
      </c>
      <c r="U7" s="400"/>
      <c r="V7" s="1737" t="s">
        <v>3902</v>
      </c>
      <c r="W7" s="400"/>
      <c r="X7" s="400"/>
      <c r="Y7" s="400"/>
      <c r="Z7" s="400"/>
      <c r="AA7" s="400"/>
      <c r="AC7" s="1736" t="s">
        <v>3894</v>
      </c>
      <c r="AD7" s="400"/>
      <c r="AE7" s="1737" t="s">
        <v>3902</v>
      </c>
      <c r="AF7" s="400"/>
      <c r="AG7" s="400"/>
      <c r="AH7" s="400"/>
      <c r="AI7" s="400"/>
      <c r="AJ7" s="400"/>
      <c r="AL7" s="1736" t="s">
        <v>3895</v>
      </c>
      <c r="AM7" s="400"/>
      <c r="AN7" s="1737" t="s">
        <v>3902</v>
      </c>
      <c r="AO7" s="400"/>
      <c r="AP7" s="400"/>
      <c r="AQ7" s="400"/>
      <c r="AR7" s="400"/>
      <c r="AS7" s="400"/>
      <c r="AU7" s="1736" t="s">
        <v>3897</v>
      </c>
      <c r="AV7" s="400"/>
      <c r="AW7" s="1737" t="s">
        <v>3902</v>
      </c>
      <c r="AX7" s="400"/>
      <c r="AY7" s="400"/>
      <c r="AZ7" s="400"/>
      <c r="BA7" s="400"/>
      <c r="BB7" s="400"/>
      <c r="BD7" s="1736" t="s">
        <v>3901</v>
      </c>
      <c r="BE7" s="400"/>
      <c r="BF7" s="1737" t="s">
        <v>3902</v>
      </c>
      <c r="BG7" s="400"/>
      <c r="BH7" s="400"/>
      <c r="BI7" s="400"/>
      <c r="BJ7" s="400"/>
      <c r="BK7" s="400"/>
    </row>
    <row r="8" spans="2:63" ht="13.5" customHeight="1" x14ac:dyDescent="0.3">
      <c r="B8" s="1759" t="s">
        <v>3986</v>
      </c>
      <c r="C8" s="1732" t="s">
        <v>3894</v>
      </c>
      <c r="D8" s="1834">
        <v>3218878.2289999998</v>
      </c>
      <c r="E8" s="1834">
        <v>3682463.0389999999</v>
      </c>
      <c r="F8" s="1834">
        <v>3280342.3330000001</v>
      </c>
      <c r="G8" s="1834">
        <v>3981607.8050000002</v>
      </c>
      <c r="H8" s="1835">
        <v>4377552.2089999998</v>
      </c>
      <c r="I8" s="1835">
        <v>4708561.8360000001</v>
      </c>
      <c r="J8" s="1836">
        <v>4962383.6880000001</v>
      </c>
      <c r="K8" s="1836">
        <f>AF15</f>
        <v>6438600</v>
      </c>
      <c r="L8" s="1836">
        <f t="shared" ref="L8" si="2">AG14</f>
        <v>6950891.666666667</v>
      </c>
      <c r="M8" s="1836">
        <f>AH17</f>
        <v>7367000</v>
      </c>
      <c r="N8" s="1734"/>
      <c r="O8" s="1734"/>
      <c r="T8" s="1738" t="s">
        <v>3903</v>
      </c>
      <c r="U8" s="1739" t="s">
        <v>3891</v>
      </c>
      <c r="V8" s="1738" t="s">
        <v>3904</v>
      </c>
      <c r="W8" s="400"/>
      <c r="X8" s="400"/>
      <c r="Y8" s="400"/>
      <c r="Z8" s="400"/>
      <c r="AA8" s="400"/>
      <c r="AC8" s="1738" t="s">
        <v>3903</v>
      </c>
      <c r="AD8" s="1739" t="s">
        <v>3891</v>
      </c>
      <c r="AE8" s="1738" t="s">
        <v>3904</v>
      </c>
      <c r="AF8" s="400"/>
      <c r="AG8" s="400"/>
      <c r="AH8" s="400"/>
      <c r="AI8" s="400"/>
      <c r="AJ8" s="400"/>
      <c r="AL8" s="1738" t="s">
        <v>3903</v>
      </c>
      <c r="AM8" s="1739" t="s">
        <v>3891</v>
      </c>
      <c r="AN8" s="1738" t="s">
        <v>3904</v>
      </c>
      <c r="AO8" s="400"/>
      <c r="AP8" s="400"/>
      <c r="AQ8" s="400"/>
      <c r="AR8" s="400"/>
      <c r="AS8" s="400"/>
      <c r="AU8" s="1738" t="s">
        <v>3903</v>
      </c>
      <c r="AV8" s="1739" t="s">
        <v>3891</v>
      </c>
      <c r="AW8" s="1738" t="s">
        <v>3904</v>
      </c>
      <c r="AX8" s="400"/>
      <c r="AY8" s="400"/>
      <c r="AZ8" s="400"/>
      <c r="BA8" s="400"/>
      <c r="BB8" s="400"/>
      <c r="BD8" s="1738" t="s">
        <v>3903</v>
      </c>
      <c r="BE8" s="1739" t="s">
        <v>3891</v>
      </c>
      <c r="BF8" s="1738" t="s">
        <v>3904</v>
      </c>
      <c r="BG8" s="400"/>
      <c r="BH8" s="400"/>
      <c r="BI8" s="400"/>
      <c r="BJ8" s="400"/>
      <c r="BK8" s="400"/>
    </row>
    <row r="9" spans="2:63" ht="13.5" customHeight="1" x14ac:dyDescent="0.3">
      <c r="B9" s="1409"/>
      <c r="C9" s="1410" t="s">
        <v>2566</v>
      </c>
      <c r="D9" s="1411" t="s">
        <v>92</v>
      </c>
      <c r="E9" s="1412">
        <f>E8/D8-1</f>
        <v>0.14402061122517851</v>
      </c>
      <c r="F9" s="1412">
        <f t="shared" ref="F9:M9" si="3">F8/E8-1</f>
        <v>-0.10919884374703692</v>
      </c>
      <c r="G9" s="1412">
        <f t="shared" si="3"/>
        <v>0.21377813679545632</v>
      </c>
      <c r="H9" s="1412">
        <f t="shared" si="3"/>
        <v>9.9443346354400664E-2</v>
      </c>
      <c r="I9" s="1412">
        <f t="shared" si="3"/>
        <v>7.5615232256845077E-2</v>
      </c>
      <c r="J9" s="1424">
        <f t="shared" si="3"/>
        <v>5.3906449748491791E-2</v>
      </c>
      <c r="K9" s="1424">
        <f t="shared" si="3"/>
        <v>0.29748129222046571</v>
      </c>
      <c r="L9" s="1424">
        <f t="shared" si="3"/>
        <v>7.9565692334772509E-2</v>
      </c>
      <c r="M9" s="1424">
        <f t="shared" si="3"/>
        <v>5.9864022241750803E-2</v>
      </c>
      <c r="N9" s="1424"/>
      <c r="O9" s="1424"/>
      <c r="T9" s="1740" t="s">
        <v>3905</v>
      </c>
      <c r="U9" s="1741" t="s">
        <v>3906</v>
      </c>
      <c r="V9" s="1740" t="s">
        <v>3907</v>
      </c>
      <c r="W9" s="1742">
        <f>COUNTA(W19:W33)</f>
        <v>5</v>
      </c>
      <c r="X9" s="1742">
        <f t="shared" ref="X9:AA9" si="4">COUNTA(X19:X33)</f>
        <v>5</v>
      </c>
      <c r="Y9" s="1742">
        <f t="shared" si="4"/>
        <v>4</v>
      </c>
      <c r="Z9" s="1742">
        <f t="shared" si="4"/>
        <v>0</v>
      </c>
      <c r="AA9" s="1742">
        <f t="shared" si="4"/>
        <v>0</v>
      </c>
      <c r="AC9" s="1740" t="s">
        <v>3905</v>
      </c>
      <c r="AD9" s="1741" t="s">
        <v>3906</v>
      </c>
      <c r="AE9" s="1740" t="s">
        <v>3907</v>
      </c>
      <c r="AF9" s="1742">
        <f>COUNTA(AF19:AF33)</f>
        <v>15</v>
      </c>
      <c r="AG9" s="1742">
        <f t="shared" ref="AG9:AJ9" si="5">COUNTA(AG19:AG33)</f>
        <v>12</v>
      </c>
      <c r="AH9" s="1742">
        <f t="shared" si="5"/>
        <v>11</v>
      </c>
      <c r="AI9" s="1742">
        <f t="shared" si="5"/>
        <v>0</v>
      </c>
      <c r="AJ9" s="1742">
        <f t="shared" si="5"/>
        <v>0</v>
      </c>
      <c r="AL9" s="1740" t="s">
        <v>3905</v>
      </c>
      <c r="AM9" s="1741" t="s">
        <v>3906</v>
      </c>
      <c r="AN9" s="1740" t="s">
        <v>3907</v>
      </c>
      <c r="AO9" s="1742">
        <f>COUNTA(AO19:AO34)</f>
        <v>15</v>
      </c>
      <c r="AP9" s="1742">
        <f t="shared" ref="AP9:AS9" si="6">COUNTA(AP19:AP34)</f>
        <v>13</v>
      </c>
      <c r="AQ9" s="1742">
        <f t="shared" si="6"/>
        <v>11</v>
      </c>
      <c r="AR9" s="1742">
        <f t="shared" si="6"/>
        <v>0</v>
      </c>
      <c r="AS9" s="1742">
        <f t="shared" si="6"/>
        <v>0</v>
      </c>
      <c r="AU9" s="1740" t="s">
        <v>3905</v>
      </c>
      <c r="AV9" s="1741" t="s">
        <v>3906</v>
      </c>
      <c r="AW9" s="1740" t="s">
        <v>3907</v>
      </c>
      <c r="AX9" s="1742">
        <f>COUNTA(AX19:AX20)</f>
        <v>2</v>
      </c>
      <c r="AY9" s="1742">
        <f t="shared" ref="AY9:BB9" si="7">COUNTA(AY19:AY20)</f>
        <v>1</v>
      </c>
      <c r="AZ9" s="1742">
        <f t="shared" si="7"/>
        <v>0</v>
      </c>
      <c r="BA9" s="1742">
        <f t="shared" si="7"/>
        <v>0</v>
      </c>
      <c r="BB9" s="1742">
        <f t="shared" si="7"/>
        <v>0</v>
      </c>
      <c r="BD9" s="1740" t="s">
        <v>3905</v>
      </c>
      <c r="BE9" s="1741" t="s">
        <v>3906</v>
      </c>
      <c r="BF9" s="1740" t="s">
        <v>3907</v>
      </c>
      <c r="BG9" s="1742">
        <f>COUNTA(BG19:BG35)</f>
        <v>17</v>
      </c>
      <c r="BH9" s="1742">
        <f t="shared" ref="BH9:BK9" si="8">COUNTA(BH19:BH35)</f>
        <v>14</v>
      </c>
      <c r="BI9" s="1742">
        <f t="shared" si="8"/>
        <v>11</v>
      </c>
      <c r="BJ9" s="1742">
        <f t="shared" si="8"/>
        <v>0</v>
      </c>
      <c r="BK9" s="1742">
        <f t="shared" si="8"/>
        <v>0</v>
      </c>
    </row>
    <row r="10" spans="2:63" ht="13.5" customHeight="1" x14ac:dyDescent="0.3">
      <c r="B10" s="1759" t="s">
        <v>3988</v>
      </c>
      <c r="C10" s="1732" t="s">
        <v>3895</v>
      </c>
      <c r="D10" s="1834">
        <v>7102175.6090000002</v>
      </c>
      <c r="E10" s="1834">
        <v>7614539.1090000002</v>
      </c>
      <c r="F10" s="1834">
        <v>8323649.7220000001</v>
      </c>
      <c r="G10" s="1834">
        <v>9052234.3479999993</v>
      </c>
      <c r="H10" s="1835">
        <v>9568632.1940000001</v>
      </c>
      <c r="I10" s="1835">
        <v>9565758.1400000006</v>
      </c>
      <c r="J10" s="1836">
        <v>9487551.6349999998</v>
      </c>
      <c r="K10" s="1836">
        <f>AO14</f>
        <v>10439433.333333334</v>
      </c>
      <c r="L10" s="1836">
        <f>AP15</f>
        <v>10901000</v>
      </c>
      <c r="M10" s="1836">
        <f>AQ15</f>
        <v>11524000</v>
      </c>
      <c r="N10" s="1734"/>
      <c r="O10" s="1734"/>
      <c r="T10" s="400"/>
      <c r="U10" s="400"/>
      <c r="V10" s="400"/>
      <c r="W10" s="400"/>
      <c r="X10" s="400"/>
      <c r="Y10" s="400"/>
      <c r="Z10" s="400"/>
      <c r="AA10" s="400"/>
      <c r="AC10" s="400"/>
      <c r="AD10" s="400"/>
      <c r="AE10" s="400"/>
      <c r="AF10" s="400"/>
      <c r="AG10" s="400"/>
      <c r="AH10" s="400"/>
      <c r="AI10" s="400"/>
      <c r="AJ10" s="400"/>
      <c r="AL10" s="400"/>
      <c r="AM10" s="400"/>
      <c r="AN10" s="400"/>
      <c r="AO10" s="400"/>
      <c r="AP10" s="400"/>
      <c r="AQ10" s="400"/>
      <c r="AR10" s="400"/>
      <c r="AS10" s="400"/>
      <c r="AU10" s="400"/>
      <c r="AV10" s="400"/>
      <c r="AW10" s="400"/>
      <c r="AX10" s="400"/>
      <c r="AY10" s="400"/>
      <c r="AZ10" s="400"/>
      <c r="BA10" s="400"/>
      <c r="BB10" s="400"/>
      <c r="BD10" s="400"/>
      <c r="BE10" s="400"/>
      <c r="BF10" s="400"/>
      <c r="BG10" s="400"/>
      <c r="BH10" s="400"/>
      <c r="BI10" s="400"/>
      <c r="BJ10" s="400"/>
      <c r="BK10" s="400"/>
    </row>
    <row r="11" spans="2:63" ht="13.5" customHeight="1" x14ac:dyDescent="0.3">
      <c r="B11" s="1409"/>
      <c r="C11" s="1410" t="s">
        <v>2566</v>
      </c>
      <c r="D11" s="1411" t="s">
        <v>92</v>
      </c>
      <c r="E11" s="1412">
        <f>E10/D10-1</f>
        <v>7.2141767284763292E-2</v>
      </c>
      <c r="F11" s="1412">
        <f t="shared" ref="F11:M11" si="9">F10/E10-1</f>
        <v>9.312587444220588E-2</v>
      </c>
      <c r="G11" s="1412">
        <f t="shared" si="9"/>
        <v>8.7531870073088047E-2</v>
      </c>
      <c r="H11" s="1412">
        <f t="shared" si="9"/>
        <v>5.7046451312221524E-2</v>
      </c>
      <c r="I11" s="1412">
        <f t="shared" si="9"/>
        <v>-3.0036205193484378E-4</v>
      </c>
      <c r="J11" s="1424">
        <f t="shared" si="9"/>
        <v>-8.1756724198340791E-3</v>
      </c>
      <c r="K11" s="1424">
        <f t="shared" si="9"/>
        <v>0.10032954074492739</v>
      </c>
      <c r="L11" s="1424">
        <f t="shared" si="9"/>
        <v>4.4213766392173115E-2</v>
      </c>
      <c r="M11" s="1424">
        <f t="shared" si="9"/>
        <v>5.7150720117420395E-2</v>
      </c>
      <c r="N11" s="1424"/>
      <c r="O11" s="1424"/>
      <c r="T11" s="1743"/>
      <c r="U11" s="1743"/>
      <c r="V11" s="1743"/>
      <c r="W11" s="1743" t="s">
        <v>3908</v>
      </c>
      <c r="X11" s="1743" t="s">
        <v>3908</v>
      </c>
      <c r="Y11" s="1743" t="s">
        <v>3908</v>
      </c>
      <c r="Z11" s="1743" t="s">
        <v>3908</v>
      </c>
      <c r="AA11" s="1743" t="s">
        <v>3908</v>
      </c>
      <c r="AC11" s="1743"/>
      <c r="AD11" s="1743"/>
      <c r="AE11" s="1743"/>
      <c r="AF11" s="1743" t="s">
        <v>3908</v>
      </c>
      <c r="AG11" s="1743" t="s">
        <v>3908</v>
      </c>
      <c r="AH11" s="1743" t="s">
        <v>3908</v>
      </c>
      <c r="AI11" s="1743" t="s">
        <v>3908</v>
      </c>
      <c r="AJ11" s="1743" t="s">
        <v>3908</v>
      </c>
      <c r="AL11" s="1743"/>
      <c r="AM11" s="1743"/>
      <c r="AN11" s="1743"/>
      <c r="AO11" s="1743" t="s">
        <v>3908</v>
      </c>
      <c r="AP11" s="1743" t="s">
        <v>3908</v>
      </c>
      <c r="AQ11" s="1743" t="s">
        <v>3908</v>
      </c>
      <c r="AR11" s="1743" t="s">
        <v>3908</v>
      </c>
      <c r="AS11" s="1743" t="s">
        <v>3908</v>
      </c>
      <c r="AU11" s="1743"/>
      <c r="AV11" s="1743"/>
      <c r="AW11" s="1743"/>
      <c r="AX11" s="1743" t="s">
        <v>3908</v>
      </c>
      <c r="AY11" s="1743" t="s">
        <v>3908</v>
      </c>
      <c r="AZ11" s="1743" t="s">
        <v>3908</v>
      </c>
      <c r="BA11" s="1743" t="s">
        <v>3908</v>
      </c>
      <c r="BB11" s="1743" t="s">
        <v>3908</v>
      </c>
      <c r="BD11" s="1743"/>
      <c r="BE11" s="1743"/>
      <c r="BF11" s="1743"/>
      <c r="BG11" s="1743" t="s">
        <v>3908</v>
      </c>
      <c r="BH11" s="1743" t="s">
        <v>3908</v>
      </c>
      <c r="BI11" s="1743" t="s">
        <v>3908</v>
      </c>
      <c r="BJ11" s="1743" t="s">
        <v>3908</v>
      </c>
      <c r="BK11" s="1743" t="s">
        <v>3908</v>
      </c>
    </row>
    <row r="12" spans="2:63" ht="13.5" customHeight="1" x14ac:dyDescent="0.3">
      <c r="B12" s="1759" t="s">
        <v>3989</v>
      </c>
      <c r="C12" s="1732" t="s">
        <v>3897</v>
      </c>
      <c r="D12" s="1834">
        <v>1864166.8049999999</v>
      </c>
      <c r="E12" s="1834">
        <v>1487588.4040000001</v>
      </c>
      <c r="F12" s="1834">
        <v>1782681.7990000001</v>
      </c>
      <c r="G12" s="1834">
        <v>2896907.3960000002</v>
      </c>
      <c r="H12" s="1835">
        <v>3102665.767</v>
      </c>
      <c r="I12" s="1835">
        <v>2401224.3760000002</v>
      </c>
      <c r="J12" s="1836">
        <v>2769988.1910000001</v>
      </c>
      <c r="K12" s="1836">
        <f>AX14</f>
        <v>2907000</v>
      </c>
      <c r="L12" s="1836">
        <f>AY14</f>
        <v>3102000</v>
      </c>
      <c r="M12" s="1836"/>
      <c r="N12" s="1424"/>
      <c r="O12" s="1424"/>
      <c r="T12" s="184"/>
      <c r="U12" s="184"/>
      <c r="V12" s="184"/>
      <c r="W12" s="1744" t="s">
        <v>3909</v>
      </c>
      <c r="X12" s="1744" t="s">
        <v>3910</v>
      </c>
      <c r="Y12" s="1744" t="s">
        <v>3911</v>
      </c>
      <c r="Z12" s="1744" t="s">
        <v>3912</v>
      </c>
      <c r="AA12" s="1744" t="s">
        <v>3927</v>
      </c>
      <c r="AC12" s="184"/>
      <c r="AD12" s="184"/>
      <c r="AE12" s="184"/>
      <c r="AF12" s="1744" t="s">
        <v>3909</v>
      </c>
      <c r="AG12" s="1744" t="s">
        <v>3910</v>
      </c>
      <c r="AH12" s="1744" t="s">
        <v>3911</v>
      </c>
      <c r="AI12" s="1744" t="s">
        <v>3912</v>
      </c>
      <c r="AJ12" s="1744" t="s">
        <v>3927</v>
      </c>
      <c r="AL12" s="184"/>
      <c r="AM12" s="184"/>
      <c r="AN12" s="184"/>
      <c r="AO12" s="1744" t="s">
        <v>3909</v>
      </c>
      <c r="AP12" s="1744" t="s">
        <v>3910</v>
      </c>
      <c r="AQ12" s="1744" t="s">
        <v>3911</v>
      </c>
      <c r="AR12" s="1744" t="s">
        <v>3912</v>
      </c>
      <c r="AS12" s="1744" t="s">
        <v>3927</v>
      </c>
      <c r="AU12" s="184"/>
      <c r="AV12" s="184"/>
      <c r="AW12" s="184"/>
      <c r="AX12" s="1744" t="s">
        <v>3909</v>
      </c>
      <c r="AY12" s="1744" t="s">
        <v>3910</v>
      </c>
      <c r="AZ12" s="1744" t="s">
        <v>3911</v>
      </c>
      <c r="BA12" s="1744" t="s">
        <v>3912</v>
      </c>
      <c r="BB12" s="1744" t="s">
        <v>3927</v>
      </c>
      <c r="BD12" s="184"/>
      <c r="BE12" s="184"/>
      <c r="BF12" s="184"/>
      <c r="BG12" s="1744" t="s">
        <v>3909</v>
      </c>
      <c r="BH12" s="1744" t="s">
        <v>3910</v>
      </c>
      <c r="BI12" s="1744" t="s">
        <v>3911</v>
      </c>
      <c r="BJ12" s="1744" t="s">
        <v>3912</v>
      </c>
      <c r="BK12" s="1744" t="s">
        <v>3927</v>
      </c>
    </row>
    <row r="13" spans="2:63" ht="13.5" customHeight="1" x14ac:dyDescent="0.3">
      <c r="B13" s="1409"/>
      <c r="C13" s="1410" t="s">
        <v>2566</v>
      </c>
      <c r="D13" s="1411" t="s">
        <v>92</v>
      </c>
      <c r="E13" s="1412">
        <f>E12/D12-1</f>
        <v>-0.20200896185360395</v>
      </c>
      <c r="F13" s="1412">
        <f t="shared" ref="F13" si="10">F12/E12-1</f>
        <v>0.1983703248872597</v>
      </c>
      <c r="G13" s="1412">
        <f t="shared" ref="G13" si="11">G12/F12-1</f>
        <v>0.6250277517978966</v>
      </c>
      <c r="H13" s="1412">
        <f t="shared" ref="H13" si="12">H12/G12-1</f>
        <v>7.1026906584624516E-2</v>
      </c>
      <c r="I13" s="1412">
        <f t="shared" ref="I13" si="13">I12/H12-1</f>
        <v>-0.22607700721764523</v>
      </c>
      <c r="J13" s="1424">
        <f t="shared" ref="J13" si="14">J12/I12-1</f>
        <v>0.15357324316950871</v>
      </c>
      <c r="K13" s="1424">
        <f t="shared" ref="K13" si="15">K12/J12-1</f>
        <v>4.9462957800746832E-2</v>
      </c>
      <c r="L13" s="1424">
        <f t="shared" ref="L13" si="16">L12/K12-1</f>
        <v>6.7079463364293046E-2</v>
      </c>
      <c r="M13" s="1424"/>
      <c r="N13" s="1424"/>
      <c r="O13" s="1424"/>
      <c r="T13" s="1745"/>
      <c r="U13" s="1746">
        <v>20140805</v>
      </c>
      <c r="V13" s="1745"/>
      <c r="W13" s="184" t="s">
        <v>1869</v>
      </c>
      <c r="X13" s="184" t="s">
        <v>1869</v>
      </c>
      <c r="Y13" s="184" t="s">
        <v>1869</v>
      </c>
      <c r="Z13" s="184" t="s">
        <v>1869</v>
      </c>
      <c r="AA13" s="184" t="s">
        <v>1869</v>
      </c>
      <c r="AC13" s="1745"/>
      <c r="AD13" s="1746">
        <v>20140805</v>
      </c>
      <c r="AE13" s="1745"/>
      <c r="AF13" s="184" t="s">
        <v>1869</v>
      </c>
      <c r="AG13" s="184" t="s">
        <v>1869</v>
      </c>
      <c r="AH13" s="184" t="s">
        <v>1869</v>
      </c>
      <c r="AI13" s="184" t="s">
        <v>1869</v>
      </c>
      <c r="AJ13" s="184" t="s">
        <v>1869</v>
      </c>
      <c r="AL13" s="1745"/>
      <c r="AM13" s="1746">
        <v>20140805</v>
      </c>
      <c r="AN13" s="1745"/>
      <c r="AO13" s="184" t="s">
        <v>1869</v>
      </c>
      <c r="AP13" s="184" t="s">
        <v>1869</v>
      </c>
      <c r="AQ13" s="184" t="s">
        <v>1869</v>
      </c>
      <c r="AR13" s="184" t="s">
        <v>1869</v>
      </c>
      <c r="AS13" s="184" t="s">
        <v>1869</v>
      </c>
      <c r="AU13" s="1745"/>
      <c r="AV13" s="1746">
        <v>20140805</v>
      </c>
      <c r="AW13" s="1745"/>
      <c r="AX13" s="184" t="s">
        <v>1869</v>
      </c>
      <c r="AY13" s="184" t="s">
        <v>1869</v>
      </c>
      <c r="AZ13" s="184" t="s">
        <v>1869</v>
      </c>
      <c r="BA13" s="184" t="s">
        <v>1869</v>
      </c>
      <c r="BB13" s="184" t="s">
        <v>1869</v>
      </c>
      <c r="BD13" s="1745"/>
      <c r="BE13" s="1746">
        <v>20140805</v>
      </c>
      <c r="BF13" s="1745"/>
      <c r="BG13" s="184" t="s">
        <v>1869</v>
      </c>
      <c r="BH13" s="184" t="s">
        <v>1869</v>
      </c>
      <c r="BI13" s="184" t="s">
        <v>1869</v>
      </c>
      <c r="BJ13" s="184" t="s">
        <v>1869</v>
      </c>
      <c r="BK13" s="184" t="s">
        <v>1869</v>
      </c>
    </row>
    <row r="14" spans="2:63" ht="13.5" customHeight="1" x14ac:dyDescent="0.3">
      <c r="B14" s="1759" t="s">
        <v>3990</v>
      </c>
      <c r="C14" s="1732" t="s">
        <v>3898</v>
      </c>
      <c r="D14" s="1834">
        <v>103633.429</v>
      </c>
      <c r="E14" s="1834">
        <v>110563.82399999999</v>
      </c>
      <c r="F14" s="1834">
        <v>124716.32399999999</v>
      </c>
      <c r="G14" s="1834">
        <v>172362.821</v>
      </c>
      <c r="H14" s="1835">
        <v>309164.19</v>
      </c>
      <c r="I14" s="1835">
        <v>315361.57400000002</v>
      </c>
      <c r="J14" s="1836">
        <v>281848.63199999998</v>
      </c>
      <c r="K14" s="1836"/>
      <c r="L14" s="1836"/>
      <c r="M14" s="1836"/>
      <c r="N14" s="1424"/>
      <c r="O14" s="1424"/>
      <c r="T14" s="1747"/>
      <c r="U14" s="1747" t="s">
        <v>3913</v>
      </c>
      <c r="V14" s="1747"/>
      <c r="W14" s="1748">
        <f>AVERAGE(W19:W32)</f>
        <v>1121340</v>
      </c>
      <c r="X14" s="1748">
        <f t="shared" ref="X14:AA14" si="17">AVERAGE(X19:X32)</f>
        <v>1173920</v>
      </c>
      <c r="Y14" s="1748">
        <f t="shared" si="17"/>
        <v>1211550</v>
      </c>
      <c r="Z14" s="1748" t="e">
        <f t="shared" si="17"/>
        <v>#DIV/0!</v>
      </c>
      <c r="AA14" s="1748" t="e">
        <f t="shared" si="17"/>
        <v>#DIV/0!</v>
      </c>
      <c r="AC14" s="1747"/>
      <c r="AD14" s="1747" t="s">
        <v>3913</v>
      </c>
      <c r="AE14" s="1747"/>
      <c r="AF14" s="1748">
        <f>AVERAGE(AF19:AF33)</f>
        <v>6063126.666666667</v>
      </c>
      <c r="AG14" s="1748">
        <f t="shared" ref="AG14:AJ14" si="18">AVERAGE(AG19:AG33)</f>
        <v>6950891.666666667</v>
      </c>
      <c r="AH14" s="1748">
        <f t="shared" si="18"/>
        <v>7713881.8181818184</v>
      </c>
      <c r="AI14" s="1748" t="e">
        <f t="shared" si="18"/>
        <v>#DIV/0!</v>
      </c>
      <c r="AJ14" s="1748" t="e">
        <f t="shared" si="18"/>
        <v>#DIV/0!</v>
      </c>
      <c r="AL14" s="1747"/>
      <c r="AM14" s="1747" t="s">
        <v>3913</v>
      </c>
      <c r="AN14" s="1747"/>
      <c r="AO14" s="1748">
        <f>AVERAGE(AO19:AO34)</f>
        <v>10439433.333333334</v>
      </c>
      <c r="AP14" s="1748">
        <f t="shared" ref="AP14:AS14" si="19">AVERAGE(AP19:AP34)</f>
        <v>10448984.615384616</v>
      </c>
      <c r="AQ14" s="1748">
        <f t="shared" si="19"/>
        <v>10578045.454545455</v>
      </c>
      <c r="AR14" s="1748" t="e">
        <f t="shared" si="19"/>
        <v>#DIV/0!</v>
      </c>
      <c r="AS14" s="1748" t="e">
        <f t="shared" si="19"/>
        <v>#DIV/0!</v>
      </c>
      <c r="AU14" s="1747"/>
      <c r="AV14" s="1747" t="s">
        <v>3913</v>
      </c>
      <c r="AW14" s="1747"/>
      <c r="AX14" s="1748">
        <f>AVERAGE(AX19:AX20)</f>
        <v>2907000</v>
      </c>
      <c r="AY14" s="1748">
        <f t="shared" ref="AY14:BB14" si="20">AVERAGE(AY19:AY20)</f>
        <v>3102000</v>
      </c>
      <c r="AZ14" s="1748" t="e">
        <f t="shared" si="20"/>
        <v>#DIV/0!</v>
      </c>
      <c r="BA14" s="1748" t="e">
        <f t="shared" si="20"/>
        <v>#DIV/0!</v>
      </c>
      <c r="BB14" s="1748" t="e">
        <f t="shared" si="20"/>
        <v>#DIV/0!</v>
      </c>
      <c r="BD14" s="1747"/>
      <c r="BE14" s="1747" t="s">
        <v>3913</v>
      </c>
      <c r="BF14" s="1747"/>
      <c r="BG14" s="1748">
        <f>AVERAGE(BG19:BG35)</f>
        <v>11829411.764705881</v>
      </c>
      <c r="BH14" s="1748">
        <f t="shared" ref="BH14:BK14" si="21">AVERAGE(BH19:BH35)</f>
        <v>12425885.714285715</v>
      </c>
      <c r="BI14" s="1748">
        <f t="shared" si="21"/>
        <v>13748663.636363637</v>
      </c>
      <c r="BJ14" s="1748" t="e">
        <f t="shared" si="21"/>
        <v>#DIV/0!</v>
      </c>
      <c r="BK14" s="1748" t="e">
        <f t="shared" si="21"/>
        <v>#DIV/0!</v>
      </c>
    </row>
    <row r="15" spans="2:63" ht="13.5" customHeight="1" x14ac:dyDescent="0.3">
      <c r="B15" s="1409"/>
      <c r="C15" s="1410" t="s">
        <v>2566</v>
      </c>
      <c r="D15" s="1411" t="s">
        <v>92</v>
      </c>
      <c r="E15" s="1412">
        <f>E14/D14-1</f>
        <v>6.6874126108477983E-2</v>
      </c>
      <c r="F15" s="1412">
        <f t="shared" ref="F15" si="22">F14/E14-1</f>
        <v>0.12800298947691968</v>
      </c>
      <c r="G15" s="1412">
        <f t="shared" ref="G15" si="23">G14/F14-1</f>
        <v>0.38203897831369704</v>
      </c>
      <c r="H15" s="1412">
        <f t="shared" ref="H15" si="24">H14/G14-1</f>
        <v>0.79368258309023609</v>
      </c>
      <c r="I15" s="1412">
        <f t="shared" ref="I15" si="25">I14/H14-1</f>
        <v>2.0045607481254502E-2</v>
      </c>
      <c r="J15" s="1424">
        <f t="shared" ref="J15" si="26">J14/I14-1</f>
        <v>-0.10626831156036798</v>
      </c>
      <c r="K15" s="1424">
        <f t="shared" ref="K15" si="27">K14/J14-1</f>
        <v>-1</v>
      </c>
      <c r="L15" s="1424" t="e">
        <f t="shared" ref="L15" si="28">L14/K14-1</f>
        <v>#DIV/0!</v>
      </c>
      <c r="M15" s="1424"/>
      <c r="N15" s="1424"/>
      <c r="O15" s="1424"/>
      <c r="T15" s="1749"/>
      <c r="U15" s="1749" t="s">
        <v>1138</v>
      </c>
      <c r="V15" s="1749"/>
      <c r="W15" s="1750">
        <f>MAX(W19:W32)</f>
        <v>1143300</v>
      </c>
      <c r="X15" s="1750">
        <f>MAX(X19:X32)</f>
        <v>1217600</v>
      </c>
      <c r="Y15" s="1750">
        <f t="shared" ref="Y15:AA15" si="29">MAX(Y19:Y32)</f>
        <v>1254000</v>
      </c>
      <c r="Z15" s="1750">
        <f t="shared" si="29"/>
        <v>0</v>
      </c>
      <c r="AA15" s="1750">
        <f t="shared" si="29"/>
        <v>0</v>
      </c>
      <c r="AC15" s="1749"/>
      <c r="AD15" s="1749" t="s">
        <v>1138</v>
      </c>
      <c r="AE15" s="1749"/>
      <c r="AF15" s="1750">
        <f>MAX(AF19:AF33)</f>
        <v>6438600</v>
      </c>
      <c r="AG15" s="1750">
        <f t="shared" ref="AG15:AJ15" si="30">MAX(AG19:AG33)</f>
        <v>7332400</v>
      </c>
      <c r="AH15" s="1750">
        <f t="shared" si="30"/>
        <v>8065600</v>
      </c>
      <c r="AI15" s="1750">
        <f t="shared" si="30"/>
        <v>0</v>
      </c>
      <c r="AJ15" s="1750">
        <f t="shared" si="30"/>
        <v>0</v>
      </c>
      <c r="AL15" s="1749"/>
      <c r="AM15" s="1749" t="s">
        <v>1138</v>
      </c>
      <c r="AN15" s="1749"/>
      <c r="AO15" s="1750">
        <f>MAX(AO19:AO34)</f>
        <v>11827100</v>
      </c>
      <c r="AP15" s="1750">
        <f t="shared" ref="AP15:AS15" si="31">MAX(AP19:AP34)</f>
        <v>10901000</v>
      </c>
      <c r="AQ15" s="1750">
        <f t="shared" si="31"/>
        <v>11524000</v>
      </c>
      <c r="AR15" s="1750">
        <f t="shared" si="31"/>
        <v>0</v>
      </c>
      <c r="AS15" s="1750">
        <f t="shared" si="31"/>
        <v>0</v>
      </c>
      <c r="AU15" s="1749"/>
      <c r="AV15" s="1749" t="s">
        <v>1138</v>
      </c>
      <c r="AW15" s="1749"/>
      <c r="AX15" s="1750">
        <f>MAX(AX19:AX20)</f>
        <v>2930000</v>
      </c>
      <c r="AY15" s="1750">
        <f t="shared" ref="AY15:BB15" si="32">MAX(AY19:AY20)</f>
        <v>3102000</v>
      </c>
      <c r="AZ15" s="1750">
        <f t="shared" si="32"/>
        <v>0</v>
      </c>
      <c r="BA15" s="1750">
        <f t="shared" si="32"/>
        <v>0</v>
      </c>
      <c r="BB15" s="1750">
        <f t="shared" si="32"/>
        <v>0</v>
      </c>
      <c r="BD15" s="1749"/>
      <c r="BE15" s="1749" t="s">
        <v>1138</v>
      </c>
      <c r="BF15" s="1749"/>
      <c r="BG15" s="1750">
        <f>MAX(BG19:BG35)</f>
        <v>12691900</v>
      </c>
      <c r="BH15" s="1750">
        <f t="shared" ref="BH15:BK15" si="33">MAX(BH19:BH35)</f>
        <v>13616000</v>
      </c>
      <c r="BI15" s="1750">
        <f t="shared" si="33"/>
        <v>15217000</v>
      </c>
      <c r="BJ15" s="1750">
        <f t="shared" si="33"/>
        <v>0</v>
      </c>
      <c r="BK15" s="1750">
        <f t="shared" si="33"/>
        <v>0</v>
      </c>
    </row>
    <row r="16" spans="2:63" ht="13.5" customHeight="1" x14ac:dyDescent="0.3">
      <c r="B16" s="1759" t="s">
        <v>3991</v>
      </c>
      <c r="C16" s="1732" t="s">
        <v>3899</v>
      </c>
      <c r="D16" s="1834">
        <v>100453.50900000001</v>
      </c>
      <c r="E16" s="1834">
        <v>102040.981</v>
      </c>
      <c r="F16" s="1834">
        <v>120648.25599999999</v>
      </c>
      <c r="G16" s="1834">
        <v>163949.674</v>
      </c>
      <c r="H16" s="1835">
        <v>162453.427</v>
      </c>
      <c r="I16" s="1835">
        <v>166429.87400000001</v>
      </c>
      <c r="J16" s="1836">
        <v>199094.655</v>
      </c>
      <c r="K16" s="1836"/>
      <c r="L16" s="1836"/>
      <c r="M16" s="1836"/>
      <c r="N16" s="1734"/>
      <c r="O16" s="1734"/>
      <c r="T16" s="1749"/>
      <c r="U16" s="1749" t="s">
        <v>1052</v>
      </c>
      <c r="V16" s="1749"/>
      <c r="W16" s="1751">
        <f>MEDIAN(W19:W32)</f>
        <v>1121400</v>
      </c>
      <c r="X16" s="1751">
        <f>MEDIAN(X19:X32)</f>
        <v>1174000</v>
      </c>
      <c r="Y16" s="1751">
        <f t="shared" ref="Y16:AA16" si="34">MEDIAN(Y19:Y32)</f>
        <v>1210000</v>
      </c>
      <c r="Z16" s="1751" t="e">
        <f t="shared" si="34"/>
        <v>#NUM!</v>
      </c>
      <c r="AA16" s="1751" t="e">
        <f t="shared" si="34"/>
        <v>#NUM!</v>
      </c>
      <c r="AC16" s="1749"/>
      <c r="AD16" s="1749" t="s">
        <v>1052</v>
      </c>
      <c r="AE16" s="1749"/>
      <c r="AF16" s="1751">
        <f>MEDIAN(AF19:AF33)</f>
        <v>6163800</v>
      </c>
      <c r="AG16" s="1751">
        <f t="shared" ref="AG16:AJ16" si="35">MEDIAN(AG19:AG33)</f>
        <v>7026500</v>
      </c>
      <c r="AH16" s="1751">
        <f t="shared" si="35"/>
        <v>7707000</v>
      </c>
      <c r="AI16" s="1751" t="e">
        <f t="shared" si="35"/>
        <v>#NUM!</v>
      </c>
      <c r="AJ16" s="1751" t="e">
        <f t="shared" si="35"/>
        <v>#NUM!</v>
      </c>
      <c r="AL16" s="1749"/>
      <c r="AM16" s="1749" t="s">
        <v>1052</v>
      </c>
      <c r="AN16" s="1749"/>
      <c r="AO16" s="1751">
        <f>MEDIAN(AO19:AO34)</f>
        <v>10386000</v>
      </c>
      <c r="AP16" s="1751">
        <f t="shared" ref="AP16:AS16" si="36">MEDIAN(AP19:AP34)</f>
        <v>10477000</v>
      </c>
      <c r="AQ16" s="1751">
        <f t="shared" si="36"/>
        <v>10620000</v>
      </c>
      <c r="AR16" s="1751" t="e">
        <f t="shared" si="36"/>
        <v>#NUM!</v>
      </c>
      <c r="AS16" s="1751" t="e">
        <f t="shared" si="36"/>
        <v>#NUM!</v>
      </c>
      <c r="AU16" s="1749"/>
      <c r="AV16" s="1749" t="s">
        <v>1052</v>
      </c>
      <c r="AW16" s="1749"/>
      <c r="AX16" s="1751">
        <f>MEDIAN(AX19:AX20)</f>
        <v>2907000</v>
      </c>
      <c r="AY16" s="1751">
        <f t="shared" ref="AY16:BB16" si="37">MEDIAN(AY19:AY20)</f>
        <v>3102000</v>
      </c>
      <c r="AZ16" s="1751" t="e">
        <f t="shared" si="37"/>
        <v>#NUM!</v>
      </c>
      <c r="BA16" s="1751" t="e">
        <f t="shared" si="37"/>
        <v>#NUM!</v>
      </c>
      <c r="BB16" s="1751" t="e">
        <f t="shared" si="37"/>
        <v>#NUM!</v>
      </c>
      <c r="BD16" s="1749"/>
      <c r="BE16" s="1749" t="s">
        <v>1052</v>
      </c>
      <c r="BF16" s="1749"/>
      <c r="BG16" s="1751">
        <f>MEDIAN(BG19:BG35)</f>
        <v>11964400</v>
      </c>
      <c r="BH16" s="1751">
        <f t="shared" ref="BH16:BK16" si="38">MEDIAN(BH19:BH35)</f>
        <v>12385500</v>
      </c>
      <c r="BI16" s="1751">
        <f t="shared" si="38"/>
        <v>14171000</v>
      </c>
      <c r="BJ16" s="1751" t="e">
        <f t="shared" si="38"/>
        <v>#NUM!</v>
      </c>
      <c r="BK16" s="1751" t="e">
        <f t="shared" si="38"/>
        <v>#NUM!</v>
      </c>
    </row>
    <row r="17" spans="2:63" ht="13.5" customHeight="1" x14ac:dyDescent="0.3">
      <c r="B17" s="1409"/>
      <c r="C17" s="1410" t="s">
        <v>2566</v>
      </c>
      <c r="D17" s="1411" t="s">
        <v>92</v>
      </c>
      <c r="E17" s="1412">
        <f>E16/D16-1</f>
        <v>1.5803051738092933E-2</v>
      </c>
      <c r="F17" s="1412">
        <f t="shared" ref="F17:L17" si="39">F16/E16-1</f>
        <v>0.18235100072195487</v>
      </c>
      <c r="G17" s="1412">
        <f t="shared" si="39"/>
        <v>0.35890629036527488</v>
      </c>
      <c r="H17" s="1412">
        <f t="shared" si="39"/>
        <v>-9.1262578539802464E-3</v>
      </c>
      <c r="I17" s="1412">
        <f t="shared" si="39"/>
        <v>2.4477458391813478E-2</v>
      </c>
      <c r="J17" s="1424">
        <f t="shared" si="39"/>
        <v>0.19626753427692911</v>
      </c>
      <c r="K17" s="1424">
        <f t="shared" si="39"/>
        <v>-1</v>
      </c>
      <c r="L17" s="1424" t="e">
        <f t="shared" si="39"/>
        <v>#DIV/0!</v>
      </c>
      <c r="M17" s="1424"/>
      <c r="N17" s="1424"/>
      <c r="O17" s="1424"/>
      <c r="T17" s="1749"/>
      <c r="U17" s="1749" t="s">
        <v>1137</v>
      </c>
      <c r="V17" s="1749"/>
      <c r="W17" s="1750">
        <f>MIN(W19:W32)</f>
        <v>1099000</v>
      </c>
      <c r="X17" s="1750">
        <f>MIN(X19:X32)</f>
        <v>1149200</v>
      </c>
      <c r="Y17" s="1750">
        <f t="shared" ref="Y17:AA17" si="40">MIN(Y19:Y32)</f>
        <v>1172200</v>
      </c>
      <c r="Z17" s="1750">
        <f t="shared" si="40"/>
        <v>0</v>
      </c>
      <c r="AA17" s="1750">
        <f t="shared" si="40"/>
        <v>0</v>
      </c>
      <c r="AC17" s="1749"/>
      <c r="AD17" s="1749" t="s">
        <v>1137</v>
      </c>
      <c r="AE17" s="1749"/>
      <c r="AF17" s="1750">
        <f>MIN(AF19:AF33)</f>
        <v>5371500</v>
      </c>
      <c r="AG17" s="1750">
        <f t="shared" ref="AG17:AJ17" si="41">MIN(AG19:AG33)</f>
        <v>6187000</v>
      </c>
      <c r="AH17" s="1750">
        <f t="shared" si="41"/>
        <v>7367000</v>
      </c>
      <c r="AI17" s="1750">
        <f t="shared" si="41"/>
        <v>0</v>
      </c>
      <c r="AJ17" s="1750">
        <f t="shared" si="41"/>
        <v>0</v>
      </c>
      <c r="AL17" s="1749"/>
      <c r="AM17" s="1749" t="s">
        <v>1137</v>
      </c>
      <c r="AN17" s="1749"/>
      <c r="AO17" s="1750">
        <f>MIN(AO19:AO34)</f>
        <v>10011000</v>
      </c>
      <c r="AP17" s="1750">
        <f t="shared" ref="AP17:AS17" si="42">MIN(AP19:AP34)</f>
        <v>9790000</v>
      </c>
      <c r="AQ17" s="1750">
        <f t="shared" si="42"/>
        <v>9387000</v>
      </c>
      <c r="AR17" s="1750">
        <f t="shared" si="42"/>
        <v>0</v>
      </c>
      <c r="AS17" s="1750">
        <f t="shared" si="42"/>
        <v>0</v>
      </c>
      <c r="AU17" s="1749"/>
      <c r="AV17" s="1749" t="s">
        <v>1137</v>
      </c>
      <c r="AW17" s="1749"/>
      <c r="AX17" s="1750">
        <f>MIN(AX19:AX20)</f>
        <v>2884000</v>
      </c>
      <c r="AY17" s="1750">
        <f t="shared" ref="AY17:BB17" si="43">MIN(AY19:AY20)</f>
        <v>3102000</v>
      </c>
      <c r="AZ17" s="1750">
        <f t="shared" si="43"/>
        <v>0</v>
      </c>
      <c r="BA17" s="1750">
        <f t="shared" si="43"/>
        <v>0</v>
      </c>
      <c r="BB17" s="1750">
        <f t="shared" si="43"/>
        <v>0</v>
      </c>
      <c r="BD17" s="1749"/>
      <c r="BE17" s="1749" t="s">
        <v>1137</v>
      </c>
      <c r="BF17" s="1749"/>
      <c r="BG17" s="1750">
        <f>MIN(BG19:BG35)</f>
        <v>10451700</v>
      </c>
      <c r="BH17" s="1750">
        <f t="shared" ref="BH17:BK17" si="44">MIN(BH19:BH35)</f>
        <v>10511700</v>
      </c>
      <c r="BI17" s="1750">
        <f t="shared" si="44"/>
        <v>11888000</v>
      </c>
      <c r="BJ17" s="1750">
        <f t="shared" si="44"/>
        <v>0</v>
      </c>
      <c r="BK17" s="1750">
        <f t="shared" si="44"/>
        <v>0</v>
      </c>
    </row>
    <row r="18" spans="2:63" ht="13.5" customHeight="1" x14ac:dyDescent="0.3">
      <c r="B18" s="1759" t="s">
        <v>3992</v>
      </c>
      <c r="C18" s="1732" t="s">
        <v>3900</v>
      </c>
      <c r="D18" s="1834">
        <v>114726.125</v>
      </c>
      <c r="E18" s="1834">
        <v>115825.644</v>
      </c>
      <c r="F18" s="1834">
        <v>164056.54800000001</v>
      </c>
      <c r="G18" s="1834">
        <v>157586.37599999999</v>
      </c>
      <c r="H18" s="1835">
        <v>129110.92</v>
      </c>
      <c r="I18" s="1835">
        <v>153281.70300000001</v>
      </c>
      <c r="J18" s="1836">
        <v>149343.49900000001</v>
      </c>
      <c r="K18" s="1836"/>
      <c r="L18" s="1836"/>
      <c r="M18" s="1836"/>
      <c r="N18" s="1424"/>
      <c r="O18" s="1424"/>
      <c r="T18" s="1752" t="s">
        <v>3914</v>
      </c>
      <c r="U18" s="1753" t="s">
        <v>3915</v>
      </c>
      <c r="V18" s="1753" t="s">
        <v>3916</v>
      </c>
      <c r="W18" s="1754"/>
      <c r="X18" s="1754"/>
      <c r="Y18" s="1754"/>
      <c r="Z18" s="1754"/>
      <c r="AA18" s="1754"/>
      <c r="AC18" s="1752" t="s">
        <v>3914</v>
      </c>
      <c r="AD18" s="1753" t="s">
        <v>3915</v>
      </c>
      <c r="AE18" s="1753" t="s">
        <v>3916</v>
      </c>
      <c r="AF18" s="1754"/>
      <c r="AG18" s="1754"/>
      <c r="AH18" s="1754"/>
      <c r="AI18" s="1754"/>
      <c r="AJ18" s="1754"/>
      <c r="AL18" s="1752" t="s">
        <v>3914</v>
      </c>
      <c r="AM18" s="1753" t="s">
        <v>3915</v>
      </c>
      <c r="AN18" s="1753" t="s">
        <v>3916</v>
      </c>
      <c r="AO18" s="1754"/>
      <c r="AP18" s="1754"/>
      <c r="AQ18" s="1754"/>
      <c r="AR18" s="1754"/>
      <c r="AS18" s="1754"/>
      <c r="AU18" s="1752" t="s">
        <v>3914</v>
      </c>
      <c r="AV18" s="1753" t="s">
        <v>3915</v>
      </c>
      <c r="AW18" s="1753" t="s">
        <v>3916</v>
      </c>
      <c r="AX18" s="1754"/>
      <c r="AY18" s="1754"/>
      <c r="AZ18" s="1754"/>
      <c r="BA18" s="1754"/>
      <c r="BB18" s="1754"/>
      <c r="BD18" s="1752" t="s">
        <v>3914</v>
      </c>
      <c r="BE18" s="1753" t="s">
        <v>3915</v>
      </c>
      <c r="BF18" s="1753" t="s">
        <v>3916</v>
      </c>
      <c r="BG18" s="1754"/>
      <c r="BH18" s="1754"/>
      <c r="BI18" s="1754"/>
      <c r="BJ18" s="1754"/>
      <c r="BK18" s="1754"/>
    </row>
    <row r="19" spans="2:63" ht="13.5" customHeight="1" x14ac:dyDescent="0.3">
      <c r="B19" s="1409"/>
      <c r="C19" s="1410" t="s">
        <v>2566</v>
      </c>
      <c r="D19" s="1411" t="s">
        <v>92</v>
      </c>
      <c r="E19" s="1412">
        <f>E18/D18-1</f>
        <v>9.5838589510452987E-3</v>
      </c>
      <c r="F19" s="1412">
        <f t="shared" ref="F19" si="45">F18/E18-1</f>
        <v>0.41640954744011616</v>
      </c>
      <c r="G19" s="1412">
        <f t="shared" ref="G19" si="46">G18/F18-1</f>
        <v>-3.9438669647005042E-2</v>
      </c>
      <c r="H19" s="1412">
        <f t="shared" ref="H19" si="47">H18/G18-1</f>
        <v>-0.18069744810934663</v>
      </c>
      <c r="I19" s="1412">
        <f t="shared" ref="I19" si="48">I18/H18-1</f>
        <v>0.18720943975923965</v>
      </c>
      <c r="J19" s="1424">
        <f t="shared" ref="J19" si="49">J18/I18-1</f>
        <v>-2.5692590328279419E-2</v>
      </c>
      <c r="K19" s="1424">
        <f t="shared" ref="K19" si="50">K18/J18-1</f>
        <v>-1</v>
      </c>
      <c r="L19" s="1424" t="e">
        <f t="shared" ref="L19" si="51">L18/K18-1</f>
        <v>#DIV/0!</v>
      </c>
      <c r="M19" s="1424"/>
      <c r="N19" s="1424"/>
      <c r="O19" s="1424"/>
      <c r="T19" s="1755">
        <v>42306</v>
      </c>
      <c r="U19" s="1756" t="s">
        <v>3924</v>
      </c>
      <c r="V19" s="1757" t="s">
        <v>3938</v>
      </c>
      <c r="W19" s="1758"/>
      <c r="X19" s="1758"/>
      <c r="Y19" s="1758"/>
      <c r="Z19" s="1750"/>
      <c r="AA19" s="1750"/>
      <c r="AC19" s="1755">
        <v>42334</v>
      </c>
      <c r="AD19" s="1756" t="s">
        <v>3933</v>
      </c>
      <c r="AE19" s="1757" t="s">
        <v>3946</v>
      </c>
      <c r="AF19" s="1758">
        <v>6167000</v>
      </c>
      <c r="AG19" s="1758">
        <v>7137000</v>
      </c>
      <c r="AH19" s="1758">
        <v>8046000</v>
      </c>
      <c r="AI19" s="1750"/>
      <c r="AJ19" s="1750"/>
      <c r="AL19" s="1755">
        <v>42306</v>
      </c>
      <c r="AM19" s="1756" t="s">
        <v>3918</v>
      </c>
      <c r="AN19" s="1757" t="s">
        <v>3953</v>
      </c>
      <c r="AO19" s="1758">
        <v>10029000</v>
      </c>
      <c r="AP19" s="1758">
        <v>10824000</v>
      </c>
      <c r="AQ19" s="1758">
        <v>11372000</v>
      </c>
      <c r="AR19" s="1750"/>
      <c r="AS19" s="1750"/>
      <c r="AU19" s="1755">
        <v>42158</v>
      </c>
      <c r="AV19" s="1756" t="s">
        <v>3931</v>
      </c>
      <c r="AW19" s="1757" t="s">
        <v>3969</v>
      </c>
      <c r="AX19" s="1758">
        <v>2930000</v>
      </c>
      <c r="AY19" s="1758">
        <v>3102000</v>
      </c>
      <c r="AZ19" s="1758"/>
      <c r="BA19" s="1750"/>
      <c r="BB19" s="1750"/>
      <c r="BD19" s="1755">
        <v>42045</v>
      </c>
      <c r="BE19" s="1756" t="s">
        <v>3928</v>
      </c>
      <c r="BF19" s="1757" t="s">
        <v>3971</v>
      </c>
      <c r="BG19" s="1758">
        <v>11506000</v>
      </c>
      <c r="BH19" s="1758">
        <v>12086000</v>
      </c>
      <c r="BI19" s="1758"/>
      <c r="BJ19" s="1750"/>
      <c r="BK19" s="1750"/>
    </row>
    <row r="20" spans="2:63" ht="13.5" customHeight="1" x14ac:dyDescent="0.3">
      <c r="B20" s="1759" t="s">
        <v>3993</v>
      </c>
      <c r="C20" s="1732" t="s">
        <v>3901</v>
      </c>
      <c r="D20" s="1834">
        <v>40123073</v>
      </c>
      <c r="E20" s="1834">
        <v>34536777</v>
      </c>
      <c r="F20" s="1834">
        <v>42269853</v>
      </c>
      <c r="G20" s="1834">
        <v>8518742</v>
      </c>
      <c r="H20" s="1835">
        <v>9715714</v>
      </c>
      <c r="I20" s="1835">
        <v>9583193</v>
      </c>
      <c r="J20" s="1836">
        <v>10866131</v>
      </c>
      <c r="K20" s="1836">
        <f>BG14</f>
        <v>11829411.764705881</v>
      </c>
      <c r="L20" s="1836">
        <f t="shared" ref="L20:M20" si="52">BH14</f>
        <v>12425885.714285715</v>
      </c>
      <c r="M20" s="1836">
        <f t="shared" si="52"/>
        <v>13748663.636363637</v>
      </c>
      <c r="N20" s="1734"/>
      <c r="O20" s="1734"/>
      <c r="T20" s="1755">
        <v>41758</v>
      </c>
      <c r="U20" s="1756" t="s">
        <v>3917</v>
      </c>
      <c r="V20" s="1757" t="s">
        <v>3944</v>
      </c>
      <c r="W20" s="1758"/>
      <c r="X20" s="1758"/>
      <c r="Y20" s="1758"/>
      <c r="Z20" s="1750"/>
      <c r="AA20" s="1750"/>
      <c r="AC20" s="1755">
        <v>42314</v>
      </c>
      <c r="AD20" s="1756" t="s">
        <v>3921</v>
      </c>
      <c r="AE20" s="1757" t="s">
        <v>3935</v>
      </c>
      <c r="AF20" s="1758">
        <v>6211900</v>
      </c>
      <c r="AG20" s="1758">
        <v>6824000</v>
      </c>
      <c r="AH20" s="1758">
        <v>7415000</v>
      </c>
      <c r="AI20" s="1750"/>
      <c r="AJ20" s="1750"/>
      <c r="AL20" s="1755">
        <v>42383</v>
      </c>
      <c r="AM20" s="1756" t="s">
        <v>3930</v>
      </c>
      <c r="AN20" s="1757" t="s">
        <v>3954</v>
      </c>
      <c r="AO20" s="1758"/>
      <c r="AP20" s="1758"/>
      <c r="AQ20" s="1758"/>
      <c r="AR20" s="1750"/>
      <c r="AS20" s="1750"/>
      <c r="AU20" s="1755">
        <v>41726</v>
      </c>
      <c r="AV20" s="1756" t="s">
        <v>3949</v>
      </c>
      <c r="AW20" s="1757" t="s">
        <v>3970</v>
      </c>
      <c r="AX20" s="1758">
        <v>2884000</v>
      </c>
      <c r="AY20" s="1758"/>
      <c r="AZ20" s="1758"/>
      <c r="BA20" s="1750"/>
      <c r="BB20" s="1750"/>
      <c r="BD20" s="1755">
        <v>41984</v>
      </c>
      <c r="BE20" s="1756" t="s">
        <v>3930</v>
      </c>
      <c r="BF20" s="1757" t="s">
        <v>3972</v>
      </c>
      <c r="BG20" s="1758">
        <v>10451700</v>
      </c>
      <c r="BH20" s="1758">
        <v>10511700</v>
      </c>
      <c r="BI20" s="1758"/>
      <c r="BJ20" s="1750"/>
      <c r="BK20" s="1750"/>
    </row>
    <row r="21" spans="2:63" ht="13.5" customHeight="1" x14ac:dyDescent="0.3">
      <c r="B21" s="1409"/>
      <c r="C21" s="1410" t="s">
        <v>2566</v>
      </c>
      <c r="D21" s="1411" t="s">
        <v>92</v>
      </c>
      <c r="E21" s="1412">
        <f>E20/D20-1</f>
        <v>-0.13922901668075127</v>
      </c>
      <c r="F21" s="1412">
        <f t="shared" ref="F21:M21" si="53">F20/E20-1</f>
        <v>0.2239084440334429</v>
      </c>
      <c r="G21" s="1412">
        <f t="shared" si="53"/>
        <v>-0.79846766914472123</v>
      </c>
      <c r="H21" s="1412">
        <f t="shared" si="53"/>
        <v>0.14051041808755338</v>
      </c>
      <c r="I21" s="1412">
        <f t="shared" si="53"/>
        <v>-1.3639862186144991E-2</v>
      </c>
      <c r="J21" s="1424">
        <f t="shared" si="53"/>
        <v>0.13387375168172033</v>
      </c>
      <c r="K21" s="1424">
        <f t="shared" si="53"/>
        <v>8.8649839092302729E-2</v>
      </c>
      <c r="L21" s="1424">
        <f t="shared" si="53"/>
        <v>5.0422959437380177E-2</v>
      </c>
      <c r="M21" s="1424">
        <f t="shared" si="53"/>
        <v>0.10645341124916019</v>
      </c>
      <c r="N21" s="1424"/>
      <c r="O21" s="1424"/>
      <c r="T21" s="1755">
        <v>41983</v>
      </c>
      <c r="U21" s="1756" t="s">
        <v>3922</v>
      </c>
      <c r="V21" s="1757" t="s">
        <v>3947</v>
      </c>
      <c r="W21" s="1758">
        <v>1143300</v>
      </c>
      <c r="X21" s="1758">
        <v>1217600</v>
      </c>
      <c r="Y21" s="1758"/>
      <c r="Z21" s="1750"/>
      <c r="AA21" s="1750"/>
      <c r="AC21" s="1755">
        <v>42383</v>
      </c>
      <c r="AD21" s="1756" t="s">
        <v>3949</v>
      </c>
      <c r="AE21" s="1757" t="s">
        <v>3950</v>
      </c>
      <c r="AF21" s="1758">
        <v>6196000</v>
      </c>
      <c r="AG21" s="1758">
        <v>7108000</v>
      </c>
      <c r="AH21" s="1758">
        <v>7998000</v>
      </c>
      <c r="AI21" s="1750"/>
      <c r="AJ21" s="1750"/>
      <c r="AL21" s="1755">
        <v>41562</v>
      </c>
      <c r="AM21" s="1756" t="s">
        <v>3929</v>
      </c>
      <c r="AN21" s="1757" t="s">
        <v>3955</v>
      </c>
      <c r="AO21" s="1758">
        <v>10645500</v>
      </c>
      <c r="AP21" s="1758"/>
      <c r="AQ21" s="1758"/>
      <c r="AR21" s="1750"/>
      <c r="AS21" s="1750"/>
      <c r="AU21" s="1755"/>
      <c r="AV21" s="1756"/>
      <c r="AW21" s="1757"/>
      <c r="AX21" s="1758"/>
      <c r="AY21" s="1758"/>
      <c r="AZ21" s="1758"/>
      <c r="BA21" s="1750"/>
      <c r="BB21" s="1750"/>
      <c r="BD21" s="1755">
        <v>42186</v>
      </c>
      <c r="BE21" s="1756" t="s">
        <v>3933</v>
      </c>
      <c r="BF21" s="1757" t="s">
        <v>3973</v>
      </c>
      <c r="BG21" s="1758">
        <v>12228000</v>
      </c>
      <c r="BH21" s="1758">
        <v>12599000</v>
      </c>
      <c r="BI21" s="1758">
        <v>14171000</v>
      </c>
      <c r="BJ21" s="1750"/>
      <c r="BK21" s="1750"/>
    </row>
    <row r="22" spans="2:63" ht="13.5" customHeight="1" x14ac:dyDescent="0.3">
      <c r="B22" s="1413"/>
      <c r="C22" s="1414" t="s">
        <v>2571</v>
      </c>
      <c r="D22" s="1837">
        <f>D6+D8+D10+D12+D14+D16+D18+D20</f>
        <v>53313437.497000001</v>
      </c>
      <c r="E22" s="1837">
        <f t="shared" ref="E22:L22" si="54">E6+E8+E10+E12+E14+E16+E18+E20</f>
        <v>48461598.774999999</v>
      </c>
      <c r="F22" s="1837">
        <f t="shared" si="54"/>
        <v>56883494.949000001</v>
      </c>
      <c r="G22" s="1837">
        <f t="shared" si="54"/>
        <v>25865003.196999997</v>
      </c>
      <c r="H22" s="1837">
        <f t="shared" si="54"/>
        <v>28390015.575000003</v>
      </c>
      <c r="I22" s="1837">
        <f t="shared" si="54"/>
        <v>27942928.744000006</v>
      </c>
      <c r="J22" s="1837">
        <f t="shared" si="54"/>
        <v>29801882.157000002</v>
      </c>
      <c r="K22" s="1837">
        <f t="shared" si="54"/>
        <v>32735785.098039217</v>
      </c>
      <c r="L22" s="1837">
        <f t="shared" si="54"/>
        <v>34553697.380952381</v>
      </c>
      <c r="M22" s="1837"/>
      <c r="N22" s="1837"/>
      <c r="O22" s="1837"/>
      <c r="T22" s="1755">
        <v>42208</v>
      </c>
      <c r="U22" s="1756" t="s">
        <v>3920</v>
      </c>
      <c r="V22" s="1757" t="s">
        <v>3940</v>
      </c>
      <c r="W22" s="1758"/>
      <c r="X22" s="1758"/>
      <c r="Y22" s="1758"/>
      <c r="Z22" s="1750"/>
      <c r="AA22" s="1750"/>
      <c r="AC22" s="1755">
        <v>42297</v>
      </c>
      <c r="AD22" s="1756" t="s">
        <v>3928</v>
      </c>
      <c r="AE22" s="1757" t="s">
        <v>3934</v>
      </c>
      <c r="AF22" s="1758">
        <v>5977000</v>
      </c>
      <c r="AG22" s="1758">
        <v>6735000</v>
      </c>
      <c r="AH22" s="1758">
        <v>7390000</v>
      </c>
      <c r="AI22" s="1750"/>
      <c r="AJ22" s="1750"/>
      <c r="AL22" s="1755">
        <v>41718</v>
      </c>
      <c r="AM22" s="1756" t="s">
        <v>3951</v>
      </c>
      <c r="AN22" s="1757" t="s">
        <v>3956</v>
      </c>
      <c r="AO22" s="1758">
        <v>11827100</v>
      </c>
      <c r="AP22" s="1758"/>
      <c r="AQ22" s="1758"/>
      <c r="AR22" s="1750"/>
      <c r="AS22" s="1750"/>
      <c r="AU22" s="1755"/>
      <c r="AV22" s="1756"/>
      <c r="AW22" s="1757"/>
      <c r="AX22" s="1758"/>
      <c r="AY22" s="1758"/>
      <c r="AZ22" s="1758"/>
      <c r="BA22" s="1750"/>
      <c r="BB22" s="1750"/>
      <c r="BD22" s="1755">
        <v>42374</v>
      </c>
      <c r="BE22" s="1756" t="s">
        <v>3921</v>
      </c>
      <c r="BF22" s="1757" t="s">
        <v>3974</v>
      </c>
      <c r="BG22" s="1758">
        <v>12016800</v>
      </c>
      <c r="BH22" s="1758">
        <v>12213000</v>
      </c>
      <c r="BI22" s="1758">
        <v>12455500</v>
      </c>
      <c r="BJ22" s="1750"/>
      <c r="BK22" s="1750"/>
    </row>
    <row r="23" spans="2:63" ht="13.5" customHeight="1" x14ac:dyDescent="0.3">
      <c r="B23" s="1416"/>
      <c r="C23" s="1417" t="s">
        <v>2566</v>
      </c>
      <c r="D23" s="1418" t="s">
        <v>92</v>
      </c>
      <c r="E23" s="1419">
        <f>E22/D22-1</f>
        <v>-9.1005925518740427E-2</v>
      </c>
      <c r="F23" s="1419">
        <f t="shared" ref="F23:L23" si="55">F22/E22-1</f>
        <v>0.17378494285963653</v>
      </c>
      <c r="G23" s="1419">
        <f t="shared" si="55"/>
        <v>-0.54529862800818119</v>
      </c>
      <c r="H23" s="1419">
        <f t="shared" si="55"/>
        <v>9.7622735971394592E-2</v>
      </c>
      <c r="I23" s="1419">
        <f t="shared" si="55"/>
        <v>-1.5748030493991649E-2</v>
      </c>
      <c r="J23" s="1426">
        <f t="shared" si="55"/>
        <v>6.6526792163801307E-2</v>
      </c>
      <c r="K23" s="1426">
        <f t="shared" si="55"/>
        <v>9.8446900956894234E-2</v>
      </c>
      <c r="L23" s="1426">
        <f t="shared" si="55"/>
        <v>5.5532875642626767E-2</v>
      </c>
      <c r="M23" s="1426"/>
      <c r="N23" s="1426"/>
      <c r="O23" s="1426"/>
      <c r="T23" s="1755">
        <v>41850</v>
      </c>
      <c r="U23" s="1756" t="s">
        <v>3932</v>
      </c>
      <c r="V23" s="1757" t="s">
        <v>3945</v>
      </c>
      <c r="W23" s="1758"/>
      <c r="X23" s="1758"/>
      <c r="Y23" s="1758"/>
      <c r="Z23" s="1750"/>
      <c r="AA23" s="1750"/>
      <c r="AC23" s="1755">
        <v>42314</v>
      </c>
      <c r="AD23" s="1756" t="s">
        <v>3926</v>
      </c>
      <c r="AE23" s="1757" t="s">
        <v>3943</v>
      </c>
      <c r="AF23" s="1758">
        <v>6163000</v>
      </c>
      <c r="AG23" s="1758">
        <v>6993000</v>
      </c>
      <c r="AH23" s="1758">
        <v>7683000</v>
      </c>
      <c r="AI23" s="1750"/>
      <c r="AJ23" s="1750"/>
      <c r="AL23" s="1755">
        <v>42293</v>
      </c>
      <c r="AM23" s="1756" t="s">
        <v>3949</v>
      </c>
      <c r="AN23" s="1757" t="s">
        <v>3957</v>
      </c>
      <c r="AO23" s="1758">
        <v>10386000</v>
      </c>
      <c r="AP23" s="1758">
        <v>10568000</v>
      </c>
      <c r="AQ23" s="1758"/>
      <c r="AR23" s="1750"/>
      <c r="AS23" s="1750"/>
      <c r="AU23" s="1755"/>
      <c r="AV23" s="1756"/>
      <c r="AW23" s="1757"/>
      <c r="AX23" s="1758"/>
      <c r="AY23" s="1758"/>
      <c r="AZ23" s="1758"/>
      <c r="BA23" s="1750"/>
      <c r="BB23" s="1750"/>
      <c r="BD23" s="1755">
        <v>42382</v>
      </c>
      <c r="BE23" s="1756" t="s">
        <v>3931</v>
      </c>
      <c r="BF23" s="1757" t="s">
        <v>3975</v>
      </c>
      <c r="BG23" s="1758">
        <v>12476000</v>
      </c>
      <c r="BH23" s="1758">
        <v>13297000</v>
      </c>
      <c r="BI23" s="1758">
        <v>15217000</v>
      </c>
      <c r="BJ23" s="1750"/>
      <c r="BK23" s="1750"/>
    </row>
    <row r="24" spans="2:63" ht="13.5" customHeight="1" x14ac:dyDescent="0.3">
      <c r="T24" s="1755">
        <v>42289</v>
      </c>
      <c r="U24" s="1756" t="s">
        <v>3921</v>
      </c>
      <c r="V24" s="1757" t="s">
        <v>3935</v>
      </c>
      <c r="W24" s="1758"/>
      <c r="X24" s="1758"/>
      <c r="Y24" s="1758"/>
      <c r="Z24" s="1750"/>
      <c r="AA24" s="1750"/>
      <c r="AC24" s="1755">
        <v>42338</v>
      </c>
      <c r="AD24" s="1756" t="s">
        <v>3920</v>
      </c>
      <c r="AE24" s="1757" t="s">
        <v>3940</v>
      </c>
      <c r="AF24" s="1758">
        <v>6109400</v>
      </c>
      <c r="AG24" s="1758">
        <v>6934400</v>
      </c>
      <c r="AH24" s="1758">
        <v>7367000</v>
      </c>
      <c r="AI24" s="1750"/>
      <c r="AJ24" s="1750"/>
      <c r="AL24" s="1755">
        <v>42389</v>
      </c>
      <c r="AM24" s="1756" t="s">
        <v>3923</v>
      </c>
      <c r="AN24" s="1757" t="s">
        <v>3958</v>
      </c>
      <c r="AO24" s="1758">
        <v>10460000</v>
      </c>
      <c r="AP24" s="1758">
        <v>10901000</v>
      </c>
      <c r="AQ24" s="1758">
        <v>11524000</v>
      </c>
      <c r="AR24" s="1750"/>
      <c r="AS24" s="1750"/>
      <c r="AU24" s="1755"/>
      <c r="AV24" s="1756"/>
      <c r="AW24" s="1757"/>
      <c r="AX24" s="1758"/>
      <c r="AY24" s="1758"/>
      <c r="AZ24" s="1758"/>
      <c r="BA24" s="1750"/>
      <c r="BB24" s="1750"/>
      <c r="BD24" s="1755">
        <v>41722</v>
      </c>
      <c r="BE24" s="1756" t="s">
        <v>3951</v>
      </c>
      <c r="BF24" s="1757" t="s">
        <v>3976</v>
      </c>
      <c r="BG24" s="1758">
        <v>11724000</v>
      </c>
      <c r="BH24" s="1758"/>
      <c r="BI24" s="1758"/>
      <c r="BJ24" s="1750"/>
      <c r="BK24" s="1750"/>
    </row>
    <row r="25" spans="2:63" ht="13.5" customHeight="1" x14ac:dyDescent="0.3">
      <c r="T25" s="1755">
        <v>42388</v>
      </c>
      <c r="U25" s="1756" t="s">
        <v>3931</v>
      </c>
      <c r="V25" s="1757" t="s">
        <v>3942</v>
      </c>
      <c r="W25" s="1758">
        <v>1126000</v>
      </c>
      <c r="X25" s="1758">
        <v>1149200</v>
      </c>
      <c r="Y25" s="1758">
        <v>1172200</v>
      </c>
      <c r="Z25" s="1750"/>
      <c r="AA25" s="1750"/>
      <c r="AC25" s="1755">
        <v>42388</v>
      </c>
      <c r="AD25" s="1756" t="s">
        <v>3919</v>
      </c>
      <c r="AE25" s="1757" t="s">
        <v>3941</v>
      </c>
      <c r="AF25" s="1758">
        <v>6206100</v>
      </c>
      <c r="AG25" s="1758">
        <v>7063900</v>
      </c>
      <c r="AH25" s="1758">
        <v>7822100</v>
      </c>
      <c r="AI25" s="1750"/>
      <c r="AJ25" s="1750"/>
      <c r="AL25" s="1755">
        <v>42297</v>
      </c>
      <c r="AM25" s="1756" t="s">
        <v>3931</v>
      </c>
      <c r="AN25" s="1757" t="s">
        <v>3959</v>
      </c>
      <c r="AO25" s="1758">
        <v>10011000</v>
      </c>
      <c r="AP25" s="1758">
        <v>10207000</v>
      </c>
      <c r="AQ25" s="1758">
        <v>10893000</v>
      </c>
      <c r="AR25" s="1750"/>
      <c r="AS25" s="1750"/>
      <c r="AU25" s="1755"/>
      <c r="AV25" s="1756"/>
      <c r="AW25" s="1757"/>
      <c r="AX25" s="1758"/>
      <c r="AY25" s="1758"/>
      <c r="AZ25" s="1758"/>
      <c r="BA25" s="1750"/>
      <c r="BB25" s="1750"/>
      <c r="BD25" s="1755">
        <v>42382</v>
      </c>
      <c r="BE25" s="1756" t="s">
        <v>3949</v>
      </c>
      <c r="BF25" s="1757" t="s">
        <v>3977</v>
      </c>
      <c r="BG25" s="1758">
        <v>12148000</v>
      </c>
      <c r="BH25" s="1758">
        <v>12558000</v>
      </c>
      <c r="BI25" s="1758">
        <v>14906000</v>
      </c>
      <c r="BJ25" s="1750"/>
      <c r="BK25" s="1750"/>
    </row>
    <row r="26" spans="2:63" ht="13.5" customHeight="1" x14ac:dyDescent="0.3">
      <c r="T26" s="1755">
        <v>41486</v>
      </c>
      <c r="U26" s="1756" t="s">
        <v>3949</v>
      </c>
      <c r="V26" s="1757" t="s">
        <v>4416</v>
      </c>
      <c r="W26" s="1758"/>
      <c r="X26" s="1758"/>
      <c r="Y26" s="1758"/>
      <c r="Z26" s="1750"/>
      <c r="AA26" s="1750"/>
      <c r="AC26" s="1755">
        <v>41771</v>
      </c>
      <c r="AD26" s="1756" t="s">
        <v>3917</v>
      </c>
      <c r="AE26" s="1757" t="s">
        <v>3944</v>
      </c>
      <c r="AF26" s="1758">
        <v>5576000</v>
      </c>
      <c r="AG26" s="1758">
        <v>6187000</v>
      </c>
      <c r="AH26" s="1758"/>
      <c r="AI26" s="1750"/>
      <c r="AJ26" s="1750"/>
      <c r="AL26" s="1755">
        <v>42331</v>
      </c>
      <c r="AM26" s="1756" t="s">
        <v>3926</v>
      </c>
      <c r="AN26" s="1757" t="s">
        <v>3960</v>
      </c>
      <c r="AO26" s="1758">
        <v>10483000</v>
      </c>
      <c r="AP26" s="1758">
        <v>10675000</v>
      </c>
      <c r="AQ26" s="1758">
        <v>10620000</v>
      </c>
      <c r="AR26" s="1750"/>
      <c r="AS26" s="1750"/>
      <c r="AU26" s="1755"/>
      <c r="AV26" s="1756"/>
      <c r="AW26" s="1757"/>
      <c r="AX26" s="1758"/>
      <c r="AY26" s="1758"/>
      <c r="AZ26" s="1758"/>
      <c r="BA26" s="1750"/>
      <c r="BB26" s="1750"/>
      <c r="BD26" s="1755">
        <v>41968</v>
      </c>
      <c r="BE26" s="1756" t="s">
        <v>3932</v>
      </c>
      <c r="BF26" s="1757" t="s">
        <v>3978</v>
      </c>
      <c r="BG26" s="1758">
        <v>11106000</v>
      </c>
      <c r="BH26" s="1758">
        <v>11840000</v>
      </c>
      <c r="BI26" s="1758"/>
      <c r="BJ26" s="1750"/>
      <c r="BK26" s="1750"/>
    </row>
    <row r="27" spans="2:63" ht="13.5" customHeight="1" x14ac:dyDescent="0.3">
      <c r="B27" s="1731" t="s">
        <v>4414</v>
      </c>
      <c r="C27" s="184"/>
      <c r="D27" s="1420"/>
      <c r="E27" s="1420"/>
      <c r="F27" s="1420"/>
      <c r="G27" s="1420"/>
      <c r="H27" s="1420"/>
      <c r="I27" s="1420"/>
      <c r="J27" s="1421"/>
      <c r="K27" s="1421"/>
      <c r="L27" s="1421"/>
      <c r="M27" s="1421"/>
      <c r="N27" s="1421"/>
      <c r="T27" s="1755">
        <v>42290</v>
      </c>
      <c r="U27" s="1756" t="s">
        <v>3930</v>
      </c>
      <c r="V27" s="1757" t="s">
        <v>3937</v>
      </c>
      <c r="W27" s="1758"/>
      <c r="X27" s="1758"/>
      <c r="Y27" s="1758"/>
      <c r="Z27" s="1750"/>
      <c r="AA27" s="1750"/>
      <c r="AC27" s="1755">
        <v>42388</v>
      </c>
      <c r="AD27" s="1756" t="s">
        <v>3931</v>
      </c>
      <c r="AE27" s="1757" t="s">
        <v>3942</v>
      </c>
      <c r="AF27" s="1758">
        <v>6163800</v>
      </c>
      <c r="AG27" s="1758">
        <v>7060000</v>
      </c>
      <c r="AH27" s="1758">
        <v>7917000</v>
      </c>
      <c r="AI27" s="1750"/>
      <c r="AJ27" s="1750"/>
      <c r="AL27" s="1755">
        <v>41759</v>
      </c>
      <c r="AM27" s="1756" t="s">
        <v>3917</v>
      </c>
      <c r="AN27" s="1757" t="s">
        <v>3961</v>
      </c>
      <c r="AO27" s="1758">
        <v>10132000</v>
      </c>
      <c r="AP27" s="1758">
        <v>10111000</v>
      </c>
      <c r="AQ27" s="1758"/>
      <c r="AR27" s="1750"/>
      <c r="AS27" s="1750"/>
      <c r="AU27" s="1755"/>
      <c r="AV27" s="1756"/>
      <c r="AW27" s="1757"/>
      <c r="AX27" s="1758"/>
      <c r="AY27" s="1758"/>
      <c r="AZ27" s="1758"/>
      <c r="BA27" s="1750"/>
      <c r="BB27" s="1750"/>
      <c r="BD27" s="1755">
        <v>41569</v>
      </c>
      <c r="BE27" s="1756" t="s">
        <v>3922</v>
      </c>
      <c r="BF27" s="1757" t="s">
        <v>3975</v>
      </c>
      <c r="BG27" s="1758">
        <v>11453000</v>
      </c>
      <c r="BH27" s="1758"/>
      <c r="BI27" s="1758"/>
      <c r="BJ27" s="1750"/>
      <c r="BK27" s="1750"/>
    </row>
    <row r="28" spans="2:63" ht="13.5" customHeight="1" x14ac:dyDescent="0.3">
      <c r="B28" s="1405" t="s">
        <v>2556</v>
      </c>
      <c r="C28" s="1405" t="s">
        <v>3890</v>
      </c>
      <c r="D28" s="1405">
        <v>2008</v>
      </c>
      <c r="E28" s="1405">
        <v>2009</v>
      </c>
      <c r="F28" s="1405">
        <v>2010</v>
      </c>
      <c r="G28" s="1405">
        <v>2011</v>
      </c>
      <c r="H28" s="1405">
        <v>2012</v>
      </c>
      <c r="I28" s="1405">
        <v>2013</v>
      </c>
      <c r="J28" s="1405">
        <v>2014</v>
      </c>
      <c r="K28" s="1422">
        <v>2015</v>
      </c>
      <c r="L28" s="1422">
        <v>2016</v>
      </c>
      <c r="M28" s="1422">
        <v>2017</v>
      </c>
      <c r="N28" s="1422">
        <v>2018</v>
      </c>
      <c r="O28" s="1422">
        <v>2018</v>
      </c>
      <c r="T28" s="1755">
        <v>42306</v>
      </c>
      <c r="U28" s="1756" t="s">
        <v>3933</v>
      </c>
      <c r="V28" s="1757" t="s">
        <v>3946</v>
      </c>
      <c r="W28" s="1758"/>
      <c r="X28" s="1758"/>
      <c r="Y28" s="1758"/>
      <c r="Z28" s="1750"/>
      <c r="AA28" s="1750"/>
      <c r="AC28" s="1755">
        <v>42314</v>
      </c>
      <c r="AD28" s="1756" t="s">
        <v>3929</v>
      </c>
      <c r="AE28" s="1757" t="s">
        <v>3936</v>
      </c>
      <c r="AF28" s="1758">
        <v>6270000</v>
      </c>
      <c r="AG28" s="1758">
        <v>7099000</v>
      </c>
      <c r="AH28" s="1758">
        <v>7707000</v>
      </c>
      <c r="AI28" s="1750"/>
      <c r="AJ28" s="1750"/>
      <c r="AL28" s="1755">
        <v>42348</v>
      </c>
      <c r="AM28" s="1756" t="s">
        <v>3928</v>
      </c>
      <c r="AN28" s="1757" t="s">
        <v>3962</v>
      </c>
      <c r="AO28" s="1758">
        <v>10510000</v>
      </c>
      <c r="AP28" s="1758">
        <v>10721000</v>
      </c>
      <c r="AQ28" s="1758">
        <v>10448000</v>
      </c>
      <c r="AR28" s="1750"/>
      <c r="AS28" s="1750"/>
      <c r="AU28" s="1755"/>
      <c r="AV28" s="1756"/>
      <c r="AW28" s="1757"/>
      <c r="AX28" s="1758"/>
      <c r="AY28" s="1758"/>
      <c r="AZ28" s="1758"/>
      <c r="BA28" s="1750"/>
      <c r="BB28" s="1750"/>
      <c r="BD28" s="1755">
        <v>42132</v>
      </c>
      <c r="BE28" s="1756" t="s">
        <v>3926</v>
      </c>
      <c r="BF28" s="1757" t="s">
        <v>3979</v>
      </c>
      <c r="BG28" s="1758">
        <v>12284000</v>
      </c>
      <c r="BH28" s="1758">
        <v>12856000</v>
      </c>
      <c r="BI28" s="1758">
        <v>13461000</v>
      </c>
      <c r="BJ28" s="1750"/>
      <c r="BK28" s="1750"/>
    </row>
    <row r="29" spans="2:63" ht="13.5" customHeight="1" x14ac:dyDescent="0.3">
      <c r="B29" s="1759" t="s">
        <v>3987</v>
      </c>
      <c r="C29" s="1732" t="s">
        <v>3893</v>
      </c>
      <c r="D29" s="1735">
        <v>84528.659</v>
      </c>
      <c r="E29" s="1735">
        <v>89685.914000000004</v>
      </c>
      <c r="F29" s="1735">
        <v>109368.06299999999</v>
      </c>
      <c r="G29" s="1735">
        <v>103397.694</v>
      </c>
      <c r="H29" s="1733">
        <v>132455.288</v>
      </c>
      <c r="I29" s="1733">
        <v>153742.845</v>
      </c>
      <c r="J29" s="1734">
        <v>137318.473</v>
      </c>
      <c r="K29" s="1734">
        <f>W53</f>
        <v>113840</v>
      </c>
      <c r="L29" s="1734">
        <f t="shared" ref="L29:M29" si="56">X53</f>
        <v>125360</v>
      </c>
      <c r="M29" s="1734">
        <f t="shared" si="56"/>
        <v>127300</v>
      </c>
      <c r="N29" s="1734"/>
      <c r="O29" s="1734"/>
      <c r="T29" s="1755">
        <v>42345</v>
      </c>
      <c r="U29" s="1756" t="s">
        <v>3918</v>
      </c>
      <c r="V29" s="1757" t="s">
        <v>3939</v>
      </c>
      <c r="W29" s="1758">
        <v>1099000</v>
      </c>
      <c r="X29" s="1758">
        <v>1177000</v>
      </c>
      <c r="Y29" s="1758">
        <v>1254000</v>
      </c>
      <c r="Z29" s="1750"/>
      <c r="AA29" s="1750"/>
      <c r="AC29" s="1755">
        <v>42314</v>
      </c>
      <c r="AD29" s="1756" t="s">
        <v>3918</v>
      </c>
      <c r="AE29" s="1757" t="s">
        <v>3939</v>
      </c>
      <c r="AF29" s="1758">
        <v>6140000</v>
      </c>
      <c r="AG29" s="1758">
        <v>6937000</v>
      </c>
      <c r="AH29" s="1758">
        <v>7442000</v>
      </c>
      <c r="AI29" s="1750"/>
      <c r="AJ29" s="1750"/>
      <c r="AL29" s="1755">
        <v>42383</v>
      </c>
      <c r="AM29" s="1756" t="s">
        <v>3925</v>
      </c>
      <c r="AN29" s="1757" t="s">
        <v>3963</v>
      </c>
      <c r="AO29" s="1758">
        <v>10247000</v>
      </c>
      <c r="AP29" s="1758">
        <v>10882000</v>
      </c>
      <c r="AQ29" s="1758">
        <v>11208000</v>
      </c>
      <c r="AR29" s="1750"/>
      <c r="AS29" s="1750"/>
      <c r="AU29" s="1755"/>
      <c r="AV29" s="1756"/>
      <c r="AW29" s="1757"/>
      <c r="AX29" s="1758"/>
      <c r="AY29" s="1758"/>
      <c r="AZ29" s="1758"/>
      <c r="BA29" s="1750"/>
      <c r="BB29" s="1750"/>
      <c r="BD29" s="1755">
        <v>42290</v>
      </c>
      <c r="BE29" s="1756" t="s">
        <v>3923</v>
      </c>
      <c r="BF29" s="1757" t="s">
        <v>3971</v>
      </c>
      <c r="BG29" s="1758">
        <v>12544000</v>
      </c>
      <c r="BH29" s="1758">
        <v>13419000</v>
      </c>
      <c r="BI29" s="1758">
        <v>14406000</v>
      </c>
      <c r="BJ29" s="1750"/>
      <c r="BK29" s="1750"/>
    </row>
    <row r="30" spans="2:63" ht="13.5" customHeight="1" x14ac:dyDescent="0.3">
      <c r="B30" s="1409"/>
      <c r="C30" s="1410" t="s">
        <v>2566</v>
      </c>
      <c r="D30" s="1411" t="s">
        <v>92</v>
      </c>
      <c r="E30" s="1412">
        <f>E29/D29-1</f>
        <v>6.1011910765081501E-2</v>
      </c>
      <c r="F30" s="1412">
        <f t="shared" ref="F30" si="57">F29/E29-1</f>
        <v>0.21945641318880904</v>
      </c>
      <c r="G30" s="1412">
        <f t="shared" ref="G30" si="58">G29/F29-1</f>
        <v>-5.4589693153841323E-2</v>
      </c>
      <c r="H30" s="1412">
        <f t="shared" ref="H30" si="59">H29/G29-1</f>
        <v>0.28102748597081861</v>
      </c>
      <c r="I30" s="1412">
        <f t="shared" ref="I30" si="60">I29/H29-1</f>
        <v>0.16071504068603137</v>
      </c>
      <c r="J30" s="1424">
        <f t="shared" ref="J30" si="61">J29/I29-1</f>
        <v>-0.1068301552504769</v>
      </c>
      <c r="K30" s="1424">
        <f t="shared" ref="K30" si="62">K29/J29-1</f>
        <v>-0.17097825578063341</v>
      </c>
      <c r="L30" s="1424">
        <f t="shared" ref="L30" si="63">L29/K29-1</f>
        <v>0.10119465917076598</v>
      </c>
      <c r="M30" s="1424">
        <f t="shared" ref="M30" si="64">M29/L29-1</f>
        <v>1.5475430759412934E-2</v>
      </c>
      <c r="N30" s="1424"/>
      <c r="O30" s="1424"/>
      <c r="T30" s="1755">
        <v>42306</v>
      </c>
      <c r="U30" s="1756" t="s">
        <v>3919</v>
      </c>
      <c r="V30" s="1757" t="s">
        <v>3941</v>
      </c>
      <c r="W30" s="1758">
        <v>1121400</v>
      </c>
      <c r="X30" s="1758">
        <v>1151800</v>
      </c>
      <c r="Y30" s="1758">
        <v>1198000</v>
      </c>
      <c r="Z30" s="1750"/>
      <c r="AA30" s="1750"/>
      <c r="AC30" s="1755">
        <v>41344</v>
      </c>
      <c r="AD30" s="1756" t="s">
        <v>3924</v>
      </c>
      <c r="AE30" s="1757" t="s">
        <v>3938</v>
      </c>
      <c r="AF30" s="1758">
        <v>6438600</v>
      </c>
      <c r="AG30" s="1758"/>
      <c r="AH30" s="1758"/>
      <c r="AI30" s="1750"/>
      <c r="AJ30" s="1750"/>
      <c r="AL30" s="1755">
        <v>42380</v>
      </c>
      <c r="AM30" s="1756" t="s">
        <v>3924</v>
      </c>
      <c r="AN30" s="1757" t="s">
        <v>3964</v>
      </c>
      <c r="AO30" s="1758">
        <v>10111000</v>
      </c>
      <c r="AP30" s="1758">
        <v>10443000</v>
      </c>
      <c r="AQ30" s="1758">
        <v>10660000</v>
      </c>
      <c r="AR30" s="1750"/>
      <c r="AS30" s="1750"/>
      <c r="AU30" s="1755"/>
      <c r="AV30" s="1756"/>
      <c r="AW30" s="1757"/>
      <c r="AX30" s="1758"/>
      <c r="AY30" s="1758"/>
      <c r="AZ30" s="1758"/>
      <c r="BA30" s="1750"/>
      <c r="BB30" s="1750"/>
      <c r="BD30" s="1755">
        <v>42317</v>
      </c>
      <c r="BE30" s="1756" t="s">
        <v>3924</v>
      </c>
      <c r="BF30" s="1757" t="s">
        <v>3980</v>
      </c>
      <c r="BG30" s="1758">
        <v>12381600</v>
      </c>
      <c r="BH30" s="1758">
        <v>13297900</v>
      </c>
      <c r="BI30" s="1758">
        <v>14515100</v>
      </c>
      <c r="BJ30" s="1750"/>
      <c r="BK30" s="1750"/>
    </row>
    <row r="31" spans="2:63" ht="13.5" customHeight="1" x14ac:dyDescent="0.3">
      <c r="B31" s="1759" t="s">
        <v>3986</v>
      </c>
      <c r="C31" s="1732" t="s">
        <v>3894</v>
      </c>
      <c r="D31" s="1733">
        <v>107170.916</v>
      </c>
      <c r="E31" s="1733">
        <v>147926.22</v>
      </c>
      <c r="F31" s="1733">
        <v>79654.107999999993</v>
      </c>
      <c r="G31" s="1733">
        <v>93889.582999999999</v>
      </c>
      <c r="H31" s="1733">
        <v>140474.05499999999</v>
      </c>
      <c r="I31" s="1733">
        <v>155049.77100000001</v>
      </c>
      <c r="J31" s="1734">
        <v>143310.17800000001</v>
      </c>
      <c r="K31" s="1734">
        <f>AF53</f>
        <v>230180</v>
      </c>
      <c r="L31" s="1734">
        <f t="shared" ref="L31:M31" si="65">AG53</f>
        <v>274858.33333333331</v>
      </c>
      <c r="M31" s="1734">
        <f t="shared" si="65"/>
        <v>330172.72727272729</v>
      </c>
      <c r="N31" s="1734"/>
      <c r="O31" s="1734"/>
      <c r="T31" s="1755">
        <v>42306</v>
      </c>
      <c r="U31" s="1756" t="s">
        <v>3926</v>
      </c>
      <c r="V31" s="1757" t="s">
        <v>3943</v>
      </c>
      <c r="W31" s="1758"/>
      <c r="X31" s="1758"/>
      <c r="Y31" s="1758"/>
      <c r="Z31" s="1750"/>
      <c r="AA31" s="1750"/>
      <c r="AC31" s="1755">
        <v>41677</v>
      </c>
      <c r="AD31" s="1756" t="s">
        <v>3951</v>
      </c>
      <c r="AE31" s="1757" t="s">
        <v>3952</v>
      </c>
      <c r="AF31" s="1758">
        <v>5719000</v>
      </c>
      <c r="AG31" s="1758"/>
      <c r="AH31" s="1758"/>
      <c r="AI31" s="1750"/>
      <c r="AJ31" s="1750"/>
      <c r="AL31" s="1755">
        <v>42387</v>
      </c>
      <c r="AM31" s="1756" t="s">
        <v>3932</v>
      </c>
      <c r="AN31" s="1757" t="s">
        <v>3965</v>
      </c>
      <c r="AO31" s="1758">
        <v>10341000</v>
      </c>
      <c r="AP31" s="1758">
        <v>10477000</v>
      </c>
      <c r="AQ31" s="1758">
        <v>10566000</v>
      </c>
      <c r="AR31" s="1750"/>
      <c r="AS31" s="1750"/>
      <c r="AU31" s="1755"/>
      <c r="AV31" s="1756"/>
      <c r="AW31" s="1757"/>
      <c r="AX31" s="1758"/>
      <c r="AY31" s="1758"/>
      <c r="AZ31" s="1758"/>
      <c r="BA31" s="1750"/>
      <c r="BB31" s="1750"/>
      <c r="BD31" s="1755">
        <v>42242</v>
      </c>
      <c r="BE31" s="1756" t="s">
        <v>3919</v>
      </c>
      <c r="BF31" s="1757" t="s">
        <v>3981</v>
      </c>
      <c r="BG31" s="1758">
        <v>11964400</v>
      </c>
      <c r="BH31" s="1758">
        <v>11993300</v>
      </c>
      <c r="BI31" s="1758">
        <v>13092400</v>
      </c>
      <c r="BJ31" s="1750"/>
      <c r="BK31" s="1750"/>
    </row>
    <row r="32" spans="2:63" ht="13.5" customHeight="1" x14ac:dyDescent="0.3">
      <c r="B32" s="1409"/>
      <c r="C32" s="1410" t="s">
        <v>2566</v>
      </c>
      <c r="D32" s="1411" t="s">
        <v>92</v>
      </c>
      <c r="E32" s="1412">
        <f>E31/D31-1</f>
        <v>0.38028324774232591</v>
      </c>
      <c r="F32" s="1412">
        <f t="shared" ref="F32" si="66">F31/E31-1</f>
        <v>-0.46152813206475507</v>
      </c>
      <c r="G32" s="1412">
        <f t="shared" ref="G32" si="67">G31/F31-1</f>
        <v>0.17871614355407761</v>
      </c>
      <c r="H32" s="1412">
        <f t="shared" ref="H32" si="68">H31/G31-1</f>
        <v>0.49616230588647947</v>
      </c>
      <c r="I32" s="1412">
        <f t="shared" ref="I32" si="69">I31/H31-1</f>
        <v>0.10376091157901013</v>
      </c>
      <c r="J32" s="1424">
        <f t="shared" ref="J32" si="70">J31/I31-1</f>
        <v>-7.5714997347529067E-2</v>
      </c>
      <c r="K32" s="1424">
        <f t="shared" ref="K32" si="71">K31/J31-1</f>
        <v>0.6061664510667204</v>
      </c>
      <c r="L32" s="1424">
        <f t="shared" ref="L32" si="72">L31/K31-1</f>
        <v>0.19410171749645189</v>
      </c>
      <c r="M32" s="1424">
        <f t="shared" ref="M32" si="73">M31/L31-1</f>
        <v>0.20124692334618666</v>
      </c>
      <c r="N32" s="1424"/>
      <c r="O32" s="1424"/>
      <c r="T32" s="1755">
        <v>42306</v>
      </c>
      <c r="U32" s="1756" t="s">
        <v>3929</v>
      </c>
      <c r="V32" s="1757" t="s">
        <v>3936</v>
      </c>
      <c r="W32" s="1758">
        <v>1117000</v>
      </c>
      <c r="X32" s="1758">
        <v>1174000</v>
      </c>
      <c r="Y32" s="1758">
        <v>1222000</v>
      </c>
      <c r="Z32" s="1750"/>
      <c r="AA32" s="1750"/>
      <c r="AC32" s="1755">
        <v>41586</v>
      </c>
      <c r="AD32" s="1756" t="s">
        <v>3922</v>
      </c>
      <c r="AE32" s="1757" t="s">
        <v>3947</v>
      </c>
      <c r="AF32" s="1758">
        <v>5371500</v>
      </c>
      <c r="AG32" s="1758"/>
      <c r="AH32" s="1758"/>
      <c r="AI32" s="1750"/>
      <c r="AJ32" s="1750"/>
      <c r="AL32" s="1755">
        <v>42306</v>
      </c>
      <c r="AM32" s="1756" t="s">
        <v>3919</v>
      </c>
      <c r="AN32" s="1757" t="s">
        <v>3966</v>
      </c>
      <c r="AO32" s="1758">
        <v>10462900</v>
      </c>
      <c r="AP32" s="1758">
        <v>9877800</v>
      </c>
      <c r="AQ32" s="1758">
        <v>9432500</v>
      </c>
      <c r="AR32" s="1750"/>
      <c r="AS32" s="1750"/>
      <c r="AU32" s="1755"/>
      <c r="AV32" s="1756"/>
      <c r="AW32" s="1757"/>
      <c r="AX32" s="1758"/>
      <c r="AY32" s="1758"/>
      <c r="AZ32" s="1758"/>
      <c r="BA32" s="1750"/>
      <c r="BB32" s="1750"/>
      <c r="BD32" s="1755">
        <v>41677</v>
      </c>
      <c r="BE32" s="1756" t="s">
        <v>3917</v>
      </c>
      <c r="BF32" s="1757" t="s">
        <v>3982</v>
      </c>
      <c r="BG32" s="1758">
        <v>10865000</v>
      </c>
      <c r="BH32" s="1758"/>
      <c r="BI32" s="1758"/>
      <c r="BJ32" s="1750"/>
      <c r="BK32" s="1750"/>
    </row>
    <row r="33" spans="2:63" ht="13.5" customHeight="1" x14ac:dyDescent="0.3">
      <c r="B33" s="1759" t="s">
        <v>3988</v>
      </c>
      <c r="C33" s="1732" t="s">
        <v>3895</v>
      </c>
      <c r="D33" s="1733">
        <v>518142.13799999998</v>
      </c>
      <c r="E33" s="1733">
        <v>610704.397</v>
      </c>
      <c r="F33" s="1733">
        <v>594088.39899999998</v>
      </c>
      <c r="G33" s="1733">
        <v>431004.71100000001</v>
      </c>
      <c r="H33" s="1733">
        <v>176063.27</v>
      </c>
      <c r="I33" s="1733">
        <v>-935450.51800000004</v>
      </c>
      <c r="J33" s="1734">
        <v>51168.675000000003</v>
      </c>
      <c r="K33" s="1734">
        <f>AO53</f>
        <v>140480</v>
      </c>
      <c r="L33" s="1734">
        <f t="shared" ref="L33:M33" si="74">AP53</f>
        <v>358718.18181818182</v>
      </c>
      <c r="M33" s="1734">
        <f t="shared" si="74"/>
        <v>358718.18181818182</v>
      </c>
      <c r="N33" s="1734"/>
      <c r="O33" s="1734"/>
      <c r="T33" s="1755">
        <v>42306</v>
      </c>
      <c r="U33" s="1756" t="s">
        <v>3928</v>
      </c>
      <c r="V33" s="1757" t="s">
        <v>3934</v>
      </c>
      <c r="W33" s="1758"/>
      <c r="X33" s="1758"/>
      <c r="Y33" s="1758"/>
      <c r="Z33" s="1750"/>
      <c r="AA33" s="1750"/>
      <c r="AC33" s="1755">
        <v>42314</v>
      </c>
      <c r="AD33" s="1756" t="s">
        <v>3930</v>
      </c>
      <c r="AE33" s="1757" t="s">
        <v>3937</v>
      </c>
      <c r="AF33" s="1750">
        <v>6237600</v>
      </c>
      <c r="AG33" s="1750">
        <v>7332400</v>
      </c>
      <c r="AH33" s="1750">
        <v>8065600</v>
      </c>
      <c r="AI33" s="1750"/>
      <c r="AJ33" s="1750"/>
      <c r="AL33" s="1755">
        <v>42327</v>
      </c>
      <c r="AM33" s="1756" t="s">
        <v>3920</v>
      </c>
      <c r="AN33" s="1757" t="s">
        <v>3967</v>
      </c>
      <c r="AO33" s="1750">
        <v>10630000</v>
      </c>
      <c r="AP33" s="1750">
        <v>9790000</v>
      </c>
      <c r="AQ33" s="1750">
        <v>9387000</v>
      </c>
      <c r="AR33" s="1750"/>
      <c r="AS33" s="1750"/>
      <c r="AU33" s="1755"/>
      <c r="AV33" s="1756"/>
      <c r="AW33" s="1757"/>
      <c r="AX33" s="1750"/>
      <c r="AY33" s="1750"/>
      <c r="AZ33" s="1750"/>
      <c r="BA33" s="1750"/>
      <c r="BB33" s="1750"/>
      <c r="BD33" s="1755">
        <v>42247</v>
      </c>
      <c r="BE33" s="1756" t="s">
        <v>3929</v>
      </c>
      <c r="BF33" s="1757" t="s">
        <v>3983</v>
      </c>
      <c r="BG33" s="1750">
        <v>11926600</v>
      </c>
      <c r="BH33" s="1750">
        <v>12167500</v>
      </c>
      <c r="BI33" s="1750">
        <v>12413900</v>
      </c>
      <c r="BJ33" s="1750"/>
      <c r="BK33" s="1750"/>
    </row>
    <row r="34" spans="2:63" ht="13.5" customHeight="1" x14ac:dyDescent="0.3">
      <c r="B34" s="1409"/>
      <c r="C34" s="1410" t="s">
        <v>2566</v>
      </c>
      <c r="D34" s="1411" t="s">
        <v>92</v>
      </c>
      <c r="E34" s="1412">
        <f>E33/D33-1</f>
        <v>0.17864260057536563</v>
      </c>
      <c r="F34" s="1412">
        <f t="shared" ref="F34" si="75">F33/E33-1</f>
        <v>-2.7207922657219719E-2</v>
      </c>
      <c r="G34" s="1412">
        <f t="shared" ref="G34" si="76">G33/F33-1</f>
        <v>-0.27451081063779526</v>
      </c>
      <c r="H34" s="1412">
        <f t="shared" ref="H34" si="77">H33/G33-1</f>
        <v>-0.59150499865417949</v>
      </c>
      <c r="I34" s="1412">
        <f t="shared" ref="I34" si="78">I33/H33-1</f>
        <v>-6.313149744407224</v>
      </c>
      <c r="J34" s="1424">
        <f t="shared" ref="J34" si="79">J33/I33-1</f>
        <v>-1.0546994993486123</v>
      </c>
      <c r="K34" s="1424">
        <f t="shared" ref="K34" si="80">K33/J33-1</f>
        <v>1.7454296989320124</v>
      </c>
      <c r="L34" s="1424">
        <f t="shared" ref="L34" si="81">L33/K33-1</f>
        <v>1.5535178090702009</v>
      </c>
      <c r="M34" s="1424">
        <f t="shared" ref="M34" si="82">M33/L33-1</f>
        <v>0</v>
      </c>
      <c r="N34" s="1424"/>
      <c r="O34" s="1424"/>
      <c r="T34" s="1755"/>
      <c r="U34" s="1756"/>
      <c r="V34" s="1757"/>
      <c r="W34" s="1750"/>
      <c r="X34" s="1750"/>
      <c r="Y34" s="1750"/>
      <c r="Z34" s="1750"/>
      <c r="AA34" s="1750"/>
      <c r="AC34" s="1755"/>
      <c r="AD34" s="1756"/>
      <c r="AE34" s="1757"/>
      <c r="AF34" s="1750"/>
      <c r="AG34" s="1750"/>
      <c r="AH34" s="1750"/>
      <c r="AI34" s="1750"/>
      <c r="AJ34" s="1750"/>
      <c r="AL34" s="1755">
        <v>42383</v>
      </c>
      <c r="AM34" s="1756" t="s">
        <v>3933</v>
      </c>
      <c r="AN34" s="1757" t="s">
        <v>3968</v>
      </c>
      <c r="AO34" s="1750">
        <v>10316000</v>
      </c>
      <c r="AP34" s="1750">
        <v>10360000</v>
      </c>
      <c r="AQ34" s="1750">
        <v>10248000</v>
      </c>
      <c r="AR34" s="1750"/>
      <c r="AS34" s="1750"/>
      <c r="AU34" s="1755"/>
      <c r="AV34" s="1756"/>
      <c r="AW34" s="1757"/>
      <c r="AX34" s="1750"/>
      <c r="AY34" s="1750"/>
      <c r="AZ34" s="1750"/>
      <c r="BA34" s="1750"/>
      <c r="BB34" s="1750"/>
      <c r="BD34" s="1755">
        <v>42132</v>
      </c>
      <c r="BE34" s="1756" t="s">
        <v>3918</v>
      </c>
      <c r="BF34" s="1757" t="s">
        <v>3984</v>
      </c>
      <c r="BG34" s="1750">
        <v>11333000</v>
      </c>
      <c r="BH34" s="1750">
        <v>11508000</v>
      </c>
      <c r="BI34" s="1750">
        <v>11888000</v>
      </c>
      <c r="BJ34" s="1750"/>
      <c r="BK34" s="1750"/>
    </row>
    <row r="35" spans="2:63" ht="13.5" customHeight="1" x14ac:dyDescent="0.3">
      <c r="B35" s="1759" t="s">
        <v>3989</v>
      </c>
      <c r="C35" s="1732" t="s">
        <v>3897</v>
      </c>
      <c r="D35" s="1733">
        <v>35128.421000000002</v>
      </c>
      <c r="E35" s="1733">
        <v>36258.743999999999</v>
      </c>
      <c r="F35" s="1733">
        <v>7690.7330000000002</v>
      </c>
      <c r="G35" s="1733">
        <v>10595.662</v>
      </c>
      <c r="H35" s="1733">
        <v>27967.951000000001</v>
      </c>
      <c r="I35" s="1733">
        <v>13729.896000000001</v>
      </c>
      <c r="J35" s="1734">
        <v>23378.617999999999</v>
      </c>
      <c r="K35" s="1734">
        <f>AX53</f>
        <v>25950</v>
      </c>
      <c r="L35" s="1734">
        <f>AY53</f>
        <v>29000</v>
      </c>
      <c r="M35" s="1424"/>
      <c r="N35" s="1424"/>
      <c r="O35" s="1424"/>
      <c r="T35" s="1755"/>
      <c r="U35" s="1756"/>
      <c r="V35" s="1757"/>
      <c r="W35" s="1750"/>
      <c r="X35" s="1750"/>
      <c r="Y35" s="1750"/>
      <c r="Z35" s="1750"/>
      <c r="AA35" s="1750"/>
      <c r="AC35" s="1755"/>
      <c r="AD35" s="1756"/>
      <c r="AE35" s="1757"/>
      <c r="AF35" s="1750"/>
      <c r="AG35" s="1750"/>
      <c r="AH35" s="1750"/>
      <c r="AI35" s="1750"/>
      <c r="AJ35" s="1750"/>
      <c r="AL35" s="1755"/>
      <c r="AM35" s="1756"/>
      <c r="AN35" s="1757"/>
      <c r="AO35" s="1750"/>
      <c r="AP35" s="1750"/>
      <c r="AQ35" s="1750"/>
      <c r="AR35" s="1750"/>
      <c r="AS35" s="1750"/>
      <c r="AU35" s="1755"/>
      <c r="AV35" s="1756"/>
      <c r="AW35" s="1757"/>
      <c r="AX35" s="1750"/>
      <c r="AY35" s="1750"/>
      <c r="AZ35" s="1750"/>
      <c r="BA35" s="1750"/>
      <c r="BB35" s="1750"/>
      <c r="BD35" s="1755">
        <v>42118</v>
      </c>
      <c r="BE35" s="1756" t="s">
        <v>3920</v>
      </c>
      <c r="BF35" s="1757" t="s">
        <v>3985</v>
      </c>
      <c r="BG35" s="1750">
        <v>12691900</v>
      </c>
      <c r="BH35" s="1750">
        <v>13616000</v>
      </c>
      <c r="BI35" s="1750">
        <v>14709400</v>
      </c>
      <c r="BJ35" s="1750"/>
      <c r="BK35" s="1750"/>
    </row>
    <row r="36" spans="2:63" ht="13.5" customHeight="1" x14ac:dyDescent="0.3">
      <c r="B36" s="1409"/>
      <c r="C36" s="1410" t="s">
        <v>2566</v>
      </c>
      <c r="D36" s="1411" t="s">
        <v>92</v>
      </c>
      <c r="E36" s="1412">
        <f>E35/D35-1</f>
        <v>3.2176880367039473E-2</v>
      </c>
      <c r="F36" s="1412">
        <f t="shared" ref="F36" si="83">F35/E35-1</f>
        <v>-0.78789301140712431</v>
      </c>
      <c r="G36" s="1412">
        <f t="shared" ref="G36" si="84">G35/F35-1</f>
        <v>0.37771809267075063</v>
      </c>
      <c r="H36" s="1412">
        <f t="shared" ref="H36" si="85">H35/G35-1</f>
        <v>1.6395661734019074</v>
      </c>
      <c r="I36" s="1412">
        <f t="shared" ref="I36" si="86">I35/H35-1</f>
        <v>-0.50908466623100135</v>
      </c>
      <c r="J36" s="1424">
        <f t="shared" ref="J36" si="87">J35/I35-1</f>
        <v>0.70275273752983991</v>
      </c>
      <c r="K36" s="1424">
        <f t="shared" ref="K36" si="88">K35/J35-1</f>
        <v>0.10998862293742095</v>
      </c>
      <c r="L36" s="1424">
        <f t="shared" ref="L36" si="89">L35/K35-1</f>
        <v>0.11753371868978801</v>
      </c>
      <c r="M36" s="1424"/>
      <c r="N36" s="1424"/>
      <c r="O36" s="1424"/>
      <c r="T36" s="1755"/>
      <c r="U36" s="1756"/>
      <c r="V36" s="1757"/>
      <c r="W36" s="1750"/>
      <c r="X36" s="1750"/>
      <c r="Y36" s="1750"/>
      <c r="Z36" s="1750"/>
      <c r="AA36" s="1750"/>
      <c r="AC36" s="1755"/>
      <c r="AD36" s="1756"/>
      <c r="AE36" s="1757"/>
      <c r="AF36" s="1750"/>
      <c r="AG36" s="1750"/>
      <c r="AH36" s="1750"/>
      <c r="AI36" s="1750"/>
      <c r="AJ36" s="1750"/>
      <c r="AL36" s="1755"/>
      <c r="AM36" s="1756"/>
      <c r="AN36" s="1757"/>
      <c r="AO36" s="1750"/>
      <c r="AP36" s="1750"/>
      <c r="AQ36" s="1750"/>
      <c r="AR36" s="1750"/>
      <c r="AS36" s="1750"/>
      <c r="AU36" s="1755"/>
      <c r="AV36" s="1756"/>
      <c r="AW36" s="1757"/>
      <c r="AX36" s="1750"/>
      <c r="AY36" s="1750"/>
      <c r="AZ36" s="1750"/>
      <c r="BA36" s="1750"/>
      <c r="BB36" s="1750"/>
      <c r="BD36" s="1755"/>
      <c r="BE36" s="1756"/>
      <c r="BF36" s="1757"/>
      <c r="BG36" s="1750"/>
      <c r="BH36" s="1750"/>
      <c r="BI36" s="1750"/>
      <c r="BJ36" s="1750"/>
      <c r="BK36" s="1750"/>
    </row>
    <row r="37" spans="2:63" ht="13.5" customHeight="1" x14ac:dyDescent="0.3">
      <c r="B37" s="1759" t="s">
        <v>3990</v>
      </c>
      <c r="C37" s="1732" t="s">
        <v>3898</v>
      </c>
      <c r="D37" s="1733">
        <v>-2376.2629999999999</v>
      </c>
      <c r="E37" s="1733">
        <v>6444.826</v>
      </c>
      <c r="F37" s="1733">
        <v>5914.6859999999997</v>
      </c>
      <c r="G37" s="1733">
        <v>21202.44</v>
      </c>
      <c r="H37" s="1733">
        <v>-5089.9939999999997</v>
      </c>
      <c r="I37" s="1733">
        <v>-14053.465</v>
      </c>
      <c r="J37" s="1734">
        <v>-36144.048999999999</v>
      </c>
      <c r="K37" s="1734"/>
      <c r="L37" s="1734"/>
      <c r="M37" s="1424"/>
      <c r="N37" s="1424"/>
      <c r="O37" s="1424"/>
      <c r="T37" s="1755"/>
      <c r="U37" s="1756"/>
      <c r="V37" s="1757"/>
      <c r="W37" s="1750"/>
      <c r="X37" s="1750"/>
      <c r="Y37" s="1750"/>
      <c r="Z37" s="1750"/>
      <c r="AA37" s="1750"/>
      <c r="AC37" s="1755"/>
      <c r="AD37" s="1756"/>
      <c r="AE37" s="1757"/>
      <c r="AF37" s="1750"/>
      <c r="AG37" s="1750"/>
      <c r="AH37" s="1750"/>
      <c r="AI37" s="1750"/>
      <c r="AJ37" s="1750"/>
      <c r="AL37" s="1755"/>
      <c r="AM37" s="1756"/>
      <c r="AN37" s="1757"/>
      <c r="AO37" s="1750"/>
      <c r="AP37" s="1750"/>
      <c r="AQ37" s="1750"/>
      <c r="AR37" s="1750"/>
      <c r="AS37" s="1750"/>
      <c r="AU37" s="1755"/>
      <c r="AV37" s="1756"/>
      <c r="AW37" s="1757"/>
      <c r="AX37" s="1750"/>
      <c r="AY37" s="1750"/>
      <c r="AZ37" s="1750"/>
      <c r="BA37" s="1750"/>
      <c r="BB37" s="1750"/>
      <c r="BD37" s="1755"/>
      <c r="BE37" s="1756"/>
      <c r="BF37" s="1757"/>
      <c r="BG37" s="1750"/>
      <c r="BH37" s="1750"/>
      <c r="BI37" s="1750"/>
      <c r="BJ37" s="1750"/>
      <c r="BK37" s="1750"/>
    </row>
    <row r="38" spans="2:63" ht="13.5" customHeight="1" x14ac:dyDescent="0.3">
      <c r="B38" s="1409"/>
      <c r="C38" s="1410" t="s">
        <v>2566</v>
      </c>
      <c r="D38" s="1411" t="s">
        <v>92</v>
      </c>
      <c r="E38" s="1412">
        <f>E37/D37-1</f>
        <v>-3.7121686446323494</v>
      </c>
      <c r="F38" s="1412">
        <f t="shared" ref="F38" si="90">F37/E37-1</f>
        <v>-8.2258233193572727E-2</v>
      </c>
      <c r="G38" s="1412">
        <f t="shared" ref="G38" si="91">G37/F37-1</f>
        <v>2.5847110057913469</v>
      </c>
      <c r="H38" s="1412">
        <f t="shared" ref="H38" si="92">H37/G37-1</f>
        <v>-1.2400664263169712</v>
      </c>
      <c r="I38" s="1412">
        <f t="shared" ref="I38" si="93">I37/H37-1</f>
        <v>1.7609983430235872</v>
      </c>
      <c r="J38" s="1424">
        <f t="shared" ref="J38" si="94">J37/I37-1</f>
        <v>1.5718958989829197</v>
      </c>
      <c r="K38" s="1424">
        <f t="shared" ref="K38" si="95">K37/J37-1</f>
        <v>-1</v>
      </c>
      <c r="L38" s="1424" t="e">
        <f t="shared" ref="L38" si="96">L37/K37-1</f>
        <v>#DIV/0!</v>
      </c>
      <c r="M38" s="1424"/>
      <c r="N38" s="1424"/>
      <c r="O38" s="1424"/>
      <c r="T38" s="1755"/>
      <c r="U38" s="1756"/>
      <c r="V38" s="1757"/>
      <c r="W38" s="1750"/>
      <c r="X38" s="1750"/>
      <c r="Y38" s="1750"/>
      <c r="Z38" s="1750"/>
      <c r="AA38" s="1750"/>
      <c r="AC38" s="1755"/>
      <c r="AD38" s="1756"/>
      <c r="AE38" s="1757"/>
      <c r="AF38" s="1750"/>
      <c r="AG38" s="1750"/>
      <c r="AH38" s="1750"/>
      <c r="AI38" s="1750"/>
      <c r="AJ38" s="1750"/>
      <c r="AL38" s="1755"/>
      <c r="AM38" s="1756"/>
      <c r="AN38" s="1757"/>
      <c r="AO38" s="1750"/>
      <c r="AP38" s="1750"/>
      <c r="AQ38" s="1750"/>
      <c r="AR38" s="1750"/>
      <c r="AS38" s="1750"/>
      <c r="AU38" s="1755"/>
      <c r="AV38" s="1756"/>
      <c r="AW38" s="1757"/>
      <c r="AX38" s="1750"/>
      <c r="AY38" s="1750"/>
      <c r="AZ38" s="1750"/>
      <c r="BA38" s="1750"/>
      <c r="BB38" s="1750"/>
      <c r="BD38" s="1755"/>
      <c r="BE38" s="1756"/>
      <c r="BF38" s="1757"/>
      <c r="BG38" s="1750"/>
      <c r="BH38" s="1750"/>
      <c r="BI38" s="1750"/>
      <c r="BJ38" s="1750"/>
      <c r="BK38" s="1750"/>
    </row>
    <row r="39" spans="2:63" ht="13.5" customHeight="1" x14ac:dyDescent="0.3">
      <c r="B39" s="1759" t="s">
        <v>3991</v>
      </c>
      <c r="C39" s="1732" t="s">
        <v>3899</v>
      </c>
      <c r="D39" s="1733">
        <v>-16795.669999999998</v>
      </c>
      <c r="E39" s="1733">
        <v>6304.5870000000004</v>
      </c>
      <c r="F39" s="1733">
        <v>6269.3969999999999</v>
      </c>
      <c r="G39" s="1733">
        <v>12570.633</v>
      </c>
      <c r="H39" s="1733">
        <v>5356.2380000000003</v>
      </c>
      <c r="I39" s="1733">
        <v>1804.828</v>
      </c>
      <c r="J39" s="1734">
        <v>9557.5470000000005</v>
      </c>
      <c r="K39" s="1734"/>
      <c r="L39" s="1734"/>
      <c r="M39" s="1734"/>
      <c r="N39" s="1734"/>
      <c r="O39" s="1734"/>
      <c r="T39" s="1755"/>
      <c r="U39" s="1756"/>
      <c r="V39" s="1757"/>
      <c r="W39" s="1750"/>
      <c r="X39" s="1750"/>
      <c r="Y39" s="1750"/>
      <c r="Z39" s="1750"/>
      <c r="AA39" s="1750"/>
      <c r="AC39" s="1755"/>
      <c r="AD39" s="1756"/>
      <c r="AE39" s="1757"/>
      <c r="AF39" s="1750"/>
      <c r="AG39" s="1750"/>
      <c r="AH39" s="1750"/>
      <c r="AI39" s="1750"/>
      <c r="AJ39" s="1750"/>
      <c r="AL39" s="1755"/>
      <c r="AM39" s="1756"/>
      <c r="AN39" s="1757"/>
      <c r="AO39" s="1750"/>
      <c r="AP39" s="1750"/>
      <c r="AQ39" s="1750"/>
      <c r="AR39" s="1750"/>
      <c r="AS39" s="1750"/>
      <c r="AU39" s="1755"/>
      <c r="AV39" s="1756"/>
      <c r="AW39" s="1757"/>
      <c r="AX39" s="1750"/>
      <c r="AY39" s="1750"/>
      <c r="AZ39" s="1750"/>
      <c r="BA39" s="1750"/>
      <c r="BB39" s="1750"/>
      <c r="BD39" s="1755"/>
      <c r="BE39" s="1756"/>
      <c r="BF39" s="1757"/>
      <c r="BG39" s="1750"/>
      <c r="BH39" s="1750"/>
      <c r="BI39" s="1750"/>
      <c r="BJ39" s="1750"/>
      <c r="BK39" s="1750"/>
    </row>
    <row r="40" spans="2:63" ht="13.5" customHeight="1" x14ac:dyDescent="0.3">
      <c r="B40" s="1409"/>
      <c r="C40" s="1410" t="s">
        <v>2566</v>
      </c>
      <c r="D40" s="1411" t="s">
        <v>92</v>
      </c>
      <c r="E40" s="1412">
        <f>E39/D39-1</f>
        <v>-1.3753697828071165</v>
      </c>
      <c r="F40" s="1412">
        <f t="shared" ref="F40" si="97">F39/E39-1</f>
        <v>-5.5816503127009698E-3</v>
      </c>
      <c r="G40" s="1412">
        <f t="shared" ref="G40" si="98">G39/F39-1</f>
        <v>1.0050784788393523</v>
      </c>
      <c r="H40" s="1412">
        <f t="shared" ref="H40" si="99">H39/G39-1</f>
        <v>-0.57390864883256076</v>
      </c>
      <c r="I40" s="1412">
        <f t="shared" ref="I40" si="100">I39/H39-1</f>
        <v>-0.6630418588569067</v>
      </c>
      <c r="J40" s="1424">
        <f t="shared" ref="J40" si="101">J39/I39-1</f>
        <v>4.2955445061800903</v>
      </c>
      <c r="K40" s="1424">
        <f t="shared" ref="K40" si="102">K39/J39-1</f>
        <v>-1</v>
      </c>
      <c r="L40" s="1424" t="e">
        <f t="shared" ref="L40" si="103">L39/K39-1</f>
        <v>#DIV/0!</v>
      </c>
      <c r="M40" s="1424"/>
      <c r="N40" s="1424"/>
      <c r="O40" s="1424"/>
      <c r="T40" s="1755"/>
      <c r="U40" s="1756"/>
      <c r="V40" s="1757"/>
      <c r="W40" s="1750"/>
      <c r="X40" s="1750"/>
      <c r="Y40" s="1750"/>
      <c r="Z40" s="1750"/>
      <c r="AA40" s="1750"/>
      <c r="AC40" s="1755"/>
      <c r="AD40" s="1756"/>
      <c r="AE40" s="1757"/>
      <c r="AF40" s="1750"/>
      <c r="AG40" s="1750"/>
      <c r="AH40" s="1750"/>
      <c r="AI40" s="1750"/>
      <c r="AJ40" s="1750"/>
      <c r="AL40" s="1755"/>
      <c r="AM40" s="1756"/>
      <c r="AN40" s="1757"/>
      <c r="AO40" s="1750"/>
      <c r="AP40" s="1750"/>
      <c r="AQ40" s="1750"/>
      <c r="AR40" s="1750"/>
      <c r="AS40" s="1750"/>
      <c r="AU40" s="1755"/>
      <c r="AV40" s="1756"/>
      <c r="AW40" s="1757"/>
      <c r="AX40" s="1750"/>
      <c r="AY40" s="1750"/>
      <c r="AZ40" s="1750"/>
      <c r="BA40" s="1750"/>
      <c r="BB40" s="1750"/>
      <c r="BD40" s="1755"/>
      <c r="BE40" s="1756"/>
      <c r="BF40" s="1757"/>
      <c r="BG40" s="1750"/>
      <c r="BH40" s="1750"/>
      <c r="BI40" s="1750"/>
      <c r="BJ40" s="1750"/>
      <c r="BK40" s="1750"/>
    </row>
    <row r="41" spans="2:63" ht="13.5" customHeight="1" x14ac:dyDescent="0.3">
      <c r="B41" s="1759" t="s">
        <v>3992</v>
      </c>
      <c r="C41" s="1732" t="s">
        <v>3900</v>
      </c>
      <c r="D41" s="1733">
        <v>-13944.031999999999</v>
      </c>
      <c r="E41" s="1733">
        <v>-5238.2920000000004</v>
      </c>
      <c r="F41" s="1733">
        <v>7915.8609999999999</v>
      </c>
      <c r="G41" s="1733">
        <v>1588.37</v>
      </c>
      <c r="H41" s="1733">
        <v>-10667.674999999999</v>
      </c>
      <c r="I41" s="1733">
        <v>-3281.6410000000001</v>
      </c>
      <c r="J41" s="1734">
        <v>-13222.3</v>
      </c>
      <c r="K41" s="1734"/>
      <c r="L41" s="1734"/>
      <c r="M41" s="1424"/>
      <c r="N41" s="1424"/>
      <c r="O41" s="1424"/>
      <c r="T41" s="1755"/>
      <c r="U41" s="1756"/>
      <c r="V41" s="1757"/>
      <c r="W41" s="1750"/>
      <c r="X41" s="1750"/>
      <c r="Y41" s="1750"/>
      <c r="Z41" s="1750"/>
      <c r="AA41" s="1750"/>
      <c r="AC41" s="1755"/>
      <c r="AD41" s="1756"/>
      <c r="AE41" s="1757"/>
      <c r="AF41" s="1750"/>
      <c r="AG41" s="1750"/>
      <c r="AH41" s="1750"/>
      <c r="AI41" s="1750"/>
      <c r="AJ41" s="1750"/>
      <c r="AL41" s="1755"/>
      <c r="AM41" s="1756"/>
      <c r="AN41" s="1757"/>
      <c r="AO41" s="1750"/>
      <c r="AP41" s="1750"/>
      <c r="AQ41" s="1750"/>
      <c r="AR41" s="1750"/>
      <c r="AS41" s="1750"/>
      <c r="AU41" s="1755"/>
      <c r="AV41" s="1756"/>
      <c r="AW41" s="1757"/>
      <c r="AX41" s="1750"/>
      <c r="AY41" s="1750"/>
      <c r="AZ41" s="1750"/>
      <c r="BA41" s="1750"/>
      <c r="BB41" s="1750"/>
      <c r="BD41" s="1755"/>
      <c r="BE41" s="1756"/>
      <c r="BF41" s="1757"/>
      <c r="BG41" s="1750"/>
      <c r="BH41" s="1750"/>
      <c r="BI41" s="1750"/>
      <c r="BJ41" s="1750"/>
      <c r="BK41" s="1750"/>
    </row>
    <row r="42" spans="2:63" ht="13.5" customHeight="1" x14ac:dyDescent="0.3">
      <c r="B42" s="1409"/>
      <c r="C42" s="1410" t="s">
        <v>2566</v>
      </c>
      <c r="D42" s="1411" t="s">
        <v>92</v>
      </c>
      <c r="E42" s="1412">
        <f>E41/D41-1</f>
        <v>-0.62433448230755628</v>
      </c>
      <c r="F42" s="1412">
        <f t="shared" ref="F42" si="104">F41/E41-1</f>
        <v>-2.5111530628685834</v>
      </c>
      <c r="G42" s="1412">
        <f t="shared" ref="G42" si="105">G41/F41-1</f>
        <v>-0.79934336896517011</v>
      </c>
      <c r="H42" s="1412">
        <f t="shared" ref="H42" si="106">H41/G41-1</f>
        <v>-7.7161146332403661</v>
      </c>
      <c r="I42" s="1412">
        <f t="shared" ref="I42" si="107">I41/H41-1</f>
        <v>-0.69237523640343368</v>
      </c>
      <c r="J42" s="1424">
        <f t="shared" ref="J42" si="108">J41/I41-1</f>
        <v>3.0291732093790875</v>
      </c>
      <c r="K42" s="1424">
        <f t="shared" ref="K42" si="109">K41/J41-1</f>
        <v>-1</v>
      </c>
      <c r="L42" s="1424" t="e">
        <f t="shared" ref="L42" si="110">L41/K41-1</f>
        <v>#DIV/0!</v>
      </c>
      <c r="M42" s="1424"/>
      <c r="N42" s="1424"/>
      <c r="O42" s="1424"/>
      <c r="T42" s="1755"/>
      <c r="U42" s="1756"/>
      <c r="V42" s="1757"/>
      <c r="W42" s="1750"/>
      <c r="X42" s="1750"/>
      <c r="Y42" s="1750"/>
      <c r="Z42" s="1750"/>
      <c r="AA42" s="1750"/>
      <c r="AC42" s="1755"/>
      <c r="AD42" s="1756"/>
      <c r="AE42" s="1757"/>
      <c r="AF42" s="1750"/>
      <c r="AG42" s="1750"/>
      <c r="AH42" s="1750"/>
      <c r="AI42" s="1750"/>
      <c r="AJ42" s="1750"/>
      <c r="AL42" s="1755"/>
      <c r="AM42" s="1756"/>
      <c r="AN42" s="1757"/>
      <c r="AO42" s="1750"/>
      <c r="AP42" s="1750"/>
      <c r="AQ42" s="1750"/>
      <c r="AR42" s="1750"/>
      <c r="AS42" s="1750"/>
      <c r="AU42" s="1755"/>
      <c r="AV42" s="1756"/>
      <c r="AW42" s="1757"/>
      <c r="AX42" s="1750"/>
      <c r="AY42" s="1750"/>
      <c r="AZ42" s="1750"/>
      <c r="BA42" s="1750"/>
      <c r="BB42" s="1750"/>
      <c r="BD42" s="1755"/>
      <c r="BE42" s="1756"/>
      <c r="BF42" s="1757"/>
      <c r="BG42" s="1750"/>
      <c r="BH42" s="1750"/>
      <c r="BI42" s="1750"/>
      <c r="BJ42" s="1750"/>
      <c r="BK42" s="1750"/>
    </row>
    <row r="43" spans="2:63" ht="13.5" customHeight="1" x14ac:dyDescent="0.3">
      <c r="B43" s="1759" t="s">
        <v>3993</v>
      </c>
      <c r="C43" s="1732" t="s">
        <v>3901</v>
      </c>
      <c r="D43" s="1733">
        <v>1212615</v>
      </c>
      <c r="E43" s="1733">
        <v>1420430</v>
      </c>
      <c r="F43" s="1733">
        <v>1656110</v>
      </c>
      <c r="G43" s="1733">
        <v>932140</v>
      </c>
      <c r="H43" s="1733">
        <v>684269</v>
      </c>
      <c r="I43" s="1733">
        <v>552130</v>
      </c>
      <c r="J43" s="1734">
        <v>-34328</v>
      </c>
      <c r="K43" s="1734">
        <f>BG53</f>
        <v>1032205.8823529412</v>
      </c>
      <c r="L43" s="1734">
        <f t="shared" ref="L43:M43" si="111">BH53</f>
        <v>1021964.2857142857</v>
      </c>
      <c r="M43" s="1734">
        <f t="shared" si="111"/>
        <v>1214981.8181818181</v>
      </c>
      <c r="N43" s="1734"/>
      <c r="O43" s="1734"/>
      <c r="T43" s="1755"/>
      <c r="U43" s="1756"/>
      <c r="V43" s="1757"/>
      <c r="W43" s="1750"/>
      <c r="X43" s="1750"/>
      <c r="Y43" s="1750"/>
      <c r="Z43" s="1750"/>
      <c r="AA43" s="1750"/>
      <c r="AC43" s="1755"/>
      <c r="AD43" s="1756"/>
      <c r="AE43" s="1757"/>
      <c r="AF43" s="1750"/>
      <c r="AG43" s="1750"/>
      <c r="AH43" s="1750"/>
      <c r="AI43" s="1750"/>
      <c r="AJ43" s="1750"/>
      <c r="AL43" s="1755"/>
      <c r="AM43" s="1756"/>
      <c r="AN43" s="1757"/>
      <c r="AO43" s="1750"/>
      <c r="AP43" s="1750"/>
      <c r="AQ43" s="1750"/>
      <c r="AR43" s="1750"/>
      <c r="AS43" s="1750"/>
      <c r="AU43" s="1755"/>
      <c r="AV43" s="1756"/>
      <c r="AW43" s="1757"/>
      <c r="AX43" s="1750"/>
      <c r="AY43" s="1750"/>
      <c r="AZ43" s="1750"/>
      <c r="BA43" s="1750"/>
      <c r="BB43" s="1750"/>
      <c r="BD43" s="1755"/>
      <c r="BE43" s="1756"/>
      <c r="BF43" s="1757"/>
      <c r="BG43" s="1750"/>
      <c r="BH43" s="1750"/>
      <c r="BI43" s="1750"/>
      <c r="BJ43" s="1750"/>
      <c r="BK43" s="1750"/>
    </row>
    <row r="44" spans="2:63" ht="13.5" customHeight="1" x14ac:dyDescent="0.3">
      <c r="B44" s="1409"/>
      <c r="C44" s="1410" t="s">
        <v>2566</v>
      </c>
      <c r="D44" s="1411" t="s">
        <v>92</v>
      </c>
      <c r="E44" s="1412">
        <f>E43/D43-1</f>
        <v>0.17137756006646798</v>
      </c>
      <c r="F44" s="1412">
        <f t="shared" ref="F44" si="112">F43/E43-1</f>
        <v>0.16592158712502547</v>
      </c>
      <c r="G44" s="1412">
        <f t="shared" ref="G44" si="113">G43/F43-1</f>
        <v>-0.43715091388857019</v>
      </c>
      <c r="H44" s="1412">
        <f t="shared" ref="H44" si="114">H43/G43-1</f>
        <v>-0.26591606411054136</v>
      </c>
      <c r="I44" s="1412">
        <f t="shared" ref="I44" si="115">I43/H43-1</f>
        <v>-0.19310972731484255</v>
      </c>
      <c r="J44" s="1424">
        <f t="shared" ref="J44" si="116">J43/I43-1</f>
        <v>-1.0621737634252804</v>
      </c>
      <c r="K44" s="1424">
        <f t="shared" ref="K44" si="117">K43/J43-1</f>
        <v>-31.068919900749862</v>
      </c>
      <c r="L44" s="1424">
        <f t="shared" ref="L44" si="118">L43/K43-1</f>
        <v>-9.9220483178312779E-3</v>
      </c>
      <c r="M44" s="1424">
        <f t="shared" ref="M44" si="119">M43/L43-1</f>
        <v>0.18886915635474089</v>
      </c>
      <c r="N44" s="1424"/>
      <c r="O44" s="1424"/>
      <c r="T44" s="1755"/>
      <c r="U44" s="1756"/>
      <c r="V44" s="1757"/>
      <c r="W44" s="1750"/>
      <c r="X44" s="1750"/>
      <c r="Y44" s="1750"/>
      <c r="Z44" s="1750"/>
      <c r="AA44" s="1750"/>
      <c r="AC44" s="1755"/>
      <c r="AD44" s="1756"/>
      <c r="AE44" s="1757"/>
      <c r="AF44" s="1750"/>
      <c r="AG44" s="1750"/>
      <c r="AH44" s="1750"/>
      <c r="AI44" s="1750"/>
      <c r="AJ44" s="1750"/>
      <c r="AL44" s="1755"/>
      <c r="AM44" s="1756"/>
      <c r="AN44" s="1757"/>
      <c r="AO44" s="1750"/>
      <c r="AP44" s="1750"/>
      <c r="AQ44" s="1750"/>
      <c r="AR44" s="1750"/>
      <c r="AS44" s="1750"/>
      <c r="AU44" s="1755"/>
      <c r="AV44" s="1756"/>
      <c r="AW44" s="1757"/>
      <c r="AX44" s="1750"/>
      <c r="AY44" s="1750"/>
      <c r="AZ44" s="1750"/>
      <c r="BA44" s="1750"/>
      <c r="BB44" s="1750"/>
      <c r="BD44" s="1755"/>
      <c r="BE44" s="1756"/>
      <c r="BF44" s="1757"/>
      <c r="BG44" s="1750"/>
      <c r="BH44" s="1750"/>
      <c r="BI44" s="1750"/>
      <c r="BJ44" s="1750"/>
      <c r="BK44" s="1750"/>
    </row>
    <row r="45" spans="2:63" ht="13.5" customHeight="1" x14ac:dyDescent="0.3">
      <c r="B45" s="1413"/>
      <c r="C45" s="1414" t="s">
        <v>2571</v>
      </c>
      <c r="D45" s="1415">
        <f>D29+D31+D33+D35+D37+D39+D41+D43</f>
        <v>1924469.1689999998</v>
      </c>
      <c r="E45" s="1415">
        <f t="shared" ref="E45:L45" si="120">E29+E31+E33+E35+E37+E39+E41+E43</f>
        <v>2312516.3959999997</v>
      </c>
      <c r="F45" s="1415">
        <f t="shared" si="120"/>
        <v>2467011.247</v>
      </c>
      <c r="G45" s="1415">
        <f t="shared" si="120"/>
        <v>1606389.0929999999</v>
      </c>
      <c r="H45" s="1415">
        <f t="shared" si="120"/>
        <v>1150828.1329999999</v>
      </c>
      <c r="I45" s="1415">
        <f t="shared" si="120"/>
        <v>-76328.283999999985</v>
      </c>
      <c r="J45" s="1415">
        <f t="shared" si="120"/>
        <v>281039.14200000005</v>
      </c>
      <c r="K45" s="1415">
        <f t="shared" si="120"/>
        <v>1542655.8823529412</v>
      </c>
      <c r="L45" s="1415">
        <f t="shared" si="120"/>
        <v>1809900.8008658008</v>
      </c>
      <c r="M45" s="1415"/>
      <c r="N45" s="1415"/>
      <c r="O45" s="1415"/>
      <c r="T45" s="1755"/>
      <c r="U45" s="1756"/>
      <c r="V45" s="1757"/>
      <c r="W45" s="1750"/>
      <c r="X45" s="1750"/>
      <c r="Y45" s="1750"/>
      <c r="Z45" s="1750"/>
      <c r="AA45" s="1750"/>
      <c r="AC45" s="1755"/>
      <c r="AD45" s="1756"/>
      <c r="AE45" s="1757"/>
      <c r="AF45" s="1750"/>
      <c r="AG45" s="1750"/>
      <c r="AH45" s="1750"/>
      <c r="AI45" s="1750"/>
      <c r="AJ45" s="1750"/>
      <c r="AL45" s="1755"/>
      <c r="AM45" s="1756"/>
      <c r="AN45" s="1757"/>
      <c r="AO45" s="1750"/>
      <c r="AP45" s="1750"/>
      <c r="AQ45" s="1750"/>
      <c r="AR45" s="1750"/>
      <c r="AS45" s="1750"/>
      <c r="AU45" s="1755"/>
      <c r="AV45" s="1756"/>
      <c r="AW45" s="1757"/>
      <c r="AX45" s="1750"/>
      <c r="AY45" s="1750"/>
      <c r="AZ45" s="1750"/>
      <c r="BA45" s="1750"/>
      <c r="BB45" s="1750"/>
      <c r="BD45" s="1755"/>
      <c r="BE45" s="1756"/>
      <c r="BF45" s="1757"/>
      <c r="BG45" s="1750"/>
      <c r="BH45" s="1750"/>
      <c r="BI45" s="1750"/>
      <c r="BJ45" s="1750"/>
      <c r="BK45" s="1750"/>
    </row>
    <row r="46" spans="2:63" ht="13.5" customHeight="1" x14ac:dyDescent="0.3">
      <c r="B46" s="1416"/>
      <c r="C46" s="1417" t="s">
        <v>2566</v>
      </c>
      <c r="D46" s="1418" t="s">
        <v>92</v>
      </c>
      <c r="E46" s="1419">
        <f>E45/D45-1</f>
        <v>0.20163857818602438</v>
      </c>
      <c r="F46" s="1419">
        <f t="shared" ref="F46" si="121">F45/E45-1</f>
        <v>6.6808110535878873E-2</v>
      </c>
      <c r="G46" s="1419">
        <f t="shared" ref="G46" si="122">G45/F45-1</f>
        <v>-0.34885214043776924</v>
      </c>
      <c r="H46" s="1419">
        <f t="shared" ref="H46" si="123">H45/G45-1</f>
        <v>-0.28359316057681927</v>
      </c>
      <c r="I46" s="1419">
        <f t="shared" ref="I46" si="124">I45/H45-1</f>
        <v>-1.0663246594441744</v>
      </c>
      <c r="J46" s="1426">
        <f t="shared" ref="J46" si="125">J45/I45-1</f>
        <v>-4.6819790420023075</v>
      </c>
      <c r="K46" s="1426">
        <f t="shared" ref="K46" si="126">K45/J45-1</f>
        <v>4.4891139767034334</v>
      </c>
      <c r="L46" s="1426">
        <f t="shared" ref="L46" si="127">L45/K45-1</f>
        <v>0.17323689720434832</v>
      </c>
      <c r="M46" s="1426"/>
      <c r="N46" s="1426"/>
      <c r="O46" s="1426"/>
      <c r="T46" s="1736" t="s">
        <v>3893</v>
      </c>
      <c r="U46" s="400"/>
      <c r="V46" s="1737" t="s">
        <v>3902</v>
      </c>
      <c r="W46" s="400"/>
      <c r="X46" s="400"/>
      <c r="Y46" s="400"/>
      <c r="Z46" s="400"/>
      <c r="AA46" s="400"/>
      <c r="AC46" s="1736" t="s">
        <v>3894</v>
      </c>
      <c r="AD46" s="400"/>
      <c r="AE46" s="1737" t="s">
        <v>3902</v>
      </c>
      <c r="AF46" s="400"/>
      <c r="AG46" s="400"/>
      <c r="AH46" s="400"/>
      <c r="AI46" s="400"/>
      <c r="AJ46" s="400"/>
      <c r="AL46" s="1736" t="s">
        <v>3895</v>
      </c>
      <c r="AM46" s="400"/>
      <c r="AN46" s="1737" t="s">
        <v>3902</v>
      </c>
      <c r="AO46" s="400"/>
      <c r="AP46" s="400"/>
      <c r="AQ46" s="400"/>
      <c r="AR46" s="400"/>
      <c r="AS46" s="400"/>
      <c r="AU46" s="1736" t="s">
        <v>3897</v>
      </c>
      <c r="AV46" s="400"/>
      <c r="AW46" s="1737" t="s">
        <v>3902</v>
      </c>
      <c r="AX46" s="400"/>
      <c r="AY46" s="400"/>
      <c r="AZ46" s="400"/>
      <c r="BA46" s="400"/>
      <c r="BB46" s="400"/>
      <c r="BD46" s="1736" t="s">
        <v>3901</v>
      </c>
      <c r="BE46" s="400"/>
      <c r="BF46" s="1737" t="s">
        <v>3902</v>
      </c>
      <c r="BG46" s="400"/>
      <c r="BH46" s="400"/>
      <c r="BI46" s="400"/>
      <c r="BJ46" s="400"/>
      <c r="BK46" s="400"/>
    </row>
    <row r="47" spans="2:63" ht="13.5" customHeight="1" x14ac:dyDescent="0.3">
      <c r="T47" s="1738" t="s">
        <v>3903</v>
      </c>
      <c r="U47" s="1739" t="s">
        <v>3891</v>
      </c>
      <c r="V47" s="1738" t="s">
        <v>3904</v>
      </c>
      <c r="W47" s="400"/>
      <c r="X47" s="400"/>
      <c r="Y47" s="400"/>
      <c r="Z47" s="400"/>
      <c r="AA47" s="400"/>
      <c r="AC47" s="1738" t="s">
        <v>3903</v>
      </c>
      <c r="AD47" s="1739" t="s">
        <v>3891</v>
      </c>
      <c r="AE47" s="1738" t="s">
        <v>3904</v>
      </c>
      <c r="AF47" s="400"/>
      <c r="AG47" s="400"/>
      <c r="AH47" s="400"/>
      <c r="AI47" s="400"/>
      <c r="AJ47" s="400"/>
      <c r="AL47" s="1738" t="s">
        <v>3903</v>
      </c>
      <c r="AM47" s="1739" t="s">
        <v>3891</v>
      </c>
      <c r="AN47" s="1738" t="s">
        <v>3904</v>
      </c>
      <c r="AO47" s="400"/>
      <c r="AP47" s="400"/>
      <c r="AQ47" s="400"/>
      <c r="AR47" s="400"/>
      <c r="AS47" s="400"/>
      <c r="AU47" s="1738" t="s">
        <v>3903</v>
      </c>
      <c r="AV47" s="1739" t="s">
        <v>3891</v>
      </c>
      <c r="AW47" s="1738" t="s">
        <v>3904</v>
      </c>
      <c r="AX47" s="400"/>
      <c r="AY47" s="400"/>
      <c r="AZ47" s="400"/>
      <c r="BA47" s="400"/>
      <c r="BB47" s="400"/>
      <c r="BD47" s="1738" t="s">
        <v>3903</v>
      </c>
      <c r="BE47" s="1739" t="s">
        <v>3891</v>
      </c>
      <c r="BF47" s="1738" t="s">
        <v>3904</v>
      </c>
      <c r="BG47" s="400"/>
      <c r="BH47" s="400"/>
      <c r="BI47" s="400"/>
      <c r="BJ47" s="400"/>
      <c r="BK47" s="400"/>
    </row>
    <row r="48" spans="2:63" ht="13.5" customHeight="1" x14ac:dyDescent="0.3">
      <c r="T48" s="1740" t="s">
        <v>3905</v>
      </c>
      <c r="U48" s="1741" t="s">
        <v>3906</v>
      </c>
      <c r="V48" s="1740" t="s">
        <v>3907</v>
      </c>
      <c r="W48" s="1742">
        <f>COUNTA(W58:W72)</f>
        <v>5</v>
      </c>
      <c r="X48" s="1742">
        <f t="shared" ref="X48:AA48" si="128">COUNTA(X58:X72)</f>
        <v>5</v>
      </c>
      <c r="Y48" s="1742">
        <f t="shared" si="128"/>
        <v>4</v>
      </c>
      <c r="Z48" s="1742">
        <f t="shared" si="128"/>
        <v>0</v>
      </c>
      <c r="AA48" s="1742">
        <f t="shared" si="128"/>
        <v>0</v>
      </c>
      <c r="AC48" s="1740" t="s">
        <v>3905</v>
      </c>
      <c r="AD48" s="1741" t="s">
        <v>3906</v>
      </c>
      <c r="AE48" s="1740" t="s">
        <v>3907</v>
      </c>
      <c r="AF48" s="1742">
        <f>COUNTA(AF58:AF72)</f>
        <v>15</v>
      </c>
      <c r="AG48" s="1742">
        <f t="shared" ref="AG48:AJ48" si="129">COUNTA(AG58:AG72)</f>
        <v>12</v>
      </c>
      <c r="AH48" s="1742">
        <f t="shared" si="129"/>
        <v>11</v>
      </c>
      <c r="AI48" s="1742">
        <f t="shared" si="129"/>
        <v>0</v>
      </c>
      <c r="AJ48" s="1742">
        <f t="shared" si="129"/>
        <v>0</v>
      </c>
      <c r="AL48" s="1740" t="s">
        <v>3905</v>
      </c>
      <c r="AM48" s="1741" t="s">
        <v>3906</v>
      </c>
      <c r="AN48" s="1740" t="s">
        <v>3907</v>
      </c>
      <c r="AO48" s="1742">
        <f>COUNTA(AO58:AO73)</f>
        <v>15</v>
      </c>
      <c r="AP48" s="1742">
        <f t="shared" ref="AP48:AS48" si="130">COUNTA(AP58:AP73)</f>
        <v>11</v>
      </c>
      <c r="AQ48" s="1742">
        <f t="shared" si="130"/>
        <v>11</v>
      </c>
      <c r="AR48" s="1742">
        <f t="shared" si="130"/>
        <v>0</v>
      </c>
      <c r="AS48" s="1742">
        <f t="shared" si="130"/>
        <v>0</v>
      </c>
      <c r="AU48" s="1740" t="s">
        <v>3905</v>
      </c>
      <c r="AV48" s="1741" t="s">
        <v>3906</v>
      </c>
      <c r="AW48" s="1740" t="s">
        <v>3907</v>
      </c>
      <c r="AX48" s="1742">
        <f>COUNTA(AX58:AX59)</f>
        <v>2</v>
      </c>
      <c r="AY48" s="1742">
        <f t="shared" ref="AY48:BB48" si="131">COUNTA(AY58:AY59)</f>
        <v>1</v>
      </c>
      <c r="AZ48" s="1742">
        <f t="shared" si="131"/>
        <v>0</v>
      </c>
      <c r="BA48" s="1742">
        <f t="shared" si="131"/>
        <v>0</v>
      </c>
      <c r="BB48" s="1742">
        <f t="shared" si="131"/>
        <v>0</v>
      </c>
      <c r="BD48" s="1740" t="s">
        <v>3905</v>
      </c>
      <c r="BE48" s="1741" t="s">
        <v>3906</v>
      </c>
      <c r="BF48" s="1740" t="s">
        <v>3907</v>
      </c>
      <c r="BG48" s="1742">
        <f>COUNTA(BG58:BG74)</f>
        <v>17</v>
      </c>
      <c r="BH48" s="1742">
        <f t="shared" ref="BH48:BK48" si="132">COUNTA(BH58:BH74)</f>
        <v>14</v>
      </c>
      <c r="BI48" s="1742">
        <f t="shared" si="132"/>
        <v>11</v>
      </c>
      <c r="BJ48" s="1742">
        <f t="shared" si="132"/>
        <v>0</v>
      </c>
      <c r="BK48" s="1742">
        <f t="shared" si="132"/>
        <v>0</v>
      </c>
    </row>
    <row r="49" spans="2:63" ht="13.5" customHeight="1" x14ac:dyDescent="0.3">
      <c r="B49" s="1731" t="s">
        <v>4418</v>
      </c>
      <c r="C49" s="184"/>
      <c r="D49" s="1420"/>
      <c r="E49" s="1420"/>
      <c r="F49" s="1420"/>
      <c r="G49" s="1420"/>
      <c r="H49" s="1420"/>
      <c r="I49" s="1420"/>
      <c r="J49" s="1421"/>
      <c r="K49" s="1421"/>
      <c r="L49" s="1421"/>
      <c r="M49" s="1421"/>
      <c r="N49" s="1421"/>
      <c r="T49" s="400"/>
      <c r="U49" s="400"/>
      <c r="V49" s="400"/>
      <c r="W49" s="400"/>
      <c r="X49" s="400"/>
      <c r="Y49" s="400"/>
      <c r="Z49" s="400"/>
      <c r="AA49" s="400"/>
      <c r="AC49" s="400"/>
      <c r="AD49" s="400"/>
      <c r="AE49" s="400"/>
      <c r="AF49" s="400"/>
      <c r="AG49" s="400"/>
      <c r="AH49" s="400"/>
      <c r="AI49" s="400"/>
      <c r="AJ49" s="400"/>
      <c r="AL49" s="400"/>
      <c r="AM49" s="400"/>
      <c r="AN49" s="400"/>
      <c r="AO49" s="400"/>
      <c r="AP49" s="400"/>
      <c r="AQ49" s="400"/>
      <c r="AR49" s="400"/>
      <c r="AS49" s="400"/>
      <c r="AU49" s="400"/>
      <c r="AV49" s="400"/>
      <c r="AW49" s="400"/>
      <c r="AX49" s="400"/>
      <c r="AY49" s="400"/>
      <c r="AZ49" s="400"/>
      <c r="BA49" s="400"/>
      <c r="BB49" s="400"/>
      <c r="BD49" s="400"/>
      <c r="BE49" s="400"/>
      <c r="BF49" s="400"/>
      <c r="BG49" s="400"/>
      <c r="BH49" s="400"/>
      <c r="BI49" s="400"/>
      <c r="BJ49" s="400"/>
      <c r="BK49" s="400"/>
    </row>
    <row r="50" spans="2:63" ht="13.5" customHeight="1" x14ac:dyDescent="0.3">
      <c r="B50" s="1405" t="s">
        <v>2556</v>
      </c>
      <c r="C50" s="1405" t="s">
        <v>3890</v>
      </c>
      <c r="D50" s="1405">
        <v>2008</v>
      </c>
      <c r="E50" s="1405">
        <v>2009</v>
      </c>
      <c r="F50" s="1405">
        <v>2010</v>
      </c>
      <c r="G50" s="1405">
        <v>2011</v>
      </c>
      <c r="H50" s="1405">
        <v>2012</v>
      </c>
      <c r="I50" s="1405">
        <v>2013</v>
      </c>
      <c r="J50" s="1405">
        <v>2014</v>
      </c>
      <c r="K50" s="1422">
        <v>2015</v>
      </c>
      <c r="L50" s="1422">
        <v>2016</v>
      </c>
      <c r="M50" s="1422">
        <v>2017</v>
      </c>
      <c r="N50" s="1422">
        <v>2018</v>
      </c>
      <c r="O50" s="1422">
        <v>2018</v>
      </c>
      <c r="T50" s="1743"/>
      <c r="U50" s="1743"/>
      <c r="V50" s="1743"/>
      <c r="W50" s="1743" t="s">
        <v>3908</v>
      </c>
      <c r="X50" s="1743" t="s">
        <v>3908</v>
      </c>
      <c r="Y50" s="1743" t="s">
        <v>3908</v>
      </c>
      <c r="Z50" s="1743" t="s">
        <v>3908</v>
      </c>
      <c r="AA50" s="1743" t="s">
        <v>3908</v>
      </c>
      <c r="AC50" s="1743"/>
      <c r="AD50" s="1743"/>
      <c r="AE50" s="1743"/>
      <c r="AF50" s="1743" t="s">
        <v>3908</v>
      </c>
      <c r="AG50" s="1743" t="s">
        <v>3908</v>
      </c>
      <c r="AH50" s="1743" t="s">
        <v>3908</v>
      </c>
      <c r="AI50" s="1743" t="s">
        <v>3908</v>
      </c>
      <c r="AJ50" s="1743" t="s">
        <v>3908</v>
      </c>
      <c r="AL50" s="1743"/>
      <c r="AM50" s="1743"/>
      <c r="AN50" s="1743"/>
      <c r="AO50" s="1743" t="s">
        <v>3908</v>
      </c>
      <c r="AP50" s="1743" t="s">
        <v>3908</v>
      </c>
      <c r="AQ50" s="1743" t="s">
        <v>3908</v>
      </c>
      <c r="AR50" s="1743" t="s">
        <v>3908</v>
      </c>
      <c r="AS50" s="1743" t="s">
        <v>3908</v>
      </c>
      <c r="AU50" s="1743"/>
      <c r="AV50" s="1743"/>
      <c r="AW50" s="1743"/>
      <c r="AX50" s="1743" t="s">
        <v>3908</v>
      </c>
      <c r="AY50" s="1743" t="s">
        <v>3908</v>
      </c>
      <c r="AZ50" s="1743" t="s">
        <v>3908</v>
      </c>
      <c r="BA50" s="1743" t="s">
        <v>3908</v>
      </c>
      <c r="BB50" s="1743" t="s">
        <v>3908</v>
      </c>
      <c r="BD50" s="1743"/>
      <c r="BE50" s="1743"/>
      <c r="BF50" s="1743"/>
      <c r="BG50" s="1743" t="s">
        <v>3908</v>
      </c>
      <c r="BH50" s="1743" t="s">
        <v>3908</v>
      </c>
      <c r="BI50" s="1743" t="s">
        <v>3908</v>
      </c>
      <c r="BJ50" s="1743" t="s">
        <v>3908</v>
      </c>
      <c r="BK50" s="1743" t="s">
        <v>3908</v>
      </c>
    </row>
    <row r="51" spans="2:63" ht="13.5" customHeight="1" x14ac:dyDescent="0.3">
      <c r="B51" s="1759" t="s">
        <v>3987</v>
      </c>
      <c r="C51" s="1732" t="s">
        <v>3893</v>
      </c>
      <c r="D51" s="1735">
        <v>55550.019</v>
      </c>
      <c r="E51" s="1735">
        <v>58270.565999999999</v>
      </c>
      <c r="F51" s="1735">
        <v>77001.152000000002</v>
      </c>
      <c r="G51" s="1735">
        <v>202369.94699999999</v>
      </c>
      <c r="H51" s="1733">
        <v>106614.46400000001</v>
      </c>
      <c r="I51" s="1733">
        <v>122041.128</v>
      </c>
      <c r="J51" s="1734">
        <v>114362.724</v>
      </c>
      <c r="K51" s="1734">
        <f>W84</f>
        <v>97280</v>
      </c>
      <c r="L51" s="1734">
        <f t="shared" ref="L51:M51" si="133">X84</f>
        <v>106360</v>
      </c>
      <c r="M51" s="1734">
        <f t="shared" si="133"/>
        <v>108575</v>
      </c>
      <c r="N51" s="1734"/>
      <c r="O51" s="1734"/>
      <c r="T51" s="184"/>
      <c r="U51" s="184"/>
      <c r="V51" s="184"/>
      <c r="W51" s="1744" t="s">
        <v>3909</v>
      </c>
      <c r="X51" s="1744" t="s">
        <v>3910</v>
      </c>
      <c r="Y51" s="1744" t="s">
        <v>3911</v>
      </c>
      <c r="Z51" s="1744" t="s">
        <v>3912</v>
      </c>
      <c r="AA51" s="1744" t="s">
        <v>3927</v>
      </c>
      <c r="AC51" s="184"/>
      <c r="AD51" s="184"/>
      <c r="AE51" s="184"/>
      <c r="AF51" s="1744" t="s">
        <v>3909</v>
      </c>
      <c r="AG51" s="1744" t="s">
        <v>3910</v>
      </c>
      <c r="AH51" s="1744" t="s">
        <v>3911</v>
      </c>
      <c r="AI51" s="1744" t="s">
        <v>3912</v>
      </c>
      <c r="AJ51" s="1744" t="s">
        <v>3927</v>
      </c>
      <c r="AL51" s="184"/>
      <c r="AM51" s="184"/>
      <c r="AN51" s="184"/>
      <c r="AO51" s="1744" t="s">
        <v>3909</v>
      </c>
      <c r="AP51" s="1744" t="s">
        <v>3910</v>
      </c>
      <c r="AQ51" s="1744" t="s">
        <v>3911</v>
      </c>
      <c r="AR51" s="1744" t="s">
        <v>3912</v>
      </c>
      <c r="AS51" s="1744" t="s">
        <v>3927</v>
      </c>
      <c r="AU51" s="184"/>
      <c r="AV51" s="184"/>
      <c r="AW51" s="184"/>
      <c r="AX51" s="1744" t="s">
        <v>3909</v>
      </c>
      <c r="AY51" s="1744" t="s">
        <v>3910</v>
      </c>
      <c r="AZ51" s="1744" t="s">
        <v>3911</v>
      </c>
      <c r="BA51" s="1744" t="s">
        <v>3912</v>
      </c>
      <c r="BB51" s="1744" t="s">
        <v>3927</v>
      </c>
      <c r="BD51" s="184"/>
      <c r="BE51" s="184"/>
      <c r="BF51" s="184"/>
      <c r="BG51" s="1744" t="s">
        <v>3909</v>
      </c>
      <c r="BH51" s="1744" t="s">
        <v>3910</v>
      </c>
      <c r="BI51" s="1744" t="s">
        <v>3911</v>
      </c>
      <c r="BJ51" s="1744" t="s">
        <v>3912</v>
      </c>
      <c r="BK51" s="1744" t="s">
        <v>3927</v>
      </c>
    </row>
    <row r="52" spans="2:63" ht="13.5" customHeight="1" x14ac:dyDescent="0.3">
      <c r="B52" s="1409"/>
      <c r="C52" s="1410" t="s">
        <v>2566</v>
      </c>
      <c r="D52" s="1411" t="s">
        <v>92</v>
      </c>
      <c r="E52" s="1412">
        <f>E51/D51-1</f>
        <v>4.897472672331582E-2</v>
      </c>
      <c r="F52" s="1412">
        <f t="shared" ref="F52" si="134">F51/E51-1</f>
        <v>0.3214416348727418</v>
      </c>
      <c r="G52" s="1412">
        <f t="shared" ref="G52" si="135">G51/F51-1</f>
        <v>1.6281418101381129</v>
      </c>
      <c r="H52" s="1412">
        <f t="shared" ref="H52" si="136">H51/G51-1</f>
        <v>-0.47317047031691906</v>
      </c>
      <c r="I52" s="1412">
        <f t="shared" ref="I52" si="137">I51/H51-1</f>
        <v>0.1446957891191949</v>
      </c>
      <c r="J52" s="1424">
        <f t="shared" ref="J52" si="138">J51/I51-1</f>
        <v>-6.2916527615182294E-2</v>
      </c>
      <c r="K52" s="1424">
        <f t="shared" ref="K52" si="139">K51/J51-1</f>
        <v>-0.14937318212182493</v>
      </c>
      <c r="L52" s="1424">
        <f t="shared" ref="L52" si="140">L51/K51-1</f>
        <v>9.3338815789473673E-2</v>
      </c>
      <c r="M52" s="1424">
        <f t="shared" ref="M52" si="141">M51/L51-1</f>
        <v>2.082549830763436E-2</v>
      </c>
      <c r="N52" s="1424"/>
      <c r="O52" s="1424"/>
      <c r="T52" s="1745"/>
      <c r="U52" s="1746">
        <v>20140805</v>
      </c>
      <c r="V52" s="1745"/>
      <c r="W52" s="184" t="s">
        <v>4415</v>
      </c>
      <c r="X52" s="184" t="s">
        <v>2293</v>
      </c>
      <c r="Y52" s="184" t="s">
        <v>2293</v>
      </c>
      <c r="Z52" s="184" t="s">
        <v>2293</v>
      </c>
      <c r="AA52" s="184" t="s">
        <v>2293</v>
      </c>
      <c r="AC52" s="1745"/>
      <c r="AD52" s="1746">
        <v>20140805</v>
      </c>
      <c r="AE52" s="1745"/>
      <c r="AF52" s="184" t="s">
        <v>2293</v>
      </c>
      <c r="AG52" s="184" t="s">
        <v>2293</v>
      </c>
      <c r="AH52" s="184" t="s">
        <v>2293</v>
      </c>
      <c r="AI52" s="184" t="s">
        <v>2293</v>
      </c>
      <c r="AJ52" s="184" t="s">
        <v>2293</v>
      </c>
      <c r="AL52" s="1745"/>
      <c r="AM52" s="1746">
        <v>20140805</v>
      </c>
      <c r="AN52" s="1745"/>
      <c r="AO52" s="184" t="s">
        <v>2293</v>
      </c>
      <c r="AP52" s="184" t="s">
        <v>2293</v>
      </c>
      <c r="AQ52" s="184" t="s">
        <v>2293</v>
      </c>
      <c r="AR52" s="184" t="s">
        <v>2293</v>
      </c>
      <c r="AS52" s="184" t="s">
        <v>2293</v>
      </c>
      <c r="AU52" s="1745"/>
      <c r="AV52" s="1746">
        <v>20140805</v>
      </c>
      <c r="AW52" s="1745"/>
      <c r="AX52" s="184" t="s">
        <v>2293</v>
      </c>
      <c r="AY52" s="184" t="s">
        <v>2293</v>
      </c>
      <c r="AZ52" s="184" t="s">
        <v>2293</v>
      </c>
      <c r="BA52" s="184" t="s">
        <v>2293</v>
      </c>
      <c r="BB52" s="184" t="s">
        <v>2293</v>
      </c>
      <c r="BD52" s="1745"/>
      <c r="BE52" s="1746">
        <v>20140805</v>
      </c>
      <c r="BF52" s="1745"/>
      <c r="BG52" s="184" t="s">
        <v>2293</v>
      </c>
      <c r="BH52" s="184" t="s">
        <v>2293</v>
      </c>
      <c r="BI52" s="184" t="s">
        <v>2293</v>
      </c>
      <c r="BJ52" s="184" t="s">
        <v>2293</v>
      </c>
      <c r="BK52" s="184" t="s">
        <v>2293</v>
      </c>
    </row>
    <row r="53" spans="2:63" ht="13.5" customHeight="1" x14ac:dyDescent="0.3">
      <c r="B53" s="1759" t="s">
        <v>3986</v>
      </c>
      <c r="C53" s="1732" t="s">
        <v>3894</v>
      </c>
      <c r="D53" s="1733">
        <v>51973.794000000002</v>
      </c>
      <c r="E53" s="1733">
        <v>124757.11199999999</v>
      </c>
      <c r="F53" s="1733">
        <v>442241.66200000001</v>
      </c>
      <c r="G53" s="1733">
        <v>93557.296000000002</v>
      </c>
      <c r="H53" s="1733">
        <v>123458.66</v>
      </c>
      <c r="I53" s="1733">
        <v>119046.348</v>
      </c>
      <c r="J53" s="1734">
        <v>111280.932</v>
      </c>
      <c r="K53" s="1734">
        <f>AF84</f>
        <v>174820</v>
      </c>
      <c r="L53" s="1734">
        <f t="shared" ref="L53:M53" si="142">AG84</f>
        <v>205683.33333333334</v>
      </c>
      <c r="M53" s="1734">
        <f t="shared" si="142"/>
        <v>248536.36363636365</v>
      </c>
      <c r="N53" s="1734"/>
      <c r="O53" s="1734"/>
      <c r="T53" s="1747"/>
      <c r="U53" s="1747" t="s">
        <v>3913</v>
      </c>
      <c r="V53" s="1747"/>
      <c r="W53" s="1748">
        <f>AVERAGE(W58:W71)</f>
        <v>113840</v>
      </c>
      <c r="X53" s="1748">
        <f t="shared" ref="X53:AA53" si="143">AVERAGE(X58:X71)</f>
        <v>125360</v>
      </c>
      <c r="Y53" s="1748">
        <f t="shared" si="143"/>
        <v>127300</v>
      </c>
      <c r="Z53" s="1748" t="e">
        <f t="shared" si="143"/>
        <v>#DIV/0!</v>
      </c>
      <c r="AA53" s="1748" t="e">
        <f t="shared" si="143"/>
        <v>#DIV/0!</v>
      </c>
      <c r="AC53" s="1747"/>
      <c r="AD53" s="1747" t="s">
        <v>3913</v>
      </c>
      <c r="AE53" s="1747"/>
      <c r="AF53" s="1748">
        <f>AVERAGE(AF58:AF72)</f>
        <v>230180</v>
      </c>
      <c r="AG53" s="1748">
        <f t="shared" ref="AG53:AJ53" si="144">AVERAGE(AG58:AG72)</f>
        <v>274858.33333333331</v>
      </c>
      <c r="AH53" s="1748">
        <f t="shared" si="144"/>
        <v>330172.72727272729</v>
      </c>
      <c r="AI53" s="1748" t="e">
        <f t="shared" si="144"/>
        <v>#DIV/0!</v>
      </c>
      <c r="AJ53" s="1748" t="e">
        <f t="shared" si="144"/>
        <v>#DIV/0!</v>
      </c>
      <c r="AL53" s="1747"/>
      <c r="AM53" s="1747" t="s">
        <v>3913</v>
      </c>
      <c r="AN53" s="1747"/>
      <c r="AO53" s="1748">
        <f>AVERAGE(AO58:AO73)</f>
        <v>140480</v>
      </c>
      <c r="AP53" s="1748">
        <f t="shared" ref="AP53:AS53" si="145">AVERAGE(AP58:AP73)</f>
        <v>358718.18181818182</v>
      </c>
      <c r="AQ53" s="1748">
        <f t="shared" si="145"/>
        <v>358718.18181818182</v>
      </c>
      <c r="AR53" s="1748" t="e">
        <f t="shared" si="145"/>
        <v>#DIV/0!</v>
      </c>
      <c r="AS53" s="1748" t="e">
        <f t="shared" si="145"/>
        <v>#DIV/0!</v>
      </c>
      <c r="AU53" s="1747"/>
      <c r="AV53" s="1747" t="s">
        <v>3913</v>
      </c>
      <c r="AW53" s="1747"/>
      <c r="AX53" s="1748">
        <f>AVERAGE(AX58:AX59)</f>
        <v>25950</v>
      </c>
      <c r="AY53" s="1748">
        <f t="shared" ref="AY53:BB53" si="146">AVERAGE(AY58:AY59)</f>
        <v>29000</v>
      </c>
      <c r="AZ53" s="1748" t="e">
        <f t="shared" si="146"/>
        <v>#DIV/0!</v>
      </c>
      <c r="BA53" s="1748" t="e">
        <f t="shared" si="146"/>
        <v>#DIV/0!</v>
      </c>
      <c r="BB53" s="1748" t="e">
        <f t="shared" si="146"/>
        <v>#DIV/0!</v>
      </c>
      <c r="BD53" s="1747"/>
      <c r="BE53" s="1747" t="s">
        <v>3913</v>
      </c>
      <c r="BF53" s="1747"/>
      <c r="BG53" s="1748">
        <f>AVERAGE(BG58:BG74)</f>
        <v>1032205.8823529412</v>
      </c>
      <c r="BH53" s="1748">
        <f t="shared" ref="BH53:BK53" si="147">AVERAGE(BH58:BH74)</f>
        <v>1021964.2857142857</v>
      </c>
      <c r="BI53" s="1748">
        <f t="shared" si="147"/>
        <v>1214981.8181818181</v>
      </c>
      <c r="BJ53" s="1748" t="e">
        <f t="shared" si="147"/>
        <v>#DIV/0!</v>
      </c>
      <c r="BK53" s="1748" t="e">
        <f t="shared" si="147"/>
        <v>#DIV/0!</v>
      </c>
    </row>
    <row r="54" spans="2:63" ht="13.5" customHeight="1" x14ac:dyDescent="0.3">
      <c r="B54" s="1409"/>
      <c r="C54" s="1410" t="s">
        <v>2566</v>
      </c>
      <c r="D54" s="1411" t="s">
        <v>92</v>
      </c>
      <c r="E54" s="1412">
        <f>E53/D53-1</f>
        <v>1.4003849324526891</v>
      </c>
      <c r="F54" s="1412">
        <f t="shared" ref="F54" si="148">F53/E53-1</f>
        <v>2.5448212523547356</v>
      </c>
      <c r="G54" s="1412">
        <f t="shared" ref="G54" si="149">G53/F53-1</f>
        <v>-0.78844757507265339</v>
      </c>
      <c r="H54" s="1412">
        <f t="shared" ref="H54" si="150">H53/G53-1</f>
        <v>0.31960483338466728</v>
      </c>
      <c r="I54" s="1412">
        <f t="shared" ref="I54" si="151">I53/H53-1</f>
        <v>-3.5739185894290482E-2</v>
      </c>
      <c r="J54" s="1424">
        <f t="shared" ref="J54" si="152">J53/I53-1</f>
        <v>-6.5230190849701608E-2</v>
      </c>
      <c r="K54" s="1424">
        <f t="shared" ref="K54" si="153">K53/J53-1</f>
        <v>0.57097893464803118</v>
      </c>
      <c r="L54" s="1424">
        <f t="shared" ref="L54" si="154">L53/K53-1</f>
        <v>0.17654349235404032</v>
      </c>
      <c r="M54" s="1424">
        <f t="shared" ref="M54" si="155">M53/L53-1</f>
        <v>0.20834468991020327</v>
      </c>
      <c r="N54" s="1424"/>
      <c r="O54" s="1424"/>
      <c r="T54" s="1749"/>
      <c r="U54" s="1749" t="s">
        <v>1138</v>
      </c>
      <c r="V54" s="1749"/>
      <c r="W54" s="1750">
        <f>MAX(W58:W71)</f>
        <v>150400</v>
      </c>
      <c r="X54" s="1750">
        <f>MAX(X58:X71)</f>
        <v>160100</v>
      </c>
      <c r="Y54" s="1750">
        <f t="shared" ref="Y54:AA54" si="156">MAX(Y58:Y71)</f>
        <v>146000</v>
      </c>
      <c r="Z54" s="1750">
        <f t="shared" si="156"/>
        <v>0</v>
      </c>
      <c r="AA54" s="1750">
        <f t="shared" si="156"/>
        <v>0</v>
      </c>
      <c r="AC54" s="1749"/>
      <c r="AD54" s="1749" t="s">
        <v>1138</v>
      </c>
      <c r="AE54" s="1749"/>
      <c r="AF54" s="1750">
        <f>MAX(AF58:AF72)</f>
        <v>250700</v>
      </c>
      <c r="AG54" s="1750">
        <f t="shared" ref="AG54:AJ54" si="157">MAX(AG58:AG72)</f>
        <v>318600</v>
      </c>
      <c r="AH54" s="1750">
        <f t="shared" si="157"/>
        <v>382300</v>
      </c>
      <c r="AI54" s="1750">
        <f t="shared" si="157"/>
        <v>0</v>
      </c>
      <c r="AJ54" s="1750">
        <f t="shared" si="157"/>
        <v>0</v>
      </c>
      <c r="AL54" s="1749"/>
      <c r="AM54" s="1749" t="s">
        <v>1138</v>
      </c>
      <c r="AN54" s="1749"/>
      <c r="AO54" s="1750">
        <f>MAX(AO58:AO73)</f>
        <v>319400</v>
      </c>
      <c r="AP54" s="1750">
        <f t="shared" ref="AP54:AS54" si="158">MAX(AP58:AP73)</f>
        <v>574000</v>
      </c>
      <c r="AQ54" s="1750">
        <f t="shared" si="158"/>
        <v>574000</v>
      </c>
      <c r="AR54" s="1750">
        <f t="shared" si="158"/>
        <v>0</v>
      </c>
      <c r="AS54" s="1750">
        <f t="shared" si="158"/>
        <v>0</v>
      </c>
      <c r="AU54" s="1749"/>
      <c r="AV54" s="1749" t="s">
        <v>1138</v>
      </c>
      <c r="AW54" s="1749"/>
      <c r="AX54" s="1750">
        <f>MAX(AX58:AX59)</f>
        <v>27000</v>
      </c>
      <c r="AY54" s="1750">
        <f t="shared" ref="AY54:BB54" si="159">MAX(AY58:AY59)</f>
        <v>29000</v>
      </c>
      <c r="AZ54" s="1750">
        <f t="shared" si="159"/>
        <v>0</v>
      </c>
      <c r="BA54" s="1750">
        <f t="shared" si="159"/>
        <v>0</v>
      </c>
      <c r="BB54" s="1750">
        <f t="shared" si="159"/>
        <v>0</v>
      </c>
      <c r="BD54" s="1749"/>
      <c r="BE54" s="1749" t="s">
        <v>1138</v>
      </c>
      <c r="BF54" s="1749"/>
      <c r="BG54" s="1750">
        <f>MAX(BG58:BG74)</f>
        <v>1561400</v>
      </c>
      <c r="BH54" s="1750">
        <f t="shared" ref="BH54:BK54" si="160">MAX(BH58:BH74)</f>
        <v>1640500</v>
      </c>
      <c r="BI54" s="1750">
        <f t="shared" si="160"/>
        <v>1888000</v>
      </c>
      <c r="BJ54" s="1750">
        <f t="shared" si="160"/>
        <v>0</v>
      </c>
      <c r="BK54" s="1750">
        <f t="shared" si="160"/>
        <v>0</v>
      </c>
    </row>
    <row r="55" spans="2:63" ht="13.5" customHeight="1" x14ac:dyDescent="0.3">
      <c r="B55" s="1759" t="s">
        <v>3988</v>
      </c>
      <c r="C55" s="1732" t="s">
        <v>3895</v>
      </c>
      <c r="D55" s="1733">
        <v>380499.43300000002</v>
      </c>
      <c r="E55" s="1733">
        <v>378641.23300000001</v>
      </c>
      <c r="F55" s="1733">
        <v>401579.84499999997</v>
      </c>
      <c r="G55" s="1733">
        <v>423676.71299999999</v>
      </c>
      <c r="H55" s="1733">
        <v>86324.910999999993</v>
      </c>
      <c r="I55" s="1733">
        <v>-828196.42500000005</v>
      </c>
      <c r="J55" s="1734">
        <v>-41071.813999999998</v>
      </c>
      <c r="K55" s="1734">
        <f>AO84</f>
        <v>97273.333333333328</v>
      </c>
      <c r="L55" s="1734">
        <f t="shared" ref="L55:M55" si="161">AP84</f>
        <v>241927.27272727274</v>
      </c>
      <c r="M55" s="1734">
        <f t="shared" si="161"/>
        <v>241927.27272727274</v>
      </c>
      <c r="N55" s="1734"/>
      <c r="O55" s="1734"/>
      <c r="T55" s="1749"/>
      <c r="U55" s="1749" t="s">
        <v>1052</v>
      </c>
      <c r="V55" s="1749"/>
      <c r="W55" s="1751">
        <f>MEDIAN(W58:W71)</f>
        <v>107900</v>
      </c>
      <c r="X55" s="1751">
        <f>MEDIAN(X58:X71)</f>
        <v>113400</v>
      </c>
      <c r="Y55" s="1751">
        <f t="shared" ref="Y55:AA55" si="162">MEDIAN(Y58:Y71)</f>
        <v>121700</v>
      </c>
      <c r="Z55" s="1751" t="e">
        <f t="shared" si="162"/>
        <v>#NUM!</v>
      </c>
      <c r="AA55" s="1751" t="e">
        <f t="shared" si="162"/>
        <v>#NUM!</v>
      </c>
      <c r="AC55" s="1749"/>
      <c r="AD55" s="1749" t="s">
        <v>1052</v>
      </c>
      <c r="AE55" s="1749"/>
      <c r="AF55" s="1751">
        <f>MEDIAN(AF58:AF72)</f>
        <v>237200</v>
      </c>
      <c r="AG55" s="1751">
        <f t="shared" ref="AG55:AJ55" si="163">MEDIAN(AG58:AG72)</f>
        <v>273000</v>
      </c>
      <c r="AH55" s="1751">
        <f t="shared" si="163"/>
        <v>323000</v>
      </c>
      <c r="AI55" s="1751" t="e">
        <f t="shared" si="163"/>
        <v>#NUM!</v>
      </c>
      <c r="AJ55" s="1751" t="e">
        <f t="shared" si="163"/>
        <v>#NUM!</v>
      </c>
      <c r="AL55" s="1749"/>
      <c r="AM55" s="1749" t="s">
        <v>1052</v>
      </c>
      <c r="AN55" s="1749"/>
      <c r="AO55" s="1751">
        <f>MEDIAN(AO58:AO73)</f>
        <v>107000</v>
      </c>
      <c r="AP55" s="1751">
        <f t="shared" ref="AP55:AS55" si="164">MEDIAN(AP58:AP73)</f>
        <v>336000</v>
      </c>
      <c r="AQ55" s="1751">
        <f t="shared" si="164"/>
        <v>336000</v>
      </c>
      <c r="AR55" s="1751" t="e">
        <f t="shared" si="164"/>
        <v>#NUM!</v>
      </c>
      <c r="AS55" s="1751" t="e">
        <f t="shared" si="164"/>
        <v>#NUM!</v>
      </c>
      <c r="AU55" s="1749"/>
      <c r="AV55" s="1749" t="s">
        <v>1052</v>
      </c>
      <c r="AW55" s="1749"/>
      <c r="AX55" s="1751">
        <f>MEDIAN(AX58:AX59)</f>
        <v>25950</v>
      </c>
      <c r="AY55" s="1751">
        <f t="shared" ref="AY55:BB55" si="165">MEDIAN(AY58:AY59)</f>
        <v>29000</v>
      </c>
      <c r="AZ55" s="1751" t="e">
        <f t="shared" si="165"/>
        <v>#NUM!</v>
      </c>
      <c r="BA55" s="1751" t="e">
        <f t="shared" si="165"/>
        <v>#NUM!</v>
      </c>
      <c r="BB55" s="1751" t="e">
        <f t="shared" si="165"/>
        <v>#NUM!</v>
      </c>
      <c r="BD55" s="1749"/>
      <c r="BE55" s="1749" t="s">
        <v>1052</v>
      </c>
      <c r="BF55" s="1749"/>
      <c r="BG55" s="1751">
        <f>MEDIAN(BG58:BG74)</f>
        <v>894000</v>
      </c>
      <c r="BH55" s="1751">
        <f t="shared" ref="BH55:BK55" si="166">MEDIAN(BH58:BH74)</f>
        <v>897600</v>
      </c>
      <c r="BI55" s="1751">
        <f t="shared" si="166"/>
        <v>1058000</v>
      </c>
      <c r="BJ55" s="1751" t="e">
        <f t="shared" si="166"/>
        <v>#NUM!</v>
      </c>
      <c r="BK55" s="1751" t="e">
        <f t="shared" si="166"/>
        <v>#NUM!</v>
      </c>
    </row>
    <row r="56" spans="2:63" ht="13.5" customHeight="1" x14ac:dyDescent="0.3">
      <c r="B56" s="1409"/>
      <c r="C56" s="1410" t="s">
        <v>2566</v>
      </c>
      <c r="D56" s="1411" t="s">
        <v>92</v>
      </c>
      <c r="E56" s="1412">
        <f>E55/D55-1</f>
        <v>-4.8835815216576872E-3</v>
      </c>
      <c r="F56" s="1412">
        <f t="shared" ref="F56" si="167">F55/E55-1</f>
        <v>6.0581389454750667E-2</v>
      </c>
      <c r="G56" s="1412">
        <f t="shared" ref="G56" si="168">G55/F55-1</f>
        <v>5.5024843191520345E-2</v>
      </c>
      <c r="H56" s="1412">
        <f t="shared" ref="H56" si="169">H55/G55-1</f>
        <v>-0.79624815725947151</v>
      </c>
      <c r="I56" s="1412">
        <f t="shared" ref="I56" si="170">I55/H55-1</f>
        <v>-10.593944730507745</v>
      </c>
      <c r="J56" s="1424">
        <f t="shared" ref="J56" si="171">J55/I55-1</f>
        <v>-0.95040812449776035</v>
      </c>
      <c r="K56" s="1424">
        <f t="shared" ref="K56" si="172">K55/J55-1</f>
        <v>-3.3683719772721346</v>
      </c>
      <c r="L56" s="1424">
        <f t="shared" ref="L56" si="173">L55/K55-1</f>
        <v>1.4870873078672409</v>
      </c>
      <c r="M56" s="1424">
        <f t="shared" ref="M56" si="174">M55/L55-1</f>
        <v>0</v>
      </c>
      <c r="N56" s="1424"/>
      <c r="O56" s="1424"/>
      <c r="T56" s="1749"/>
      <c r="U56" s="1749" t="s">
        <v>1137</v>
      </c>
      <c r="V56" s="1749"/>
      <c r="W56" s="1750">
        <f>MIN(W58:W71)</f>
        <v>97000</v>
      </c>
      <c r="X56" s="1750">
        <f>MIN(X58:X71)</f>
        <v>111000</v>
      </c>
      <c r="Y56" s="1750">
        <f t="shared" ref="Y56:AA56" si="175">MIN(Y58:Y71)</f>
        <v>119800</v>
      </c>
      <c r="Z56" s="1750">
        <f t="shared" si="175"/>
        <v>0</v>
      </c>
      <c r="AA56" s="1750">
        <f t="shared" si="175"/>
        <v>0</v>
      </c>
      <c r="AC56" s="1749"/>
      <c r="AD56" s="1749" t="s">
        <v>1137</v>
      </c>
      <c r="AE56" s="1749"/>
      <c r="AF56" s="1750">
        <f>MIN(AF58:AF72)</f>
        <v>170000</v>
      </c>
      <c r="AG56" s="1750">
        <f t="shared" ref="AG56:AJ56" si="176">MIN(AG58:AG72)</f>
        <v>193000</v>
      </c>
      <c r="AH56" s="1750">
        <f t="shared" si="176"/>
        <v>290000</v>
      </c>
      <c r="AI56" s="1750">
        <f t="shared" si="176"/>
        <v>0</v>
      </c>
      <c r="AJ56" s="1750">
        <f t="shared" si="176"/>
        <v>0</v>
      </c>
      <c r="AL56" s="1749"/>
      <c r="AM56" s="1749" t="s">
        <v>1137</v>
      </c>
      <c r="AN56" s="1749"/>
      <c r="AO56" s="1750">
        <f>MIN(AO58:AO73)</f>
        <v>84000</v>
      </c>
      <c r="AP56" s="1750">
        <f t="shared" ref="AP56:AS56" si="177">MIN(AP58:AP73)</f>
        <v>176900</v>
      </c>
      <c r="AQ56" s="1750">
        <f t="shared" si="177"/>
        <v>176900</v>
      </c>
      <c r="AR56" s="1750">
        <f t="shared" si="177"/>
        <v>0</v>
      </c>
      <c r="AS56" s="1750">
        <f t="shared" si="177"/>
        <v>0</v>
      </c>
      <c r="AU56" s="1749"/>
      <c r="AV56" s="1749" t="s">
        <v>1137</v>
      </c>
      <c r="AW56" s="1749"/>
      <c r="AX56" s="1750">
        <f>MIN(AX58:AX59)</f>
        <v>24900</v>
      </c>
      <c r="AY56" s="1750">
        <f t="shared" ref="AY56:BB56" si="178">MIN(AY58:AY59)</f>
        <v>29000</v>
      </c>
      <c r="AZ56" s="1750">
        <f t="shared" si="178"/>
        <v>0</v>
      </c>
      <c r="BA56" s="1750">
        <f t="shared" si="178"/>
        <v>0</v>
      </c>
      <c r="BB56" s="1750">
        <f t="shared" si="178"/>
        <v>0</v>
      </c>
      <c r="BD56" s="1749"/>
      <c r="BE56" s="1749" t="s">
        <v>1137</v>
      </c>
      <c r="BF56" s="1749"/>
      <c r="BG56" s="1750">
        <f>MIN(BG58:BG74)</f>
        <v>458000</v>
      </c>
      <c r="BH56" s="1750">
        <f t="shared" ref="BH56:BK56" si="179">MIN(BH58:BH74)</f>
        <v>574000</v>
      </c>
      <c r="BI56" s="1750">
        <f t="shared" si="179"/>
        <v>669000</v>
      </c>
      <c r="BJ56" s="1750">
        <f t="shared" si="179"/>
        <v>0</v>
      </c>
      <c r="BK56" s="1750">
        <f t="shared" si="179"/>
        <v>0</v>
      </c>
    </row>
    <row r="57" spans="2:63" ht="13.5" customHeight="1" x14ac:dyDescent="0.3">
      <c r="B57" s="1759" t="s">
        <v>3989</v>
      </c>
      <c r="C57" s="1732" t="s">
        <v>3897</v>
      </c>
      <c r="D57" s="1733">
        <v>27665.77</v>
      </c>
      <c r="E57" s="1733">
        <v>23876.644</v>
      </c>
      <c r="F57" s="1733">
        <v>18607.627</v>
      </c>
      <c r="G57" s="1733">
        <v>-6202.6210000000001</v>
      </c>
      <c r="H57" s="1733">
        <v>44057.809000000001</v>
      </c>
      <c r="I57" s="1733">
        <v>19059.537</v>
      </c>
      <c r="J57" s="1734">
        <v>7209.2340000000004</v>
      </c>
      <c r="K57" s="1734">
        <f>AX84</f>
        <v>21700</v>
      </c>
      <c r="L57" s="1734">
        <f>AY84</f>
        <v>23000</v>
      </c>
      <c r="M57" s="1424"/>
      <c r="N57" s="1424"/>
      <c r="O57" s="1424"/>
      <c r="T57" s="1752" t="s">
        <v>3914</v>
      </c>
      <c r="U57" s="1753" t="s">
        <v>3915</v>
      </c>
      <c r="V57" s="1753" t="s">
        <v>3916</v>
      </c>
      <c r="W57" s="1754"/>
      <c r="X57" s="1754"/>
      <c r="Y57" s="1754"/>
      <c r="Z57" s="1754"/>
      <c r="AA57" s="1754"/>
      <c r="AC57" s="1752" t="s">
        <v>3914</v>
      </c>
      <c r="AD57" s="1753" t="s">
        <v>3915</v>
      </c>
      <c r="AE57" s="1753" t="s">
        <v>3916</v>
      </c>
      <c r="AF57" s="1754"/>
      <c r="AG57" s="1754"/>
      <c r="AH57" s="1754"/>
      <c r="AI57" s="1754"/>
      <c r="AJ57" s="1754"/>
      <c r="AL57" s="1752" t="s">
        <v>3914</v>
      </c>
      <c r="AM57" s="1753" t="s">
        <v>3915</v>
      </c>
      <c r="AN57" s="1753" t="s">
        <v>3916</v>
      </c>
      <c r="AO57" s="1754"/>
      <c r="AP57" s="1754"/>
      <c r="AQ57" s="1754"/>
      <c r="AR57" s="1754"/>
      <c r="AS57" s="1754"/>
      <c r="AU57" s="1752" t="s">
        <v>3914</v>
      </c>
      <c r="AV57" s="1753" t="s">
        <v>3915</v>
      </c>
      <c r="AW57" s="1753" t="s">
        <v>3916</v>
      </c>
      <c r="AX57" s="1754"/>
      <c r="AY57" s="1754"/>
      <c r="AZ57" s="1754"/>
      <c r="BA57" s="1754"/>
      <c r="BB57" s="1754"/>
      <c r="BD57" s="1752" t="s">
        <v>3914</v>
      </c>
      <c r="BE57" s="1753" t="s">
        <v>3915</v>
      </c>
      <c r="BF57" s="1753" t="s">
        <v>3916</v>
      </c>
      <c r="BG57" s="1754"/>
      <c r="BH57" s="1754"/>
      <c r="BI57" s="1754"/>
      <c r="BJ57" s="1754"/>
      <c r="BK57" s="1754"/>
    </row>
    <row r="58" spans="2:63" ht="13.5" customHeight="1" x14ac:dyDescent="0.3">
      <c r="B58" s="1409"/>
      <c r="C58" s="1410" t="s">
        <v>2566</v>
      </c>
      <c r="D58" s="1411" t="s">
        <v>92</v>
      </c>
      <c r="E58" s="1412">
        <f>E57/D57-1</f>
        <v>-0.13696080029581681</v>
      </c>
      <c r="F58" s="1412">
        <f t="shared" ref="F58" si="180">F57/E57-1</f>
        <v>-0.22067661602694244</v>
      </c>
      <c r="G58" s="1412">
        <f t="shared" ref="G58" si="181">G57/F57-1</f>
        <v>-1.3333375609904476</v>
      </c>
      <c r="H58" s="1412">
        <f t="shared" ref="H58" si="182">H57/G57-1</f>
        <v>-8.1030954494882081</v>
      </c>
      <c r="I58" s="1412">
        <f t="shared" ref="I58" si="183">I57/H57-1</f>
        <v>-0.56739707596444489</v>
      </c>
      <c r="J58" s="1424">
        <f t="shared" ref="J58" si="184">J57/I57-1</f>
        <v>-0.62175188201056508</v>
      </c>
      <c r="K58" s="1424">
        <f t="shared" ref="K58" si="185">K57/J57-1</f>
        <v>2.010028527302623</v>
      </c>
      <c r="L58" s="1424">
        <f t="shared" ref="L58" si="186">L57/K57-1</f>
        <v>5.9907834101382562E-2</v>
      </c>
      <c r="M58" s="1424"/>
      <c r="N58" s="1424"/>
      <c r="O58" s="1424"/>
      <c r="T58" s="1755">
        <v>42306</v>
      </c>
      <c r="U58" s="1756" t="s">
        <v>3924</v>
      </c>
      <c r="V58" s="1757" t="s">
        <v>3938</v>
      </c>
      <c r="W58" s="1758"/>
      <c r="X58" s="1758"/>
      <c r="Y58" s="1758"/>
      <c r="Z58" s="1750"/>
      <c r="AA58" s="1750"/>
      <c r="AC58" s="1755">
        <v>42334</v>
      </c>
      <c r="AD58" s="1756" t="s">
        <v>3933</v>
      </c>
      <c r="AE58" s="1757" t="s">
        <v>3946</v>
      </c>
      <c r="AF58" s="1758">
        <v>234000</v>
      </c>
      <c r="AG58" s="1758">
        <v>269000</v>
      </c>
      <c r="AH58" s="1758">
        <v>314000</v>
      </c>
      <c r="AI58" s="1750"/>
      <c r="AJ58" s="1750"/>
      <c r="AL58" s="1755">
        <v>42306</v>
      </c>
      <c r="AM58" s="1756" t="s">
        <v>3918</v>
      </c>
      <c r="AN58" s="1757" t="s">
        <v>3953</v>
      </c>
      <c r="AO58" s="1758">
        <v>98000</v>
      </c>
      <c r="AP58" s="1758">
        <v>273000</v>
      </c>
      <c r="AQ58" s="1758">
        <v>273000</v>
      </c>
      <c r="AR58" s="1750"/>
      <c r="AS58" s="1750"/>
      <c r="AU58" s="1755">
        <v>42158</v>
      </c>
      <c r="AV58" s="1756" t="s">
        <v>3931</v>
      </c>
      <c r="AW58" s="1757" t="s">
        <v>3969</v>
      </c>
      <c r="AX58" s="1758">
        <v>27000</v>
      </c>
      <c r="AY58" s="1758">
        <v>29000</v>
      </c>
      <c r="AZ58" s="1758"/>
      <c r="BA58" s="1750"/>
      <c r="BB58" s="1750"/>
      <c r="BD58" s="1755">
        <v>42045</v>
      </c>
      <c r="BE58" s="1756" t="s">
        <v>3928</v>
      </c>
      <c r="BF58" s="1757" t="s">
        <v>3971</v>
      </c>
      <c r="BG58" s="1758">
        <v>582000</v>
      </c>
      <c r="BH58" s="1758">
        <v>574000</v>
      </c>
      <c r="BI58" s="1758"/>
      <c r="BJ58" s="1750"/>
      <c r="BK58" s="1750"/>
    </row>
    <row r="59" spans="2:63" ht="13.5" customHeight="1" x14ac:dyDescent="0.3">
      <c r="B59" s="1759" t="s">
        <v>3990</v>
      </c>
      <c r="C59" s="1732" t="s">
        <v>3898</v>
      </c>
      <c r="D59" s="1733">
        <v>-5745.5370000000003</v>
      </c>
      <c r="E59" s="1733">
        <v>2215.585</v>
      </c>
      <c r="F59" s="1733">
        <v>30909.429</v>
      </c>
      <c r="G59" s="1733">
        <v>14009.755999999999</v>
      </c>
      <c r="H59" s="1733">
        <v>-17648.887999999999</v>
      </c>
      <c r="I59" s="1733">
        <v>-522.86800000000005</v>
      </c>
      <c r="J59" s="1734">
        <v>-42250.228000000003</v>
      </c>
      <c r="K59" s="1734"/>
      <c r="L59" s="1734"/>
      <c r="M59" s="1424"/>
      <c r="N59" s="1424"/>
      <c r="O59" s="1424"/>
      <c r="T59" s="1755">
        <v>41758</v>
      </c>
      <c r="U59" s="1756" t="s">
        <v>3917</v>
      </c>
      <c r="V59" s="1757" t="s">
        <v>3944</v>
      </c>
      <c r="W59" s="1758"/>
      <c r="X59" s="1758"/>
      <c r="Y59" s="1758"/>
      <c r="Z59" s="1750"/>
      <c r="AA59" s="1750"/>
      <c r="AC59" s="1755">
        <v>42314</v>
      </c>
      <c r="AD59" s="1756" t="s">
        <v>3921</v>
      </c>
      <c r="AE59" s="1757" t="s">
        <v>3935</v>
      </c>
      <c r="AF59" s="1758">
        <v>241200</v>
      </c>
      <c r="AG59" s="1758">
        <v>292000</v>
      </c>
      <c r="AH59" s="1758">
        <v>341200</v>
      </c>
      <c r="AI59" s="1750"/>
      <c r="AJ59" s="1750"/>
      <c r="AL59" s="1755">
        <v>42383</v>
      </c>
      <c r="AM59" s="1756" t="s">
        <v>3930</v>
      </c>
      <c r="AN59" s="1757" t="s">
        <v>3954</v>
      </c>
      <c r="AO59" s="1758"/>
      <c r="AP59" s="1758"/>
      <c r="AQ59" s="1758"/>
      <c r="AR59" s="1750"/>
      <c r="AS59" s="1750"/>
      <c r="AU59" s="1755">
        <v>41726</v>
      </c>
      <c r="AV59" s="1756" t="s">
        <v>3949</v>
      </c>
      <c r="AW59" s="1757" t="s">
        <v>3970</v>
      </c>
      <c r="AX59" s="1758">
        <v>24900</v>
      </c>
      <c r="AY59" s="1758"/>
      <c r="AZ59" s="1758"/>
      <c r="BA59" s="1750"/>
      <c r="BB59" s="1750"/>
      <c r="BD59" s="1755">
        <v>41984</v>
      </c>
      <c r="BE59" s="1756" t="s">
        <v>3930</v>
      </c>
      <c r="BF59" s="1757" t="s">
        <v>3972</v>
      </c>
      <c r="BG59" s="1758">
        <v>606000</v>
      </c>
      <c r="BH59" s="1758">
        <v>741200</v>
      </c>
      <c r="BI59" s="1758"/>
      <c r="BJ59" s="1750"/>
      <c r="BK59" s="1750"/>
    </row>
    <row r="60" spans="2:63" ht="13.5" customHeight="1" x14ac:dyDescent="0.3">
      <c r="B60" s="1409"/>
      <c r="C60" s="1410" t="s">
        <v>2566</v>
      </c>
      <c r="D60" s="1411" t="s">
        <v>92</v>
      </c>
      <c r="E60" s="1412">
        <f>E59/D59-1</f>
        <v>-1.3856184374062859</v>
      </c>
      <c r="F60" s="1412">
        <f t="shared" ref="F60" si="187">F59/E59-1</f>
        <v>12.950910933229824</v>
      </c>
      <c r="G60" s="1412">
        <f t="shared" ref="G60" si="188">G59/F59-1</f>
        <v>-0.54674814601072064</v>
      </c>
      <c r="H60" s="1412">
        <f t="shared" ref="H60" si="189">H59/G59-1</f>
        <v>-2.2597569864885587</v>
      </c>
      <c r="I60" s="1412">
        <f t="shared" ref="I60" si="190">I59/H59-1</f>
        <v>-0.97037388417899195</v>
      </c>
      <c r="J60" s="1424">
        <f t="shared" ref="J60" si="191">J59/I59-1</f>
        <v>79.804769081297763</v>
      </c>
      <c r="K60" s="1424">
        <f t="shared" ref="K60" si="192">K59/J59-1</f>
        <v>-1</v>
      </c>
      <c r="L60" s="1424" t="e">
        <f t="shared" ref="L60" si="193">L59/K59-1</f>
        <v>#DIV/0!</v>
      </c>
      <c r="M60" s="1424"/>
      <c r="N60" s="1424"/>
      <c r="O60" s="1424"/>
      <c r="T60" s="1755">
        <v>41983</v>
      </c>
      <c r="U60" s="1756" t="s">
        <v>3922</v>
      </c>
      <c r="V60" s="1757" t="s">
        <v>3947</v>
      </c>
      <c r="W60" s="1758">
        <v>150400</v>
      </c>
      <c r="X60" s="1758">
        <v>160100</v>
      </c>
      <c r="Y60" s="1758"/>
      <c r="Z60" s="1750"/>
      <c r="AA60" s="1750"/>
      <c r="AC60" s="1755">
        <v>42383</v>
      </c>
      <c r="AD60" s="1756" t="s">
        <v>3949</v>
      </c>
      <c r="AE60" s="1757" t="s">
        <v>3950</v>
      </c>
      <c r="AF60" s="1758">
        <v>241200</v>
      </c>
      <c r="AG60" s="1758">
        <v>318600</v>
      </c>
      <c r="AH60" s="1758">
        <v>382300</v>
      </c>
      <c r="AI60" s="1750"/>
      <c r="AJ60" s="1750"/>
      <c r="AL60" s="1755">
        <v>41562</v>
      </c>
      <c r="AM60" s="1756" t="s">
        <v>3929</v>
      </c>
      <c r="AN60" s="1757" t="s">
        <v>3955</v>
      </c>
      <c r="AO60" s="1758">
        <v>319400</v>
      </c>
      <c r="AP60" s="1758"/>
      <c r="AQ60" s="1758"/>
      <c r="AR60" s="1750"/>
      <c r="AS60" s="1750"/>
      <c r="AU60" s="1755"/>
      <c r="AV60" s="1756"/>
      <c r="AW60" s="1757"/>
      <c r="AX60" s="1758"/>
      <c r="AY60" s="1758"/>
      <c r="AZ60" s="1758"/>
      <c r="BA60" s="1750"/>
      <c r="BB60" s="1750"/>
      <c r="BD60" s="1755">
        <v>42186</v>
      </c>
      <c r="BE60" s="1756" t="s">
        <v>3933</v>
      </c>
      <c r="BF60" s="1757" t="s">
        <v>3973</v>
      </c>
      <c r="BG60" s="1758">
        <v>918000</v>
      </c>
      <c r="BH60" s="1758">
        <v>866000</v>
      </c>
      <c r="BI60" s="1758">
        <v>1058000</v>
      </c>
      <c r="BJ60" s="1750"/>
      <c r="BK60" s="1750"/>
    </row>
    <row r="61" spans="2:63" ht="13.5" customHeight="1" x14ac:dyDescent="0.3">
      <c r="B61" s="1759" t="s">
        <v>3991</v>
      </c>
      <c r="C61" s="1732" t="s">
        <v>3899</v>
      </c>
      <c r="D61" s="1733">
        <v>-19462.362000000001</v>
      </c>
      <c r="E61" s="1733">
        <v>19434.973999999998</v>
      </c>
      <c r="F61" s="1733">
        <v>8851.7360000000008</v>
      </c>
      <c r="G61" s="1733">
        <v>11815.849</v>
      </c>
      <c r="H61" s="1733">
        <v>5993.3190000000004</v>
      </c>
      <c r="I61" s="1733">
        <v>3391.3069999999998</v>
      </c>
      <c r="J61" s="1734">
        <v>10213.574000000001</v>
      </c>
      <c r="K61" s="1734"/>
      <c r="L61" s="1734"/>
      <c r="M61" s="1734"/>
      <c r="N61" s="1734"/>
      <c r="O61" s="1734"/>
      <c r="T61" s="1755">
        <v>42208</v>
      </c>
      <c r="U61" s="1756" t="s">
        <v>3920</v>
      </c>
      <c r="V61" s="1757" t="s">
        <v>3940</v>
      </c>
      <c r="W61" s="1758"/>
      <c r="X61" s="1758"/>
      <c r="Y61" s="1758"/>
      <c r="Z61" s="1750"/>
      <c r="AA61" s="1750"/>
      <c r="AC61" s="1755">
        <v>42297</v>
      </c>
      <c r="AD61" s="1756" t="s">
        <v>3928</v>
      </c>
      <c r="AE61" s="1757" t="s">
        <v>3934</v>
      </c>
      <c r="AF61" s="1758">
        <v>244000</v>
      </c>
      <c r="AG61" s="1758">
        <v>295000</v>
      </c>
      <c r="AH61" s="1758">
        <v>327000</v>
      </c>
      <c r="AI61" s="1750"/>
      <c r="AJ61" s="1750"/>
      <c r="AL61" s="1755">
        <v>41718</v>
      </c>
      <c r="AM61" s="1756" t="s">
        <v>3951</v>
      </c>
      <c r="AN61" s="1757" t="s">
        <v>3956</v>
      </c>
      <c r="AO61" s="1758">
        <v>259800</v>
      </c>
      <c r="AP61" s="1758"/>
      <c r="AQ61" s="1758"/>
      <c r="AR61" s="1750"/>
      <c r="AS61" s="1750"/>
      <c r="AU61" s="1755"/>
      <c r="AV61" s="1756"/>
      <c r="AW61" s="1757"/>
      <c r="AX61" s="1758"/>
      <c r="AY61" s="1758"/>
      <c r="AZ61" s="1758"/>
      <c r="BA61" s="1750"/>
      <c r="BB61" s="1750"/>
      <c r="BD61" s="1755">
        <v>42374</v>
      </c>
      <c r="BE61" s="1756" t="s">
        <v>3921</v>
      </c>
      <c r="BF61" s="1757" t="s">
        <v>3974</v>
      </c>
      <c r="BG61" s="1758">
        <v>1532900</v>
      </c>
      <c r="BH61" s="1758">
        <v>1131400</v>
      </c>
      <c r="BI61" s="1758">
        <v>953700</v>
      </c>
      <c r="BJ61" s="1750"/>
      <c r="BK61" s="1750"/>
    </row>
    <row r="62" spans="2:63" ht="13.5" customHeight="1" x14ac:dyDescent="0.3">
      <c r="B62" s="1409"/>
      <c r="C62" s="1410" t="s">
        <v>2566</v>
      </c>
      <c r="D62" s="1411" t="s">
        <v>92</v>
      </c>
      <c r="E62" s="1412">
        <f>E61/D61-1</f>
        <v>-1.9985927710110416</v>
      </c>
      <c r="F62" s="1412">
        <f t="shared" ref="F62" si="194">F61/E61-1</f>
        <v>-0.54454603335203844</v>
      </c>
      <c r="G62" s="1412">
        <f t="shared" ref="G62" si="195">G61/F61-1</f>
        <v>0.33486233660832165</v>
      </c>
      <c r="H62" s="1412">
        <f t="shared" ref="H62" si="196">H61/G61-1</f>
        <v>-0.49277288496154614</v>
      </c>
      <c r="I62" s="1412">
        <f t="shared" ref="I62" si="197">I61/H61-1</f>
        <v>-0.43415209502447649</v>
      </c>
      <c r="J62" s="1424">
        <f t="shared" ref="J62" si="198">J61/I61-1</f>
        <v>2.011692542137884</v>
      </c>
      <c r="K62" s="1424">
        <f t="shared" ref="K62" si="199">K61/J61-1</f>
        <v>-1</v>
      </c>
      <c r="L62" s="1424" t="e">
        <f t="shared" ref="L62" si="200">L61/K61-1</f>
        <v>#DIV/0!</v>
      </c>
      <c r="M62" s="1424"/>
      <c r="N62" s="1424"/>
      <c r="O62" s="1424"/>
      <c r="T62" s="1755">
        <v>41850</v>
      </c>
      <c r="U62" s="1756" t="s">
        <v>3932</v>
      </c>
      <c r="V62" s="1757" t="s">
        <v>3945</v>
      </c>
      <c r="W62" s="1758"/>
      <c r="X62" s="1758"/>
      <c r="Y62" s="1758"/>
      <c r="Z62" s="1750"/>
      <c r="AA62" s="1750"/>
      <c r="AC62" s="1755">
        <v>42314</v>
      </c>
      <c r="AD62" s="1756" t="s">
        <v>3926</v>
      </c>
      <c r="AE62" s="1757" t="s">
        <v>3943</v>
      </c>
      <c r="AF62" s="1758">
        <v>248000</v>
      </c>
      <c r="AG62" s="1758">
        <v>284000</v>
      </c>
      <c r="AH62" s="1758">
        <v>323000</v>
      </c>
      <c r="AI62" s="1750"/>
      <c r="AJ62" s="1750"/>
      <c r="AL62" s="1755">
        <v>42293</v>
      </c>
      <c r="AM62" s="1756" t="s">
        <v>3949</v>
      </c>
      <c r="AN62" s="1757" t="s">
        <v>3957</v>
      </c>
      <c r="AO62" s="1758">
        <v>121000</v>
      </c>
      <c r="AP62" s="1758"/>
      <c r="AQ62" s="1758"/>
      <c r="AR62" s="1750"/>
      <c r="AS62" s="1750"/>
      <c r="AU62" s="1755"/>
      <c r="AV62" s="1756"/>
      <c r="AW62" s="1757"/>
      <c r="AX62" s="1758"/>
      <c r="AY62" s="1758"/>
      <c r="AZ62" s="1758"/>
      <c r="BA62" s="1750"/>
      <c r="BB62" s="1750"/>
      <c r="BD62" s="1755">
        <v>42382</v>
      </c>
      <c r="BE62" s="1756" t="s">
        <v>3931</v>
      </c>
      <c r="BF62" s="1757" t="s">
        <v>3975</v>
      </c>
      <c r="BG62" s="1758">
        <v>1501000</v>
      </c>
      <c r="BH62" s="1758">
        <v>1206000</v>
      </c>
      <c r="BI62" s="1758">
        <v>1430000</v>
      </c>
      <c r="BJ62" s="1750"/>
      <c r="BK62" s="1750"/>
    </row>
    <row r="63" spans="2:63" ht="13.5" customHeight="1" x14ac:dyDescent="0.3">
      <c r="B63" s="1759" t="s">
        <v>3992</v>
      </c>
      <c r="C63" s="1732" t="s">
        <v>3900</v>
      </c>
      <c r="D63" s="1733">
        <v>-25855.196</v>
      </c>
      <c r="E63" s="1733">
        <v>-8718.9609999999993</v>
      </c>
      <c r="F63" s="1733">
        <v>68823.604000000007</v>
      </c>
      <c r="G63" s="1733">
        <v>219.77799999999999</v>
      </c>
      <c r="H63" s="1733">
        <v>-14947.183000000001</v>
      </c>
      <c r="I63" s="1733">
        <v>-8641.1149999999998</v>
      </c>
      <c r="J63" s="1734">
        <v>-23318.687000000002</v>
      </c>
      <c r="K63" s="1734"/>
      <c r="L63" s="1734"/>
      <c r="M63" s="1424"/>
      <c r="N63" s="1424"/>
      <c r="O63" s="1424"/>
      <c r="T63" s="1755">
        <v>42289</v>
      </c>
      <c r="U63" s="1756" t="s">
        <v>3921</v>
      </c>
      <c r="V63" s="1757" t="s">
        <v>3935</v>
      </c>
      <c r="W63" s="1758"/>
      <c r="X63" s="1758"/>
      <c r="Y63" s="1758"/>
      <c r="Z63" s="1750"/>
      <c r="AA63" s="1750"/>
      <c r="AC63" s="1755">
        <v>42338</v>
      </c>
      <c r="AD63" s="1756" t="s">
        <v>3920</v>
      </c>
      <c r="AE63" s="1757" t="s">
        <v>3940</v>
      </c>
      <c r="AF63" s="1758">
        <v>234500</v>
      </c>
      <c r="AG63" s="1758">
        <v>258000</v>
      </c>
      <c r="AH63" s="1758">
        <v>290000</v>
      </c>
      <c r="AI63" s="1750"/>
      <c r="AJ63" s="1750"/>
      <c r="AL63" s="1755">
        <v>42389</v>
      </c>
      <c r="AM63" s="1756" t="s">
        <v>3923</v>
      </c>
      <c r="AN63" s="1757" t="s">
        <v>3958</v>
      </c>
      <c r="AO63" s="1758">
        <v>107000</v>
      </c>
      <c r="AP63" s="1758">
        <v>574000</v>
      </c>
      <c r="AQ63" s="1758">
        <v>574000</v>
      </c>
      <c r="AR63" s="1750"/>
      <c r="AS63" s="1750"/>
      <c r="AU63" s="1755"/>
      <c r="AV63" s="1756"/>
      <c r="AW63" s="1757"/>
      <c r="AX63" s="1758"/>
      <c r="AY63" s="1758"/>
      <c r="AZ63" s="1758"/>
      <c r="BA63" s="1750"/>
      <c r="BB63" s="1750"/>
      <c r="BD63" s="1755">
        <v>41722</v>
      </c>
      <c r="BE63" s="1756" t="s">
        <v>3951</v>
      </c>
      <c r="BF63" s="1757" t="s">
        <v>3976</v>
      </c>
      <c r="BG63" s="1758">
        <v>685000</v>
      </c>
      <c r="BH63" s="1758"/>
      <c r="BI63" s="1758"/>
      <c r="BJ63" s="1750"/>
      <c r="BK63" s="1750"/>
    </row>
    <row r="64" spans="2:63" ht="13.5" customHeight="1" x14ac:dyDescent="0.3">
      <c r="B64" s="1409"/>
      <c r="C64" s="1410" t="s">
        <v>2566</v>
      </c>
      <c r="D64" s="1411" t="s">
        <v>92</v>
      </c>
      <c r="E64" s="1412">
        <f>E63/D63-1</f>
        <v>-0.66277722280658791</v>
      </c>
      <c r="F64" s="1412">
        <f t="shared" ref="F64" si="201">F63/E63-1</f>
        <v>-8.8935556656349313</v>
      </c>
      <c r="G64" s="1412">
        <f t="shared" ref="G64" si="202">G63/F63-1</f>
        <v>-0.99680664790527385</v>
      </c>
      <c r="H64" s="1412">
        <f t="shared" ref="H64" si="203">H63/G63-1</f>
        <v>-69.010369554732506</v>
      </c>
      <c r="I64" s="1412">
        <f t="shared" ref="I64" si="204">I63/H63-1</f>
        <v>-0.42189006450245514</v>
      </c>
      <c r="J64" s="1424">
        <f t="shared" ref="J64" si="205">J63/I63-1</f>
        <v>1.6985738530270691</v>
      </c>
      <c r="K64" s="1424">
        <f t="shared" ref="K64" si="206">K63/J63-1</f>
        <v>-1</v>
      </c>
      <c r="L64" s="1424" t="e">
        <f t="shared" ref="L64" si="207">L63/K63-1</f>
        <v>#DIV/0!</v>
      </c>
      <c r="M64" s="1424"/>
      <c r="N64" s="1424"/>
      <c r="O64" s="1424"/>
      <c r="T64" s="1755">
        <v>42388</v>
      </c>
      <c r="U64" s="1756" t="s">
        <v>3931</v>
      </c>
      <c r="V64" s="1757" t="s">
        <v>3942</v>
      </c>
      <c r="W64" s="1758">
        <v>107900</v>
      </c>
      <c r="X64" s="1758">
        <v>111300</v>
      </c>
      <c r="Y64" s="1758">
        <v>119800</v>
      </c>
      <c r="Z64" s="1750"/>
      <c r="AA64" s="1750"/>
      <c r="AC64" s="1755">
        <v>42388</v>
      </c>
      <c r="AD64" s="1756" t="s">
        <v>3919</v>
      </c>
      <c r="AE64" s="1757" t="s">
        <v>3941</v>
      </c>
      <c r="AF64" s="1758">
        <v>238900</v>
      </c>
      <c r="AG64" s="1758">
        <v>267700</v>
      </c>
      <c r="AH64" s="1758">
        <v>351400</v>
      </c>
      <c r="AI64" s="1750"/>
      <c r="AJ64" s="1750"/>
      <c r="AL64" s="1755">
        <v>42297</v>
      </c>
      <c r="AM64" s="1756" t="s">
        <v>3931</v>
      </c>
      <c r="AN64" s="1757" t="s">
        <v>3959</v>
      </c>
      <c r="AO64" s="1758">
        <v>127000</v>
      </c>
      <c r="AP64" s="1758">
        <v>523000</v>
      </c>
      <c r="AQ64" s="1758">
        <v>523000</v>
      </c>
      <c r="AR64" s="1750"/>
      <c r="AS64" s="1750"/>
      <c r="AU64" s="1755"/>
      <c r="AV64" s="1756"/>
      <c r="AW64" s="1757"/>
      <c r="AX64" s="1758"/>
      <c r="AY64" s="1758"/>
      <c r="AZ64" s="1758"/>
      <c r="BA64" s="1750"/>
      <c r="BB64" s="1750"/>
      <c r="BD64" s="1755">
        <v>42382</v>
      </c>
      <c r="BE64" s="1756" t="s">
        <v>3949</v>
      </c>
      <c r="BF64" s="1757" t="s">
        <v>3977</v>
      </c>
      <c r="BG64" s="1758">
        <v>1556100</v>
      </c>
      <c r="BH64" s="1758">
        <v>1627200</v>
      </c>
      <c r="BI64" s="1758">
        <v>1688400</v>
      </c>
      <c r="BJ64" s="1750"/>
      <c r="BK64" s="1750"/>
    </row>
    <row r="65" spans="2:63" ht="13.5" customHeight="1" x14ac:dyDescent="0.3">
      <c r="B65" s="1759" t="s">
        <v>3993</v>
      </c>
      <c r="C65" s="1732" t="s">
        <v>3901</v>
      </c>
      <c r="D65" s="1733">
        <v>15646</v>
      </c>
      <c r="E65" s="1733">
        <v>488954</v>
      </c>
      <c r="F65" s="1733">
        <v>808112</v>
      </c>
      <c r="G65" s="1733">
        <v>773672</v>
      </c>
      <c r="H65" s="1733">
        <v>494030</v>
      </c>
      <c r="I65" s="1733">
        <v>357814</v>
      </c>
      <c r="J65" s="1734">
        <v>-346929</v>
      </c>
      <c r="K65" s="1734">
        <f>BG84</f>
        <v>527582.3529411765</v>
      </c>
      <c r="L65" s="1734">
        <f t="shared" ref="L65:M65" si="208">BH84</f>
        <v>569600</v>
      </c>
      <c r="M65" s="1734">
        <f t="shared" si="208"/>
        <v>672645.45454545459</v>
      </c>
      <c r="N65" s="1734"/>
      <c r="O65" s="1734"/>
      <c r="T65" s="1755">
        <v>41486</v>
      </c>
      <c r="U65" s="1756" t="s">
        <v>3949</v>
      </c>
      <c r="V65" s="1757" t="s">
        <v>4416</v>
      </c>
      <c r="W65" s="1758"/>
      <c r="X65" s="1758"/>
      <c r="Y65" s="1758"/>
      <c r="Z65" s="1750"/>
      <c r="AA65" s="1750"/>
      <c r="AC65" s="1755">
        <v>41771</v>
      </c>
      <c r="AD65" s="1756" t="s">
        <v>3917</v>
      </c>
      <c r="AE65" s="1757" t="s">
        <v>3944</v>
      </c>
      <c r="AF65" s="1758">
        <v>170000</v>
      </c>
      <c r="AG65" s="1758">
        <v>193000</v>
      </c>
      <c r="AH65" s="1758"/>
      <c r="AI65" s="1750"/>
      <c r="AJ65" s="1750"/>
      <c r="AL65" s="1755">
        <v>42331</v>
      </c>
      <c r="AM65" s="1756" t="s">
        <v>3926</v>
      </c>
      <c r="AN65" s="1757" t="s">
        <v>3960</v>
      </c>
      <c r="AO65" s="1758">
        <v>93000</v>
      </c>
      <c r="AP65" s="1758">
        <v>451000</v>
      </c>
      <c r="AQ65" s="1758">
        <v>451000</v>
      </c>
      <c r="AR65" s="1750"/>
      <c r="AS65" s="1750"/>
      <c r="AU65" s="1755"/>
      <c r="AV65" s="1756"/>
      <c r="AW65" s="1757"/>
      <c r="AX65" s="1758"/>
      <c r="AY65" s="1758"/>
      <c r="AZ65" s="1758"/>
      <c r="BA65" s="1750"/>
      <c r="BB65" s="1750"/>
      <c r="BD65" s="1755">
        <v>41968</v>
      </c>
      <c r="BE65" s="1756" t="s">
        <v>3932</v>
      </c>
      <c r="BF65" s="1757" t="s">
        <v>3978</v>
      </c>
      <c r="BG65" s="1758">
        <v>458000</v>
      </c>
      <c r="BH65" s="1758">
        <v>595000</v>
      </c>
      <c r="BI65" s="1758"/>
      <c r="BJ65" s="1750"/>
      <c r="BK65" s="1750"/>
    </row>
    <row r="66" spans="2:63" ht="13.5" customHeight="1" x14ac:dyDescent="0.3">
      <c r="B66" s="1409"/>
      <c r="C66" s="1410" t="s">
        <v>2566</v>
      </c>
      <c r="D66" s="1411" t="s">
        <v>92</v>
      </c>
      <c r="E66" s="1412">
        <f>E65/D65-1</f>
        <v>30.251054582640929</v>
      </c>
      <c r="F66" s="1412">
        <f t="shared" ref="F66" si="209">F65/E65-1</f>
        <v>0.65273624921771778</v>
      </c>
      <c r="G66" s="1412">
        <f t="shared" ref="G66" si="210">G65/F65-1</f>
        <v>-4.261785495079895E-2</v>
      </c>
      <c r="H66" s="1412">
        <f t="shared" ref="H66" si="211">H65/G65-1</f>
        <v>-0.36144774529774892</v>
      </c>
      <c r="I66" s="1412">
        <f t="shared" ref="I66" si="212">I65/H65-1</f>
        <v>-0.27572414630690445</v>
      </c>
      <c r="J66" s="1424">
        <f t="shared" ref="J66" si="213">J65/I65-1</f>
        <v>-1.9695791668296936</v>
      </c>
      <c r="K66" s="1424">
        <f t="shared" ref="K66" si="214">K65/J65-1</f>
        <v>-2.52072139527447</v>
      </c>
      <c r="L66" s="1424">
        <f t="shared" ref="L66" si="215">L65/K65-1</f>
        <v>7.9641873585389433E-2</v>
      </c>
      <c r="M66" s="1424">
        <f t="shared" ref="M66" si="216">M65/L65-1</f>
        <v>0.18090845250255372</v>
      </c>
      <c r="N66" s="1424"/>
      <c r="O66" s="1424"/>
      <c r="T66" s="1755">
        <v>42290</v>
      </c>
      <c r="U66" s="1756" t="s">
        <v>3930</v>
      </c>
      <c r="V66" s="1757" t="s">
        <v>3937</v>
      </c>
      <c r="W66" s="1758"/>
      <c r="X66" s="1758"/>
      <c r="Y66" s="1758"/>
      <c r="Z66" s="1750"/>
      <c r="AA66" s="1750"/>
      <c r="AC66" s="1755">
        <v>42388</v>
      </c>
      <c r="AD66" s="1756" t="s">
        <v>3931</v>
      </c>
      <c r="AE66" s="1757" t="s">
        <v>3942</v>
      </c>
      <c r="AF66" s="1758">
        <v>237200</v>
      </c>
      <c r="AG66" s="1758">
        <v>260700</v>
      </c>
      <c r="AH66" s="1758">
        <v>315200</v>
      </c>
      <c r="AI66" s="1750"/>
      <c r="AJ66" s="1750"/>
      <c r="AL66" s="1755">
        <v>41759</v>
      </c>
      <c r="AM66" s="1756" t="s">
        <v>3917</v>
      </c>
      <c r="AN66" s="1757" t="s">
        <v>3961</v>
      </c>
      <c r="AO66" s="1758">
        <v>266000</v>
      </c>
      <c r="AP66" s="1758"/>
      <c r="AQ66" s="1758"/>
      <c r="AR66" s="1750"/>
      <c r="AS66" s="1750"/>
      <c r="AU66" s="1755"/>
      <c r="AV66" s="1756"/>
      <c r="AW66" s="1757"/>
      <c r="AX66" s="1758"/>
      <c r="AY66" s="1758"/>
      <c r="AZ66" s="1758"/>
      <c r="BA66" s="1750"/>
      <c r="BB66" s="1750"/>
      <c r="BD66" s="1755">
        <v>41569</v>
      </c>
      <c r="BE66" s="1756" t="s">
        <v>3922</v>
      </c>
      <c r="BF66" s="1757" t="s">
        <v>3975</v>
      </c>
      <c r="BG66" s="1758">
        <v>884000</v>
      </c>
      <c r="BH66" s="1758"/>
      <c r="BI66" s="1758"/>
      <c r="BJ66" s="1750"/>
      <c r="BK66" s="1750"/>
    </row>
    <row r="67" spans="2:63" ht="13.5" customHeight="1" x14ac:dyDescent="0.3">
      <c r="B67" s="1413"/>
      <c r="C67" s="1414" t="s">
        <v>2571</v>
      </c>
      <c r="D67" s="1415">
        <f>D51+D53+D55+D57+D59+D61+D63+D65</f>
        <v>480271.92100000003</v>
      </c>
      <c r="E67" s="1415">
        <f t="shared" ref="E67:L67" si="217">E51+E53+E55+E57+E59+E61+E63+E65</f>
        <v>1087431.1529999999</v>
      </c>
      <c r="F67" s="1415">
        <f t="shared" si="217"/>
        <v>1856127.0550000002</v>
      </c>
      <c r="G67" s="1415">
        <f t="shared" si="217"/>
        <v>1513118.7180000001</v>
      </c>
      <c r="H67" s="1415">
        <f t="shared" si="217"/>
        <v>827883.09200000006</v>
      </c>
      <c r="I67" s="1415">
        <f t="shared" si="217"/>
        <v>-216008.08799999999</v>
      </c>
      <c r="J67" s="1415">
        <f t="shared" si="217"/>
        <v>-210503.26500000001</v>
      </c>
      <c r="K67" s="1415">
        <f t="shared" si="217"/>
        <v>918655.68627450988</v>
      </c>
      <c r="L67" s="1415">
        <f t="shared" si="217"/>
        <v>1146570.606060606</v>
      </c>
      <c r="M67" s="1415"/>
      <c r="N67" s="1415"/>
      <c r="O67" s="1415"/>
      <c r="T67" s="1755">
        <v>42306</v>
      </c>
      <c r="U67" s="1756" t="s">
        <v>3933</v>
      </c>
      <c r="V67" s="1757" t="s">
        <v>3946</v>
      </c>
      <c r="W67" s="1758"/>
      <c r="X67" s="1758"/>
      <c r="Y67" s="1758"/>
      <c r="Z67" s="1750"/>
      <c r="AA67" s="1750"/>
      <c r="AC67" s="1755">
        <v>42314</v>
      </c>
      <c r="AD67" s="1756" t="s">
        <v>3929</v>
      </c>
      <c r="AE67" s="1757" t="s">
        <v>3936</v>
      </c>
      <c r="AF67" s="1758">
        <v>236000</v>
      </c>
      <c r="AG67" s="1758">
        <v>269000</v>
      </c>
      <c r="AH67" s="1758">
        <v>319000</v>
      </c>
      <c r="AI67" s="1750"/>
      <c r="AJ67" s="1750"/>
      <c r="AL67" s="1755">
        <v>42348</v>
      </c>
      <c r="AM67" s="1756" t="s">
        <v>3928</v>
      </c>
      <c r="AN67" s="1757" t="s">
        <v>3962</v>
      </c>
      <c r="AO67" s="1758">
        <v>105000</v>
      </c>
      <c r="AP67" s="1758">
        <v>295000</v>
      </c>
      <c r="AQ67" s="1758">
        <v>295000</v>
      </c>
      <c r="AR67" s="1750"/>
      <c r="AS67" s="1750"/>
      <c r="AU67" s="1755"/>
      <c r="AV67" s="1756"/>
      <c r="AW67" s="1757"/>
      <c r="AX67" s="1758"/>
      <c r="AY67" s="1758"/>
      <c r="AZ67" s="1758"/>
      <c r="BA67" s="1750"/>
      <c r="BB67" s="1750"/>
      <c r="BD67" s="1755">
        <v>42132</v>
      </c>
      <c r="BE67" s="1756" t="s">
        <v>3926</v>
      </c>
      <c r="BF67" s="1757" t="s">
        <v>3979</v>
      </c>
      <c r="BG67" s="1758">
        <v>894000</v>
      </c>
      <c r="BH67" s="1758">
        <v>927000</v>
      </c>
      <c r="BI67" s="1758">
        <v>957000</v>
      </c>
      <c r="BJ67" s="1750"/>
      <c r="BK67" s="1750"/>
    </row>
    <row r="68" spans="2:63" ht="13.5" customHeight="1" x14ac:dyDescent="0.3">
      <c r="B68" s="1416"/>
      <c r="C68" s="1417" t="s">
        <v>2566</v>
      </c>
      <c r="D68" s="1418" t="s">
        <v>92</v>
      </c>
      <c r="E68" s="1419">
        <f>E67/D67-1</f>
        <v>1.2641988953586978</v>
      </c>
      <c r="F68" s="1419">
        <f t="shared" ref="F68" si="218">F67/E67-1</f>
        <v>0.70689155803503101</v>
      </c>
      <c r="G68" s="1419">
        <f t="shared" ref="G68" si="219">G67/F67-1</f>
        <v>-0.18479787581136253</v>
      </c>
      <c r="H68" s="1419">
        <f t="shared" ref="H68" si="220">H67/G67-1</f>
        <v>-0.45286309517453205</v>
      </c>
      <c r="I68" s="1419">
        <f t="shared" ref="I68" si="221">I67/H67-1</f>
        <v>-1.2609161729323008</v>
      </c>
      <c r="J68" s="1426">
        <f t="shared" ref="J68" si="222">J67/I67-1</f>
        <v>-2.5484337419809822E-2</v>
      </c>
      <c r="K68" s="1426">
        <f t="shared" ref="K68" si="223">K67/J67-1</f>
        <v>-5.3640923397293143</v>
      </c>
      <c r="L68" s="1426">
        <f t="shared" ref="L68" si="224">L67/K67-1</f>
        <v>0.24809612914973167</v>
      </c>
      <c r="M68" s="1426"/>
      <c r="N68" s="1426"/>
      <c r="O68" s="1426"/>
      <c r="T68" s="1755">
        <v>42345</v>
      </c>
      <c r="U68" s="1756" t="s">
        <v>3918</v>
      </c>
      <c r="V68" s="1757" t="s">
        <v>3939</v>
      </c>
      <c r="W68" s="1758">
        <v>111000</v>
      </c>
      <c r="X68" s="1758">
        <v>131000</v>
      </c>
      <c r="Y68" s="1758">
        <v>146000</v>
      </c>
      <c r="Z68" s="1750"/>
      <c r="AA68" s="1750"/>
      <c r="AC68" s="1755">
        <v>42314</v>
      </c>
      <c r="AD68" s="1756" t="s">
        <v>3918</v>
      </c>
      <c r="AE68" s="1757" t="s">
        <v>3939</v>
      </c>
      <c r="AF68" s="1758">
        <v>234000</v>
      </c>
      <c r="AG68" s="1758">
        <v>277000</v>
      </c>
      <c r="AH68" s="1758">
        <v>302000</v>
      </c>
      <c r="AI68" s="1750"/>
      <c r="AJ68" s="1750"/>
      <c r="AL68" s="1755">
        <v>42383</v>
      </c>
      <c r="AM68" s="1756" t="s">
        <v>3925</v>
      </c>
      <c r="AN68" s="1757" t="s">
        <v>3963</v>
      </c>
      <c r="AO68" s="1758">
        <v>102000</v>
      </c>
      <c r="AP68" s="1758">
        <v>336000</v>
      </c>
      <c r="AQ68" s="1758">
        <v>336000</v>
      </c>
      <c r="AR68" s="1750"/>
      <c r="AS68" s="1750"/>
      <c r="AU68" s="1755"/>
      <c r="AV68" s="1756"/>
      <c r="AW68" s="1757"/>
      <c r="AX68" s="1758"/>
      <c r="AY68" s="1758"/>
      <c r="AZ68" s="1758"/>
      <c r="BA68" s="1750"/>
      <c r="BB68" s="1750"/>
      <c r="BD68" s="1755">
        <v>42290</v>
      </c>
      <c r="BE68" s="1756" t="s">
        <v>3923</v>
      </c>
      <c r="BF68" s="1757" t="s">
        <v>3971</v>
      </c>
      <c r="BG68" s="1758">
        <v>1474000</v>
      </c>
      <c r="BH68" s="1758">
        <v>1509000</v>
      </c>
      <c r="BI68" s="1758">
        <v>1647000</v>
      </c>
      <c r="BJ68" s="1750"/>
      <c r="BK68" s="1750"/>
    </row>
    <row r="69" spans="2:63" ht="13.5" customHeight="1" x14ac:dyDescent="0.3">
      <c r="T69" s="1755">
        <v>42306</v>
      </c>
      <c r="U69" s="1756" t="s">
        <v>3919</v>
      </c>
      <c r="V69" s="1757" t="s">
        <v>3941</v>
      </c>
      <c r="W69" s="1758">
        <v>102900</v>
      </c>
      <c r="X69" s="1758">
        <v>113400</v>
      </c>
      <c r="Y69" s="1758">
        <v>123400</v>
      </c>
      <c r="Z69" s="1750"/>
      <c r="AA69" s="1750"/>
      <c r="AC69" s="1755">
        <v>41344</v>
      </c>
      <c r="AD69" s="1756" t="s">
        <v>3924</v>
      </c>
      <c r="AE69" s="1757" t="s">
        <v>3938</v>
      </c>
      <c r="AF69" s="1758">
        <v>250700</v>
      </c>
      <c r="AG69" s="1758"/>
      <c r="AH69" s="1758"/>
      <c r="AI69" s="1750"/>
      <c r="AJ69" s="1750"/>
      <c r="AL69" s="1755">
        <v>42380</v>
      </c>
      <c r="AM69" s="1756" t="s">
        <v>3924</v>
      </c>
      <c r="AN69" s="1757" t="s">
        <v>3964</v>
      </c>
      <c r="AO69" s="1758">
        <v>97000</v>
      </c>
      <c r="AP69" s="1758">
        <v>446000</v>
      </c>
      <c r="AQ69" s="1758">
        <v>446000</v>
      </c>
      <c r="AR69" s="1750"/>
      <c r="AS69" s="1750"/>
      <c r="AU69" s="1755"/>
      <c r="AV69" s="1756"/>
      <c r="AW69" s="1757"/>
      <c r="AX69" s="1758"/>
      <c r="AY69" s="1758"/>
      <c r="AZ69" s="1758"/>
      <c r="BA69" s="1750"/>
      <c r="BB69" s="1750"/>
      <c r="BD69" s="1755">
        <v>42317</v>
      </c>
      <c r="BE69" s="1756" t="s">
        <v>3924</v>
      </c>
      <c r="BF69" s="1757" t="s">
        <v>3980</v>
      </c>
      <c r="BG69" s="1758">
        <v>1561400</v>
      </c>
      <c r="BH69" s="1758">
        <v>1640500</v>
      </c>
      <c r="BI69" s="1758">
        <v>1888000</v>
      </c>
      <c r="BJ69" s="1750"/>
      <c r="BK69" s="1750"/>
    </row>
    <row r="70" spans="2:63" ht="13.5" customHeight="1" x14ac:dyDescent="0.3">
      <c r="T70" s="1755">
        <v>42306</v>
      </c>
      <c r="U70" s="1756" t="s">
        <v>3926</v>
      </c>
      <c r="V70" s="1757" t="s">
        <v>3943</v>
      </c>
      <c r="W70" s="1758"/>
      <c r="X70" s="1758"/>
      <c r="Y70" s="1758"/>
      <c r="Z70" s="1750"/>
      <c r="AA70" s="1750"/>
      <c r="AC70" s="1755">
        <v>41677</v>
      </c>
      <c r="AD70" s="1756" t="s">
        <v>3951</v>
      </c>
      <c r="AE70" s="1757" t="s">
        <v>3952</v>
      </c>
      <c r="AF70" s="1758">
        <v>207000</v>
      </c>
      <c r="AG70" s="1758"/>
      <c r="AH70" s="1758"/>
      <c r="AI70" s="1750"/>
      <c r="AJ70" s="1750"/>
      <c r="AL70" s="1755">
        <v>42387</v>
      </c>
      <c r="AM70" s="1756" t="s">
        <v>3932</v>
      </c>
      <c r="AN70" s="1757" t="s">
        <v>3965</v>
      </c>
      <c r="AO70" s="1758">
        <v>92000</v>
      </c>
      <c r="AP70" s="1758">
        <v>310000</v>
      </c>
      <c r="AQ70" s="1758">
        <v>310000</v>
      </c>
      <c r="AR70" s="1750"/>
      <c r="AS70" s="1750"/>
      <c r="AU70" s="1755"/>
      <c r="AV70" s="1756"/>
      <c r="AW70" s="1757"/>
      <c r="AX70" s="1758"/>
      <c r="AY70" s="1758"/>
      <c r="AZ70" s="1758"/>
      <c r="BA70" s="1750"/>
      <c r="BB70" s="1750"/>
      <c r="BD70" s="1755">
        <v>42242</v>
      </c>
      <c r="BE70" s="1756" t="s">
        <v>3919</v>
      </c>
      <c r="BF70" s="1757" t="s">
        <v>3981</v>
      </c>
      <c r="BG70" s="1758">
        <v>1060200</v>
      </c>
      <c r="BH70" s="1758">
        <v>688000</v>
      </c>
      <c r="BI70" s="1758">
        <v>800800</v>
      </c>
      <c r="BJ70" s="1750"/>
      <c r="BK70" s="1750"/>
    </row>
    <row r="71" spans="2:63" ht="13.5" customHeight="1" x14ac:dyDescent="0.3">
      <c r="T71" s="1755">
        <v>42306</v>
      </c>
      <c r="U71" s="1756" t="s">
        <v>3929</v>
      </c>
      <c r="V71" s="1757" t="s">
        <v>3936</v>
      </c>
      <c r="W71" s="1758">
        <v>97000</v>
      </c>
      <c r="X71" s="1758">
        <v>111000</v>
      </c>
      <c r="Y71" s="1758">
        <v>120000</v>
      </c>
      <c r="Z71" s="1750"/>
      <c r="AA71" s="1750"/>
      <c r="AC71" s="1755">
        <v>41586</v>
      </c>
      <c r="AD71" s="1756" t="s">
        <v>3922</v>
      </c>
      <c r="AE71" s="1757" t="s">
        <v>3947</v>
      </c>
      <c r="AF71" s="1758">
        <v>188900</v>
      </c>
      <c r="AG71" s="1758"/>
      <c r="AH71" s="1758"/>
      <c r="AI71" s="1750"/>
      <c r="AJ71" s="1750"/>
      <c r="AL71" s="1755">
        <v>42306</v>
      </c>
      <c r="AM71" s="1756" t="s">
        <v>3919</v>
      </c>
      <c r="AN71" s="1757" t="s">
        <v>3966</v>
      </c>
      <c r="AO71" s="1758">
        <v>84000</v>
      </c>
      <c r="AP71" s="1758">
        <v>176900</v>
      </c>
      <c r="AQ71" s="1758">
        <v>176900</v>
      </c>
      <c r="AR71" s="1750"/>
      <c r="AS71" s="1750"/>
      <c r="AU71" s="1755"/>
      <c r="AV71" s="1756"/>
      <c r="AW71" s="1757"/>
      <c r="AX71" s="1758"/>
      <c r="AY71" s="1758"/>
      <c r="AZ71" s="1758"/>
      <c r="BA71" s="1750"/>
      <c r="BB71" s="1750"/>
      <c r="BD71" s="1755">
        <v>41677</v>
      </c>
      <c r="BE71" s="1756" t="s">
        <v>3917</v>
      </c>
      <c r="BF71" s="1757" t="s">
        <v>3982</v>
      </c>
      <c r="BG71" s="1758">
        <v>835000</v>
      </c>
      <c r="BH71" s="1758"/>
      <c r="BI71" s="1758"/>
      <c r="BJ71" s="1750"/>
      <c r="BK71" s="1750"/>
    </row>
    <row r="72" spans="2:63" ht="13.5" customHeight="1" x14ac:dyDescent="0.3">
      <c r="T72" s="1755">
        <v>42306</v>
      </c>
      <c r="U72" s="1756" t="s">
        <v>3928</v>
      </c>
      <c r="V72" s="1757" t="s">
        <v>3934</v>
      </c>
      <c r="W72" s="1758"/>
      <c r="X72" s="1758"/>
      <c r="Y72" s="1758"/>
      <c r="Z72" s="1758"/>
      <c r="AA72" s="1758"/>
      <c r="AC72" s="1755">
        <v>42314</v>
      </c>
      <c r="AD72" s="1756" t="s">
        <v>3930</v>
      </c>
      <c r="AE72" s="1757" t="s">
        <v>3937</v>
      </c>
      <c r="AF72" s="1750">
        <v>247100</v>
      </c>
      <c r="AG72" s="1758">
        <v>314300</v>
      </c>
      <c r="AH72" s="1750">
        <v>366800</v>
      </c>
      <c r="AI72" s="1750"/>
      <c r="AJ72" s="1750"/>
      <c r="AL72" s="1755">
        <v>42327</v>
      </c>
      <c r="AM72" s="1756" t="s">
        <v>3920</v>
      </c>
      <c r="AN72" s="1757" t="s">
        <v>3967</v>
      </c>
      <c r="AO72" s="1750">
        <v>124000</v>
      </c>
      <c r="AP72" s="1750">
        <v>209000</v>
      </c>
      <c r="AQ72" s="1758">
        <v>209000</v>
      </c>
      <c r="AR72" s="1750"/>
      <c r="AS72" s="1750"/>
      <c r="AU72" s="1755"/>
      <c r="AV72" s="1756"/>
      <c r="AW72" s="1757"/>
      <c r="AX72" s="1750"/>
      <c r="AY72" s="1750"/>
      <c r="AZ72" s="1750"/>
      <c r="BA72" s="1750"/>
      <c r="BB72" s="1750"/>
      <c r="BD72" s="1755">
        <v>42247</v>
      </c>
      <c r="BE72" s="1756" t="s">
        <v>3929</v>
      </c>
      <c r="BF72" s="1757" t="s">
        <v>3983</v>
      </c>
      <c r="BG72" s="1750">
        <v>1498600</v>
      </c>
      <c r="BH72" s="1750">
        <v>1270000</v>
      </c>
      <c r="BI72" s="1750">
        <v>1295100</v>
      </c>
      <c r="BJ72" s="1750"/>
      <c r="BK72" s="1750"/>
    </row>
    <row r="73" spans="2:63" ht="13.5" customHeight="1" x14ac:dyDescent="0.3">
      <c r="AL73" s="1755">
        <v>42383</v>
      </c>
      <c r="AM73" s="1756" t="s">
        <v>3933</v>
      </c>
      <c r="AN73" s="1757" t="s">
        <v>3968</v>
      </c>
      <c r="AO73" s="1750">
        <v>112000</v>
      </c>
      <c r="AP73" s="1750">
        <v>352000</v>
      </c>
      <c r="AQ73" s="1758">
        <v>352000</v>
      </c>
      <c r="AR73" s="1750"/>
      <c r="AS73" s="1750"/>
      <c r="AU73" s="1755"/>
      <c r="AV73" s="1756"/>
      <c r="AW73" s="1757"/>
      <c r="AX73" s="1750"/>
      <c r="AY73" s="1750"/>
      <c r="AZ73" s="1750"/>
      <c r="BA73" s="1750"/>
      <c r="BB73" s="1750"/>
      <c r="BD73" s="1755">
        <v>42132</v>
      </c>
      <c r="BE73" s="1756" t="s">
        <v>3918</v>
      </c>
      <c r="BF73" s="1757" t="s">
        <v>3984</v>
      </c>
      <c r="BG73" s="1750">
        <v>791000</v>
      </c>
      <c r="BH73" s="1750">
        <v>664000</v>
      </c>
      <c r="BI73" s="1750">
        <v>669000</v>
      </c>
      <c r="BJ73" s="1750"/>
      <c r="BK73" s="1750"/>
    </row>
    <row r="74" spans="2:63" ht="13.5" customHeight="1" x14ac:dyDescent="0.3">
      <c r="AU74" s="1755"/>
      <c r="AV74" s="1756"/>
      <c r="AW74" s="1757"/>
      <c r="AX74" s="1750"/>
      <c r="AY74" s="1750"/>
      <c r="AZ74" s="1750"/>
      <c r="BA74" s="1750"/>
      <c r="BB74" s="1750"/>
      <c r="BD74" s="1755">
        <v>42118</v>
      </c>
      <c r="BE74" s="1756" t="s">
        <v>3920</v>
      </c>
      <c r="BF74" s="1757" t="s">
        <v>3985</v>
      </c>
      <c r="BG74" s="1750">
        <v>710300</v>
      </c>
      <c r="BH74" s="1750">
        <v>868200</v>
      </c>
      <c r="BI74" s="1750">
        <v>977800</v>
      </c>
      <c r="BJ74" s="1750"/>
      <c r="BK74" s="1750"/>
    </row>
    <row r="77" spans="2:63" ht="13.5" customHeight="1" x14ac:dyDescent="0.3">
      <c r="T77" s="1736" t="s">
        <v>3893</v>
      </c>
      <c r="U77" s="400"/>
      <c r="V77" s="1737" t="s">
        <v>3902</v>
      </c>
      <c r="W77" s="400"/>
      <c r="X77" s="400"/>
      <c r="Y77" s="400"/>
      <c r="Z77" s="400"/>
      <c r="AA77" s="400"/>
      <c r="AC77" s="1736" t="s">
        <v>3894</v>
      </c>
      <c r="AD77" s="400"/>
      <c r="AE77" s="1737" t="s">
        <v>3902</v>
      </c>
      <c r="AF77" s="400"/>
      <c r="AG77" s="400"/>
      <c r="AH77" s="400"/>
      <c r="AI77" s="400"/>
      <c r="AJ77" s="400"/>
      <c r="AL77" s="1736" t="s">
        <v>3895</v>
      </c>
      <c r="AM77" s="400"/>
      <c r="AN77" s="1737" t="s">
        <v>3902</v>
      </c>
      <c r="AO77" s="400"/>
      <c r="AP77" s="400"/>
      <c r="AQ77" s="400"/>
      <c r="AR77" s="400"/>
      <c r="AS77" s="400"/>
      <c r="AU77" s="1736" t="s">
        <v>3897</v>
      </c>
      <c r="AV77" s="400"/>
      <c r="AW77" s="1737" t="s">
        <v>3902</v>
      </c>
      <c r="AX77" s="400"/>
      <c r="AY77" s="400"/>
      <c r="AZ77" s="400"/>
      <c r="BA77" s="400"/>
      <c r="BB77" s="400"/>
      <c r="BD77" s="1736" t="s">
        <v>3901</v>
      </c>
      <c r="BE77" s="400"/>
      <c r="BF77" s="1737" t="s">
        <v>3902</v>
      </c>
      <c r="BG77" s="400"/>
      <c r="BH77" s="400"/>
      <c r="BI77" s="400"/>
      <c r="BJ77" s="400"/>
      <c r="BK77" s="400"/>
    </row>
    <row r="78" spans="2:63" ht="13.5" customHeight="1" x14ac:dyDescent="0.3">
      <c r="T78" s="1738" t="s">
        <v>3903</v>
      </c>
      <c r="U78" s="1739" t="s">
        <v>3891</v>
      </c>
      <c r="V78" s="1738" t="s">
        <v>3904</v>
      </c>
      <c r="W78" s="400"/>
      <c r="X78" s="400"/>
      <c r="Y78" s="400"/>
      <c r="Z78" s="400"/>
      <c r="AA78" s="400"/>
      <c r="AC78" s="1738" t="s">
        <v>3903</v>
      </c>
      <c r="AD78" s="1739" t="s">
        <v>3891</v>
      </c>
      <c r="AE78" s="1738" t="s">
        <v>3904</v>
      </c>
      <c r="AF78" s="400"/>
      <c r="AG78" s="400"/>
      <c r="AH78" s="400"/>
      <c r="AI78" s="400"/>
      <c r="AJ78" s="400"/>
      <c r="AL78" s="1738" t="s">
        <v>3903</v>
      </c>
      <c r="AM78" s="1739" t="s">
        <v>3891</v>
      </c>
      <c r="AN78" s="1738" t="s">
        <v>3904</v>
      </c>
      <c r="AO78" s="400"/>
      <c r="AP78" s="400"/>
      <c r="AQ78" s="400"/>
      <c r="AR78" s="400"/>
      <c r="AS78" s="400"/>
      <c r="AU78" s="1738" t="s">
        <v>3903</v>
      </c>
      <c r="AV78" s="1739" t="s">
        <v>3891</v>
      </c>
      <c r="AW78" s="1738" t="s">
        <v>3904</v>
      </c>
      <c r="AX78" s="400"/>
      <c r="AY78" s="400"/>
      <c r="AZ78" s="400"/>
      <c r="BA78" s="400"/>
      <c r="BB78" s="400"/>
      <c r="BD78" s="1738" t="s">
        <v>3903</v>
      </c>
      <c r="BE78" s="1739" t="s">
        <v>3891</v>
      </c>
      <c r="BF78" s="1738" t="s">
        <v>3904</v>
      </c>
      <c r="BG78" s="400"/>
      <c r="BH78" s="400"/>
      <c r="BI78" s="400"/>
      <c r="BJ78" s="400"/>
      <c r="BK78" s="400"/>
    </row>
    <row r="79" spans="2:63" ht="13.5" customHeight="1" x14ac:dyDescent="0.3">
      <c r="T79" s="1740" t="s">
        <v>3905</v>
      </c>
      <c r="U79" s="1741" t="s">
        <v>3906</v>
      </c>
      <c r="V79" s="1740" t="s">
        <v>3907</v>
      </c>
      <c r="W79" s="1742">
        <f>COUNTA(W89:W103)</f>
        <v>5</v>
      </c>
      <c r="X79" s="1742">
        <f t="shared" ref="X79:AA79" si="225">COUNTA(X89:X103)</f>
        <v>5</v>
      </c>
      <c r="Y79" s="1742">
        <f t="shared" si="225"/>
        <v>4</v>
      </c>
      <c r="Z79" s="1742">
        <f t="shared" si="225"/>
        <v>0</v>
      </c>
      <c r="AA79" s="1742">
        <f t="shared" si="225"/>
        <v>0</v>
      </c>
      <c r="AC79" s="1740" t="s">
        <v>3905</v>
      </c>
      <c r="AD79" s="1741" t="s">
        <v>3906</v>
      </c>
      <c r="AE79" s="1740" t="s">
        <v>3907</v>
      </c>
      <c r="AF79" s="1742">
        <f>COUNTA(AF89:AF103)</f>
        <v>15</v>
      </c>
      <c r="AG79" s="1742">
        <f t="shared" ref="AG79:AJ79" si="226">COUNTA(AG89:AG103)</f>
        <v>12</v>
      </c>
      <c r="AH79" s="1742">
        <f t="shared" si="226"/>
        <v>11</v>
      </c>
      <c r="AI79" s="1742">
        <f t="shared" si="226"/>
        <v>0</v>
      </c>
      <c r="AJ79" s="1742">
        <f t="shared" si="226"/>
        <v>0</v>
      </c>
      <c r="AL79" s="1740" t="s">
        <v>3905</v>
      </c>
      <c r="AM79" s="1741" t="s">
        <v>3906</v>
      </c>
      <c r="AN79" s="1740" t="s">
        <v>3907</v>
      </c>
      <c r="AO79" s="1742">
        <f>COUNTA(AO89:AO104)</f>
        <v>15</v>
      </c>
      <c r="AP79" s="1742">
        <f t="shared" ref="AP79:AS79" si="227">COUNTA(AP89:AP104)</f>
        <v>11</v>
      </c>
      <c r="AQ79" s="1742">
        <f t="shared" si="227"/>
        <v>11</v>
      </c>
      <c r="AR79" s="1742">
        <f t="shared" si="227"/>
        <v>0</v>
      </c>
      <c r="AS79" s="1742">
        <f t="shared" si="227"/>
        <v>0</v>
      </c>
      <c r="AU79" s="1740" t="s">
        <v>3905</v>
      </c>
      <c r="AV79" s="1741" t="s">
        <v>3906</v>
      </c>
      <c r="AW79" s="1740" t="s">
        <v>3907</v>
      </c>
      <c r="AX79" s="1742">
        <f>COUNTA(AX89:AX90)</f>
        <v>2</v>
      </c>
      <c r="AY79" s="1742">
        <f t="shared" ref="AY79:BB79" si="228">COUNTA(AY89:AY90)</f>
        <v>1</v>
      </c>
      <c r="AZ79" s="1742">
        <f t="shared" si="228"/>
        <v>0</v>
      </c>
      <c r="BA79" s="1742">
        <f t="shared" si="228"/>
        <v>0</v>
      </c>
      <c r="BB79" s="1742">
        <f t="shared" si="228"/>
        <v>0</v>
      </c>
      <c r="BD79" s="1740" t="s">
        <v>3905</v>
      </c>
      <c r="BE79" s="1741" t="s">
        <v>3906</v>
      </c>
      <c r="BF79" s="1740" t="s">
        <v>3907</v>
      </c>
      <c r="BG79" s="1742">
        <f>COUNTA(BG89:BG105)</f>
        <v>17</v>
      </c>
      <c r="BH79" s="1742">
        <f t="shared" ref="BH79:BK79" si="229">COUNTA(BH89:BH105)</f>
        <v>14</v>
      </c>
      <c r="BI79" s="1742">
        <f t="shared" si="229"/>
        <v>11</v>
      </c>
      <c r="BJ79" s="1742">
        <f t="shared" si="229"/>
        <v>0</v>
      </c>
      <c r="BK79" s="1742">
        <f t="shared" si="229"/>
        <v>0</v>
      </c>
    </row>
    <row r="80" spans="2:63" ht="13.5" customHeight="1" x14ac:dyDescent="0.3">
      <c r="T80" s="400"/>
      <c r="U80" s="400"/>
      <c r="V80" s="400"/>
      <c r="W80" s="400"/>
      <c r="X80" s="400"/>
      <c r="Y80" s="400"/>
      <c r="Z80" s="400"/>
      <c r="AA80" s="400"/>
      <c r="AC80" s="400"/>
      <c r="AD80" s="400"/>
      <c r="AE80" s="400"/>
      <c r="AF80" s="400"/>
      <c r="AG80" s="400"/>
      <c r="AH80" s="400"/>
      <c r="AI80" s="400"/>
      <c r="AJ80" s="400"/>
      <c r="AL80" s="400"/>
      <c r="AM80" s="400"/>
      <c r="AN80" s="400"/>
      <c r="AO80" s="400"/>
      <c r="AP80" s="400"/>
      <c r="AQ80" s="400"/>
      <c r="AR80" s="400"/>
      <c r="AS80" s="400"/>
      <c r="AU80" s="400"/>
      <c r="AV80" s="400"/>
      <c r="AW80" s="400"/>
      <c r="AX80" s="400"/>
      <c r="AY80" s="400"/>
      <c r="AZ80" s="400"/>
      <c r="BA80" s="400"/>
      <c r="BB80" s="400"/>
      <c r="BD80" s="400"/>
      <c r="BE80" s="400"/>
      <c r="BF80" s="400"/>
      <c r="BG80" s="400"/>
      <c r="BH80" s="400"/>
      <c r="BI80" s="400"/>
      <c r="BJ80" s="400"/>
      <c r="BK80" s="400"/>
    </row>
    <row r="81" spans="20:63" ht="13.5" customHeight="1" x14ac:dyDescent="0.3">
      <c r="T81" s="1743"/>
      <c r="U81" s="1743"/>
      <c r="V81" s="1743"/>
      <c r="W81" s="1743" t="s">
        <v>3908</v>
      </c>
      <c r="X81" s="1743" t="s">
        <v>3908</v>
      </c>
      <c r="Y81" s="1743" t="s">
        <v>3908</v>
      </c>
      <c r="Z81" s="1743" t="s">
        <v>3908</v>
      </c>
      <c r="AA81" s="1743" t="s">
        <v>3908</v>
      </c>
      <c r="AC81" s="1743"/>
      <c r="AD81" s="1743"/>
      <c r="AE81" s="1743"/>
      <c r="AF81" s="1743" t="s">
        <v>3908</v>
      </c>
      <c r="AG81" s="1743" t="s">
        <v>3908</v>
      </c>
      <c r="AH81" s="1743" t="s">
        <v>3908</v>
      </c>
      <c r="AI81" s="1743" t="s">
        <v>3908</v>
      </c>
      <c r="AJ81" s="1743" t="s">
        <v>3908</v>
      </c>
      <c r="AL81" s="1743"/>
      <c r="AM81" s="1743"/>
      <c r="AN81" s="1743"/>
      <c r="AO81" s="1743" t="s">
        <v>3908</v>
      </c>
      <c r="AP81" s="1743" t="s">
        <v>3908</v>
      </c>
      <c r="AQ81" s="1743" t="s">
        <v>3908</v>
      </c>
      <c r="AR81" s="1743" t="s">
        <v>3908</v>
      </c>
      <c r="AS81" s="1743" t="s">
        <v>3908</v>
      </c>
      <c r="AU81" s="1743"/>
      <c r="AV81" s="1743"/>
      <c r="AW81" s="1743"/>
      <c r="AX81" s="1743" t="s">
        <v>3908</v>
      </c>
      <c r="AY81" s="1743" t="s">
        <v>3908</v>
      </c>
      <c r="AZ81" s="1743" t="s">
        <v>3908</v>
      </c>
      <c r="BA81" s="1743" t="s">
        <v>3908</v>
      </c>
      <c r="BB81" s="1743" t="s">
        <v>3908</v>
      </c>
      <c r="BD81" s="1743"/>
      <c r="BE81" s="1743"/>
      <c r="BF81" s="1743"/>
      <c r="BG81" s="1743" t="s">
        <v>3908</v>
      </c>
      <c r="BH81" s="1743" t="s">
        <v>3908</v>
      </c>
      <c r="BI81" s="1743" t="s">
        <v>3908</v>
      </c>
      <c r="BJ81" s="1743" t="s">
        <v>3908</v>
      </c>
      <c r="BK81" s="1743" t="s">
        <v>3908</v>
      </c>
    </row>
    <row r="82" spans="20:63" ht="13.5" customHeight="1" x14ac:dyDescent="0.3">
      <c r="T82" s="184"/>
      <c r="U82" s="184"/>
      <c r="V82" s="184"/>
      <c r="W82" s="1744" t="s">
        <v>3909</v>
      </c>
      <c r="X82" s="1744" t="s">
        <v>3910</v>
      </c>
      <c r="Y82" s="1744" t="s">
        <v>3911</v>
      </c>
      <c r="Z82" s="1744" t="s">
        <v>3912</v>
      </c>
      <c r="AA82" s="1744" t="s">
        <v>3927</v>
      </c>
      <c r="AC82" s="184"/>
      <c r="AD82" s="184"/>
      <c r="AE82" s="184"/>
      <c r="AF82" s="1744" t="s">
        <v>3909</v>
      </c>
      <c r="AG82" s="1744" t="s">
        <v>3910</v>
      </c>
      <c r="AH82" s="1744" t="s">
        <v>3911</v>
      </c>
      <c r="AI82" s="1744" t="s">
        <v>3912</v>
      </c>
      <c r="AJ82" s="1744" t="s">
        <v>3927</v>
      </c>
      <c r="AL82" s="184"/>
      <c r="AM82" s="184"/>
      <c r="AN82" s="184"/>
      <c r="AO82" s="1744" t="s">
        <v>3909</v>
      </c>
      <c r="AP82" s="1744" t="s">
        <v>3910</v>
      </c>
      <c r="AQ82" s="1744" t="s">
        <v>3911</v>
      </c>
      <c r="AR82" s="1744" t="s">
        <v>3912</v>
      </c>
      <c r="AS82" s="1744" t="s">
        <v>3927</v>
      </c>
      <c r="AU82" s="184"/>
      <c r="AV82" s="184"/>
      <c r="AW82" s="184"/>
      <c r="AX82" s="1744" t="s">
        <v>3909</v>
      </c>
      <c r="AY82" s="1744" t="s">
        <v>3910</v>
      </c>
      <c r="AZ82" s="1744" t="s">
        <v>3911</v>
      </c>
      <c r="BA82" s="1744" t="s">
        <v>3912</v>
      </c>
      <c r="BB82" s="1744" t="s">
        <v>3927</v>
      </c>
      <c r="BD82" s="184"/>
      <c r="BE82" s="184"/>
      <c r="BF82" s="184"/>
      <c r="BG82" s="1744" t="s">
        <v>3909</v>
      </c>
      <c r="BH82" s="1744" t="s">
        <v>3910</v>
      </c>
      <c r="BI82" s="1744" t="s">
        <v>3911</v>
      </c>
      <c r="BJ82" s="1744" t="s">
        <v>3912</v>
      </c>
      <c r="BK82" s="1744" t="s">
        <v>3927</v>
      </c>
    </row>
    <row r="83" spans="20:63" ht="13.5" customHeight="1" x14ac:dyDescent="0.3">
      <c r="T83" s="1745"/>
      <c r="U83" s="1746">
        <v>20140805</v>
      </c>
      <c r="V83" s="1745"/>
      <c r="W83" s="184" t="s">
        <v>4417</v>
      </c>
      <c r="X83" s="184" t="s">
        <v>2307</v>
      </c>
      <c r="Y83" s="184" t="s">
        <v>2307</v>
      </c>
      <c r="Z83" s="184" t="s">
        <v>2307</v>
      </c>
      <c r="AA83" s="184" t="s">
        <v>2307</v>
      </c>
      <c r="AC83" s="1745"/>
      <c r="AD83" s="1746">
        <v>20140805</v>
      </c>
      <c r="AE83" s="1745"/>
      <c r="AF83" s="184" t="s">
        <v>2307</v>
      </c>
      <c r="AG83" s="184" t="s">
        <v>2307</v>
      </c>
      <c r="AH83" s="184" t="s">
        <v>2307</v>
      </c>
      <c r="AI83" s="184" t="s">
        <v>2307</v>
      </c>
      <c r="AJ83" s="184" t="s">
        <v>2307</v>
      </c>
      <c r="AL83" s="1745"/>
      <c r="AM83" s="1746">
        <v>20140805</v>
      </c>
      <c r="AN83" s="1745"/>
      <c r="AO83" s="184" t="s">
        <v>2307</v>
      </c>
      <c r="AP83" s="184" t="s">
        <v>2307</v>
      </c>
      <c r="AQ83" s="184" t="s">
        <v>2307</v>
      </c>
      <c r="AR83" s="184" t="s">
        <v>2307</v>
      </c>
      <c r="AS83" s="184" t="s">
        <v>2307</v>
      </c>
      <c r="AU83" s="1745"/>
      <c r="AV83" s="1746">
        <v>20140805</v>
      </c>
      <c r="AW83" s="1745"/>
      <c r="AX83" s="184" t="s">
        <v>2307</v>
      </c>
      <c r="AY83" s="184" t="s">
        <v>2307</v>
      </c>
      <c r="AZ83" s="184" t="s">
        <v>2307</v>
      </c>
      <c r="BA83" s="184" t="s">
        <v>2307</v>
      </c>
      <c r="BB83" s="184" t="s">
        <v>2307</v>
      </c>
      <c r="BD83" s="1745"/>
      <c r="BE83" s="1746">
        <v>20140805</v>
      </c>
      <c r="BF83" s="1745"/>
      <c r="BG83" s="184" t="s">
        <v>2307</v>
      </c>
      <c r="BH83" s="184" t="s">
        <v>2307</v>
      </c>
      <c r="BI83" s="184" t="s">
        <v>2307</v>
      </c>
      <c r="BJ83" s="184" t="s">
        <v>2307</v>
      </c>
      <c r="BK83" s="184" t="s">
        <v>2307</v>
      </c>
    </row>
    <row r="84" spans="20:63" ht="13.5" customHeight="1" x14ac:dyDescent="0.3">
      <c r="T84" s="1747"/>
      <c r="U84" s="1747" t="s">
        <v>3913</v>
      </c>
      <c r="V84" s="1747"/>
      <c r="W84" s="1748">
        <f>AVERAGE(W89:W102)</f>
        <v>97280</v>
      </c>
      <c r="X84" s="1748">
        <f t="shared" ref="X84:AA84" si="230">AVERAGE(X89:X102)</f>
        <v>106360</v>
      </c>
      <c r="Y84" s="1748">
        <f t="shared" si="230"/>
        <v>108575</v>
      </c>
      <c r="Z84" s="1748" t="e">
        <f t="shared" si="230"/>
        <v>#DIV/0!</v>
      </c>
      <c r="AA84" s="1748" t="e">
        <f t="shared" si="230"/>
        <v>#DIV/0!</v>
      </c>
      <c r="AC84" s="1747"/>
      <c r="AD84" s="1747" t="s">
        <v>3913</v>
      </c>
      <c r="AE84" s="1747"/>
      <c r="AF84" s="1748">
        <f>AVERAGE(AF89:AF103)</f>
        <v>174820</v>
      </c>
      <c r="AG84" s="1748">
        <f t="shared" ref="AG84:AJ84" si="231">AVERAGE(AG89:AG103)</f>
        <v>205683.33333333334</v>
      </c>
      <c r="AH84" s="1748">
        <f t="shared" si="231"/>
        <v>248536.36363636365</v>
      </c>
      <c r="AI84" s="1748" t="e">
        <f t="shared" si="231"/>
        <v>#DIV/0!</v>
      </c>
      <c r="AJ84" s="1748" t="e">
        <f t="shared" si="231"/>
        <v>#DIV/0!</v>
      </c>
      <c r="AL84" s="1747"/>
      <c r="AM84" s="1747" t="s">
        <v>3913</v>
      </c>
      <c r="AN84" s="1747"/>
      <c r="AO84" s="1748">
        <f>AVERAGE(AO89:AO104)</f>
        <v>97273.333333333328</v>
      </c>
      <c r="AP84" s="1748">
        <f t="shared" ref="AP84:AS84" si="232">AVERAGE(AP89:AP104)</f>
        <v>241927.27272727274</v>
      </c>
      <c r="AQ84" s="1748">
        <f t="shared" si="232"/>
        <v>241927.27272727274</v>
      </c>
      <c r="AR84" s="1748" t="e">
        <f t="shared" si="232"/>
        <v>#DIV/0!</v>
      </c>
      <c r="AS84" s="1748" t="e">
        <f t="shared" si="232"/>
        <v>#DIV/0!</v>
      </c>
      <c r="AU84" s="1747"/>
      <c r="AV84" s="1747" t="s">
        <v>3913</v>
      </c>
      <c r="AW84" s="1747"/>
      <c r="AX84" s="1748">
        <f>AVERAGE(AX89:AX90)</f>
        <v>21700</v>
      </c>
      <c r="AY84" s="1748">
        <f t="shared" ref="AY84:BB84" si="233">AVERAGE(AY89:AY90)</f>
        <v>23000</v>
      </c>
      <c r="AZ84" s="1748" t="e">
        <f t="shared" si="233"/>
        <v>#DIV/0!</v>
      </c>
      <c r="BA84" s="1748" t="e">
        <f t="shared" si="233"/>
        <v>#DIV/0!</v>
      </c>
      <c r="BB84" s="1748" t="e">
        <f t="shared" si="233"/>
        <v>#DIV/0!</v>
      </c>
      <c r="BD84" s="1747"/>
      <c r="BE84" s="1747" t="s">
        <v>3913</v>
      </c>
      <c r="BF84" s="1747"/>
      <c r="BG84" s="1748">
        <f>AVERAGE(BG89:BG105)</f>
        <v>527582.3529411765</v>
      </c>
      <c r="BH84" s="1748">
        <f t="shared" ref="BH84:BK84" si="234">AVERAGE(BH89:BH105)</f>
        <v>569600</v>
      </c>
      <c r="BI84" s="1748">
        <f t="shared" si="234"/>
        <v>672645.45454545459</v>
      </c>
      <c r="BJ84" s="1748" t="e">
        <f t="shared" si="234"/>
        <v>#DIV/0!</v>
      </c>
      <c r="BK84" s="1748" t="e">
        <f t="shared" si="234"/>
        <v>#DIV/0!</v>
      </c>
    </row>
    <row r="85" spans="20:63" ht="13.5" customHeight="1" x14ac:dyDescent="0.3">
      <c r="T85" s="1749"/>
      <c r="U85" s="1749" t="s">
        <v>1138</v>
      </c>
      <c r="V85" s="1749"/>
      <c r="W85" s="1750">
        <f>MAX(W89:W102)</f>
        <v>123000</v>
      </c>
      <c r="X85" s="1750">
        <f>MAX(X89:X102)</f>
        <v>133300</v>
      </c>
      <c r="Y85" s="1750">
        <f t="shared" ref="Y85:AA85" si="235">MAX(Y89:Y102)</f>
        <v>127000</v>
      </c>
      <c r="Z85" s="1750">
        <f t="shared" si="235"/>
        <v>0</v>
      </c>
      <c r="AA85" s="1750">
        <f t="shared" si="235"/>
        <v>0</v>
      </c>
      <c r="AC85" s="1749"/>
      <c r="AD85" s="1749" t="s">
        <v>1138</v>
      </c>
      <c r="AE85" s="1749"/>
      <c r="AF85" s="1750">
        <f>MAX(AF89:AF103)</f>
        <v>205200</v>
      </c>
      <c r="AG85" s="1750">
        <f t="shared" ref="AG85:AJ85" si="236">MAX(AG89:AG103)</f>
        <v>235000</v>
      </c>
      <c r="AH85" s="1750">
        <f t="shared" si="236"/>
        <v>284900</v>
      </c>
      <c r="AI85" s="1750">
        <f t="shared" si="236"/>
        <v>0</v>
      </c>
      <c r="AJ85" s="1750">
        <f t="shared" si="236"/>
        <v>0</v>
      </c>
      <c r="AL85" s="1749"/>
      <c r="AM85" s="1749" t="s">
        <v>1138</v>
      </c>
      <c r="AN85" s="1749"/>
      <c r="AO85" s="1750">
        <f>MAX(AO89:AO104)</f>
        <v>228400</v>
      </c>
      <c r="AP85" s="1750">
        <f t="shared" ref="AP85:AS85" si="237">MAX(AP89:AP104)</f>
        <v>403000</v>
      </c>
      <c r="AQ85" s="1750">
        <f t="shared" si="237"/>
        <v>403000</v>
      </c>
      <c r="AR85" s="1750">
        <f t="shared" si="237"/>
        <v>0</v>
      </c>
      <c r="AS85" s="1750">
        <f t="shared" si="237"/>
        <v>0</v>
      </c>
      <c r="AU85" s="1749"/>
      <c r="AV85" s="1749" t="s">
        <v>1138</v>
      </c>
      <c r="AW85" s="1749"/>
      <c r="AX85" s="1750">
        <f>MAX(AX89:AX90)</f>
        <v>23400</v>
      </c>
      <c r="AY85" s="1750">
        <f t="shared" ref="AY85:BB85" si="238">MAX(AY89:AY90)</f>
        <v>23000</v>
      </c>
      <c r="AZ85" s="1750">
        <f t="shared" si="238"/>
        <v>0</v>
      </c>
      <c r="BA85" s="1750">
        <f t="shared" si="238"/>
        <v>0</v>
      </c>
      <c r="BB85" s="1750">
        <f t="shared" si="238"/>
        <v>0</v>
      </c>
      <c r="BD85" s="1749"/>
      <c r="BE85" s="1749" t="s">
        <v>1138</v>
      </c>
      <c r="BF85" s="1749"/>
      <c r="BG85" s="1750">
        <f>MAX(BG89:BG105)</f>
        <v>777600</v>
      </c>
      <c r="BH85" s="1750">
        <f t="shared" ref="BH85:BK85" si="239">MAX(BH89:BH105)</f>
        <v>845300</v>
      </c>
      <c r="BI85" s="1750">
        <f t="shared" si="239"/>
        <v>988000</v>
      </c>
      <c r="BJ85" s="1750">
        <f t="shared" si="239"/>
        <v>0</v>
      </c>
      <c r="BK85" s="1750">
        <f t="shared" si="239"/>
        <v>0</v>
      </c>
    </row>
    <row r="86" spans="20:63" ht="13.5" customHeight="1" x14ac:dyDescent="0.3">
      <c r="T86" s="1749"/>
      <c r="U86" s="1749" t="s">
        <v>1052</v>
      </c>
      <c r="V86" s="1749"/>
      <c r="W86" s="1751">
        <f>MEDIAN(W89:W102)</f>
        <v>94100</v>
      </c>
      <c r="X86" s="1751">
        <f>MEDIAN(X89:X102)</f>
        <v>96400</v>
      </c>
      <c r="Y86" s="1751">
        <f t="shared" ref="Y86:AA86" si="240">MEDIAN(Y89:Y102)</f>
        <v>103100</v>
      </c>
      <c r="Z86" s="1751" t="e">
        <f t="shared" si="240"/>
        <v>#NUM!</v>
      </c>
      <c r="AA86" s="1751" t="e">
        <f t="shared" si="240"/>
        <v>#NUM!</v>
      </c>
      <c r="AC86" s="1749"/>
      <c r="AD86" s="1749" t="s">
        <v>1052</v>
      </c>
      <c r="AE86" s="1749"/>
      <c r="AF86" s="1751">
        <f>MEDIAN(AF89:AF103)</f>
        <v>178500</v>
      </c>
      <c r="AG86" s="1751">
        <f t="shared" ref="AG86:AJ86" si="241">MEDIAN(AG89:AG103)</f>
        <v>205050</v>
      </c>
      <c r="AH86" s="1751">
        <f t="shared" si="241"/>
        <v>247800</v>
      </c>
      <c r="AI86" s="1751" t="e">
        <f t="shared" si="241"/>
        <v>#NUM!</v>
      </c>
      <c r="AJ86" s="1751" t="e">
        <f t="shared" si="241"/>
        <v>#NUM!</v>
      </c>
      <c r="AL86" s="1749"/>
      <c r="AM86" s="1749" t="s">
        <v>1052</v>
      </c>
      <c r="AN86" s="1749"/>
      <c r="AO86" s="1751">
        <f>MEDIAN(AO89:AO104)</f>
        <v>78000</v>
      </c>
      <c r="AP86" s="1751">
        <f t="shared" ref="AP86:AS86" si="242">MEDIAN(AP89:AP104)</f>
        <v>222000</v>
      </c>
      <c r="AQ86" s="1751">
        <f t="shared" si="242"/>
        <v>222000</v>
      </c>
      <c r="AR86" s="1751" t="e">
        <f t="shared" si="242"/>
        <v>#NUM!</v>
      </c>
      <c r="AS86" s="1751" t="e">
        <f t="shared" si="242"/>
        <v>#NUM!</v>
      </c>
      <c r="AU86" s="1749"/>
      <c r="AV86" s="1749" t="s">
        <v>1052</v>
      </c>
      <c r="AW86" s="1749"/>
      <c r="AX86" s="1751">
        <f>MEDIAN(AX89:AX90)</f>
        <v>21700</v>
      </c>
      <c r="AY86" s="1751">
        <f t="shared" ref="AY86:BB86" si="243">MEDIAN(AY89:AY90)</f>
        <v>23000</v>
      </c>
      <c r="AZ86" s="1751" t="e">
        <f t="shared" si="243"/>
        <v>#NUM!</v>
      </c>
      <c r="BA86" s="1751" t="e">
        <f t="shared" si="243"/>
        <v>#NUM!</v>
      </c>
      <c r="BB86" s="1751" t="e">
        <f t="shared" si="243"/>
        <v>#NUM!</v>
      </c>
      <c r="BD86" s="1749"/>
      <c r="BE86" s="1749" t="s">
        <v>1052</v>
      </c>
      <c r="BF86" s="1749"/>
      <c r="BG86" s="1751">
        <f>MEDIAN(BG89:BG105)</f>
        <v>527300</v>
      </c>
      <c r="BH86" s="1751">
        <f t="shared" ref="BH86:BK86" si="244">MEDIAN(BH89:BH105)</f>
        <v>559700</v>
      </c>
      <c r="BI86" s="1751">
        <f t="shared" si="244"/>
        <v>644000</v>
      </c>
      <c r="BJ86" s="1751" t="e">
        <f t="shared" si="244"/>
        <v>#NUM!</v>
      </c>
      <c r="BK86" s="1751" t="e">
        <f t="shared" si="244"/>
        <v>#NUM!</v>
      </c>
    </row>
    <row r="87" spans="20:63" ht="13.5" customHeight="1" x14ac:dyDescent="0.3">
      <c r="T87" s="1749"/>
      <c r="U87" s="1749" t="s">
        <v>1137</v>
      </c>
      <c r="V87" s="1749"/>
      <c r="W87" s="1750">
        <f>MIN(W89:W102)</f>
        <v>84000</v>
      </c>
      <c r="X87" s="1750">
        <f>MIN(X89:X102)</f>
        <v>93100</v>
      </c>
      <c r="Y87" s="1750">
        <f t="shared" ref="Y87:AA87" si="245">MIN(Y89:Y102)</f>
        <v>101100</v>
      </c>
      <c r="Z87" s="1750">
        <f t="shared" si="245"/>
        <v>0</v>
      </c>
      <c r="AA87" s="1750">
        <f t="shared" si="245"/>
        <v>0</v>
      </c>
      <c r="AC87" s="1749"/>
      <c r="AD87" s="1749" t="s">
        <v>1137</v>
      </c>
      <c r="AE87" s="1749"/>
      <c r="AF87" s="1750">
        <f>MIN(AF89:AF103)</f>
        <v>132000</v>
      </c>
      <c r="AG87" s="1750">
        <f t="shared" ref="AG87:AJ87" si="246">MIN(AG89:AG103)</f>
        <v>150000</v>
      </c>
      <c r="AH87" s="1750">
        <f t="shared" si="246"/>
        <v>217000</v>
      </c>
      <c r="AI87" s="1750">
        <f t="shared" si="246"/>
        <v>0</v>
      </c>
      <c r="AJ87" s="1750">
        <f t="shared" si="246"/>
        <v>0</v>
      </c>
      <c r="AL87" s="1749"/>
      <c r="AM87" s="1749" t="s">
        <v>1137</v>
      </c>
      <c r="AN87" s="1749"/>
      <c r="AO87" s="1750">
        <f>MIN(AO89:AO104)</f>
        <v>40000</v>
      </c>
      <c r="AP87" s="1750">
        <f t="shared" ref="AP87:AS87" si="247">MIN(AP89:AP104)</f>
        <v>91000</v>
      </c>
      <c r="AQ87" s="1750">
        <f t="shared" si="247"/>
        <v>91000</v>
      </c>
      <c r="AR87" s="1750">
        <f t="shared" si="247"/>
        <v>0</v>
      </c>
      <c r="AS87" s="1750">
        <f t="shared" si="247"/>
        <v>0</v>
      </c>
      <c r="AU87" s="1749"/>
      <c r="AV87" s="1749" t="s">
        <v>1137</v>
      </c>
      <c r="AW87" s="1749"/>
      <c r="AX87" s="1750">
        <f>MIN(AX89:AX90)</f>
        <v>20000</v>
      </c>
      <c r="AY87" s="1750">
        <f t="shared" ref="AY87:BB87" si="248">MIN(AY89:AY90)</f>
        <v>23000</v>
      </c>
      <c r="AZ87" s="1750">
        <f t="shared" si="248"/>
        <v>0</v>
      </c>
      <c r="BA87" s="1750">
        <f t="shared" si="248"/>
        <v>0</v>
      </c>
      <c r="BB87" s="1750">
        <f t="shared" si="248"/>
        <v>0</v>
      </c>
      <c r="BD87" s="1749"/>
      <c r="BE87" s="1749" t="s">
        <v>1137</v>
      </c>
      <c r="BF87" s="1749"/>
      <c r="BG87" s="1750">
        <f>MIN(BG89:BG105)</f>
        <v>301000</v>
      </c>
      <c r="BH87" s="1750">
        <f t="shared" ref="BH87:BK87" si="249">MIN(BH89:BH105)</f>
        <v>393000</v>
      </c>
      <c r="BI87" s="1750">
        <f t="shared" si="249"/>
        <v>463000</v>
      </c>
      <c r="BJ87" s="1750">
        <f t="shared" si="249"/>
        <v>0</v>
      </c>
      <c r="BK87" s="1750">
        <f t="shared" si="249"/>
        <v>0</v>
      </c>
    </row>
    <row r="88" spans="20:63" ht="13.5" customHeight="1" x14ac:dyDescent="0.3">
      <c r="T88" s="1752" t="s">
        <v>3914</v>
      </c>
      <c r="U88" s="1753" t="s">
        <v>3915</v>
      </c>
      <c r="V88" s="1753" t="s">
        <v>3916</v>
      </c>
      <c r="W88" s="1754"/>
      <c r="X88" s="1754"/>
      <c r="Y88" s="1754"/>
      <c r="Z88" s="1754"/>
      <c r="AA88" s="1754"/>
      <c r="AC88" s="1752" t="s">
        <v>3914</v>
      </c>
      <c r="AD88" s="1753" t="s">
        <v>3915</v>
      </c>
      <c r="AE88" s="1753" t="s">
        <v>3916</v>
      </c>
      <c r="AF88" s="1754"/>
      <c r="AG88" s="1754"/>
      <c r="AH88" s="1754"/>
      <c r="AI88" s="1754"/>
      <c r="AJ88" s="1754"/>
      <c r="AL88" s="1752" t="s">
        <v>3914</v>
      </c>
      <c r="AM88" s="1753" t="s">
        <v>3915</v>
      </c>
      <c r="AN88" s="1753" t="s">
        <v>3916</v>
      </c>
      <c r="AO88" s="1754"/>
      <c r="AP88" s="1754"/>
      <c r="AQ88" s="1754"/>
      <c r="AR88" s="1754"/>
      <c r="AS88" s="1754"/>
      <c r="AU88" s="1752" t="s">
        <v>3914</v>
      </c>
      <c r="AV88" s="1753" t="s">
        <v>3915</v>
      </c>
      <c r="AW88" s="1753" t="s">
        <v>3916</v>
      </c>
      <c r="AX88" s="1754"/>
      <c r="AY88" s="1754"/>
      <c r="AZ88" s="1754"/>
      <c r="BA88" s="1754"/>
      <c r="BB88" s="1754"/>
      <c r="BD88" s="1752" t="s">
        <v>3914</v>
      </c>
      <c r="BE88" s="1753" t="s">
        <v>3915</v>
      </c>
      <c r="BF88" s="1753" t="s">
        <v>3916</v>
      </c>
      <c r="BG88" s="1754"/>
      <c r="BH88" s="1754"/>
      <c r="BI88" s="1754"/>
      <c r="BJ88" s="1754"/>
      <c r="BK88" s="1754"/>
    </row>
    <row r="89" spans="20:63" ht="13.5" customHeight="1" x14ac:dyDescent="0.3">
      <c r="T89" s="1755">
        <v>42306</v>
      </c>
      <c r="U89" s="1756" t="s">
        <v>3924</v>
      </c>
      <c r="V89" s="1757" t="s">
        <v>3938</v>
      </c>
      <c r="W89" s="1758"/>
      <c r="X89" s="1758"/>
      <c r="Y89" s="1758"/>
      <c r="Z89" s="1750"/>
      <c r="AA89" s="1750"/>
      <c r="AC89" s="1755">
        <v>42334</v>
      </c>
      <c r="AD89" s="1756" t="s">
        <v>3933</v>
      </c>
      <c r="AE89" s="1757" t="s">
        <v>3946</v>
      </c>
      <c r="AF89" s="1758">
        <v>172000</v>
      </c>
      <c r="AG89" s="1758">
        <v>194000</v>
      </c>
      <c r="AH89" s="1758">
        <v>228000</v>
      </c>
      <c r="AI89" s="1750"/>
      <c r="AJ89" s="1750"/>
      <c r="AL89" s="1755">
        <v>42306</v>
      </c>
      <c r="AM89" s="1756" t="s">
        <v>3918</v>
      </c>
      <c r="AN89" s="1757" t="s">
        <v>3953</v>
      </c>
      <c r="AO89" s="1758">
        <v>81000</v>
      </c>
      <c r="AP89" s="1758">
        <v>222000</v>
      </c>
      <c r="AQ89" s="1758">
        <v>222000</v>
      </c>
      <c r="AR89" s="1750"/>
      <c r="AS89" s="1750"/>
      <c r="AU89" s="1755">
        <v>42158</v>
      </c>
      <c r="AV89" s="1756" t="s">
        <v>3931</v>
      </c>
      <c r="AW89" s="1757" t="s">
        <v>3969</v>
      </c>
      <c r="AX89" s="1758">
        <v>20000</v>
      </c>
      <c r="AY89" s="1758">
        <v>23000</v>
      </c>
      <c r="AZ89" s="1758"/>
      <c r="BA89" s="1750"/>
      <c r="BB89" s="1750"/>
      <c r="BD89" s="1755">
        <v>42045</v>
      </c>
      <c r="BE89" s="1756" t="s">
        <v>3928</v>
      </c>
      <c r="BF89" s="1757" t="s">
        <v>3971</v>
      </c>
      <c r="BG89" s="1758">
        <v>369000</v>
      </c>
      <c r="BH89" s="1758">
        <v>393000</v>
      </c>
      <c r="BI89" s="1758"/>
      <c r="BJ89" s="1750"/>
      <c r="BK89" s="1750"/>
    </row>
    <row r="90" spans="20:63" ht="13.5" customHeight="1" x14ac:dyDescent="0.3">
      <c r="T90" s="1755">
        <v>41758</v>
      </c>
      <c r="U90" s="1756" t="s">
        <v>3917</v>
      </c>
      <c r="V90" s="1757" t="s">
        <v>3944</v>
      </c>
      <c r="W90" s="1758"/>
      <c r="X90" s="1758"/>
      <c r="Y90" s="1758"/>
      <c r="Z90" s="1750"/>
      <c r="AA90" s="1750"/>
      <c r="AC90" s="1755">
        <v>42314</v>
      </c>
      <c r="AD90" s="1756" t="s">
        <v>3921</v>
      </c>
      <c r="AE90" s="1757" t="s">
        <v>3935</v>
      </c>
      <c r="AF90" s="1758">
        <v>178900</v>
      </c>
      <c r="AG90" s="1758">
        <v>208100</v>
      </c>
      <c r="AH90" s="1758">
        <v>247800</v>
      </c>
      <c r="AI90" s="1750"/>
      <c r="AJ90" s="1750"/>
      <c r="AL90" s="1755">
        <v>42383</v>
      </c>
      <c r="AM90" s="1756" t="s">
        <v>3930</v>
      </c>
      <c r="AN90" s="1757" t="s">
        <v>3954</v>
      </c>
      <c r="AO90" s="1758"/>
      <c r="AP90" s="1758"/>
      <c r="AQ90" s="1758"/>
      <c r="AR90" s="1750"/>
      <c r="AS90" s="1750"/>
      <c r="AU90" s="1755">
        <v>41726</v>
      </c>
      <c r="AV90" s="1756" t="s">
        <v>3949</v>
      </c>
      <c r="AW90" s="1757" t="s">
        <v>3970</v>
      </c>
      <c r="AX90" s="1758">
        <v>23400</v>
      </c>
      <c r="AY90" s="1758"/>
      <c r="AZ90" s="1758"/>
      <c r="BA90" s="1750"/>
      <c r="BB90" s="1750"/>
      <c r="BD90" s="1755">
        <v>41984</v>
      </c>
      <c r="BE90" s="1756" t="s">
        <v>3930</v>
      </c>
      <c r="BF90" s="1757" t="s">
        <v>3972</v>
      </c>
      <c r="BG90" s="1758">
        <v>353800</v>
      </c>
      <c r="BH90" s="1758">
        <v>452800</v>
      </c>
      <c r="BI90" s="1758"/>
      <c r="BJ90" s="1750"/>
      <c r="BK90" s="1750"/>
    </row>
    <row r="91" spans="20:63" ht="13.5" customHeight="1" x14ac:dyDescent="0.3">
      <c r="T91" s="1755">
        <v>41983</v>
      </c>
      <c r="U91" s="1756" t="s">
        <v>3922</v>
      </c>
      <c r="V91" s="1757" t="s">
        <v>3947</v>
      </c>
      <c r="W91" s="1758">
        <v>123000</v>
      </c>
      <c r="X91" s="1758">
        <v>133300</v>
      </c>
      <c r="Y91" s="1758"/>
      <c r="Z91" s="1750"/>
      <c r="AA91" s="1750"/>
      <c r="AC91" s="1755">
        <v>42383</v>
      </c>
      <c r="AD91" s="1756" t="s">
        <v>3949</v>
      </c>
      <c r="AE91" s="1757" t="s">
        <v>3950</v>
      </c>
      <c r="AF91" s="1758">
        <v>178500</v>
      </c>
      <c r="AG91" s="1758">
        <v>231500</v>
      </c>
      <c r="AH91" s="1758">
        <v>284900</v>
      </c>
      <c r="AI91" s="1750"/>
      <c r="AJ91" s="1750"/>
      <c r="AL91" s="1755">
        <v>41562</v>
      </c>
      <c r="AM91" s="1756" t="s">
        <v>3929</v>
      </c>
      <c r="AN91" s="1757" t="s">
        <v>3955</v>
      </c>
      <c r="AO91" s="1758">
        <v>228400</v>
      </c>
      <c r="AP91" s="1758"/>
      <c r="AQ91" s="1758"/>
      <c r="AR91" s="1750"/>
      <c r="AS91" s="1750"/>
      <c r="AU91" s="1755"/>
      <c r="AV91" s="1756"/>
      <c r="AW91" s="1757"/>
      <c r="AX91" s="1758"/>
      <c r="AY91" s="1758"/>
      <c r="AZ91" s="1758"/>
      <c r="BA91" s="1750"/>
      <c r="BB91" s="1750"/>
      <c r="BD91" s="1755">
        <v>42186</v>
      </c>
      <c r="BE91" s="1756" t="s">
        <v>3933</v>
      </c>
      <c r="BF91" s="1757" t="s">
        <v>3973</v>
      </c>
      <c r="BG91" s="1758">
        <v>589000</v>
      </c>
      <c r="BH91" s="1758">
        <v>542000</v>
      </c>
      <c r="BI91" s="1758">
        <v>773000</v>
      </c>
      <c r="BJ91" s="1750"/>
      <c r="BK91" s="1750"/>
    </row>
    <row r="92" spans="20:63" ht="13.5" customHeight="1" x14ac:dyDescent="0.3">
      <c r="T92" s="1755">
        <v>42208</v>
      </c>
      <c r="U92" s="1756" t="s">
        <v>3920</v>
      </c>
      <c r="V92" s="1757" t="s">
        <v>3940</v>
      </c>
      <c r="W92" s="1758"/>
      <c r="X92" s="1758"/>
      <c r="Y92" s="1758"/>
      <c r="Z92" s="1750"/>
      <c r="AA92" s="1750"/>
      <c r="AC92" s="1755">
        <v>42297</v>
      </c>
      <c r="AD92" s="1756" t="s">
        <v>3928</v>
      </c>
      <c r="AE92" s="1757" t="s">
        <v>3934</v>
      </c>
      <c r="AF92" s="1758">
        <v>192000</v>
      </c>
      <c r="AG92" s="1758">
        <v>235000</v>
      </c>
      <c r="AH92" s="1758">
        <v>256000</v>
      </c>
      <c r="AI92" s="1750"/>
      <c r="AJ92" s="1750"/>
      <c r="AL92" s="1755">
        <v>41718</v>
      </c>
      <c r="AM92" s="1756" t="s">
        <v>3951</v>
      </c>
      <c r="AN92" s="1757" t="s">
        <v>3956</v>
      </c>
      <c r="AO92" s="1758">
        <v>177700</v>
      </c>
      <c r="AP92" s="1758"/>
      <c r="AQ92" s="1758"/>
      <c r="AR92" s="1750"/>
      <c r="AS92" s="1750"/>
      <c r="AU92" s="1755"/>
      <c r="AV92" s="1756"/>
      <c r="AW92" s="1757"/>
      <c r="AX92" s="1758"/>
      <c r="AY92" s="1758"/>
      <c r="AZ92" s="1758"/>
      <c r="BA92" s="1750"/>
      <c r="BB92" s="1750"/>
      <c r="BD92" s="1755">
        <v>42374</v>
      </c>
      <c r="BE92" s="1756" t="s">
        <v>3921</v>
      </c>
      <c r="BF92" s="1757" t="s">
        <v>3974</v>
      </c>
      <c r="BG92" s="1758">
        <v>617900</v>
      </c>
      <c r="BH92" s="1758">
        <v>720000</v>
      </c>
      <c r="BI92" s="1758">
        <v>615800</v>
      </c>
      <c r="BJ92" s="1750"/>
      <c r="BK92" s="1750"/>
    </row>
    <row r="93" spans="20:63" ht="13.5" customHeight="1" x14ac:dyDescent="0.3">
      <c r="T93" s="1755">
        <v>41850</v>
      </c>
      <c r="U93" s="1756" t="s">
        <v>3932</v>
      </c>
      <c r="V93" s="1757" t="s">
        <v>3945</v>
      </c>
      <c r="W93" s="1758"/>
      <c r="X93" s="1758"/>
      <c r="Y93" s="1758"/>
      <c r="Z93" s="1750"/>
      <c r="AA93" s="1750"/>
      <c r="AC93" s="1755">
        <v>42314</v>
      </c>
      <c r="AD93" s="1756" t="s">
        <v>3926</v>
      </c>
      <c r="AE93" s="1757" t="s">
        <v>3943</v>
      </c>
      <c r="AF93" s="1758">
        <v>182000</v>
      </c>
      <c r="AG93" s="1758">
        <v>222000</v>
      </c>
      <c r="AH93" s="1758">
        <v>253000</v>
      </c>
      <c r="AI93" s="1750"/>
      <c r="AJ93" s="1750"/>
      <c r="AL93" s="1755">
        <v>42293</v>
      </c>
      <c r="AM93" s="1756" t="s">
        <v>3949</v>
      </c>
      <c r="AN93" s="1757" t="s">
        <v>3957</v>
      </c>
      <c r="AO93" s="1758">
        <v>78000</v>
      </c>
      <c r="AP93" s="1758"/>
      <c r="AQ93" s="1758"/>
      <c r="AR93" s="1750"/>
      <c r="AS93" s="1750"/>
      <c r="AU93" s="1755"/>
      <c r="AV93" s="1756"/>
      <c r="AW93" s="1757"/>
      <c r="AX93" s="1758"/>
      <c r="AY93" s="1758"/>
      <c r="AZ93" s="1758"/>
      <c r="BA93" s="1750"/>
      <c r="BB93" s="1750"/>
      <c r="BD93" s="1755">
        <v>42382</v>
      </c>
      <c r="BE93" s="1756" t="s">
        <v>3931</v>
      </c>
      <c r="BF93" s="1757" t="s">
        <v>3975</v>
      </c>
      <c r="BG93" s="1758">
        <v>560000</v>
      </c>
      <c r="BH93" s="1758">
        <v>802000</v>
      </c>
      <c r="BI93" s="1758">
        <v>988000</v>
      </c>
      <c r="BJ93" s="1750"/>
      <c r="BK93" s="1750"/>
    </row>
    <row r="94" spans="20:63" ht="13.5" customHeight="1" x14ac:dyDescent="0.3">
      <c r="T94" s="1755">
        <v>42289</v>
      </c>
      <c r="U94" s="1756" t="s">
        <v>3921</v>
      </c>
      <c r="V94" s="1757" t="s">
        <v>3935</v>
      </c>
      <c r="W94" s="1758"/>
      <c r="X94" s="1758"/>
      <c r="Y94" s="1758"/>
      <c r="Z94" s="1750"/>
      <c r="AA94" s="1750"/>
      <c r="AC94" s="1755">
        <v>42338</v>
      </c>
      <c r="AD94" s="1756" t="s">
        <v>3920</v>
      </c>
      <c r="AE94" s="1757" t="s">
        <v>3940</v>
      </c>
      <c r="AF94" s="1758">
        <v>171600</v>
      </c>
      <c r="AG94" s="1758">
        <v>192200</v>
      </c>
      <c r="AH94" s="1758">
        <v>217000</v>
      </c>
      <c r="AI94" s="1750"/>
      <c r="AJ94" s="1750"/>
      <c r="AL94" s="1755">
        <v>42389</v>
      </c>
      <c r="AM94" s="1756" t="s">
        <v>3923</v>
      </c>
      <c r="AN94" s="1757" t="s">
        <v>3958</v>
      </c>
      <c r="AO94" s="1758">
        <v>79000</v>
      </c>
      <c r="AP94" s="1758">
        <v>337000</v>
      </c>
      <c r="AQ94" s="1758">
        <v>337000</v>
      </c>
      <c r="AR94" s="1750"/>
      <c r="AS94" s="1750"/>
      <c r="AU94" s="1755"/>
      <c r="AV94" s="1756"/>
      <c r="AW94" s="1757"/>
      <c r="AX94" s="1758"/>
      <c r="AY94" s="1758"/>
      <c r="AZ94" s="1758"/>
      <c r="BA94" s="1750"/>
      <c r="BB94" s="1750"/>
      <c r="BD94" s="1755">
        <v>41722</v>
      </c>
      <c r="BE94" s="1756" t="s">
        <v>3951</v>
      </c>
      <c r="BF94" s="1757" t="s">
        <v>3976</v>
      </c>
      <c r="BG94" s="1758">
        <v>472000</v>
      </c>
      <c r="BH94" s="1758"/>
      <c r="BI94" s="1758"/>
      <c r="BJ94" s="1750"/>
      <c r="BK94" s="1750"/>
    </row>
    <row r="95" spans="20:63" ht="13.5" customHeight="1" x14ac:dyDescent="0.3">
      <c r="T95" s="1755">
        <v>42388</v>
      </c>
      <c r="U95" s="1756" t="s">
        <v>3931</v>
      </c>
      <c r="V95" s="1757" t="s">
        <v>3942</v>
      </c>
      <c r="W95" s="1758">
        <v>94100</v>
      </c>
      <c r="X95" s="1758">
        <v>96400</v>
      </c>
      <c r="Y95" s="1758">
        <v>103200</v>
      </c>
      <c r="Z95" s="1750"/>
      <c r="AA95" s="1750"/>
      <c r="AC95" s="1755">
        <v>42388</v>
      </c>
      <c r="AD95" s="1756" t="s">
        <v>3919</v>
      </c>
      <c r="AE95" s="1757" t="s">
        <v>3941</v>
      </c>
      <c r="AF95" s="1758">
        <v>180000</v>
      </c>
      <c r="AG95" s="1758">
        <v>197600</v>
      </c>
      <c r="AH95" s="1758">
        <v>262800</v>
      </c>
      <c r="AI95" s="1750"/>
      <c r="AJ95" s="1750"/>
      <c r="AL95" s="1755">
        <v>42297</v>
      </c>
      <c r="AM95" s="1756" t="s">
        <v>3931</v>
      </c>
      <c r="AN95" s="1757" t="s">
        <v>3959</v>
      </c>
      <c r="AO95" s="1758">
        <v>151000</v>
      </c>
      <c r="AP95" s="1758">
        <v>403000</v>
      </c>
      <c r="AQ95" s="1758">
        <v>403000</v>
      </c>
      <c r="AR95" s="1750"/>
      <c r="AS95" s="1750"/>
      <c r="AU95" s="1755"/>
      <c r="AV95" s="1756"/>
      <c r="AW95" s="1757"/>
      <c r="AX95" s="1758"/>
      <c r="AY95" s="1758"/>
      <c r="AZ95" s="1758"/>
      <c r="BA95" s="1750"/>
      <c r="BB95" s="1750"/>
      <c r="BD95" s="1755">
        <v>42382</v>
      </c>
      <c r="BE95" s="1756" t="s">
        <v>3949</v>
      </c>
      <c r="BF95" s="1757" t="s">
        <v>3977</v>
      </c>
      <c r="BG95" s="1758">
        <v>527300</v>
      </c>
      <c r="BH95" s="1758">
        <v>577000</v>
      </c>
      <c r="BI95" s="1758">
        <v>571900</v>
      </c>
      <c r="BJ95" s="1750"/>
      <c r="BK95" s="1750"/>
    </row>
    <row r="96" spans="20:63" ht="13.5" customHeight="1" x14ac:dyDescent="0.3">
      <c r="T96" s="1755">
        <v>41486</v>
      </c>
      <c r="U96" s="1756" t="s">
        <v>3949</v>
      </c>
      <c r="V96" s="1757" t="s">
        <v>4416</v>
      </c>
      <c r="W96" s="1758"/>
      <c r="X96" s="1758"/>
      <c r="Y96" s="1758"/>
      <c r="Z96" s="1750"/>
      <c r="AA96" s="1750"/>
      <c r="AC96" s="1755">
        <v>41771</v>
      </c>
      <c r="AD96" s="1756" t="s">
        <v>3917</v>
      </c>
      <c r="AE96" s="1757" t="s">
        <v>3944</v>
      </c>
      <c r="AF96" s="1758">
        <v>132000</v>
      </c>
      <c r="AG96" s="1758">
        <v>150000</v>
      </c>
      <c r="AH96" s="1758"/>
      <c r="AI96" s="1750"/>
      <c r="AJ96" s="1750"/>
      <c r="AL96" s="1755">
        <v>42331</v>
      </c>
      <c r="AM96" s="1756" t="s">
        <v>3926</v>
      </c>
      <c r="AN96" s="1757" t="s">
        <v>3960</v>
      </c>
      <c r="AO96" s="1758">
        <v>63000</v>
      </c>
      <c r="AP96" s="1758">
        <v>284000</v>
      </c>
      <c r="AQ96" s="1758">
        <v>284000</v>
      </c>
      <c r="AR96" s="1750"/>
      <c r="AS96" s="1750"/>
      <c r="AU96" s="1755"/>
      <c r="AV96" s="1756"/>
      <c r="AW96" s="1757"/>
      <c r="AX96" s="1758"/>
      <c r="AY96" s="1758"/>
      <c r="AZ96" s="1758"/>
      <c r="BA96" s="1750"/>
      <c r="BB96" s="1750"/>
      <c r="BD96" s="1755">
        <v>41968</v>
      </c>
      <c r="BE96" s="1756" t="s">
        <v>3932</v>
      </c>
      <c r="BF96" s="1757" t="s">
        <v>3978</v>
      </c>
      <c r="BG96" s="1758">
        <v>301000</v>
      </c>
      <c r="BH96" s="1758">
        <v>406000</v>
      </c>
      <c r="BI96" s="1758"/>
      <c r="BJ96" s="1750"/>
      <c r="BK96" s="1750"/>
    </row>
    <row r="97" spans="20:63" ht="13.5" customHeight="1" x14ac:dyDescent="0.3">
      <c r="T97" s="1755">
        <v>42290</v>
      </c>
      <c r="U97" s="1756" t="s">
        <v>3930</v>
      </c>
      <c r="V97" s="1757" t="s">
        <v>3937</v>
      </c>
      <c r="W97" s="1758"/>
      <c r="X97" s="1758"/>
      <c r="Y97" s="1758"/>
      <c r="Z97" s="1750"/>
      <c r="AA97" s="1750"/>
      <c r="AC97" s="1755">
        <v>42388</v>
      </c>
      <c r="AD97" s="1756" t="s">
        <v>3931</v>
      </c>
      <c r="AE97" s="1757" t="s">
        <v>3942</v>
      </c>
      <c r="AF97" s="1758">
        <v>177400</v>
      </c>
      <c r="AG97" s="1758">
        <v>192200</v>
      </c>
      <c r="AH97" s="1758">
        <v>229400</v>
      </c>
      <c r="AI97" s="1750"/>
      <c r="AJ97" s="1750"/>
      <c r="AL97" s="1755">
        <v>41759</v>
      </c>
      <c r="AM97" s="1756" t="s">
        <v>3917</v>
      </c>
      <c r="AN97" s="1757" t="s">
        <v>3961</v>
      </c>
      <c r="AO97" s="1758">
        <v>132000</v>
      </c>
      <c r="AP97" s="1758"/>
      <c r="AQ97" s="1758"/>
      <c r="AR97" s="1750"/>
      <c r="AS97" s="1750"/>
      <c r="AU97" s="1755"/>
      <c r="AV97" s="1756"/>
      <c r="AW97" s="1757"/>
      <c r="AX97" s="1758"/>
      <c r="AY97" s="1758"/>
      <c r="AZ97" s="1758"/>
      <c r="BA97" s="1750"/>
      <c r="BB97" s="1750"/>
      <c r="BD97" s="1755">
        <v>41569</v>
      </c>
      <c r="BE97" s="1756" t="s">
        <v>3922</v>
      </c>
      <c r="BF97" s="1757" t="s">
        <v>3975</v>
      </c>
      <c r="BG97" s="1758">
        <v>679100</v>
      </c>
      <c r="BH97" s="1758"/>
      <c r="BI97" s="1758"/>
      <c r="BJ97" s="1750"/>
      <c r="BK97" s="1750"/>
    </row>
    <row r="98" spans="20:63" ht="13.5" customHeight="1" x14ac:dyDescent="0.3">
      <c r="T98" s="1755">
        <v>42306</v>
      </c>
      <c r="U98" s="1756" t="s">
        <v>3933</v>
      </c>
      <c r="V98" s="1757" t="s">
        <v>3946</v>
      </c>
      <c r="W98" s="1758"/>
      <c r="X98" s="1758"/>
      <c r="Y98" s="1758"/>
      <c r="Z98" s="1750"/>
      <c r="AA98" s="1750"/>
      <c r="AC98" s="1755">
        <v>42314</v>
      </c>
      <c r="AD98" s="1756" t="s">
        <v>3929</v>
      </c>
      <c r="AE98" s="1757" t="s">
        <v>3936</v>
      </c>
      <c r="AF98" s="1758">
        <v>174000</v>
      </c>
      <c r="AG98" s="1758">
        <v>202000</v>
      </c>
      <c r="AH98" s="1758">
        <v>244000</v>
      </c>
      <c r="AI98" s="1750"/>
      <c r="AJ98" s="1750"/>
      <c r="AL98" s="1755">
        <v>42348</v>
      </c>
      <c r="AM98" s="1756" t="s">
        <v>3928</v>
      </c>
      <c r="AN98" s="1757" t="s">
        <v>3962</v>
      </c>
      <c r="AO98" s="1758">
        <v>63000</v>
      </c>
      <c r="AP98" s="1758">
        <v>201000</v>
      </c>
      <c r="AQ98" s="1758">
        <v>201000</v>
      </c>
      <c r="AR98" s="1750"/>
      <c r="AS98" s="1750"/>
      <c r="AU98" s="1755"/>
      <c r="AV98" s="1756"/>
      <c r="AW98" s="1757"/>
      <c r="AX98" s="1758"/>
      <c r="AY98" s="1758"/>
      <c r="AZ98" s="1758"/>
      <c r="BA98" s="1750"/>
      <c r="BB98" s="1750"/>
      <c r="BD98" s="1755">
        <v>42132</v>
      </c>
      <c r="BE98" s="1756" t="s">
        <v>3926</v>
      </c>
      <c r="BF98" s="1757" t="s">
        <v>3979</v>
      </c>
      <c r="BG98" s="1758">
        <v>597000</v>
      </c>
      <c r="BH98" s="1758">
        <v>621000</v>
      </c>
      <c r="BI98" s="1758">
        <v>644000</v>
      </c>
      <c r="BJ98" s="1750"/>
      <c r="BK98" s="1750"/>
    </row>
    <row r="99" spans="20:63" ht="13.5" customHeight="1" x14ac:dyDescent="0.3">
      <c r="T99" s="1755">
        <v>42345</v>
      </c>
      <c r="U99" s="1756" t="s">
        <v>3918</v>
      </c>
      <c r="V99" s="1757" t="s">
        <v>3939</v>
      </c>
      <c r="W99" s="1758">
        <v>98000</v>
      </c>
      <c r="X99" s="1758">
        <v>114000</v>
      </c>
      <c r="Y99" s="1758">
        <v>127000</v>
      </c>
      <c r="Z99" s="1750"/>
      <c r="AA99" s="1750"/>
      <c r="AC99" s="1755">
        <v>42314</v>
      </c>
      <c r="AD99" s="1756" t="s">
        <v>3918</v>
      </c>
      <c r="AE99" s="1757" t="s">
        <v>3939</v>
      </c>
      <c r="AF99" s="1758">
        <v>179000</v>
      </c>
      <c r="AG99" s="1758">
        <v>211000</v>
      </c>
      <c r="AH99" s="1758">
        <v>230000</v>
      </c>
      <c r="AI99" s="1750"/>
      <c r="AJ99" s="1750"/>
      <c r="AL99" s="1755">
        <v>42383</v>
      </c>
      <c r="AM99" s="1756" t="s">
        <v>3925</v>
      </c>
      <c r="AN99" s="1757" t="s">
        <v>3963</v>
      </c>
      <c r="AO99" s="1758">
        <v>73000</v>
      </c>
      <c r="AP99" s="1758">
        <v>265000</v>
      </c>
      <c r="AQ99" s="1758">
        <v>265000</v>
      </c>
      <c r="AR99" s="1750"/>
      <c r="AS99" s="1750"/>
      <c r="AU99" s="1755"/>
      <c r="AV99" s="1756"/>
      <c r="AW99" s="1757"/>
      <c r="AX99" s="1758"/>
      <c r="AY99" s="1758"/>
      <c r="AZ99" s="1758"/>
      <c r="BA99" s="1750"/>
      <c r="BB99" s="1750"/>
      <c r="BD99" s="1755">
        <v>42290</v>
      </c>
      <c r="BE99" s="1756" t="s">
        <v>3923</v>
      </c>
      <c r="BF99" s="1757" t="s">
        <v>3971</v>
      </c>
      <c r="BG99" s="1758">
        <v>584000</v>
      </c>
      <c r="BH99" s="1758">
        <v>602000</v>
      </c>
      <c r="BI99" s="1758">
        <v>669000</v>
      </c>
      <c r="BJ99" s="1750"/>
      <c r="BK99" s="1750"/>
    </row>
    <row r="100" spans="20:63" ht="13.5" customHeight="1" x14ac:dyDescent="0.3">
      <c r="T100" s="1755">
        <v>42306</v>
      </c>
      <c r="U100" s="1756" t="s">
        <v>3919</v>
      </c>
      <c r="V100" s="1757" t="s">
        <v>3941</v>
      </c>
      <c r="W100" s="1758">
        <v>87300</v>
      </c>
      <c r="X100" s="1758">
        <v>93100</v>
      </c>
      <c r="Y100" s="1758">
        <v>101100</v>
      </c>
      <c r="Z100" s="1750"/>
      <c r="AA100" s="1750"/>
      <c r="AC100" s="1755">
        <v>41344</v>
      </c>
      <c r="AD100" s="1756" t="s">
        <v>3924</v>
      </c>
      <c r="AE100" s="1757" t="s">
        <v>3938</v>
      </c>
      <c r="AF100" s="1758">
        <v>205200</v>
      </c>
      <c r="AG100" s="1758"/>
      <c r="AH100" s="1758"/>
      <c r="AI100" s="1750"/>
      <c r="AJ100" s="1750"/>
      <c r="AL100" s="1755">
        <v>42380</v>
      </c>
      <c r="AM100" s="1756" t="s">
        <v>3924</v>
      </c>
      <c r="AN100" s="1757" t="s">
        <v>3964</v>
      </c>
      <c r="AO100" s="1758">
        <v>89000</v>
      </c>
      <c r="AP100" s="1758">
        <v>340000</v>
      </c>
      <c r="AQ100" s="1758">
        <v>340000</v>
      </c>
      <c r="AR100" s="1750"/>
      <c r="AS100" s="1750"/>
      <c r="AU100" s="1755"/>
      <c r="AV100" s="1756"/>
      <c r="AW100" s="1757"/>
      <c r="AX100" s="1758"/>
      <c r="AY100" s="1758"/>
      <c r="AZ100" s="1758"/>
      <c r="BA100" s="1750"/>
      <c r="BB100" s="1750"/>
      <c r="BD100" s="1755">
        <v>42317</v>
      </c>
      <c r="BE100" s="1756" t="s">
        <v>3924</v>
      </c>
      <c r="BF100" s="1757" t="s">
        <v>3980</v>
      </c>
      <c r="BG100" s="1758">
        <v>514100</v>
      </c>
      <c r="BH100" s="1758">
        <v>542400</v>
      </c>
      <c r="BI100" s="1758">
        <v>633800</v>
      </c>
      <c r="BJ100" s="1750"/>
      <c r="BK100" s="1750"/>
    </row>
    <row r="101" spans="20:63" ht="13.5" customHeight="1" x14ac:dyDescent="0.3">
      <c r="T101" s="1755">
        <v>42306</v>
      </c>
      <c r="U101" s="1756" t="s">
        <v>3926</v>
      </c>
      <c r="V101" s="1757" t="s">
        <v>3943</v>
      </c>
      <c r="W101" s="1758"/>
      <c r="X101" s="1758"/>
      <c r="Y101" s="1758"/>
      <c r="Z101" s="1750"/>
      <c r="AA101" s="1750"/>
      <c r="AC101" s="1755">
        <v>41677</v>
      </c>
      <c r="AD101" s="1756" t="s">
        <v>3951</v>
      </c>
      <c r="AE101" s="1757" t="s">
        <v>3952</v>
      </c>
      <c r="AF101" s="1758">
        <v>166000</v>
      </c>
      <c r="AG101" s="1758"/>
      <c r="AH101" s="1758"/>
      <c r="AI101" s="1750"/>
      <c r="AJ101" s="1750"/>
      <c r="AL101" s="1755">
        <v>42387</v>
      </c>
      <c r="AM101" s="1756" t="s">
        <v>3932</v>
      </c>
      <c r="AN101" s="1757" t="s">
        <v>3965</v>
      </c>
      <c r="AO101" s="1758">
        <v>63000</v>
      </c>
      <c r="AP101" s="1758">
        <v>210000</v>
      </c>
      <c r="AQ101" s="1758">
        <v>210000</v>
      </c>
      <c r="AR101" s="1750"/>
      <c r="AS101" s="1750"/>
      <c r="AU101" s="1755"/>
      <c r="AV101" s="1756"/>
      <c r="AW101" s="1757"/>
      <c r="AX101" s="1758"/>
      <c r="AY101" s="1758"/>
      <c r="AZ101" s="1758"/>
      <c r="BA101" s="1750"/>
      <c r="BB101" s="1750"/>
      <c r="BD101" s="1755">
        <v>42242</v>
      </c>
      <c r="BE101" s="1756" t="s">
        <v>3919</v>
      </c>
      <c r="BF101" s="1757" t="s">
        <v>3981</v>
      </c>
      <c r="BG101" s="1758">
        <v>415100</v>
      </c>
      <c r="BH101" s="1758">
        <v>412200</v>
      </c>
      <c r="BI101" s="1758">
        <v>484500</v>
      </c>
      <c r="BJ101" s="1750"/>
      <c r="BK101" s="1750"/>
    </row>
    <row r="102" spans="20:63" ht="13.5" customHeight="1" x14ac:dyDescent="0.3">
      <c r="T102" s="1755">
        <v>42306</v>
      </c>
      <c r="U102" s="1756" t="s">
        <v>3929</v>
      </c>
      <c r="V102" s="1757" t="s">
        <v>3936</v>
      </c>
      <c r="W102" s="1758">
        <v>84000</v>
      </c>
      <c r="X102" s="1758">
        <v>95000</v>
      </c>
      <c r="Y102" s="1758">
        <v>103000</v>
      </c>
      <c r="Z102" s="1750"/>
      <c r="AA102" s="1750"/>
      <c r="AC102" s="1755">
        <v>41586</v>
      </c>
      <c r="AD102" s="1756" t="s">
        <v>3922</v>
      </c>
      <c r="AE102" s="1757" t="s">
        <v>3947</v>
      </c>
      <c r="AF102" s="1758">
        <v>148000</v>
      </c>
      <c r="AG102" s="1758"/>
      <c r="AH102" s="1758"/>
      <c r="AI102" s="1750"/>
      <c r="AJ102" s="1750"/>
      <c r="AL102" s="1755">
        <v>42306</v>
      </c>
      <c r="AM102" s="1756" t="s">
        <v>3919</v>
      </c>
      <c r="AN102" s="1757" t="s">
        <v>3966</v>
      </c>
      <c r="AO102" s="1758">
        <v>67000</v>
      </c>
      <c r="AP102" s="1758">
        <v>118200</v>
      </c>
      <c r="AQ102" s="1758">
        <v>118200</v>
      </c>
      <c r="AR102" s="1750"/>
      <c r="AS102" s="1750"/>
      <c r="AU102" s="1755"/>
      <c r="AV102" s="1756"/>
      <c r="AW102" s="1757"/>
      <c r="AX102" s="1758"/>
      <c r="AY102" s="1758"/>
      <c r="AZ102" s="1758"/>
      <c r="BA102" s="1750"/>
      <c r="BB102" s="1750"/>
      <c r="BD102" s="1755">
        <v>41677</v>
      </c>
      <c r="BE102" s="1756" t="s">
        <v>3917</v>
      </c>
      <c r="BF102" s="1757" t="s">
        <v>3982</v>
      </c>
      <c r="BG102" s="1758">
        <v>586000</v>
      </c>
      <c r="BH102" s="1758"/>
      <c r="BI102" s="1758"/>
      <c r="BJ102" s="1750"/>
      <c r="BK102" s="1750"/>
    </row>
    <row r="103" spans="20:63" ht="13.5" customHeight="1" x14ac:dyDescent="0.3">
      <c r="T103" s="1755">
        <v>42306</v>
      </c>
      <c r="U103" s="1756" t="s">
        <v>3928</v>
      </c>
      <c r="V103" s="1757" t="s">
        <v>3934</v>
      </c>
      <c r="W103" s="1758"/>
      <c r="X103" s="1758"/>
      <c r="Y103" s="1758"/>
      <c r="Z103" s="1758"/>
      <c r="AA103" s="1758"/>
      <c r="AC103" s="1755">
        <v>42314</v>
      </c>
      <c r="AD103" s="1756" t="s">
        <v>3930</v>
      </c>
      <c r="AE103" s="1757" t="s">
        <v>3937</v>
      </c>
      <c r="AF103" s="1750">
        <v>185700</v>
      </c>
      <c r="AG103" s="1758">
        <v>232600</v>
      </c>
      <c r="AH103" s="1750">
        <v>281000</v>
      </c>
      <c r="AI103" s="1750"/>
      <c r="AJ103" s="1750"/>
      <c r="AL103" s="1755">
        <v>42327</v>
      </c>
      <c r="AM103" s="1756" t="s">
        <v>3920</v>
      </c>
      <c r="AN103" s="1757" t="s">
        <v>3967</v>
      </c>
      <c r="AO103" s="1750">
        <v>40000</v>
      </c>
      <c r="AP103" s="1750">
        <v>91000</v>
      </c>
      <c r="AQ103" s="1750">
        <v>91000</v>
      </c>
      <c r="AR103" s="1750"/>
      <c r="AS103" s="1750"/>
      <c r="AU103" s="1755"/>
      <c r="AV103" s="1756"/>
      <c r="AW103" s="1757"/>
      <c r="AX103" s="1750"/>
      <c r="AY103" s="1750"/>
      <c r="AZ103" s="1750"/>
      <c r="BA103" s="1750"/>
      <c r="BB103" s="1750"/>
      <c r="BD103" s="1755">
        <v>42247</v>
      </c>
      <c r="BE103" s="1756" t="s">
        <v>3929</v>
      </c>
      <c r="BF103" s="1757" t="s">
        <v>3983</v>
      </c>
      <c r="BG103" s="1750">
        <v>777600</v>
      </c>
      <c r="BH103" s="1750">
        <v>845300</v>
      </c>
      <c r="BI103" s="1750">
        <v>866000</v>
      </c>
      <c r="BJ103" s="1750"/>
      <c r="BK103" s="1750"/>
    </row>
    <row r="104" spans="20:63" ht="13.5" customHeight="1" x14ac:dyDescent="0.3">
      <c r="AL104" s="1755">
        <v>42383</v>
      </c>
      <c r="AM104" s="1756" t="s">
        <v>3933</v>
      </c>
      <c r="AN104" s="1757" t="s">
        <v>3968</v>
      </c>
      <c r="AO104" s="1750">
        <v>74000</v>
      </c>
      <c r="AP104" s="1750">
        <v>190000</v>
      </c>
      <c r="AQ104" s="1750">
        <v>190000</v>
      </c>
      <c r="AR104" s="1750"/>
      <c r="AS104" s="1750"/>
      <c r="AU104" s="1755"/>
      <c r="AV104" s="1756"/>
      <c r="AW104" s="1757"/>
      <c r="AX104" s="1750"/>
      <c r="AY104" s="1750"/>
      <c r="AZ104" s="1750"/>
      <c r="BA104" s="1750"/>
      <c r="BB104" s="1750"/>
      <c r="BD104" s="1755">
        <v>42132</v>
      </c>
      <c r="BE104" s="1756" t="s">
        <v>3918</v>
      </c>
      <c r="BF104" s="1757" t="s">
        <v>3984</v>
      </c>
      <c r="BG104" s="1750">
        <v>524000</v>
      </c>
      <c r="BH104" s="1750">
        <v>432000</v>
      </c>
      <c r="BI104" s="1750">
        <v>463000</v>
      </c>
      <c r="BJ104" s="1750"/>
      <c r="BK104" s="1750"/>
    </row>
    <row r="105" spans="20:63" ht="13.5" customHeight="1" x14ac:dyDescent="0.3">
      <c r="AU105" s="1755"/>
      <c r="AV105" s="1756"/>
      <c r="AW105" s="1757"/>
      <c r="AX105" s="1750"/>
      <c r="AY105" s="1750"/>
      <c r="AZ105" s="1750"/>
      <c r="BA105" s="1750"/>
      <c r="BB105" s="1750"/>
      <c r="BD105" s="1755">
        <v>42118</v>
      </c>
      <c r="BE105" s="1756" t="s">
        <v>3920</v>
      </c>
      <c r="BF105" s="1757" t="s">
        <v>3985</v>
      </c>
      <c r="BG105" s="1750">
        <v>502000</v>
      </c>
      <c r="BH105" s="1750">
        <v>626700</v>
      </c>
      <c r="BI105" s="1750">
        <v>690100</v>
      </c>
      <c r="BJ105" s="1750"/>
      <c r="BK105" s="1750"/>
    </row>
  </sheetData>
  <phoneticPr fontId="1" type="noConversion"/>
  <pageMargins left="0.70866141732283472" right="0.70866141732283472" top="0.74803149606299213" bottom="0.74803149606299213" header="0.31496062992125984" footer="0.31496062992125984"/>
  <pageSetup paperSize="9" scale="35"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BK45"/>
  <sheetViews>
    <sheetView zoomScale="85" zoomScaleNormal="85" workbookViewId="0">
      <selection activeCell="J7" sqref="J7:M7"/>
    </sheetView>
  </sheetViews>
  <sheetFormatPr defaultRowHeight="16.5" x14ac:dyDescent="0.3"/>
  <cols>
    <col min="1" max="1" width="1.625" style="1824" customWidth="1"/>
    <col min="2" max="2" width="18" style="1824" customWidth="1"/>
    <col min="3" max="5" width="9" style="1824"/>
    <col min="6" max="8" width="9.875" style="1824" bestFit="1" customWidth="1"/>
    <col min="9" max="9" width="10.375" style="1824" bestFit="1" customWidth="1"/>
    <col min="10" max="12" width="10.25" style="1824" bestFit="1" customWidth="1"/>
    <col min="13" max="19" width="9" style="1824"/>
    <col min="20" max="20" width="9.625" style="1039" customWidth="1"/>
    <col min="21" max="22" width="12.625" style="1039" customWidth="1"/>
    <col min="23" max="27" width="13.625" style="1039" customWidth="1"/>
    <col min="28" max="28" width="9" style="1824"/>
    <col min="29" max="29" width="9" style="1039"/>
    <col min="30" max="30" width="9.625" style="1039" customWidth="1"/>
    <col min="31" max="32" width="12.625" style="1039" customWidth="1"/>
    <col min="33" max="37" width="13.625" style="1039" customWidth="1"/>
    <col min="38" max="45" width="9" style="1039"/>
    <col min="46" max="46" width="9" style="1824"/>
    <col min="47" max="54" width="9" style="1039"/>
    <col min="55" max="55" width="9" style="1824"/>
    <col min="56" max="63" width="9" style="1039"/>
    <col min="64" max="16384" width="9" style="1824"/>
  </cols>
  <sheetData>
    <row r="1" spans="2:63" s="691" customFormat="1" ht="30" customHeight="1" x14ac:dyDescent="0.3">
      <c r="B1" s="58" t="str">
        <f>"Project"&amp;" "&amp;Title!L6</f>
        <v>Project IT</v>
      </c>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row>
    <row r="2" spans="2:63" s="691" customFormat="1" ht="20.100000000000001" customHeight="1" x14ac:dyDescent="0.3">
      <c r="B2" s="51" t="s">
        <v>3889</v>
      </c>
      <c r="C2" s="51"/>
      <c r="D2" s="51"/>
      <c r="E2" s="51"/>
      <c r="F2" s="51"/>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row>
    <row r="4" spans="2:63" x14ac:dyDescent="0.3">
      <c r="B4" s="1832" t="s">
        <v>4431</v>
      </c>
      <c r="C4" s="1829"/>
      <c r="D4" s="1828"/>
      <c r="E4" s="1828"/>
      <c r="F4" s="1828"/>
      <c r="G4" s="1828"/>
      <c r="H4" s="1828"/>
      <c r="I4" s="1828"/>
      <c r="J4" s="1833"/>
      <c r="K4" s="1833"/>
      <c r="L4" s="1833"/>
      <c r="M4" s="1833"/>
      <c r="N4" s="1833"/>
    </row>
    <row r="5" spans="2:63" ht="13.5" customHeight="1" x14ac:dyDescent="0.3">
      <c r="B5" s="1405" t="s">
        <v>3890</v>
      </c>
      <c r="C5" s="1405">
        <v>2008</v>
      </c>
      <c r="D5" s="1405">
        <v>2009</v>
      </c>
      <c r="E5" s="1405">
        <v>2010</v>
      </c>
      <c r="F5" s="1405">
        <v>2011</v>
      </c>
      <c r="G5" s="1405">
        <v>2012</v>
      </c>
      <c r="H5" s="1405">
        <v>2013</v>
      </c>
      <c r="I5" s="1405">
        <v>2014</v>
      </c>
      <c r="J5" s="1422">
        <v>2015</v>
      </c>
      <c r="K5" s="1422">
        <v>2016</v>
      </c>
      <c r="L5" s="1422">
        <v>2017</v>
      </c>
      <c r="M5" s="1422">
        <v>2018</v>
      </c>
      <c r="N5" s="1422">
        <v>2018</v>
      </c>
      <c r="S5" s="1039"/>
      <c r="T5" s="1842" t="s">
        <v>3948</v>
      </c>
      <c r="V5" s="1842"/>
      <c r="W5" s="1842"/>
      <c r="X5" s="1842"/>
      <c r="Y5" s="1842"/>
      <c r="Z5" s="1842"/>
      <c r="AA5" s="1842"/>
      <c r="AB5" s="1039"/>
      <c r="AD5" s="1842" t="s">
        <v>3948</v>
      </c>
      <c r="AF5" s="1842"/>
      <c r="AG5" s="1842"/>
      <c r="AH5" s="1842"/>
      <c r="AI5" s="1842"/>
      <c r="AJ5" s="1842"/>
      <c r="AK5" s="1842"/>
      <c r="AS5" s="1824"/>
      <c r="AT5" s="1039"/>
      <c r="BB5" s="1824"/>
      <c r="BC5" s="1039"/>
      <c r="BK5" s="1824"/>
    </row>
    <row r="6" spans="2:63" ht="13.5" customHeight="1" x14ac:dyDescent="0.3">
      <c r="B6" s="1732" t="s">
        <v>4432</v>
      </c>
      <c r="C6" s="1838"/>
      <c r="D6" s="1838"/>
      <c r="E6" s="1838"/>
      <c r="F6" s="1838">
        <v>59514305.365999997</v>
      </c>
      <c r="G6" s="1838">
        <v>44505822.489</v>
      </c>
      <c r="H6" s="1838">
        <v>43746666.059</v>
      </c>
      <c r="I6" s="1839">
        <v>41448322.229000002</v>
      </c>
      <c r="J6" s="1839"/>
      <c r="K6" s="1839"/>
      <c r="L6" s="1839"/>
      <c r="M6" s="1839"/>
      <c r="N6" s="1839"/>
      <c r="S6" s="1039"/>
      <c r="T6" s="1842"/>
      <c r="U6" s="1842"/>
      <c r="V6" s="1842"/>
      <c r="W6" s="1842"/>
      <c r="X6" s="1842"/>
      <c r="Y6" s="1842"/>
      <c r="Z6" s="1842"/>
      <c r="AA6" s="1842"/>
      <c r="AB6" s="1039"/>
      <c r="AD6" s="1842"/>
      <c r="AE6" s="1842"/>
      <c r="AF6" s="1842"/>
      <c r="AG6" s="1842"/>
      <c r="AH6" s="1842"/>
      <c r="AI6" s="1842"/>
      <c r="AJ6" s="1842"/>
      <c r="AK6" s="1842"/>
      <c r="AS6" s="1824"/>
      <c r="AT6" s="1039"/>
      <c r="BB6" s="1824"/>
      <c r="BC6" s="1039"/>
      <c r="BK6" s="1824"/>
    </row>
    <row r="7" spans="2:63" ht="13.5" customHeight="1" x14ac:dyDescent="0.3">
      <c r="B7" s="1410" t="s">
        <v>2566</v>
      </c>
      <c r="C7" s="1411" t="s">
        <v>92</v>
      </c>
      <c r="D7" s="1840" t="e">
        <f>D6/C6-1</f>
        <v>#DIV/0!</v>
      </c>
      <c r="E7" s="1840" t="e">
        <f t="shared" ref="E7:L7" si="0">E6/D6-1</f>
        <v>#DIV/0!</v>
      </c>
      <c r="F7" s="1840" t="e">
        <f t="shared" si="0"/>
        <v>#DIV/0!</v>
      </c>
      <c r="G7" s="1840">
        <f t="shared" si="0"/>
        <v>-0.25218277832028957</v>
      </c>
      <c r="H7" s="1840">
        <f t="shared" si="0"/>
        <v>-1.7057463215911395E-2</v>
      </c>
      <c r="I7" s="1841">
        <f t="shared" si="0"/>
        <v>-5.2537576849862822E-2</v>
      </c>
      <c r="J7" s="1841">
        <f t="shared" si="0"/>
        <v>-1</v>
      </c>
      <c r="K7" s="1841" t="e">
        <f t="shared" si="0"/>
        <v>#DIV/0!</v>
      </c>
      <c r="L7" s="1841" t="e">
        <f t="shared" si="0"/>
        <v>#DIV/0!</v>
      </c>
      <c r="M7" s="1841"/>
      <c r="N7" s="1841"/>
      <c r="S7" s="1039"/>
      <c r="T7" s="1843" t="s">
        <v>4435</v>
      </c>
      <c r="U7" s="1842"/>
      <c r="V7" s="1844" t="s">
        <v>3902</v>
      </c>
      <c r="W7" s="1842"/>
      <c r="X7" s="1842"/>
      <c r="Y7" s="1842"/>
      <c r="Z7" s="1842"/>
      <c r="AA7" s="1842"/>
      <c r="AB7" s="1039"/>
      <c r="AD7" s="1843" t="s">
        <v>4433</v>
      </c>
      <c r="AE7" s="1842"/>
      <c r="AF7" s="1844" t="s">
        <v>3902</v>
      </c>
      <c r="AG7" s="1842"/>
      <c r="AH7" s="1842"/>
      <c r="AI7" s="1842"/>
      <c r="AJ7" s="1842"/>
      <c r="AK7" s="1842"/>
      <c r="AS7" s="1824"/>
      <c r="AT7" s="1039"/>
      <c r="BB7" s="1824"/>
      <c r="BC7" s="1039"/>
      <c r="BK7" s="1824"/>
    </row>
    <row r="8" spans="2:63" ht="13.5" customHeight="1" x14ac:dyDescent="0.3">
      <c r="B8" s="1732" t="s">
        <v>4435</v>
      </c>
      <c r="C8" s="1838">
        <v>52606359.935999997</v>
      </c>
      <c r="D8" s="1838">
        <v>43679147.387000002</v>
      </c>
      <c r="E8" s="1838">
        <v>53706372.597000003</v>
      </c>
      <c r="F8" s="1838">
        <v>68371154.903999999</v>
      </c>
      <c r="G8" s="1838">
        <v>73330011.478</v>
      </c>
      <c r="H8" s="1838">
        <v>66039305.376999997</v>
      </c>
      <c r="I8" s="1839">
        <v>65865269.122000001</v>
      </c>
      <c r="J8" s="1839">
        <f>W14</f>
        <v>53315638.888888888</v>
      </c>
      <c r="K8" s="1839">
        <f t="shared" ref="K8:L8" si="1">X14</f>
        <v>52511615.384615384</v>
      </c>
      <c r="L8" s="1839">
        <f t="shared" si="1"/>
        <v>53452709.090909094</v>
      </c>
      <c r="M8" s="1839"/>
      <c r="N8" s="1839"/>
      <c r="S8" s="1039"/>
      <c r="T8" s="1845" t="s">
        <v>3903</v>
      </c>
      <c r="U8" s="1846" t="s">
        <v>3891</v>
      </c>
      <c r="V8" s="1845" t="s">
        <v>3904</v>
      </c>
      <c r="W8" s="1842"/>
      <c r="X8" s="1842"/>
      <c r="Y8" s="1842"/>
      <c r="Z8" s="1842"/>
      <c r="AA8" s="1842"/>
      <c r="AB8" s="1039"/>
      <c r="AD8" s="1845" t="s">
        <v>3903</v>
      </c>
      <c r="AE8" s="1846" t="s">
        <v>3891</v>
      </c>
      <c r="AF8" s="1845" t="s">
        <v>3904</v>
      </c>
      <c r="AG8" s="1842"/>
      <c r="AH8" s="1842"/>
      <c r="AI8" s="1842"/>
      <c r="AJ8" s="1842"/>
      <c r="AK8" s="1842"/>
      <c r="AS8" s="1824"/>
      <c r="AT8" s="1039"/>
      <c r="BB8" s="1824"/>
      <c r="BC8" s="1039"/>
      <c r="BK8" s="1824"/>
    </row>
    <row r="9" spans="2:63" ht="13.5" customHeight="1" x14ac:dyDescent="0.3">
      <c r="B9" s="1410" t="s">
        <v>2566</v>
      </c>
      <c r="C9" s="1411" t="s">
        <v>92</v>
      </c>
      <c r="D9" s="1840">
        <f>D8/C8-1</f>
        <v>-0.16969835129936173</v>
      </c>
      <c r="E9" s="1840">
        <f t="shared" ref="E9:L9" si="2">E8/D8-1</f>
        <v>0.22956549772270396</v>
      </c>
      <c r="F9" s="1840">
        <f t="shared" si="2"/>
        <v>0.27305479029539148</v>
      </c>
      <c r="G9" s="1840">
        <f t="shared" si="2"/>
        <v>7.2528489257827067E-2</v>
      </c>
      <c r="H9" s="1840">
        <f t="shared" si="2"/>
        <v>-9.942322323496855E-2</v>
      </c>
      <c r="I9" s="1841">
        <f t="shared" si="2"/>
        <v>-2.6353435125713309E-3</v>
      </c>
      <c r="J9" s="1841">
        <f t="shared" si="2"/>
        <v>-0.19053486610471237</v>
      </c>
      <c r="K9" s="1841">
        <f t="shared" si="2"/>
        <v>-1.5080443956586698E-2</v>
      </c>
      <c r="L9" s="1841">
        <f t="shared" si="2"/>
        <v>1.7921629327164679E-2</v>
      </c>
      <c r="M9" s="1841"/>
      <c r="N9" s="1841"/>
      <c r="S9" s="1039"/>
      <c r="T9" s="1847" t="s">
        <v>3905</v>
      </c>
      <c r="U9" s="1848" t="s">
        <v>3906</v>
      </c>
      <c r="V9" s="1847" t="s">
        <v>3907</v>
      </c>
      <c r="W9" s="1849">
        <f>COUNTA(W19:W33)</f>
        <v>15</v>
      </c>
      <c r="X9" s="1849">
        <f t="shared" ref="X9:AA9" si="3">COUNTA(X19:X33)</f>
        <v>14</v>
      </c>
      <c r="Y9" s="1849">
        <f t="shared" si="3"/>
        <v>12</v>
      </c>
      <c r="Z9" s="1849">
        <f t="shared" si="3"/>
        <v>0</v>
      </c>
      <c r="AA9" s="1849">
        <f t="shared" si="3"/>
        <v>0</v>
      </c>
      <c r="AB9" s="1039"/>
      <c r="AD9" s="1847" t="s">
        <v>3905</v>
      </c>
      <c r="AE9" s="1848" t="s">
        <v>3906</v>
      </c>
      <c r="AF9" s="1847" t="s">
        <v>3907</v>
      </c>
      <c r="AG9" s="1849">
        <f>COUNTA(AG19:AG33)</f>
        <v>14</v>
      </c>
      <c r="AH9" s="1849">
        <f t="shared" ref="AH9:AK9" si="4">COUNTA(AH19:AH33)</f>
        <v>12</v>
      </c>
      <c r="AI9" s="1849">
        <f t="shared" si="4"/>
        <v>11</v>
      </c>
      <c r="AJ9" s="1849">
        <f t="shared" si="4"/>
        <v>0</v>
      </c>
      <c r="AK9" s="1849">
        <f t="shared" si="4"/>
        <v>0</v>
      </c>
      <c r="AS9" s="1824"/>
      <c r="AT9" s="1039"/>
      <c r="BB9" s="1824"/>
      <c r="BC9" s="1039"/>
      <c r="BK9" s="1824"/>
    </row>
    <row r="10" spans="2:63" ht="13.5" customHeight="1" x14ac:dyDescent="0.3">
      <c r="B10" s="1732" t="s">
        <v>4424</v>
      </c>
      <c r="C10" s="1838">
        <v>35343041</v>
      </c>
      <c r="D10" s="1838">
        <v>27894754</v>
      </c>
      <c r="E10" s="1838">
        <v>35315777</v>
      </c>
      <c r="F10" s="1838">
        <v>47946262</v>
      </c>
      <c r="G10" s="1838">
        <v>47872746</v>
      </c>
      <c r="H10" s="1838">
        <v>45659771</v>
      </c>
      <c r="I10" s="1839">
        <v>40258357</v>
      </c>
      <c r="J10" s="1839"/>
      <c r="K10" s="1839"/>
      <c r="L10" s="1839"/>
      <c r="M10" s="1839"/>
      <c r="N10" s="1839"/>
      <c r="S10" s="1039"/>
      <c r="T10" s="1842"/>
      <c r="U10" s="1842"/>
      <c r="V10" s="1842"/>
      <c r="W10" s="1842"/>
      <c r="X10" s="1842"/>
      <c r="Y10" s="1842"/>
      <c r="Z10" s="1842"/>
      <c r="AA10" s="1842"/>
      <c r="AB10" s="1039"/>
      <c r="AD10" s="1842"/>
      <c r="AE10" s="1842"/>
      <c r="AF10" s="1842"/>
      <c r="AG10" s="1842"/>
      <c r="AH10" s="1842"/>
      <c r="AI10" s="1842"/>
      <c r="AJ10" s="1842"/>
      <c r="AK10" s="1842"/>
      <c r="AS10" s="1824"/>
      <c r="AT10" s="1039"/>
      <c r="BB10" s="1824"/>
      <c r="BC10" s="1039"/>
      <c r="BK10" s="1824"/>
    </row>
    <row r="11" spans="2:63" ht="13.5" customHeight="1" x14ac:dyDescent="0.3">
      <c r="B11" s="1410" t="s">
        <v>2566</v>
      </c>
      <c r="C11" s="1411" t="s">
        <v>92</v>
      </c>
      <c r="D11" s="1840">
        <f>D10/C10-1</f>
        <v>-0.2107426749158342</v>
      </c>
      <c r="E11" s="1840">
        <f t="shared" ref="E11" si="5">E10/D10-1</f>
        <v>0.26603650994735428</v>
      </c>
      <c r="F11" s="1840">
        <f t="shared" ref="F11" si="6">F10/E10-1</f>
        <v>0.3576442619399256</v>
      </c>
      <c r="G11" s="1840">
        <f t="shared" ref="G11" si="7">G10/F10-1</f>
        <v>-1.5332999264885405E-3</v>
      </c>
      <c r="H11" s="1840">
        <f t="shared" ref="H11" si="8">H10/G10-1</f>
        <v>-4.6226197260545665E-2</v>
      </c>
      <c r="I11" s="1841">
        <f t="shared" ref="I11" si="9">I10/H10-1</f>
        <v>-0.11829700153336298</v>
      </c>
      <c r="J11" s="1841">
        <f t="shared" ref="J11" si="10">J10/I10-1</f>
        <v>-1</v>
      </c>
      <c r="K11" s="1841" t="e">
        <f t="shared" ref="K11" si="11">K10/J10-1</f>
        <v>#DIV/0!</v>
      </c>
      <c r="L11" s="1841" t="e">
        <f t="shared" ref="L11" si="12">L10/K10-1</f>
        <v>#DIV/0!</v>
      </c>
      <c r="M11" s="1841"/>
      <c r="N11" s="1841"/>
      <c r="S11" s="1039"/>
      <c r="T11" s="1850"/>
      <c r="U11" s="1850"/>
      <c r="V11" s="1850"/>
      <c r="W11" s="1850" t="s">
        <v>3908</v>
      </c>
      <c r="X11" s="1850" t="s">
        <v>3908</v>
      </c>
      <c r="Y11" s="1850" t="s">
        <v>3908</v>
      </c>
      <c r="Z11" s="1850" t="s">
        <v>3908</v>
      </c>
      <c r="AA11" s="1850" t="s">
        <v>3908</v>
      </c>
      <c r="AB11" s="1039"/>
      <c r="AD11" s="1850"/>
      <c r="AE11" s="1850"/>
      <c r="AF11" s="1850"/>
      <c r="AG11" s="1850" t="s">
        <v>3908</v>
      </c>
      <c r="AH11" s="1850" t="s">
        <v>3908</v>
      </c>
      <c r="AI11" s="1850" t="s">
        <v>3908</v>
      </c>
      <c r="AJ11" s="1850" t="s">
        <v>3908</v>
      </c>
      <c r="AK11" s="1850" t="s">
        <v>3908</v>
      </c>
      <c r="AS11" s="1824"/>
      <c r="AT11" s="1039"/>
      <c r="BB11" s="1824"/>
      <c r="BC11" s="1039"/>
      <c r="BK11" s="1824"/>
    </row>
    <row r="12" spans="2:63" ht="13.5" customHeight="1" x14ac:dyDescent="0.3">
      <c r="B12" s="1732" t="s">
        <v>4433</v>
      </c>
      <c r="C12" s="1838">
        <v>23104572.340999998</v>
      </c>
      <c r="D12" s="1838">
        <v>17551765</v>
      </c>
      <c r="E12" s="1838">
        <v>20664754</v>
      </c>
      <c r="F12" s="1838">
        <v>31913863</v>
      </c>
      <c r="G12" s="1838">
        <v>34723291</v>
      </c>
      <c r="H12" s="1838">
        <v>31158528</v>
      </c>
      <c r="I12" s="1839">
        <v>28557562</v>
      </c>
      <c r="J12" s="1839">
        <f>AG14</f>
        <v>21055318.75</v>
      </c>
      <c r="K12" s="1839">
        <f>AH14</f>
        <v>19163491.666666668</v>
      </c>
      <c r="L12" s="1839">
        <f>AI14</f>
        <v>19658081.818181816</v>
      </c>
      <c r="M12" s="1839"/>
      <c r="N12" s="1839"/>
      <c r="T12" s="1829"/>
      <c r="U12" s="1829"/>
      <c r="V12" s="1829"/>
      <c r="W12" s="1851" t="s">
        <v>3909</v>
      </c>
      <c r="X12" s="1851" t="s">
        <v>3910</v>
      </c>
      <c r="Y12" s="1851" t="s">
        <v>3911</v>
      </c>
      <c r="Z12" s="1851" t="s">
        <v>3912</v>
      </c>
      <c r="AA12" s="1851" t="s">
        <v>3927</v>
      </c>
      <c r="AD12" s="1829"/>
      <c r="AE12" s="1829"/>
      <c r="AF12" s="1829"/>
      <c r="AG12" s="1851" t="s">
        <v>3909</v>
      </c>
      <c r="AH12" s="1851" t="s">
        <v>3910</v>
      </c>
      <c r="AI12" s="1851" t="s">
        <v>3911</v>
      </c>
      <c r="AJ12" s="1851" t="s">
        <v>3912</v>
      </c>
      <c r="AK12" s="1851" t="s">
        <v>3927</v>
      </c>
    </row>
    <row r="13" spans="2:63" ht="13.5" customHeight="1" x14ac:dyDescent="0.3">
      <c r="B13" s="1410" t="s">
        <v>2566</v>
      </c>
      <c r="C13" s="1411" t="s">
        <v>92</v>
      </c>
      <c r="D13" s="1840">
        <f>D12/C12-1</f>
        <v>-0.24033369928022064</v>
      </c>
      <c r="E13" s="1840">
        <f t="shared" ref="E13" si="13">E12/D12-1</f>
        <v>0.1773604534928539</v>
      </c>
      <c r="F13" s="1840">
        <f t="shared" ref="F13" si="14">F12/E12-1</f>
        <v>0.54436210564132526</v>
      </c>
      <c r="G13" s="1840">
        <f t="shared" ref="G13" si="15">G12/F12-1</f>
        <v>8.803158677468792E-2</v>
      </c>
      <c r="H13" s="1840">
        <f t="shared" ref="H13" si="16">H12/G12-1</f>
        <v>-0.1026620143810677</v>
      </c>
      <c r="I13" s="1841">
        <f t="shared" ref="I13" si="17">I12/H12-1</f>
        <v>-8.3475252746214479E-2</v>
      </c>
      <c r="J13" s="1841">
        <f t="shared" ref="J13" si="18">J12/I12-1</f>
        <v>-0.26270601285922102</v>
      </c>
      <c r="K13" s="1841">
        <f t="shared" ref="K13" si="19">K12/J12-1</f>
        <v>-8.985031790759912E-2</v>
      </c>
      <c r="L13" s="1841">
        <f t="shared" ref="L13" si="20">L12/K12-1</f>
        <v>2.5808978870768495E-2</v>
      </c>
      <c r="M13" s="1841"/>
      <c r="N13" s="1841"/>
      <c r="T13" s="1852"/>
      <c r="U13" s="1853">
        <v>20140805</v>
      </c>
      <c r="V13" s="1852"/>
      <c r="W13" s="1829" t="s">
        <v>1869</v>
      </c>
      <c r="X13" s="1829" t="s">
        <v>1869</v>
      </c>
      <c r="Y13" s="1829" t="s">
        <v>1869</v>
      </c>
      <c r="Z13" s="1829" t="s">
        <v>1869</v>
      </c>
      <c r="AA13" s="1829" t="s">
        <v>1869</v>
      </c>
      <c r="AD13" s="1852"/>
      <c r="AE13" s="1853">
        <v>20140805</v>
      </c>
      <c r="AF13" s="1852"/>
      <c r="AG13" s="1829" t="s">
        <v>1869</v>
      </c>
      <c r="AH13" s="1829" t="s">
        <v>1869</v>
      </c>
      <c r="AI13" s="1829" t="s">
        <v>1869</v>
      </c>
      <c r="AJ13" s="1829" t="s">
        <v>1869</v>
      </c>
      <c r="AK13" s="1829" t="s">
        <v>1869</v>
      </c>
    </row>
    <row r="14" spans="2:63" ht="13.5" customHeight="1" x14ac:dyDescent="0.3">
      <c r="B14" s="1732" t="s">
        <v>4434</v>
      </c>
      <c r="C14" s="1838">
        <v>14834757.276000001</v>
      </c>
      <c r="D14" s="1838">
        <v>10940785.785</v>
      </c>
      <c r="E14" s="1838">
        <v>13327546.671</v>
      </c>
      <c r="F14" s="1838">
        <v>19016892.239999998</v>
      </c>
      <c r="G14" s="1838">
        <v>21700424.897999998</v>
      </c>
      <c r="H14" s="1838">
        <v>22403665.530000001</v>
      </c>
      <c r="I14" s="1839">
        <v>21324071.940000001</v>
      </c>
      <c r="J14" s="1839"/>
      <c r="K14" s="1839"/>
      <c r="L14" s="1839"/>
      <c r="M14" s="1839"/>
      <c r="N14" s="1839"/>
      <c r="T14" s="1854"/>
      <c r="U14" s="1854" t="s">
        <v>3913</v>
      </c>
      <c r="V14" s="1854"/>
      <c r="W14" s="1855">
        <f>AVERAGE(W19:W36)</f>
        <v>53315638.888888888</v>
      </c>
      <c r="X14" s="1855">
        <f t="shared" ref="X14:AA14" si="21">AVERAGE(X19:X32)</f>
        <v>52511615.384615384</v>
      </c>
      <c r="Y14" s="1855">
        <f t="shared" si="21"/>
        <v>53452709.090909094</v>
      </c>
      <c r="Z14" s="1855" t="e">
        <f t="shared" si="21"/>
        <v>#DIV/0!</v>
      </c>
      <c r="AA14" s="1855" t="e">
        <f t="shared" si="21"/>
        <v>#DIV/0!</v>
      </c>
      <c r="AD14" s="1854"/>
      <c r="AE14" s="1854" t="s">
        <v>3913</v>
      </c>
      <c r="AF14" s="1854"/>
      <c r="AG14" s="1855">
        <f>AVERAGE(AG19:AG36)</f>
        <v>21055318.75</v>
      </c>
      <c r="AH14" s="1855">
        <f t="shared" ref="AH14:AK14" si="22">AVERAGE(AH19:AH32)</f>
        <v>19163491.666666668</v>
      </c>
      <c r="AI14" s="1855">
        <f t="shared" si="22"/>
        <v>19658081.818181816</v>
      </c>
      <c r="AJ14" s="1855" t="e">
        <f t="shared" si="22"/>
        <v>#DIV/0!</v>
      </c>
      <c r="AK14" s="1855" t="e">
        <f t="shared" si="22"/>
        <v>#DIV/0!</v>
      </c>
    </row>
    <row r="15" spans="2:63" ht="13.5" customHeight="1" x14ac:dyDescent="0.3">
      <c r="B15" s="1410" t="s">
        <v>2566</v>
      </c>
      <c r="C15" s="1411" t="s">
        <v>92</v>
      </c>
      <c r="D15" s="1840">
        <f>D14/C14-1</f>
        <v>-0.26248973397763331</v>
      </c>
      <c r="E15" s="1840">
        <f t="shared" ref="E15" si="23">E14/D14-1</f>
        <v>0.21815260191569497</v>
      </c>
      <c r="F15" s="1840">
        <f t="shared" ref="F15" si="24">F14/E14-1</f>
        <v>0.42688618614104712</v>
      </c>
      <c r="G15" s="1840">
        <f t="shared" ref="G15" si="25">G14/F14-1</f>
        <v>0.14111310219003492</v>
      </c>
      <c r="H15" s="1840">
        <f t="shared" ref="H15" si="26">H14/G14-1</f>
        <v>3.2406767853878193E-2</v>
      </c>
      <c r="I15" s="1841">
        <f t="shared" ref="I15" si="27">I14/H14-1</f>
        <v>-4.8188256897263138E-2</v>
      </c>
      <c r="J15" s="1841">
        <f t="shared" ref="J15" si="28">J14/I14-1</f>
        <v>-1</v>
      </c>
      <c r="K15" s="1841" t="e">
        <f t="shared" ref="K15" si="29">K14/J14-1</f>
        <v>#DIV/0!</v>
      </c>
      <c r="L15" s="1841" t="e">
        <f t="shared" ref="L15" si="30">L14/K14-1</f>
        <v>#DIV/0!</v>
      </c>
      <c r="M15" s="1841"/>
      <c r="N15" s="1841"/>
      <c r="T15" s="1856"/>
      <c r="U15" s="1856" t="s">
        <v>1138</v>
      </c>
      <c r="V15" s="1856"/>
      <c r="W15" s="1857">
        <f>MAX(W19:W36)</f>
        <v>72172500</v>
      </c>
      <c r="X15" s="1857">
        <f>MAX(X19:X32)</f>
        <v>72527000</v>
      </c>
      <c r="Y15" s="1857">
        <f t="shared" ref="Y15:AA15" si="31">MAX(Y19:Y32)</f>
        <v>59706000</v>
      </c>
      <c r="Z15" s="1857">
        <f t="shared" si="31"/>
        <v>0</v>
      </c>
      <c r="AA15" s="1857">
        <f t="shared" si="31"/>
        <v>0</v>
      </c>
      <c r="AD15" s="1856"/>
      <c r="AE15" s="1856" t="s">
        <v>1138</v>
      </c>
      <c r="AF15" s="1856"/>
      <c r="AG15" s="1857">
        <f>MAX(AG19:AG36)</f>
        <v>35348000</v>
      </c>
      <c r="AH15" s="1857">
        <f>MAX(AH19:AH32)</f>
        <v>23237000</v>
      </c>
      <c r="AI15" s="1857">
        <f t="shared" ref="AI15:AK15" si="32">MAX(AI19:AI32)</f>
        <v>24279000</v>
      </c>
      <c r="AJ15" s="1857">
        <f t="shared" si="32"/>
        <v>0</v>
      </c>
      <c r="AK15" s="1857">
        <f t="shared" si="32"/>
        <v>0</v>
      </c>
    </row>
    <row r="16" spans="2:63" x14ac:dyDescent="0.3">
      <c r="T16" s="1856"/>
      <c r="U16" s="1856" t="s">
        <v>1052</v>
      </c>
      <c r="V16" s="1856"/>
      <c r="W16" s="1858">
        <f>MEDIAN(W19:W36)</f>
        <v>49253000</v>
      </c>
      <c r="X16" s="1858">
        <f>MEDIAN(X19:X32)</f>
        <v>50721000</v>
      </c>
      <c r="Y16" s="1858">
        <f t="shared" ref="Y16:AA16" si="33">MEDIAN(Y19:Y32)</f>
        <v>53667000</v>
      </c>
      <c r="Z16" s="1858" t="e">
        <f t="shared" si="33"/>
        <v>#NUM!</v>
      </c>
      <c r="AA16" s="1858" t="e">
        <f t="shared" si="33"/>
        <v>#NUM!</v>
      </c>
      <c r="AD16" s="1856"/>
      <c r="AE16" s="1856" t="s">
        <v>1052</v>
      </c>
      <c r="AF16" s="1856"/>
      <c r="AG16" s="1858">
        <f>MEDIAN(AG19:AG36)</f>
        <v>18680600</v>
      </c>
      <c r="AH16" s="1858">
        <f>MEDIAN(AH19:AH32)</f>
        <v>19275500</v>
      </c>
      <c r="AI16" s="1858">
        <f t="shared" ref="AI16:AK16" si="34">MEDIAN(AI19:AI32)</f>
        <v>20031000</v>
      </c>
      <c r="AJ16" s="1858" t="e">
        <f t="shared" si="34"/>
        <v>#NUM!</v>
      </c>
      <c r="AK16" s="1858" t="e">
        <f t="shared" si="34"/>
        <v>#NUM!</v>
      </c>
    </row>
    <row r="17" spans="20:37" x14ac:dyDescent="0.3">
      <c r="T17" s="1856"/>
      <c r="U17" s="1856" t="s">
        <v>1137</v>
      </c>
      <c r="V17" s="1856"/>
      <c r="W17" s="1857">
        <f>MIN(W19:W36)</f>
        <v>46118000</v>
      </c>
      <c r="X17" s="1857">
        <f>MIN(X19:X32)</f>
        <v>43137000</v>
      </c>
      <c r="Y17" s="1857">
        <f t="shared" ref="Y17:AA17" si="35">MIN(Y19:Y32)</f>
        <v>45481000</v>
      </c>
      <c r="Z17" s="1857">
        <f t="shared" si="35"/>
        <v>0</v>
      </c>
      <c r="AA17" s="1857">
        <f t="shared" si="35"/>
        <v>0</v>
      </c>
      <c r="AD17" s="1856"/>
      <c r="AE17" s="1856" t="s">
        <v>1137</v>
      </c>
      <c r="AF17" s="1856"/>
      <c r="AG17" s="1857">
        <f>MIN(AG19:AG36)</f>
        <v>16451000</v>
      </c>
      <c r="AH17" s="1857">
        <f>MIN(AH19:AH32)</f>
        <v>13441600</v>
      </c>
      <c r="AI17" s="1857">
        <f t="shared" ref="AI17:AK17" si="36">MIN(AI19:AI32)</f>
        <v>12749200</v>
      </c>
      <c r="AJ17" s="1857">
        <f t="shared" si="36"/>
        <v>0</v>
      </c>
      <c r="AK17" s="1857">
        <f t="shared" si="36"/>
        <v>0</v>
      </c>
    </row>
    <row r="18" spans="20:37" x14ac:dyDescent="0.3">
      <c r="T18" s="1859" t="s">
        <v>3914</v>
      </c>
      <c r="U18" s="1860" t="s">
        <v>3915</v>
      </c>
      <c r="V18" s="1860" t="s">
        <v>3916</v>
      </c>
      <c r="W18" s="1861"/>
      <c r="X18" s="1861"/>
      <c r="Y18" s="1861"/>
      <c r="Z18" s="1861"/>
      <c r="AA18" s="1861"/>
      <c r="AD18" s="1859" t="s">
        <v>3914</v>
      </c>
      <c r="AE18" s="1860" t="s">
        <v>3915</v>
      </c>
      <c r="AF18" s="1860" t="s">
        <v>3916</v>
      </c>
      <c r="AG18" s="1861"/>
      <c r="AH18" s="1861"/>
      <c r="AI18" s="1861"/>
      <c r="AJ18" s="1861"/>
      <c r="AK18" s="1861"/>
    </row>
    <row r="19" spans="20:37" x14ac:dyDescent="0.3">
      <c r="T19" s="1862">
        <v>42362</v>
      </c>
      <c r="U19" s="1863" t="s">
        <v>3919</v>
      </c>
      <c r="V19" s="1864" t="s">
        <v>3981</v>
      </c>
      <c r="W19" s="1865">
        <v>49056100</v>
      </c>
      <c r="X19" s="1865">
        <v>48946200</v>
      </c>
      <c r="Y19" s="1865">
        <v>49825300</v>
      </c>
      <c r="Z19" s="1857"/>
      <c r="AA19" s="1857"/>
      <c r="AD19" s="1862">
        <v>42297</v>
      </c>
      <c r="AE19" s="1863" t="s">
        <v>3931</v>
      </c>
      <c r="AF19" s="1864" t="s">
        <v>4437</v>
      </c>
      <c r="AG19" s="1865">
        <v>18429000</v>
      </c>
      <c r="AH19" s="1865">
        <v>19558000</v>
      </c>
      <c r="AI19" s="1865">
        <v>22058000</v>
      </c>
      <c r="AJ19" s="1857"/>
      <c r="AK19" s="1857"/>
    </row>
    <row r="20" spans="20:37" x14ac:dyDescent="0.3">
      <c r="T20" s="1862">
        <v>42209</v>
      </c>
      <c r="U20" s="1863" t="s">
        <v>3933</v>
      </c>
      <c r="V20" s="1864" t="s">
        <v>3973</v>
      </c>
      <c r="W20" s="1865">
        <v>50708000</v>
      </c>
      <c r="X20" s="1865">
        <v>56017000</v>
      </c>
      <c r="Y20" s="1865">
        <v>59400000</v>
      </c>
      <c r="Z20" s="1857"/>
      <c r="AA20" s="1857"/>
      <c r="AD20" s="1862">
        <v>42208</v>
      </c>
      <c r="AE20" s="1863" t="s">
        <v>3933</v>
      </c>
      <c r="AF20" s="1864" t="s">
        <v>3973</v>
      </c>
      <c r="AG20" s="1865">
        <v>19830000</v>
      </c>
      <c r="AH20" s="1865">
        <v>22729000</v>
      </c>
      <c r="AI20" s="1865">
        <v>24279000</v>
      </c>
      <c r="AJ20" s="1857"/>
      <c r="AK20" s="1857"/>
    </row>
    <row r="21" spans="20:37" x14ac:dyDescent="0.3">
      <c r="T21" s="1862">
        <v>42303</v>
      </c>
      <c r="U21" s="1863" t="s">
        <v>3928</v>
      </c>
      <c r="V21" s="1864" t="s">
        <v>4436</v>
      </c>
      <c r="W21" s="1865">
        <v>53507000</v>
      </c>
      <c r="X21" s="1865">
        <v>54042000</v>
      </c>
      <c r="Y21" s="1865"/>
      <c r="Z21" s="1857"/>
      <c r="AA21" s="1857"/>
      <c r="AD21" s="1862">
        <v>42374</v>
      </c>
      <c r="AE21" s="1863" t="s">
        <v>3921</v>
      </c>
      <c r="AF21" s="1864" t="s">
        <v>3974</v>
      </c>
      <c r="AG21" s="1865">
        <v>17890400</v>
      </c>
      <c r="AH21" s="1865">
        <v>13441600</v>
      </c>
      <c r="AI21" s="1865">
        <v>12749200</v>
      </c>
      <c r="AJ21" s="1857"/>
      <c r="AK21" s="1857"/>
    </row>
    <row r="22" spans="20:37" x14ac:dyDescent="0.3">
      <c r="T22" s="1862">
        <v>42268</v>
      </c>
      <c r="U22" s="1863" t="s">
        <v>3931</v>
      </c>
      <c r="V22" s="1864" t="s">
        <v>4437</v>
      </c>
      <c r="W22" s="1865">
        <v>48921000</v>
      </c>
      <c r="X22" s="1865">
        <v>50721000</v>
      </c>
      <c r="Y22" s="1865">
        <v>56520000</v>
      </c>
      <c r="Z22" s="1857"/>
      <c r="AA22" s="1857"/>
      <c r="AD22" s="1862">
        <v>42122</v>
      </c>
      <c r="AE22" s="1863" t="s">
        <v>3926</v>
      </c>
      <c r="AF22" s="1864" t="s">
        <v>3979</v>
      </c>
      <c r="AG22" s="1865">
        <v>19912000</v>
      </c>
      <c r="AH22" s="1865">
        <v>22678000</v>
      </c>
      <c r="AI22" s="1865">
        <v>23251000</v>
      </c>
      <c r="AJ22" s="1857"/>
      <c r="AK22" s="1857"/>
    </row>
    <row r="23" spans="20:37" x14ac:dyDescent="0.3">
      <c r="T23" s="1862">
        <v>41557</v>
      </c>
      <c r="U23" s="1863" t="s">
        <v>3917</v>
      </c>
      <c r="V23" s="1864" t="s">
        <v>3982</v>
      </c>
      <c r="W23" s="1865">
        <v>70314000</v>
      </c>
      <c r="X23" s="1865"/>
      <c r="Y23" s="1865"/>
      <c r="Z23" s="1857"/>
      <c r="AA23" s="1857"/>
      <c r="AD23" s="1862">
        <v>42298</v>
      </c>
      <c r="AE23" s="1863" t="s">
        <v>3923</v>
      </c>
      <c r="AF23" s="1864" t="s">
        <v>3971</v>
      </c>
      <c r="AG23" s="1865">
        <v>18364000</v>
      </c>
      <c r="AH23" s="1865">
        <v>18993000</v>
      </c>
      <c r="AI23" s="1865">
        <v>20031000</v>
      </c>
      <c r="AJ23" s="1857"/>
      <c r="AK23" s="1857"/>
    </row>
    <row r="24" spans="20:37" x14ac:dyDescent="0.3">
      <c r="T24" s="1862">
        <v>42128</v>
      </c>
      <c r="U24" s="1863" t="s">
        <v>3926</v>
      </c>
      <c r="V24" s="1864" t="s">
        <v>3979</v>
      </c>
      <c r="W24" s="1865">
        <v>51992000</v>
      </c>
      <c r="X24" s="1865">
        <v>55742000</v>
      </c>
      <c r="Y24" s="1865">
        <v>57032000</v>
      </c>
      <c r="Z24" s="1857"/>
      <c r="AA24" s="1857"/>
      <c r="AD24" s="1862">
        <v>42283</v>
      </c>
      <c r="AE24" s="1863" t="s">
        <v>3930</v>
      </c>
      <c r="AF24" s="1864" t="s">
        <v>3972</v>
      </c>
      <c r="AG24" s="1865">
        <v>18655200</v>
      </c>
      <c r="AH24" s="1865">
        <v>18003700</v>
      </c>
      <c r="AI24" s="1865">
        <v>18615900</v>
      </c>
      <c r="AJ24" s="1857"/>
      <c r="AK24" s="1857"/>
    </row>
    <row r="25" spans="20:37" x14ac:dyDescent="0.3">
      <c r="T25" s="1862">
        <v>41757</v>
      </c>
      <c r="U25" s="1863" t="s">
        <v>3951</v>
      </c>
      <c r="V25" s="1864" t="s">
        <v>3976</v>
      </c>
      <c r="W25" s="1865">
        <v>71865000</v>
      </c>
      <c r="X25" s="1865">
        <v>72527000</v>
      </c>
      <c r="Y25" s="1865"/>
      <c r="Z25" s="1857"/>
      <c r="AA25" s="1857"/>
      <c r="AD25" s="1862">
        <v>42209</v>
      </c>
      <c r="AE25" s="1863" t="s">
        <v>3928</v>
      </c>
      <c r="AF25" s="1864" t="s">
        <v>4436</v>
      </c>
      <c r="AG25" s="1865">
        <v>21016000</v>
      </c>
      <c r="AH25" s="1865">
        <v>21441000</v>
      </c>
      <c r="AI25" s="1865"/>
      <c r="AJ25" s="1857"/>
      <c r="AK25" s="1857"/>
    </row>
    <row r="26" spans="20:37" x14ac:dyDescent="0.3">
      <c r="T26" s="1862">
        <v>42304</v>
      </c>
      <c r="U26" s="1863" t="s">
        <v>3923</v>
      </c>
      <c r="V26" s="1864" t="s">
        <v>3971</v>
      </c>
      <c r="W26" s="1865">
        <v>49212000</v>
      </c>
      <c r="X26" s="1865">
        <v>48752000</v>
      </c>
      <c r="Y26" s="1865">
        <v>53667000</v>
      </c>
      <c r="Z26" s="1857"/>
      <c r="AA26" s="1857"/>
      <c r="AD26" s="1862">
        <v>42122</v>
      </c>
      <c r="AE26" s="1863" t="s">
        <v>3918</v>
      </c>
      <c r="AF26" s="1864" t="s">
        <v>3984</v>
      </c>
      <c r="AG26" s="1865">
        <v>16451000</v>
      </c>
      <c r="AH26" s="1865">
        <v>15724000</v>
      </c>
      <c r="AI26" s="1865">
        <v>15533000</v>
      </c>
      <c r="AJ26" s="1857"/>
      <c r="AK26" s="1857"/>
    </row>
    <row r="27" spans="20:37" x14ac:dyDescent="0.3">
      <c r="T27" s="1862">
        <v>42326</v>
      </c>
      <c r="U27" s="1863" t="s">
        <v>3920</v>
      </c>
      <c r="V27" s="1864" t="s">
        <v>3985</v>
      </c>
      <c r="W27" s="1865">
        <v>50841000</v>
      </c>
      <c r="X27" s="1865">
        <v>58688000</v>
      </c>
      <c r="Y27" s="1865">
        <v>59706000</v>
      </c>
      <c r="Z27" s="1857"/>
      <c r="AA27" s="1857"/>
      <c r="AD27" s="1862">
        <v>42382</v>
      </c>
      <c r="AE27" s="1863" t="s">
        <v>3925</v>
      </c>
      <c r="AF27" s="1864" t="s">
        <v>4438</v>
      </c>
      <c r="AG27" s="1865">
        <v>17881000</v>
      </c>
      <c r="AH27" s="1865">
        <v>15501000</v>
      </c>
      <c r="AI27" s="1865">
        <v>16948000</v>
      </c>
      <c r="AJ27" s="1857"/>
      <c r="AK27" s="1857"/>
    </row>
    <row r="28" spans="20:37" x14ac:dyDescent="0.3">
      <c r="T28" s="1862">
        <v>42382</v>
      </c>
      <c r="U28" s="1863" t="s">
        <v>3925</v>
      </c>
      <c r="V28" s="1864" t="s">
        <v>4438</v>
      </c>
      <c r="W28" s="1865">
        <v>48485000</v>
      </c>
      <c r="X28" s="1865">
        <v>43137000</v>
      </c>
      <c r="Y28" s="1865">
        <v>45481000</v>
      </c>
      <c r="Z28" s="1857"/>
      <c r="AA28" s="1857"/>
      <c r="AD28" s="1862">
        <v>42164</v>
      </c>
      <c r="AE28" s="1863" t="s">
        <v>3932</v>
      </c>
      <c r="AF28" s="1864" t="s">
        <v>4439</v>
      </c>
      <c r="AG28" s="1865">
        <v>18706000</v>
      </c>
      <c r="AH28" s="1865">
        <v>20355000</v>
      </c>
      <c r="AI28" s="1865">
        <v>20409000</v>
      </c>
      <c r="AJ28" s="1857"/>
      <c r="AK28" s="1857"/>
    </row>
    <row r="29" spans="20:37" x14ac:dyDescent="0.3">
      <c r="T29" s="1862">
        <v>42382</v>
      </c>
      <c r="U29" s="1863" t="s">
        <v>3949</v>
      </c>
      <c r="V29" s="1864" t="s">
        <v>3977</v>
      </c>
      <c r="W29" s="1865">
        <v>49294000</v>
      </c>
      <c r="X29" s="1865">
        <v>48717000</v>
      </c>
      <c r="Y29" s="1865">
        <v>51087000</v>
      </c>
      <c r="Z29" s="1857"/>
      <c r="AA29" s="1857"/>
      <c r="AD29" s="1862">
        <v>42283</v>
      </c>
      <c r="AE29" s="1863" t="s">
        <v>3920</v>
      </c>
      <c r="AF29" s="1864" t="s">
        <v>3985</v>
      </c>
      <c r="AG29" s="1865">
        <v>19524000</v>
      </c>
      <c r="AH29" s="1865">
        <v>23237000</v>
      </c>
      <c r="AI29" s="1865">
        <v>23740000</v>
      </c>
      <c r="AJ29" s="1857"/>
      <c r="AK29" s="1857"/>
    </row>
    <row r="30" spans="20:37" x14ac:dyDescent="0.3">
      <c r="T30" s="1862">
        <v>42128</v>
      </c>
      <c r="U30" s="1863" t="s">
        <v>3918</v>
      </c>
      <c r="V30" s="1864" t="s">
        <v>3984</v>
      </c>
      <c r="W30" s="1865">
        <v>51535000</v>
      </c>
      <c r="X30" s="1865">
        <v>52778000</v>
      </c>
      <c r="Y30" s="1865">
        <v>52325000</v>
      </c>
      <c r="Z30" s="1857"/>
      <c r="AA30" s="1857"/>
      <c r="AD30" s="1862">
        <v>42390</v>
      </c>
      <c r="AE30" s="1863" t="s">
        <v>3949</v>
      </c>
      <c r="AF30" s="1864" t="s">
        <v>3977</v>
      </c>
      <c r="AG30" s="1865"/>
      <c r="AH30" s="1865"/>
      <c r="AI30" s="1865"/>
      <c r="AJ30" s="1857"/>
      <c r="AK30" s="1857"/>
    </row>
    <row r="31" spans="20:37" x14ac:dyDescent="0.3">
      <c r="T31" s="1862">
        <v>42164</v>
      </c>
      <c r="U31" s="1863" t="s">
        <v>3932</v>
      </c>
      <c r="V31" s="1864" t="s">
        <v>4439</v>
      </c>
      <c r="W31" s="1865">
        <v>46118000</v>
      </c>
      <c r="X31" s="1865">
        <v>46779000</v>
      </c>
      <c r="Y31" s="1865">
        <v>47049000</v>
      </c>
      <c r="Z31" s="1857"/>
      <c r="AA31" s="1857"/>
      <c r="AD31" s="1862">
        <v>41557</v>
      </c>
      <c r="AE31" s="1863" t="s">
        <v>3917</v>
      </c>
      <c r="AF31" s="1864" t="s">
        <v>3982</v>
      </c>
      <c r="AG31" s="1865">
        <v>28419000</v>
      </c>
      <c r="AH31" s="1865"/>
      <c r="AI31" s="1865"/>
      <c r="AJ31" s="1857"/>
      <c r="AK31" s="1857"/>
    </row>
    <row r="32" spans="20:37" x14ac:dyDescent="0.3">
      <c r="T32" s="1862">
        <v>42362</v>
      </c>
      <c r="U32" s="1863" t="s">
        <v>3929</v>
      </c>
      <c r="V32" s="1864" t="s">
        <v>4440</v>
      </c>
      <c r="W32" s="1865">
        <v>49017200</v>
      </c>
      <c r="X32" s="1865">
        <v>45804800</v>
      </c>
      <c r="Y32" s="1865">
        <v>55887500</v>
      </c>
      <c r="Z32" s="1857"/>
      <c r="AA32" s="1857"/>
      <c r="AD32" s="1862">
        <v>42297</v>
      </c>
      <c r="AE32" s="1863" t="s">
        <v>3919</v>
      </c>
      <c r="AF32" s="1864" t="s">
        <v>3981</v>
      </c>
      <c r="AG32" s="1865">
        <v>18401500</v>
      </c>
      <c r="AH32" s="1865">
        <v>18300600</v>
      </c>
      <c r="AI32" s="1865">
        <v>18624800</v>
      </c>
      <c r="AJ32" s="1857"/>
      <c r="AK32" s="1857"/>
    </row>
    <row r="33" spans="20:37" x14ac:dyDescent="0.3">
      <c r="T33" s="1862">
        <v>42303</v>
      </c>
      <c r="U33" s="1863" t="s">
        <v>3930</v>
      </c>
      <c r="V33" s="1864" t="s">
        <v>3972</v>
      </c>
      <c r="W33" s="1865">
        <v>48960700</v>
      </c>
      <c r="X33" s="1865">
        <v>44893400</v>
      </c>
      <c r="Y33" s="1865">
        <v>47084600</v>
      </c>
      <c r="Z33" s="1857"/>
      <c r="AA33" s="1857"/>
      <c r="AD33" s="1862">
        <v>41723</v>
      </c>
      <c r="AE33" s="1863" t="s">
        <v>3951</v>
      </c>
      <c r="AF33" s="1864" t="s">
        <v>3976</v>
      </c>
      <c r="AG33" s="1865">
        <v>35348000</v>
      </c>
      <c r="AH33" s="1865"/>
      <c r="AI33" s="1865"/>
      <c r="AJ33" s="1857"/>
      <c r="AK33" s="1857"/>
    </row>
    <row r="34" spans="20:37" x14ac:dyDescent="0.3">
      <c r="T34" s="1862">
        <v>42303</v>
      </c>
      <c r="U34" s="1863" t="s">
        <v>3924</v>
      </c>
      <c r="V34" s="1864" t="s">
        <v>3980</v>
      </c>
      <c r="W34" s="1857">
        <v>48846200</v>
      </c>
      <c r="X34" s="1857">
        <v>48118400</v>
      </c>
      <c r="Y34" s="1857">
        <v>41891200</v>
      </c>
      <c r="Z34" s="1857"/>
      <c r="AA34" s="1857"/>
      <c r="AD34" s="1862">
        <v>42362</v>
      </c>
      <c r="AE34" s="1863" t="s">
        <v>3929</v>
      </c>
      <c r="AF34" s="1864" t="s">
        <v>4440</v>
      </c>
      <c r="AG34" s="1857">
        <v>18023100</v>
      </c>
      <c r="AH34" s="1857">
        <v>17027000</v>
      </c>
      <c r="AI34" s="1857">
        <v>23514000</v>
      </c>
      <c r="AJ34" s="1857"/>
      <c r="AK34" s="1857"/>
    </row>
    <row r="35" spans="20:37" x14ac:dyDescent="0.3">
      <c r="T35" s="1862">
        <v>42374</v>
      </c>
      <c r="U35" s="1863" t="s">
        <v>3921</v>
      </c>
      <c r="V35" s="1864" t="s">
        <v>3974</v>
      </c>
      <c r="W35" s="1857">
        <v>48836800</v>
      </c>
      <c r="X35" s="1857">
        <v>39161700</v>
      </c>
      <c r="Y35" s="1857">
        <v>37141300</v>
      </c>
      <c r="Z35" s="1857"/>
      <c r="AA35" s="1857"/>
      <c r="AD35" s="1862">
        <v>41572</v>
      </c>
      <c r="AE35" s="1863" t="s">
        <v>3922</v>
      </c>
      <c r="AF35" s="1864" t="s">
        <v>4441</v>
      </c>
      <c r="AG35" s="1857">
        <v>30034900</v>
      </c>
      <c r="AH35" s="1857"/>
      <c r="AI35" s="1857"/>
      <c r="AJ35" s="1857"/>
      <c r="AK35" s="1857"/>
    </row>
    <row r="36" spans="20:37" x14ac:dyDescent="0.3">
      <c r="T36" s="1862">
        <v>41558</v>
      </c>
      <c r="U36" s="1863" t="s">
        <v>3922</v>
      </c>
      <c r="V36" s="1864" t="s">
        <v>4441</v>
      </c>
      <c r="W36" s="1857">
        <v>72172500</v>
      </c>
      <c r="X36" s="1857"/>
      <c r="Y36" s="1857"/>
      <c r="Z36" s="1857"/>
      <c r="AA36" s="1857"/>
      <c r="AD36" s="1862">
        <v>42297</v>
      </c>
      <c r="AE36" s="1863" t="s">
        <v>3924</v>
      </c>
      <c r="AF36" s="1864" t="s">
        <v>3980</v>
      </c>
      <c r="AG36" s="1857"/>
      <c r="AH36" s="1857"/>
      <c r="AI36" s="1857"/>
      <c r="AJ36" s="1857"/>
      <c r="AK36" s="1857"/>
    </row>
    <row r="37" spans="20:37" x14ac:dyDescent="0.3">
      <c r="T37" s="1862"/>
      <c r="U37" s="1863"/>
      <c r="V37" s="1864"/>
      <c r="W37" s="1857"/>
      <c r="X37" s="1857"/>
      <c r="Y37" s="1857"/>
      <c r="Z37" s="1857"/>
      <c r="AA37" s="1857"/>
      <c r="AD37" s="1862"/>
      <c r="AE37" s="1863"/>
      <c r="AF37" s="1864"/>
      <c r="AG37" s="1857"/>
      <c r="AH37" s="1857"/>
      <c r="AI37" s="1857"/>
      <c r="AJ37" s="1857"/>
      <c r="AK37" s="1857"/>
    </row>
    <row r="38" spans="20:37" x14ac:dyDescent="0.3">
      <c r="T38" s="1862"/>
      <c r="U38" s="1863"/>
      <c r="V38" s="1864"/>
      <c r="W38" s="1857"/>
      <c r="X38" s="1857"/>
      <c r="Y38" s="1857"/>
      <c r="Z38" s="1857"/>
      <c r="AA38" s="1857"/>
      <c r="AD38" s="1862"/>
      <c r="AE38" s="1863"/>
      <c r="AF38" s="1864"/>
      <c r="AG38" s="1857"/>
      <c r="AH38" s="1857"/>
      <c r="AI38" s="1857"/>
      <c r="AJ38" s="1857"/>
      <c r="AK38" s="1857"/>
    </row>
    <row r="39" spans="20:37" x14ac:dyDescent="0.3">
      <c r="T39" s="1862"/>
      <c r="U39" s="1863"/>
      <c r="V39" s="1864"/>
      <c r="W39" s="1857"/>
      <c r="X39" s="1857"/>
      <c r="Y39" s="1857"/>
      <c r="Z39" s="1857"/>
      <c r="AA39" s="1857"/>
      <c r="AD39" s="1862"/>
      <c r="AE39" s="1863"/>
      <c r="AF39" s="1864"/>
      <c r="AG39" s="1857"/>
      <c r="AH39" s="1857"/>
      <c r="AI39" s="1857"/>
      <c r="AJ39" s="1857"/>
      <c r="AK39" s="1857"/>
    </row>
    <row r="40" spans="20:37" x14ac:dyDescent="0.3">
      <c r="T40" s="1862"/>
      <c r="U40" s="1863"/>
      <c r="V40" s="1864"/>
      <c r="W40" s="1857"/>
      <c r="X40" s="1857"/>
      <c r="Y40" s="1857"/>
      <c r="Z40" s="1857"/>
      <c r="AA40" s="1857"/>
      <c r="AD40" s="1862"/>
      <c r="AE40" s="1863"/>
      <c r="AF40" s="1864"/>
      <c r="AG40" s="1857"/>
      <c r="AH40" s="1857"/>
      <c r="AI40" s="1857"/>
      <c r="AJ40" s="1857"/>
      <c r="AK40" s="1857"/>
    </row>
    <row r="41" spans="20:37" x14ac:dyDescent="0.3">
      <c r="T41" s="1862"/>
      <c r="U41" s="1863"/>
      <c r="V41" s="1864"/>
      <c r="W41" s="1857"/>
      <c r="X41" s="1857"/>
      <c r="Y41" s="1857"/>
      <c r="Z41" s="1857"/>
      <c r="AA41" s="1857"/>
      <c r="AD41" s="1862"/>
      <c r="AE41" s="1863"/>
      <c r="AF41" s="1864"/>
      <c r="AG41" s="1857"/>
      <c r="AH41" s="1857"/>
      <c r="AI41" s="1857"/>
      <c r="AJ41" s="1857"/>
      <c r="AK41" s="1857"/>
    </row>
    <row r="42" spans="20:37" x14ac:dyDescent="0.3">
      <c r="T42" s="1862"/>
      <c r="U42" s="1863"/>
      <c r="V42" s="1864"/>
      <c r="W42" s="1857"/>
      <c r="X42" s="1857"/>
      <c r="Y42" s="1857"/>
      <c r="Z42" s="1857"/>
      <c r="AA42" s="1857"/>
      <c r="AD42" s="1862"/>
      <c r="AE42" s="1863"/>
      <c r="AF42" s="1864"/>
      <c r="AG42" s="1857"/>
      <c r="AH42" s="1857"/>
      <c r="AI42" s="1857"/>
      <c r="AJ42" s="1857"/>
      <c r="AK42" s="1857"/>
    </row>
    <row r="43" spans="20:37" x14ac:dyDescent="0.3">
      <c r="T43" s="1862"/>
      <c r="U43" s="1863"/>
      <c r="V43" s="1864"/>
      <c r="W43" s="1857"/>
      <c r="X43" s="1857"/>
      <c r="Y43" s="1857"/>
      <c r="Z43" s="1857"/>
      <c r="AA43" s="1857"/>
      <c r="AD43" s="1862"/>
      <c r="AE43" s="1863"/>
      <c r="AF43" s="1864"/>
      <c r="AG43" s="1857"/>
      <c r="AH43" s="1857"/>
      <c r="AI43" s="1857"/>
      <c r="AJ43" s="1857"/>
      <c r="AK43" s="1857"/>
    </row>
    <row r="44" spans="20:37" x14ac:dyDescent="0.3">
      <c r="T44" s="1862"/>
      <c r="U44" s="1863"/>
      <c r="V44" s="1864"/>
      <c r="W44" s="1857"/>
      <c r="X44" s="1857"/>
      <c r="Y44" s="1857"/>
      <c r="Z44" s="1857"/>
      <c r="AA44" s="1857"/>
      <c r="AD44" s="1862"/>
      <c r="AE44" s="1863"/>
      <c r="AF44" s="1864"/>
      <c r="AG44" s="1857"/>
      <c r="AH44" s="1857"/>
      <c r="AI44" s="1857"/>
      <c r="AJ44" s="1857"/>
      <c r="AK44" s="1857"/>
    </row>
    <row r="45" spans="20:37" x14ac:dyDescent="0.3">
      <c r="T45" s="1862"/>
      <c r="U45" s="1863"/>
      <c r="V45" s="1864"/>
      <c r="W45" s="1857"/>
      <c r="X45" s="1857"/>
      <c r="Y45" s="1857"/>
      <c r="Z45" s="1857"/>
      <c r="AA45" s="1857"/>
      <c r="AD45" s="1862"/>
      <c r="AE45" s="1863"/>
      <c r="AF45" s="1864"/>
      <c r="AG45" s="1857"/>
      <c r="AH45" s="1857"/>
      <c r="AI45" s="1857"/>
      <c r="AJ45" s="1857"/>
      <c r="AK45" s="1857"/>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K7"/>
  <sheetViews>
    <sheetView zoomScale="85" zoomScaleNormal="85" workbookViewId="0">
      <selection activeCell="T16" sqref="T16"/>
    </sheetView>
  </sheetViews>
  <sheetFormatPr defaultRowHeight="16.5" x14ac:dyDescent="0.3"/>
  <cols>
    <col min="1" max="1" width="1.625" style="1039" customWidth="1"/>
    <col min="2" max="16384" width="9" style="1039"/>
  </cols>
  <sheetData>
    <row r="1" spans="1:63" s="691" customFormat="1" ht="30" customHeight="1" x14ac:dyDescent="0.3">
      <c r="A1" s="1039"/>
      <c r="B1" s="58" t="str">
        <f>"Project"&amp;" "&amp;Title!L6</f>
        <v>Project IT</v>
      </c>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row>
    <row r="2" spans="1:63" s="691" customFormat="1" ht="20.100000000000001" customHeight="1" x14ac:dyDescent="0.3">
      <c r="A2" s="1039"/>
      <c r="B2" s="51" t="s">
        <v>4444</v>
      </c>
      <c r="C2" s="51"/>
      <c r="D2" s="51"/>
      <c r="E2" s="51"/>
      <c r="F2" s="51"/>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row>
    <row r="5" spans="1:63" x14ac:dyDescent="0.3">
      <c r="N5" s="1422">
        <v>2015</v>
      </c>
      <c r="O5" s="1422">
        <v>2016</v>
      </c>
      <c r="P5" s="1422">
        <v>2017</v>
      </c>
      <c r="Q5" s="1422">
        <v>2018</v>
      </c>
      <c r="R5" s="1422">
        <v>2019</v>
      </c>
      <c r="S5" s="1422">
        <v>2020</v>
      </c>
    </row>
    <row r="6" spans="1:63" x14ac:dyDescent="0.3">
      <c r="M6" s="1866" t="s">
        <v>4445</v>
      </c>
      <c r="N6" s="1839">
        <v>58</v>
      </c>
      <c r="O6" s="1839">
        <v>64</v>
      </c>
      <c r="P6" s="1839">
        <v>65</v>
      </c>
      <c r="Q6" s="1839">
        <v>70</v>
      </c>
      <c r="R6" s="1839">
        <v>75</v>
      </c>
      <c r="S6" s="1839">
        <v>80</v>
      </c>
    </row>
    <row r="7" spans="1:63" x14ac:dyDescent="0.3">
      <c r="N7" s="1841"/>
      <c r="O7" s="1841">
        <f>O6/N6-1</f>
        <v>0.10344827586206895</v>
      </c>
      <c r="P7" s="1841">
        <f t="shared" ref="P7:S7" si="0">P6/O6-1</f>
        <v>1.5625E-2</v>
      </c>
      <c r="Q7" s="1841">
        <f t="shared" si="0"/>
        <v>7.6923076923076872E-2</v>
      </c>
      <c r="R7" s="1841">
        <f t="shared" si="0"/>
        <v>7.1428571428571397E-2</v>
      </c>
      <c r="S7" s="1841">
        <f t="shared" si="0"/>
        <v>6.6666666666666652E-2</v>
      </c>
    </row>
  </sheetData>
  <phoneticPr fontId="1"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37"/>
  <sheetViews>
    <sheetView zoomScale="85" zoomScaleNormal="85" workbookViewId="0">
      <selection activeCell="P16" sqref="P16"/>
    </sheetView>
  </sheetViews>
  <sheetFormatPr defaultRowHeight="16.5" x14ac:dyDescent="0.3"/>
  <cols>
    <col min="1" max="1" width="1.25" style="1824" customWidth="1"/>
    <col min="2" max="2" width="10.625" style="1824" customWidth="1"/>
    <col min="3" max="14" width="11.875" style="1824" customWidth="1"/>
    <col min="15" max="18" width="9" style="1824"/>
    <col min="19" max="19" width="9.625" style="1039" customWidth="1"/>
    <col min="20" max="21" width="12.625" style="1039" customWidth="1"/>
    <col min="22" max="26" width="13.625" style="1039" customWidth="1"/>
    <col min="27" max="27" width="9" style="1824"/>
    <col min="28" max="28" width="9.625" style="1039" customWidth="1"/>
    <col min="29" max="30" width="12.625" style="1039" customWidth="1"/>
    <col min="31" max="35" width="13.625" style="1039" customWidth="1"/>
    <col min="36" max="36" width="9" style="1824"/>
    <col min="37" max="37" width="9.625" style="1039" customWidth="1"/>
    <col min="38" max="39" width="12.625" style="1039" customWidth="1"/>
    <col min="40" max="44" width="13.625" style="1039" customWidth="1"/>
    <col min="45" max="45" width="9" style="1824"/>
    <col min="46" max="46" width="9.625" style="1039" customWidth="1"/>
    <col min="47" max="48" width="12.625" style="1039" customWidth="1"/>
    <col min="49" max="53" width="13.625" style="1039" customWidth="1"/>
    <col min="54" max="54" width="9" style="1824"/>
    <col min="55" max="55" width="9.625" style="1039" customWidth="1"/>
    <col min="56" max="57" width="12.625" style="1039" customWidth="1"/>
    <col min="58" max="62" width="13.625" style="1039" customWidth="1"/>
    <col min="63" max="16384" width="9" style="1824"/>
  </cols>
  <sheetData>
    <row r="1" spans="1:62" s="691" customFormat="1" ht="30" customHeight="1" x14ac:dyDescent="0.3">
      <c r="A1" s="1039"/>
      <c r="B1" s="58" t="str">
        <f>"Project"&amp;" "&amp;Title!L6</f>
        <v>Project IT</v>
      </c>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row>
    <row r="2" spans="1:62" s="691" customFormat="1" ht="20.100000000000001" customHeight="1" x14ac:dyDescent="0.3">
      <c r="A2" s="1039"/>
      <c r="B2" s="51" t="s">
        <v>4420</v>
      </c>
      <c r="C2" s="51"/>
      <c r="D2" s="51"/>
      <c r="E2" s="51"/>
      <c r="F2" s="51"/>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row>
    <row r="4" spans="1:62" x14ac:dyDescent="0.3">
      <c r="B4" s="1824" t="s">
        <v>4421</v>
      </c>
    </row>
    <row r="5" spans="1:62" x14ac:dyDescent="0.3">
      <c r="B5" s="1405" t="s">
        <v>3890</v>
      </c>
      <c r="C5" s="1405">
        <v>2011</v>
      </c>
      <c r="D5" s="1405">
        <f>C5+1</f>
        <v>2012</v>
      </c>
      <c r="E5" s="1405">
        <f t="shared" ref="E5:F5" si="0">D5+1</f>
        <v>2013</v>
      </c>
      <c r="F5" s="1405">
        <f t="shared" si="0"/>
        <v>2014</v>
      </c>
      <c r="G5" s="1405" t="s">
        <v>4423</v>
      </c>
      <c r="H5" s="1827">
        <v>2015</v>
      </c>
      <c r="I5" s="1827">
        <v>2016</v>
      </c>
      <c r="J5" s="1827">
        <v>2017</v>
      </c>
    </row>
    <row r="6" spans="1:62" x14ac:dyDescent="0.3">
      <c r="B6" s="1732" t="s">
        <v>4424</v>
      </c>
      <c r="C6" s="1735">
        <v>843793</v>
      </c>
      <c r="D6" s="1735">
        <v>1063918</v>
      </c>
      <c r="E6" s="1735">
        <f>556915+17970</f>
        <v>574885</v>
      </c>
      <c r="F6" s="1735">
        <f>374087+14128</f>
        <v>388215</v>
      </c>
      <c r="G6" s="1733">
        <v>182824</v>
      </c>
      <c r="H6" s="1733"/>
      <c r="I6" s="1733"/>
      <c r="J6" s="1733"/>
      <c r="O6" s="1831">
        <f t="shared" ref="O6:P9" si="1">F6/E6-1</f>
        <v>-0.32470841994485855</v>
      </c>
      <c r="P6" s="1831">
        <f t="shared" si="1"/>
        <v>-0.5290650799170562</v>
      </c>
    </row>
    <row r="7" spans="1:62" x14ac:dyDescent="0.3">
      <c r="B7" s="1732" t="s">
        <v>3893</v>
      </c>
      <c r="C7" s="1735">
        <v>17309.727995000001</v>
      </c>
      <c r="D7" s="1735">
        <v>18065.063615999999</v>
      </c>
      <c r="E7" s="1735">
        <v>47942.050741999999</v>
      </c>
      <c r="F7" s="1735">
        <v>58646.559133000002</v>
      </c>
      <c r="G7" s="1733">
        <v>54812.508328999997</v>
      </c>
      <c r="H7" s="1733">
        <f>H14*$H$21</f>
        <v>62658.815024472904</v>
      </c>
      <c r="I7" s="1733">
        <f t="shared" ref="I7:J7" si="2">I14*$H$21</f>
        <v>65596.907390737179</v>
      </c>
      <c r="J7" s="1733">
        <f t="shared" si="2"/>
        <v>67699.615944227568</v>
      </c>
      <c r="O7" s="1831">
        <f t="shared" si="1"/>
        <v>0.22328015229482534</v>
      </c>
      <c r="P7" s="1831">
        <f t="shared" si="1"/>
        <v>-6.5375545653156841E-2</v>
      </c>
    </row>
    <row r="8" spans="1:62" x14ac:dyDescent="0.3">
      <c r="B8" s="1732" t="s">
        <v>4422</v>
      </c>
      <c r="C8" s="1735">
        <v>232943.862635</v>
      </c>
      <c r="D8" s="1735">
        <v>236793.33435600001</v>
      </c>
      <c r="E8" s="1735">
        <v>180517.583312</v>
      </c>
      <c r="F8" s="1735">
        <v>216147.57322200001</v>
      </c>
      <c r="G8" s="1733">
        <v>191045.653028</v>
      </c>
      <c r="H8" s="1733">
        <f>H15*$H$22</f>
        <v>303740.60164666455</v>
      </c>
      <c r="I8" s="1733">
        <f t="shared" ref="I8:J8" si="3">I15*$H$22</f>
        <v>327907.93290686182</v>
      </c>
      <c r="J8" s="1733">
        <f t="shared" si="3"/>
        <v>347537.82069564465</v>
      </c>
      <c r="O8" s="1831">
        <f t="shared" si="1"/>
        <v>0.19737683862307431</v>
      </c>
      <c r="P8" s="1831">
        <f t="shared" si="1"/>
        <v>-0.11613325016709031</v>
      </c>
    </row>
    <row r="9" spans="1:62" x14ac:dyDescent="0.3">
      <c r="B9" s="1732" t="s">
        <v>4425</v>
      </c>
      <c r="C9" s="1735">
        <v>53788.099146999994</v>
      </c>
      <c r="D9" s="1735">
        <v>69953.325146000003</v>
      </c>
      <c r="E9" s="1735">
        <f>196212253200/10^6</f>
        <v>196212.25320000001</v>
      </c>
      <c r="F9" s="1735">
        <v>309174.69790999999</v>
      </c>
      <c r="G9" s="1733">
        <v>178827.49014000001</v>
      </c>
      <c r="H9" s="1733">
        <f>H16*$H$23</f>
        <v>266701.06106818555</v>
      </c>
      <c r="I9" s="1733">
        <f t="shared" ref="I9:J9" si="4">I16*$H$23</f>
        <v>278492.91947879904</v>
      </c>
      <c r="J9" s="1733">
        <f t="shared" si="4"/>
        <v>294408.99037461518</v>
      </c>
      <c r="O9" s="1831">
        <f t="shared" si="1"/>
        <v>0.57571554715727591</v>
      </c>
      <c r="P9" s="1831">
        <f t="shared" si="1"/>
        <v>-0.42159726734153302</v>
      </c>
    </row>
    <row r="11" spans="1:62" x14ac:dyDescent="0.3">
      <c r="B11" s="1824" t="s">
        <v>4428</v>
      </c>
    </row>
    <row r="12" spans="1:62" x14ac:dyDescent="0.3">
      <c r="B12" s="1405" t="s">
        <v>3890</v>
      </c>
      <c r="C12" s="1405">
        <v>2011</v>
      </c>
      <c r="D12" s="1405">
        <f>C12+1</f>
        <v>2012</v>
      </c>
      <c r="E12" s="1405">
        <f t="shared" ref="E12:F12" si="5">D12+1</f>
        <v>2013</v>
      </c>
      <c r="F12" s="1405">
        <f t="shared" si="5"/>
        <v>2014</v>
      </c>
      <c r="G12" s="1405" t="s">
        <v>4423</v>
      </c>
      <c r="H12" s="1827">
        <v>2015</v>
      </c>
      <c r="I12" s="1827">
        <v>2016</v>
      </c>
      <c r="J12" s="1827">
        <v>2017</v>
      </c>
    </row>
    <row r="13" spans="1:62" x14ac:dyDescent="0.3">
      <c r="B13" s="1732" t="s">
        <v>4424</v>
      </c>
      <c r="C13" s="1735">
        <v>46456382</v>
      </c>
      <c r="D13" s="1735">
        <v>47872746</v>
      </c>
      <c r="E13" s="1735">
        <v>45659771</v>
      </c>
      <c r="F13" s="1735">
        <v>40258357</v>
      </c>
      <c r="G13" s="1733">
        <v>21533434</v>
      </c>
      <c r="H13" s="1733"/>
      <c r="I13" s="1733"/>
      <c r="J13" s="1733"/>
      <c r="O13" s="1831">
        <f t="shared" ref="O13:O16" si="6">F13/E13-1</f>
        <v>-0.11829700153336298</v>
      </c>
      <c r="P13" s="1831">
        <f t="shared" ref="P13:P16" si="7">G13/F13-1</f>
        <v>-0.46511890686448032</v>
      </c>
    </row>
    <row r="14" spans="1:62" x14ac:dyDescent="0.3">
      <c r="B14" s="1732" t="s">
        <v>3893</v>
      </c>
      <c r="C14" s="1735">
        <f>그룹사EE!G6</f>
        <v>921612.777</v>
      </c>
      <c r="D14" s="1735">
        <f>그룹사EE!H6</f>
        <v>1024722.868</v>
      </c>
      <c r="E14" s="1735">
        <f>그룹사EE!I6</f>
        <v>1049118.2409999999</v>
      </c>
      <c r="F14" s="1735">
        <f>그룹사EE!J6</f>
        <v>1085540.8570000001</v>
      </c>
      <c r="G14" s="1733">
        <f>807100349541/10^6</f>
        <v>807100.34954099997</v>
      </c>
      <c r="H14" s="1733">
        <f>그룹사EE!K6</f>
        <v>1121340</v>
      </c>
      <c r="I14" s="1733">
        <f>그룹사EE!L6</f>
        <v>1173920</v>
      </c>
      <c r="J14" s="1733">
        <f>그룹사EE!M6</f>
        <v>1211550</v>
      </c>
      <c r="O14" s="1831">
        <f t="shared" si="6"/>
        <v>3.4717360328500924E-2</v>
      </c>
      <c r="P14" s="1831">
        <f t="shared" si="7"/>
        <v>-0.25649933456074425</v>
      </c>
    </row>
    <row r="15" spans="1:62" x14ac:dyDescent="0.3">
      <c r="B15" s="1732" t="s">
        <v>4422</v>
      </c>
      <c r="C15" s="1735">
        <f>그룹사EE!G8</f>
        <v>3981607.8050000002</v>
      </c>
      <c r="D15" s="1735">
        <f>그룹사EE!H8</f>
        <v>4377552.2089999998</v>
      </c>
      <c r="E15" s="1735">
        <f>그룹사EE!I8</f>
        <v>4708561.8360000001</v>
      </c>
      <c r="F15" s="1735">
        <f>그룹사EE!J8</f>
        <v>4962383.6880000001</v>
      </c>
      <c r="G15" s="1733">
        <v>4616664.193163</v>
      </c>
      <c r="H15" s="1733">
        <f>그룹사EE!K8</f>
        <v>6438600</v>
      </c>
      <c r="I15" s="1733">
        <f>그룹사EE!L8</f>
        <v>6950891.666666667</v>
      </c>
      <c r="J15" s="1733">
        <f>그룹사EE!M8</f>
        <v>7367000</v>
      </c>
      <c r="O15" s="1831">
        <f t="shared" si="6"/>
        <v>5.3906449748491791E-2</v>
      </c>
      <c r="P15" s="1831">
        <f t="shared" si="7"/>
        <v>-6.9668029836752909E-2</v>
      </c>
    </row>
    <row r="16" spans="1:62" x14ac:dyDescent="0.3">
      <c r="B16" s="1732" t="s">
        <v>4425</v>
      </c>
      <c r="C16" s="1735">
        <f>그룹사EE!G10</f>
        <v>9052234.3479999993</v>
      </c>
      <c r="D16" s="1735">
        <f>그룹사EE!H10</f>
        <v>9568632.1940000001</v>
      </c>
      <c r="E16" s="1735">
        <f>그룹사EE!I10</f>
        <v>9565758.1400000006</v>
      </c>
      <c r="F16" s="1735">
        <f>그룹사EE!J10</f>
        <v>9487551.6349999998</v>
      </c>
      <c r="G16" s="1733">
        <f>7595765545393/10^6</f>
        <v>7595765.5453930004</v>
      </c>
      <c r="H16" s="1733">
        <f>그룹사EE!K10</f>
        <v>10439433.333333334</v>
      </c>
      <c r="I16" s="1733">
        <f>그룹사EE!L10</f>
        <v>10901000</v>
      </c>
      <c r="J16" s="1733">
        <f>그룹사EE!M10</f>
        <v>11524000</v>
      </c>
      <c r="O16" s="1831">
        <f t="shared" si="6"/>
        <v>-8.1756724198340791E-3</v>
      </c>
      <c r="P16" s="1831">
        <f t="shared" si="7"/>
        <v>-0.19939665810387963</v>
      </c>
    </row>
    <row r="17" spans="2:62" x14ac:dyDescent="0.3">
      <c r="B17" s="1829"/>
      <c r="C17" s="1828"/>
      <c r="D17" s="1828"/>
      <c r="E17" s="1828"/>
      <c r="F17" s="1828"/>
      <c r="G17" s="1828"/>
      <c r="H17" s="1828"/>
      <c r="I17" s="1828"/>
      <c r="J17" s="1828"/>
      <c r="O17" s="1831"/>
    </row>
    <row r="18" spans="2:62" x14ac:dyDescent="0.3">
      <c r="B18" s="1824" t="s">
        <v>4429</v>
      </c>
    </row>
    <row r="19" spans="2:62" x14ac:dyDescent="0.3">
      <c r="B19" s="1405" t="s">
        <v>3890</v>
      </c>
      <c r="C19" s="1405">
        <v>2011</v>
      </c>
      <c r="D19" s="1405">
        <f>C19+1</f>
        <v>2012</v>
      </c>
      <c r="E19" s="1405">
        <f t="shared" ref="E19:F19" si="8">D19+1</f>
        <v>2013</v>
      </c>
      <c r="F19" s="1405">
        <f t="shared" si="8"/>
        <v>2014</v>
      </c>
      <c r="G19" s="1405" t="s">
        <v>4423</v>
      </c>
      <c r="O19" s="1039"/>
      <c r="P19" s="1039"/>
      <c r="Q19" s="1039"/>
      <c r="R19" s="1039"/>
      <c r="W19" s="1824"/>
      <c r="AA19" s="1039"/>
      <c r="AF19" s="1824"/>
      <c r="AJ19" s="1039"/>
      <c r="AO19" s="1824"/>
      <c r="AS19" s="1039"/>
      <c r="AX19" s="1824"/>
      <c r="BB19" s="1039"/>
      <c r="BG19" s="1824"/>
      <c r="BH19" s="1824"/>
      <c r="BI19" s="1824"/>
      <c r="BJ19" s="1824"/>
    </row>
    <row r="20" spans="2:62" x14ac:dyDescent="0.3">
      <c r="B20" s="1732" t="s">
        <v>4424</v>
      </c>
      <c r="C20" s="1825">
        <f>C6/C13</f>
        <v>1.8163123421879906E-2</v>
      </c>
      <c r="D20" s="1825">
        <f t="shared" ref="D20:G20" si="9">D6/D13</f>
        <v>2.2223876608206263E-2</v>
      </c>
      <c r="E20" s="1825">
        <f t="shared" si="9"/>
        <v>1.2590623811932829E-2</v>
      </c>
      <c r="F20" s="1825">
        <f t="shared" si="9"/>
        <v>9.6430909984726899E-3</v>
      </c>
      <c r="G20" s="1825">
        <f t="shared" si="9"/>
        <v>8.4902389465609622E-3</v>
      </c>
      <c r="H20" s="1830">
        <f>AVERAGE(C20:G20)</f>
        <v>1.4222190757410529E-2</v>
      </c>
      <c r="O20" s="1039"/>
      <c r="P20" s="1039"/>
      <c r="Q20" s="1039"/>
      <c r="R20" s="1039"/>
      <c r="W20" s="1824"/>
      <c r="AA20" s="1039"/>
      <c r="AF20" s="1824"/>
      <c r="AJ20" s="1039"/>
      <c r="AO20" s="1824"/>
      <c r="AS20" s="1039"/>
      <c r="AX20" s="1824"/>
      <c r="BB20" s="1039"/>
      <c r="BG20" s="1824"/>
      <c r="BH20" s="1824"/>
      <c r="BI20" s="1824"/>
      <c r="BJ20" s="1824"/>
    </row>
    <row r="21" spans="2:62" x14ac:dyDescent="0.3">
      <c r="B21" s="1732" t="s">
        <v>3893</v>
      </c>
      <c r="C21" s="1825">
        <f t="shared" ref="C21:G21" si="10">C7/C14</f>
        <v>1.8781996546690674E-2</v>
      </c>
      <c r="D21" s="1825">
        <f t="shared" si="10"/>
        <v>1.7629218767468747E-2</v>
      </c>
      <c r="E21" s="1825">
        <f t="shared" si="10"/>
        <v>4.56974713320231E-2</v>
      </c>
      <c r="F21" s="1825">
        <f t="shared" si="10"/>
        <v>5.4025197444042404E-2</v>
      </c>
      <c r="G21" s="1825">
        <f t="shared" si="10"/>
        <v>6.7912878937757881E-2</v>
      </c>
      <c r="H21" s="1830">
        <f>AVERAGE(E21:G21)</f>
        <v>5.5878515904607795E-2</v>
      </c>
      <c r="O21" s="1039"/>
      <c r="P21" s="1039"/>
      <c r="Q21" s="1039"/>
      <c r="R21" s="1039"/>
      <c r="W21" s="1824"/>
      <c r="AA21" s="1039"/>
      <c r="AF21" s="1824"/>
      <c r="AJ21" s="1039"/>
      <c r="AO21" s="1824"/>
      <c r="AS21" s="1039"/>
      <c r="AX21" s="1824"/>
      <c r="BB21" s="1039"/>
      <c r="BG21" s="1824"/>
      <c r="BH21" s="1824"/>
      <c r="BI21" s="1824"/>
      <c r="BJ21" s="1824"/>
    </row>
    <row r="22" spans="2:62" x14ac:dyDescent="0.3">
      <c r="B22" s="1732" t="s">
        <v>4422</v>
      </c>
      <c r="C22" s="1825">
        <f t="shared" ref="C22:G22" si="11">C8/C15</f>
        <v>5.8504974383080902E-2</v>
      </c>
      <c r="D22" s="1825">
        <f t="shared" si="11"/>
        <v>5.4092635119043539E-2</v>
      </c>
      <c r="E22" s="1825">
        <f t="shared" si="11"/>
        <v>3.8338157084786773E-2</v>
      </c>
      <c r="F22" s="1825">
        <f t="shared" si="11"/>
        <v>4.3557206941633009E-2</v>
      </c>
      <c r="G22" s="1825">
        <f t="shared" si="11"/>
        <v>4.1381752069151366E-2</v>
      </c>
      <c r="H22" s="1830">
        <f t="shared" ref="H22" si="12">AVERAGE(C22:G22)</f>
        <v>4.7174945119539118E-2</v>
      </c>
      <c r="O22" s="1039"/>
      <c r="P22" s="1039"/>
      <c r="Q22" s="1039"/>
      <c r="R22" s="1039"/>
      <c r="W22" s="1824"/>
      <c r="AA22" s="1039"/>
      <c r="AF22" s="1824"/>
      <c r="AJ22" s="1039"/>
      <c r="AO22" s="1824"/>
      <c r="AS22" s="1039"/>
      <c r="AX22" s="1824"/>
      <c r="BB22" s="1039"/>
      <c r="BG22" s="1824"/>
      <c r="BH22" s="1824"/>
      <c r="BI22" s="1824"/>
      <c r="BJ22" s="1824"/>
    </row>
    <row r="23" spans="2:62" x14ac:dyDescent="0.3">
      <c r="B23" s="1732" t="s">
        <v>4425</v>
      </c>
      <c r="C23" s="1825">
        <f t="shared" ref="C23:G23" si="13">C9/C16</f>
        <v>5.9419693612863585E-3</v>
      </c>
      <c r="D23" s="1825">
        <f t="shared" si="13"/>
        <v>7.3106922418717437E-3</v>
      </c>
      <c r="E23" s="1825">
        <f t="shared" si="13"/>
        <v>2.0511939600429831E-2</v>
      </c>
      <c r="F23" s="1825">
        <f t="shared" si="13"/>
        <v>3.2587406087935353E-2</v>
      </c>
      <c r="G23" s="1825">
        <f t="shared" si="13"/>
        <v>2.3543050278646744E-2</v>
      </c>
      <c r="H23" s="1830">
        <f>AVERAGE(E23:G23)</f>
        <v>2.5547465322337311E-2</v>
      </c>
      <c r="O23" s="1039"/>
      <c r="P23" s="1039"/>
      <c r="Q23" s="1039"/>
      <c r="R23" s="1039"/>
      <c r="W23" s="1824"/>
      <c r="AA23" s="1039"/>
      <c r="AF23" s="1824"/>
      <c r="AJ23" s="1039"/>
      <c r="AO23" s="1824"/>
      <c r="AS23" s="1039"/>
      <c r="AX23" s="1824"/>
      <c r="BB23" s="1039"/>
      <c r="BG23" s="1824"/>
      <c r="BH23" s="1824"/>
      <c r="BI23" s="1824"/>
      <c r="BJ23" s="1824"/>
    </row>
    <row r="24" spans="2:62" x14ac:dyDescent="0.3">
      <c r="B24" s="1829"/>
      <c r="C24" s="1828"/>
      <c r="D24" s="1828"/>
      <c r="E24" s="1828"/>
      <c r="F24" s="1828"/>
      <c r="G24" s="1828"/>
      <c r="H24" s="1828"/>
      <c r="I24" s="1828"/>
      <c r="J24" s="1828"/>
    </row>
    <row r="25" spans="2:62" x14ac:dyDescent="0.3">
      <c r="B25" s="1824" t="s">
        <v>4426</v>
      </c>
    </row>
    <row r="26" spans="2:62" x14ac:dyDescent="0.3">
      <c r="B26" s="1405" t="s">
        <v>3890</v>
      </c>
      <c r="C26" s="1405">
        <v>2011</v>
      </c>
      <c r="D26" s="1405">
        <f>C26+1</f>
        <v>2012</v>
      </c>
      <c r="E26" s="1405">
        <f t="shared" ref="E26:F26" si="14">D26+1</f>
        <v>2013</v>
      </c>
      <c r="F26" s="1405">
        <f t="shared" si="14"/>
        <v>2014</v>
      </c>
      <c r="G26" s="1405" t="s">
        <v>4423</v>
      </c>
    </row>
    <row r="27" spans="2:62" x14ac:dyDescent="0.3">
      <c r="B27" s="1732" t="s">
        <v>4424</v>
      </c>
      <c r="C27" s="1735"/>
      <c r="D27" s="1735"/>
      <c r="E27" s="1735">
        <f>매출액!F117</f>
        <v>22369.630230999999</v>
      </c>
      <c r="F27" s="1735">
        <f>매출액!G117</f>
        <v>7282.1321208551744</v>
      </c>
      <c r="G27" s="1735">
        <f>매출액!H117</f>
        <v>3396.9490253952104</v>
      </c>
      <c r="O27" s="1831">
        <f>F27/E27-1</f>
        <v>-0.67446345578106426</v>
      </c>
      <c r="P27" s="1831">
        <f>G27/F27-1</f>
        <v>-0.53352274182629211</v>
      </c>
    </row>
    <row r="28" spans="2:62" x14ac:dyDescent="0.3">
      <c r="B28" s="1732" t="s">
        <v>3893</v>
      </c>
      <c r="C28" s="1735"/>
      <c r="D28" s="1735"/>
      <c r="E28" s="1735">
        <f>매출액!F120</f>
        <v>3868.4098829999998</v>
      </c>
      <c r="F28" s="1735">
        <f>매출액!G120</f>
        <v>6346.4436016615446</v>
      </c>
      <c r="G28" s="1733">
        <f>매출액!H120</f>
        <v>3302.5459983384562</v>
      </c>
      <c r="O28" s="1831">
        <f t="shared" ref="O28:P30" si="15">F28/E28-1</f>
        <v>0.64058199456873455</v>
      </c>
      <c r="P28" s="1831">
        <f t="shared" si="15"/>
        <v>-0.47962257200649727</v>
      </c>
    </row>
    <row r="29" spans="2:62" x14ac:dyDescent="0.3">
      <c r="B29" s="1732" t="s">
        <v>4422</v>
      </c>
      <c r="C29" s="1735"/>
      <c r="D29" s="1735"/>
      <c r="E29" s="1735">
        <f>매출액!F123</f>
        <v>3057.7020299999999</v>
      </c>
      <c r="F29" s="1735">
        <f>매출액!G123</f>
        <v>2795.1350169494235</v>
      </c>
      <c r="G29" s="1733">
        <f>매출액!H123</f>
        <v>5258.9598947172435</v>
      </c>
      <c r="O29" s="1831">
        <f t="shared" si="15"/>
        <v>-8.5870699785150828E-2</v>
      </c>
      <c r="P29" s="1831">
        <f t="shared" si="15"/>
        <v>0.88146900340320888</v>
      </c>
    </row>
    <row r="30" spans="2:62" x14ac:dyDescent="0.3">
      <c r="B30" s="1732" t="s">
        <v>4425</v>
      </c>
      <c r="C30" s="1735"/>
      <c r="D30" s="1735"/>
      <c r="E30" s="1735">
        <f>매출액!F126</f>
        <v>3067.3238999999999</v>
      </c>
      <c r="F30" s="1735">
        <f>매출액!G126</f>
        <v>8274.572969607807</v>
      </c>
      <c r="G30" s="1733">
        <f>매출액!H126</f>
        <v>3976.7689649167673</v>
      </c>
      <c r="O30" s="1831">
        <f t="shared" si="15"/>
        <v>1.697652168265571</v>
      </c>
      <c r="P30" s="1831">
        <f t="shared" si="15"/>
        <v>-0.51939888867700013</v>
      </c>
    </row>
    <row r="32" spans="2:62" x14ac:dyDescent="0.3">
      <c r="B32" s="1824" t="s">
        <v>4427</v>
      </c>
    </row>
    <row r="33" spans="2:7" x14ac:dyDescent="0.3">
      <c r="B33" s="1405" t="s">
        <v>3890</v>
      </c>
      <c r="C33" s="1405">
        <v>2011</v>
      </c>
      <c r="D33" s="1405">
        <f>C33+1</f>
        <v>2012</v>
      </c>
      <c r="E33" s="1405">
        <f t="shared" ref="E33:F33" si="16">D33+1</f>
        <v>2013</v>
      </c>
      <c r="F33" s="1405">
        <f t="shared" si="16"/>
        <v>2014</v>
      </c>
      <c r="G33" s="1405" t="s">
        <v>4423</v>
      </c>
    </row>
    <row r="34" spans="2:7" x14ac:dyDescent="0.3">
      <c r="B34" s="1732" t="s">
        <v>4424</v>
      </c>
      <c r="C34" s="1825"/>
      <c r="D34" s="1825"/>
      <c r="E34" s="1825">
        <f>E27/E6</f>
        <v>3.8911487046974613E-2</v>
      </c>
      <c r="F34" s="1825">
        <f>F27/F6</f>
        <v>1.8757987509125548E-2</v>
      </c>
      <c r="G34" s="1825"/>
    </row>
    <row r="35" spans="2:7" x14ac:dyDescent="0.3">
      <c r="B35" s="1732" t="s">
        <v>3893</v>
      </c>
      <c r="C35" s="1825"/>
      <c r="D35" s="1825"/>
      <c r="E35" s="1825">
        <f t="shared" ref="E35" si="17">E28/E7</f>
        <v>8.0689286818743655E-2</v>
      </c>
      <c r="F35" s="1825">
        <f>F28/F7</f>
        <v>0.10821510580474014</v>
      </c>
      <c r="G35" s="1826"/>
    </row>
    <row r="36" spans="2:7" x14ac:dyDescent="0.3">
      <c r="B36" s="1732" t="s">
        <v>4422</v>
      </c>
      <c r="C36" s="1825"/>
      <c r="D36" s="1825"/>
      <c r="E36" s="1825">
        <f t="shared" ref="E36" si="18">E29/E8</f>
        <v>1.6938527393839411E-2</v>
      </c>
      <c r="F36" s="1825">
        <f>F29/F8</f>
        <v>1.293160489976266E-2</v>
      </c>
      <c r="G36" s="1826"/>
    </row>
    <row r="37" spans="2:7" x14ac:dyDescent="0.3">
      <c r="B37" s="1732" t="s">
        <v>4425</v>
      </c>
      <c r="C37" s="1825"/>
      <c r="D37" s="1825"/>
      <c r="E37" s="1825">
        <f t="shared" ref="E37" si="19">E30/E9</f>
        <v>1.5632682719735464E-2</v>
      </c>
      <c r="F37" s="1825">
        <f>F30/F9</f>
        <v>2.6763422186690436E-2</v>
      </c>
      <c r="G37" s="1826"/>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B1:V298"/>
  <sheetViews>
    <sheetView zoomScale="85" zoomScaleNormal="85" workbookViewId="0">
      <selection activeCell="N30" sqref="N30"/>
    </sheetView>
  </sheetViews>
  <sheetFormatPr defaultRowHeight="16.5" x14ac:dyDescent="0.3"/>
  <cols>
    <col min="1" max="1" width="1.625" style="1039" customWidth="1"/>
    <col min="2" max="4" width="9" style="1039"/>
    <col min="5" max="5" width="13.125" style="1039" customWidth="1"/>
    <col min="6" max="6" width="57.375" style="1039" customWidth="1"/>
    <col min="7" max="7" width="23.375" style="1039" customWidth="1"/>
    <col min="8" max="8" width="9" style="1039"/>
    <col min="9" max="9" width="11.625" style="1039" bestFit="1" customWidth="1"/>
    <col min="10" max="10" width="11.375" style="1039" customWidth="1"/>
    <col min="11" max="13" width="9" style="1039"/>
    <col min="14" max="14" width="11.625" style="1039" bestFit="1" customWidth="1"/>
    <col min="15" max="16" width="9" style="1039"/>
    <col min="17" max="17" width="11.25" style="1039" bestFit="1" customWidth="1"/>
    <col min="18" max="16384" width="9" style="1039"/>
  </cols>
  <sheetData>
    <row r="1" spans="2:22" ht="17.25" x14ac:dyDescent="0.3">
      <c r="B1" s="1773" t="s">
        <v>4003</v>
      </c>
    </row>
    <row r="2" spans="2:22" x14ac:dyDescent="0.3">
      <c r="I2" s="1774" t="s">
        <v>4004</v>
      </c>
      <c r="P2" s="1039" t="s">
        <v>4400</v>
      </c>
      <c r="Q2" s="1810">
        <v>1</v>
      </c>
    </row>
    <row r="3" spans="2:22" ht="27" x14ac:dyDescent="0.3">
      <c r="B3" s="1775" t="s">
        <v>2381</v>
      </c>
      <c r="C3" s="1775" t="s">
        <v>4005</v>
      </c>
      <c r="D3" s="1775" t="s">
        <v>4006</v>
      </c>
      <c r="E3" s="1775" t="s">
        <v>4007</v>
      </c>
      <c r="F3" s="1776" t="s">
        <v>4008</v>
      </c>
      <c r="G3" s="1776" t="s">
        <v>4009</v>
      </c>
      <c r="H3" s="1776" t="s">
        <v>4010</v>
      </c>
      <c r="I3" s="1776" t="s">
        <v>4011</v>
      </c>
      <c r="J3" s="1776" t="s">
        <v>4012</v>
      </c>
      <c r="M3" s="1039" t="s">
        <v>4013</v>
      </c>
      <c r="N3" s="1809">
        <f>N4+N14+N18+N28</f>
        <v>78173014.33116667</v>
      </c>
      <c r="P3" s="1039" t="s">
        <v>4020</v>
      </c>
      <c r="Q3" s="1809">
        <f>Q4+Q14+Q18+Q28</f>
        <v>174141268.97205099</v>
      </c>
      <c r="S3" s="1039" t="s">
        <v>78</v>
      </c>
    </row>
    <row r="4" spans="2:22" x14ac:dyDescent="0.3">
      <c r="B4" s="1777" t="s">
        <v>4013</v>
      </c>
      <c r="C4" s="1777" t="s">
        <v>4014</v>
      </c>
      <c r="D4" s="1777" t="s">
        <v>4015</v>
      </c>
      <c r="E4" s="1777" t="s">
        <v>4015</v>
      </c>
      <c r="F4" s="1778" t="s">
        <v>4016</v>
      </c>
      <c r="G4" s="1777"/>
      <c r="H4" s="1779" t="s">
        <v>4017</v>
      </c>
      <c r="I4" s="1780">
        <v>447169.19999999902</v>
      </c>
      <c r="J4" s="1781" t="s">
        <v>2865</v>
      </c>
      <c r="M4" s="1452" t="s">
        <v>2865</v>
      </c>
      <c r="N4" s="1809">
        <f>N5+N12</f>
        <v>4900580.331166666</v>
      </c>
      <c r="O4" s="1809"/>
      <c r="P4" s="1809"/>
      <c r="Q4" s="1809">
        <f>Q5+Q12</f>
        <v>41916103</v>
      </c>
      <c r="R4" s="1808"/>
      <c r="S4" s="1809">
        <f>S5+S12</f>
        <v>46816.683331166663</v>
      </c>
    </row>
    <row r="5" spans="2:22" ht="16.5" customHeight="1" x14ac:dyDescent="0.3">
      <c r="B5" s="1777" t="s">
        <v>4018</v>
      </c>
      <c r="C5" s="1777" t="s">
        <v>4014</v>
      </c>
      <c r="D5" s="1777" t="s">
        <v>4015</v>
      </c>
      <c r="E5" s="1777" t="s">
        <v>4015</v>
      </c>
      <c r="F5" s="1778" t="s">
        <v>4019</v>
      </c>
      <c r="G5" s="1777"/>
      <c r="H5" s="1779" t="s">
        <v>4017</v>
      </c>
      <c r="I5" s="1780">
        <v>120000</v>
      </c>
      <c r="J5" s="1781" t="s">
        <v>2865</v>
      </c>
      <c r="M5" s="1039" t="s">
        <v>4397</v>
      </c>
      <c r="N5" s="1808">
        <f>SUM(N6:N11)</f>
        <v>2171650.3311666655</v>
      </c>
      <c r="O5" s="1808"/>
      <c r="P5" s="1808"/>
      <c r="Q5" s="1808">
        <f>SUM(Q6:Q11)</f>
        <v>19501103</v>
      </c>
      <c r="R5" s="1808"/>
      <c r="S5" s="1808">
        <f>SUM(S6:S11)</f>
        <v>21672.753331166663</v>
      </c>
    </row>
    <row r="6" spans="2:22" ht="16.5" customHeight="1" x14ac:dyDescent="0.3">
      <c r="B6" s="1777" t="s">
        <v>4020</v>
      </c>
      <c r="C6" s="1777" t="s">
        <v>4014</v>
      </c>
      <c r="D6" s="1777" t="s">
        <v>4015</v>
      </c>
      <c r="E6" s="1777" t="s">
        <v>4015</v>
      </c>
      <c r="F6" s="1778" t="s">
        <v>4021</v>
      </c>
      <c r="G6" s="1777"/>
      <c r="H6" s="1779" t="s">
        <v>4017</v>
      </c>
      <c r="I6" s="1780">
        <v>200000</v>
      </c>
      <c r="J6" s="1781" t="s">
        <v>2865</v>
      </c>
      <c r="M6" s="1807" t="s">
        <v>4161</v>
      </c>
      <c r="N6" s="1808">
        <f>SUMIFS($I$4:$I$298,$B$4:$B$298,"기확보",$J$4:$J$298,"SI",$D$4:$D$298,M6)</f>
        <v>562145.19999999902</v>
      </c>
      <c r="O6" s="1808"/>
      <c r="P6" s="1808"/>
      <c r="Q6" s="1808">
        <f>(SUMIFS($I$4:$I$298,$B$4:$B$298,"신규",$J$4:$J$298,"SI",$D$4:$D$298,M6))*$Q$2</f>
        <v>4757830</v>
      </c>
      <c r="R6" s="1808"/>
      <c r="S6" s="1808">
        <f>(N6+Q6)/1000</f>
        <v>5319.9751999999989</v>
      </c>
    </row>
    <row r="7" spans="2:22" ht="16.5" customHeight="1" x14ac:dyDescent="0.3">
      <c r="B7" s="1777" t="s">
        <v>4020</v>
      </c>
      <c r="C7" s="1777" t="s">
        <v>4014</v>
      </c>
      <c r="D7" s="1777" t="s">
        <v>4015</v>
      </c>
      <c r="E7" s="1777" t="s">
        <v>4015</v>
      </c>
      <c r="F7" s="1778" t="s">
        <v>4022</v>
      </c>
      <c r="G7" s="1777"/>
      <c r="H7" s="1779" t="s">
        <v>4017</v>
      </c>
      <c r="I7" s="1780">
        <v>337877</v>
      </c>
      <c r="J7" s="1781" t="s">
        <v>2865</v>
      </c>
      <c r="M7" s="1807" t="s">
        <v>4398</v>
      </c>
      <c r="N7" s="1808">
        <f t="shared" ref="N7:N11" si="0">SUMIFS($I$4:$I$298,$B$4:$B$298,"기확보",$J$4:$J$298,"SI",$D$4:$D$298,M7)</f>
        <v>533332</v>
      </c>
      <c r="O7" s="1808"/>
      <c r="P7" s="1808"/>
      <c r="Q7" s="1808">
        <f t="shared" ref="Q7:Q11" si="1">(SUMIFS($I$4:$I$298,$B$4:$B$298,"신규",$J$4:$J$298,"SI",$D$4:$D$298,M7))*$Q$2</f>
        <v>4620327</v>
      </c>
      <c r="R7" s="1808"/>
      <c r="S7" s="1808">
        <f t="shared" ref="S7:S11" si="2">(N7+Q7)/1000</f>
        <v>5153.6589999999997</v>
      </c>
    </row>
    <row r="8" spans="2:22" ht="16.5" customHeight="1" x14ac:dyDescent="0.3">
      <c r="B8" s="1777" t="s">
        <v>4020</v>
      </c>
      <c r="C8" s="1777" t="s">
        <v>4014</v>
      </c>
      <c r="D8" s="1777" t="s">
        <v>4015</v>
      </c>
      <c r="E8" s="1777" t="s">
        <v>4015</v>
      </c>
      <c r="F8" s="1778" t="s">
        <v>4023</v>
      </c>
      <c r="G8" s="1777"/>
      <c r="H8" s="1779" t="s">
        <v>4017</v>
      </c>
      <c r="I8" s="1780">
        <v>575000</v>
      </c>
      <c r="J8" s="1781" t="s">
        <v>2865</v>
      </c>
      <c r="M8" s="1807" t="s">
        <v>4181</v>
      </c>
      <c r="N8" s="1808">
        <f t="shared" si="0"/>
        <v>116398</v>
      </c>
      <c r="O8" s="1808"/>
      <c r="P8" s="1808"/>
      <c r="Q8" s="1808">
        <f t="shared" si="1"/>
        <v>3300000</v>
      </c>
      <c r="R8" s="1808"/>
      <c r="S8" s="1808">
        <f t="shared" si="2"/>
        <v>3416.3980000000001</v>
      </c>
    </row>
    <row r="9" spans="2:22" ht="16.5" customHeight="1" x14ac:dyDescent="0.3">
      <c r="B9" s="1777" t="s">
        <v>4018</v>
      </c>
      <c r="C9" s="1777" t="s">
        <v>4014</v>
      </c>
      <c r="D9" s="1777" t="s">
        <v>4015</v>
      </c>
      <c r="E9" s="1777" t="s">
        <v>4015</v>
      </c>
      <c r="F9" s="1778" t="s">
        <v>4024</v>
      </c>
      <c r="G9" s="1777"/>
      <c r="H9" s="1779" t="s">
        <v>4017</v>
      </c>
      <c r="I9" s="1780">
        <v>90000</v>
      </c>
      <c r="J9" s="1781" t="s">
        <v>2865</v>
      </c>
      <c r="M9" s="1807" t="s">
        <v>4000</v>
      </c>
      <c r="N9" s="1808">
        <f t="shared" si="0"/>
        <v>538314</v>
      </c>
      <c r="O9" s="1808"/>
      <c r="P9" s="1808"/>
      <c r="Q9" s="1808">
        <f t="shared" si="1"/>
        <v>847000</v>
      </c>
      <c r="R9" s="1808"/>
      <c r="S9" s="1808">
        <f t="shared" si="2"/>
        <v>1385.3140000000001</v>
      </c>
    </row>
    <row r="10" spans="2:22" ht="16.5" customHeight="1" x14ac:dyDescent="0.3">
      <c r="B10" s="1777" t="s">
        <v>4018</v>
      </c>
      <c r="C10" s="1777" t="s">
        <v>4014</v>
      </c>
      <c r="D10" s="1777" t="s">
        <v>4015</v>
      </c>
      <c r="E10" s="1777" t="s">
        <v>4015</v>
      </c>
      <c r="F10" s="1778" t="s">
        <v>4025</v>
      </c>
      <c r="G10" s="1777"/>
      <c r="H10" s="1779" t="s">
        <v>4017</v>
      </c>
      <c r="I10" s="1780">
        <v>100000</v>
      </c>
      <c r="J10" s="1781" t="s">
        <v>2865</v>
      </c>
      <c r="M10" s="1807" t="s">
        <v>4399</v>
      </c>
      <c r="N10" s="1808">
        <f t="shared" si="0"/>
        <v>158094</v>
      </c>
      <c r="O10" s="1808"/>
      <c r="P10" s="1808"/>
      <c r="Q10" s="1808">
        <f>(SUMIFS($I$4:$I$298,$B$4:$B$298,"신규",$J$4:$J$298,"SI",$D$4:$D$298,M10)+I32+I129)*$Q$2</f>
        <v>1989300</v>
      </c>
      <c r="R10" s="1808"/>
      <c r="S10" s="1808">
        <f t="shared" si="2"/>
        <v>2147.3939999999998</v>
      </c>
    </row>
    <row r="11" spans="2:22" ht="16.5" customHeight="1" x14ac:dyDescent="0.3">
      <c r="B11" s="1777" t="s">
        <v>4020</v>
      </c>
      <c r="C11" s="1777" t="s">
        <v>4014</v>
      </c>
      <c r="D11" s="1777" t="s">
        <v>4015</v>
      </c>
      <c r="E11" s="1777" t="s">
        <v>4015</v>
      </c>
      <c r="F11" s="1778" t="s">
        <v>4026</v>
      </c>
      <c r="G11" s="1777"/>
      <c r="H11" s="1779" t="s">
        <v>4017</v>
      </c>
      <c r="I11" s="1780">
        <v>1679953</v>
      </c>
      <c r="J11" s="1781" t="s">
        <v>2865</v>
      </c>
      <c r="M11" s="1807" t="s">
        <v>1226</v>
      </c>
      <c r="N11" s="1808">
        <f t="shared" si="0"/>
        <v>263367.13116666669</v>
      </c>
      <c r="O11" s="1808"/>
      <c r="P11" s="1808"/>
      <c r="Q11" s="1808">
        <f t="shared" si="1"/>
        <v>3986646</v>
      </c>
      <c r="R11" s="1808"/>
      <c r="S11" s="1808">
        <f t="shared" si="2"/>
        <v>4250.0131311666664</v>
      </c>
    </row>
    <row r="12" spans="2:22" ht="16.5" customHeight="1" x14ac:dyDescent="0.3">
      <c r="B12" s="1777" t="s">
        <v>4013</v>
      </c>
      <c r="C12" s="1777" t="s">
        <v>4014</v>
      </c>
      <c r="D12" s="1777" t="s">
        <v>4027</v>
      </c>
      <c r="E12" s="1777" t="s">
        <v>4027</v>
      </c>
      <c r="F12" s="1778" t="s">
        <v>4028</v>
      </c>
      <c r="G12" s="1777"/>
      <c r="H12" s="1779" t="s">
        <v>4017</v>
      </c>
      <c r="I12" s="1780">
        <v>263367.13116666669</v>
      </c>
      <c r="J12" s="1781" t="s">
        <v>2865</v>
      </c>
      <c r="M12" s="1039" t="s">
        <v>2015</v>
      </c>
      <c r="N12" s="1808">
        <f>SUMIFS($I$4:$I$298,$B$4:$B$298,"기확보",$J$4:$J$298,"SI",$C$4:$C$298,M12)</f>
        <v>2728930</v>
      </c>
      <c r="O12" s="1808"/>
      <c r="P12" s="1808"/>
      <c r="Q12" s="1808">
        <f>(SUMIFS($I$4:$I$298,$B$4:$B$298,"신규",$J$4:$J$298,"SI",$C$4:$C$298,M12))*$Q$2</f>
        <v>22415000</v>
      </c>
      <c r="R12" s="1808"/>
      <c r="S12" s="1808">
        <f>(N12+Q12)/1000</f>
        <v>25143.93</v>
      </c>
    </row>
    <row r="13" spans="2:22" ht="16.5" customHeight="1" x14ac:dyDescent="0.3">
      <c r="B13" s="1777" t="s">
        <v>4020</v>
      </c>
      <c r="C13" s="1777" t="s">
        <v>4029</v>
      </c>
      <c r="D13" s="1777" t="s">
        <v>4027</v>
      </c>
      <c r="E13" s="1777" t="s">
        <v>4027</v>
      </c>
      <c r="F13" s="1778" t="s">
        <v>4028</v>
      </c>
      <c r="G13" s="1777"/>
      <c r="H13" s="1779" t="s">
        <v>4017</v>
      </c>
      <c r="I13" s="1780">
        <v>2119000</v>
      </c>
      <c r="J13" s="1781" t="s">
        <v>2865</v>
      </c>
    </row>
    <row r="14" spans="2:22" ht="16.5" customHeight="1" x14ac:dyDescent="0.3">
      <c r="B14" s="1777" t="s">
        <v>4020</v>
      </c>
      <c r="C14" s="1777" t="s">
        <v>4029</v>
      </c>
      <c r="D14" s="1777" t="s">
        <v>4027</v>
      </c>
      <c r="E14" s="1777" t="s">
        <v>4027</v>
      </c>
      <c r="F14" s="1778" t="s">
        <v>4030</v>
      </c>
      <c r="G14" s="1777"/>
      <c r="H14" s="1779" t="s">
        <v>4017</v>
      </c>
      <c r="I14" s="1780">
        <v>1867646</v>
      </c>
      <c r="J14" s="1781" t="s">
        <v>2865</v>
      </c>
      <c r="M14" s="1452" t="s">
        <v>4002</v>
      </c>
      <c r="N14" s="1809">
        <f>N15+N16</f>
        <v>1909000</v>
      </c>
      <c r="O14" s="1452"/>
      <c r="P14" s="1452"/>
      <c r="Q14" s="1809">
        <f>Q15+Q16</f>
        <v>47646591.565217391</v>
      </c>
      <c r="S14" s="1809">
        <f>S15+S16</f>
        <v>49555.591565217394</v>
      </c>
    </row>
    <row r="15" spans="2:22" ht="16.5" customHeight="1" x14ac:dyDescent="0.3">
      <c r="B15" s="1777" t="s">
        <v>4013</v>
      </c>
      <c r="C15" s="1777" t="s">
        <v>4014</v>
      </c>
      <c r="D15" s="1777" t="s">
        <v>4031</v>
      </c>
      <c r="E15" s="1777" t="s">
        <v>4031</v>
      </c>
      <c r="F15" s="1778" t="s">
        <v>4032</v>
      </c>
      <c r="G15" s="1777"/>
      <c r="H15" s="1779" t="s">
        <v>4017</v>
      </c>
      <c r="I15" s="1780">
        <v>533332</v>
      </c>
      <c r="J15" s="1781" t="s">
        <v>2865</v>
      </c>
      <c r="M15" s="1039" t="s">
        <v>4397</v>
      </c>
      <c r="N15" s="1808">
        <f>SUMIFS($I$4:$I$298,$B$4:$B$298,"기확보",$J$4:$J$298,"공사",$C$4:$C$298,"관계사")</f>
        <v>0</v>
      </c>
      <c r="Q15" s="1808">
        <f>(SUMIFS($I$4:$I$298,$B$4:$B$298,"신규",$J$4:$J$298,"공사",$C$4:$C$298,"관계사"))*$Q$2</f>
        <v>620000</v>
      </c>
      <c r="S15" s="1808">
        <f t="shared" ref="S15:S16" si="3">(N15+Q15)/1000</f>
        <v>620</v>
      </c>
    </row>
    <row r="16" spans="2:22" ht="16.5" customHeight="1" x14ac:dyDescent="0.3">
      <c r="B16" s="1777" t="s">
        <v>4020</v>
      </c>
      <c r="C16" s="1777" t="s">
        <v>4014</v>
      </c>
      <c r="D16" s="1777" t="s">
        <v>4031</v>
      </c>
      <c r="E16" s="1777" t="s">
        <v>4031</v>
      </c>
      <c r="F16" s="1778" t="s">
        <v>4033</v>
      </c>
      <c r="G16" s="1777" t="s">
        <v>4034</v>
      </c>
      <c r="H16" s="1779" t="s">
        <v>4017</v>
      </c>
      <c r="I16" s="1780">
        <v>217000</v>
      </c>
      <c r="J16" s="1781" t="s">
        <v>2865</v>
      </c>
      <c r="M16" s="1039" t="s">
        <v>2015</v>
      </c>
      <c r="N16" s="1808">
        <f>SUMIFS($I$4:$I$298,$B$4:$B$298,"기확보",$J$4:$J$298,"공사",$C$4:$C$298,M16)</f>
        <v>1909000</v>
      </c>
      <c r="Q16" s="1808">
        <f>(SUMIFS($I$4:$I$298,$B$4:$B$298,"신규",$J$4:$J$298,"공사",$C$4:$C$298,M16))*$Q$2</f>
        <v>47026591.565217391</v>
      </c>
      <c r="S16" s="1808">
        <f t="shared" si="3"/>
        <v>48935.591565217394</v>
      </c>
      <c r="U16" s="1039" t="s">
        <v>4442</v>
      </c>
      <c r="V16" s="1808">
        <f>SUM(I181:I182,I177)/10^3</f>
        <v>13800</v>
      </c>
    </row>
    <row r="17" spans="2:19" ht="16.5" customHeight="1" x14ac:dyDescent="0.3">
      <c r="B17" s="1777" t="s">
        <v>4020</v>
      </c>
      <c r="C17" s="1777" t="s">
        <v>4014</v>
      </c>
      <c r="D17" s="1777" t="s">
        <v>4031</v>
      </c>
      <c r="E17" s="1777" t="s">
        <v>4031</v>
      </c>
      <c r="F17" s="1778" t="s">
        <v>4035</v>
      </c>
      <c r="G17" s="1777" t="s">
        <v>4034</v>
      </c>
      <c r="H17" s="1779" t="s">
        <v>4017</v>
      </c>
      <c r="I17" s="1780">
        <v>99990</v>
      </c>
      <c r="J17" s="1781" t="s">
        <v>2865</v>
      </c>
    </row>
    <row r="18" spans="2:19" ht="16.5" customHeight="1" x14ac:dyDescent="0.3">
      <c r="B18" s="1777" t="s">
        <v>4020</v>
      </c>
      <c r="C18" s="1777" t="s">
        <v>4014</v>
      </c>
      <c r="D18" s="1777" t="s">
        <v>4031</v>
      </c>
      <c r="E18" s="1777" t="s">
        <v>4031</v>
      </c>
      <c r="F18" s="1778" t="s">
        <v>4036</v>
      </c>
      <c r="G18" s="1777" t="s">
        <v>4034</v>
      </c>
      <c r="H18" s="1779" t="s">
        <v>4017</v>
      </c>
      <c r="I18" s="1780">
        <v>110001</v>
      </c>
      <c r="J18" s="1781" t="s">
        <v>2865</v>
      </c>
      <c r="M18" s="1452" t="s">
        <v>2866</v>
      </c>
      <c r="N18" s="1809">
        <f>N19+N26</f>
        <v>45364740</v>
      </c>
      <c r="O18" s="1809"/>
      <c r="P18" s="1809"/>
      <c r="Q18" s="1809">
        <f>Q19+Q26</f>
        <v>28869726</v>
      </c>
      <c r="S18" s="1809">
        <f>S19+S26</f>
        <v>74234.466</v>
      </c>
    </row>
    <row r="19" spans="2:19" ht="16.5" customHeight="1" x14ac:dyDescent="0.3">
      <c r="B19" s="1777" t="s">
        <v>4020</v>
      </c>
      <c r="C19" s="1777" t="s">
        <v>4014</v>
      </c>
      <c r="D19" s="1777" t="s">
        <v>4031</v>
      </c>
      <c r="E19" s="1777" t="s">
        <v>4031</v>
      </c>
      <c r="F19" s="1778" t="s">
        <v>4037</v>
      </c>
      <c r="G19" s="1777"/>
      <c r="H19" s="1779" t="s">
        <v>4017</v>
      </c>
      <c r="I19" s="1780">
        <v>1295004</v>
      </c>
      <c r="J19" s="1781" t="s">
        <v>2865</v>
      </c>
      <c r="M19" s="1039" t="s">
        <v>4397</v>
      </c>
      <c r="N19" s="1808">
        <f>SUM(N20:N25)</f>
        <v>44982660</v>
      </c>
      <c r="O19" s="1808"/>
      <c r="P19" s="1808"/>
      <c r="Q19" s="1808">
        <f>SUM(Q20:Q25)</f>
        <v>24664880</v>
      </c>
      <c r="S19" s="1808">
        <f>SUM(S20:S25)</f>
        <v>69647.539999999994</v>
      </c>
    </row>
    <row r="20" spans="2:19" ht="16.5" customHeight="1" x14ac:dyDescent="0.3">
      <c r="B20" s="1777" t="s">
        <v>4020</v>
      </c>
      <c r="C20" s="1777" t="s">
        <v>4014</v>
      </c>
      <c r="D20" s="1777" t="s">
        <v>4031</v>
      </c>
      <c r="E20" s="1782" t="s">
        <v>4031</v>
      </c>
      <c r="F20" s="1783" t="s">
        <v>4038</v>
      </c>
      <c r="G20" s="1782" t="s">
        <v>4039</v>
      </c>
      <c r="H20" s="1779" t="s">
        <v>4017</v>
      </c>
      <c r="I20" s="1780">
        <v>240000</v>
      </c>
      <c r="J20" s="1781" t="s">
        <v>2865</v>
      </c>
      <c r="M20" s="1807" t="s">
        <v>4161</v>
      </c>
      <c r="N20" s="1808">
        <f>SUMIFS($I$4:$I$298,$B$4:$B$298,"기확보",$J$4:$J$298,"SM",$D$4:$D$298,M20)</f>
        <v>8668200</v>
      </c>
      <c r="O20" s="1808"/>
      <c r="P20" s="1808"/>
      <c r="Q20" s="1808">
        <f>(SUMIFS($I$4:$I$298,$B$4:$B$298,"신규",$J$4:$J$298,"SM",$D$4:$D$298,M20))*$Q$2</f>
        <v>17178000</v>
      </c>
      <c r="S20" s="1808">
        <f t="shared" ref="S20:S26" si="4">(N20+Q20)/1000</f>
        <v>25846.2</v>
      </c>
    </row>
    <row r="21" spans="2:19" ht="16.5" customHeight="1" x14ac:dyDescent="0.2">
      <c r="B21" s="1777" t="s">
        <v>4020</v>
      </c>
      <c r="C21" s="1777" t="s">
        <v>4014</v>
      </c>
      <c r="D21" s="1777" t="s">
        <v>4031</v>
      </c>
      <c r="E21" s="1777" t="s">
        <v>4031</v>
      </c>
      <c r="F21" s="1784" t="s" ph="1">
        <v>4040</v>
      </c>
      <c r="G21" s="1782" t="s">
        <v>4039</v>
      </c>
      <c r="H21" s="1779" t="s">
        <v>4017</v>
      </c>
      <c r="I21" s="1780">
        <v>300000</v>
      </c>
      <c r="J21" s="1781" t="s">
        <v>2865</v>
      </c>
      <c r="M21" s="1807" t="s">
        <v>4398</v>
      </c>
      <c r="N21" s="1808">
        <f t="shared" ref="N21:N25" si="5">SUMIFS($I$4:$I$298,$B$4:$B$298,"기확보",$J$4:$J$298,"SM",$D$4:$D$298,M21)</f>
        <v>14387712</v>
      </c>
      <c r="O21" s="1808"/>
      <c r="P21" s="1808"/>
      <c r="Q21" s="1808">
        <f>(SUMIFS($I$4:$I$298,$B$4:$B$298,"신규",$J$4:$J$298,"SM",$D$4:$D$298,M21))*$Q$2</f>
        <v>0</v>
      </c>
      <c r="S21" s="1808">
        <f t="shared" si="4"/>
        <v>14387.712</v>
      </c>
    </row>
    <row r="22" spans="2:19" ht="16.5" customHeight="1" x14ac:dyDescent="0.3">
      <c r="B22" s="1785" t="s">
        <v>4013</v>
      </c>
      <c r="C22" s="1785" t="s">
        <v>4014</v>
      </c>
      <c r="D22" s="1777" t="s">
        <v>4041</v>
      </c>
      <c r="E22" s="1785" t="s">
        <v>4042</v>
      </c>
      <c r="F22" s="1786" t="s">
        <v>4043</v>
      </c>
      <c r="G22" s="1785" t="s">
        <v>4044</v>
      </c>
      <c r="H22" s="1779" t="s">
        <v>4017</v>
      </c>
      <c r="I22" s="1780">
        <v>132000</v>
      </c>
      <c r="J22" s="1781" t="s">
        <v>2865</v>
      </c>
      <c r="M22" s="1807" t="s">
        <v>4181</v>
      </c>
      <c r="N22" s="1808">
        <f t="shared" si="5"/>
        <v>17071710</v>
      </c>
      <c r="O22" s="1808"/>
      <c r="P22" s="1808"/>
      <c r="Q22" s="1808">
        <f>(SUMIFS($I$4:$I$298,$B$4:$B$298,"신규",$J$4:$J$298,"SM",$D$4:$D$298,M22))*$Q$2</f>
        <v>4230000</v>
      </c>
      <c r="S22" s="1808">
        <f t="shared" si="4"/>
        <v>21301.71</v>
      </c>
    </row>
    <row r="23" spans="2:19" ht="16.5" customHeight="1" x14ac:dyDescent="0.3">
      <c r="B23" s="1785" t="s">
        <v>4020</v>
      </c>
      <c r="C23" s="1785" t="s">
        <v>4014</v>
      </c>
      <c r="D23" s="1777" t="s">
        <v>4041</v>
      </c>
      <c r="E23" s="1785" t="s">
        <v>4045</v>
      </c>
      <c r="F23" s="1786" t="s">
        <v>4046</v>
      </c>
      <c r="G23" s="1785" t="s">
        <v>4047</v>
      </c>
      <c r="H23" s="1779" t="s">
        <v>4017</v>
      </c>
      <c r="I23" s="1780">
        <v>97500</v>
      </c>
      <c r="J23" s="1781" t="s">
        <v>2865</v>
      </c>
      <c r="M23" s="1807" t="s">
        <v>4000</v>
      </c>
      <c r="N23" s="1808">
        <f t="shared" si="5"/>
        <v>1369234</v>
      </c>
      <c r="O23" s="1808"/>
      <c r="P23" s="1808"/>
      <c r="Q23" s="1808">
        <f>(SUMIFS($I$4:$I$298,$B$4:$B$298,"신규",$J$4:$J$298,"SM",$D$4:$D$298,M23))*$Q$2</f>
        <v>0</v>
      </c>
      <c r="S23" s="1808">
        <f t="shared" si="4"/>
        <v>1369.2339999999999</v>
      </c>
    </row>
    <row r="24" spans="2:19" ht="16.5" customHeight="1" x14ac:dyDescent="0.3">
      <c r="B24" s="1785" t="s">
        <v>4020</v>
      </c>
      <c r="C24" s="1785" t="s">
        <v>4014</v>
      </c>
      <c r="D24" s="1777" t="s">
        <v>4041</v>
      </c>
      <c r="E24" s="1785" t="s">
        <v>4045</v>
      </c>
      <c r="F24" s="1786" t="s">
        <v>4048</v>
      </c>
      <c r="G24" s="1785" t="s">
        <v>4047</v>
      </c>
      <c r="H24" s="1779" t="s">
        <v>4017</v>
      </c>
      <c r="I24" s="1780">
        <v>75000</v>
      </c>
      <c r="J24" s="1781" t="s">
        <v>2865</v>
      </c>
      <c r="M24" s="1807" t="s">
        <v>4399</v>
      </c>
      <c r="N24" s="1808">
        <f t="shared" si="5"/>
        <v>3317576</v>
      </c>
      <c r="O24" s="1808"/>
      <c r="P24" s="1808"/>
      <c r="Q24" s="1808">
        <f>(SUMIFS($I$4:$I$298,$B$4:$B$298,"신규",$J$4:$J$298,"SM",$D$4:$D$298,M24)+I75)*$Q$2</f>
        <v>3256880</v>
      </c>
      <c r="S24" s="1808">
        <f t="shared" si="4"/>
        <v>6574.4560000000001</v>
      </c>
    </row>
    <row r="25" spans="2:19" ht="16.5" customHeight="1" x14ac:dyDescent="0.3">
      <c r="B25" s="1785" t="s">
        <v>4020</v>
      </c>
      <c r="C25" s="1785" t="s">
        <v>4014</v>
      </c>
      <c r="D25" s="1777" t="s">
        <v>4015</v>
      </c>
      <c r="E25" s="1785" t="s">
        <v>4049</v>
      </c>
      <c r="F25" s="1786" t="s">
        <v>4050</v>
      </c>
      <c r="G25" s="1785" t="s">
        <v>4047</v>
      </c>
      <c r="H25" s="1779" t="s">
        <v>4017</v>
      </c>
      <c r="I25" s="1780">
        <v>150000</v>
      </c>
      <c r="J25" s="1781" t="s">
        <v>2865</v>
      </c>
      <c r="M25" s="1807" t="s">
        <v>1226</v>
      </c>
      <c r="N25" s="1808">
        <f t="shared" si="5"/>
        <v>168228</v>
      </c>
      <c r="O25" s="1808"/>
      <c r="P25" s="1808"/>
      <c r="Q25" s="1808">
        <f>(SUMIFS($I$4:$I$298,$B$4:$B$298,"신규",$J$4:$J$298,"SM",$D$4:$D$298,M25))*$Q$2</f>
        <v>0</v>
      </c>
      <c r="S25" s="1808">
        <f t="shared" si="4"/>
        <v>168.22800000000001</v>
      </c>
    </row>
    <row r="26" spans="2:19" ht="16.5" customHeight="1" x14ac:dyDescent="0.3">
      <c r="B26" s="1785" t="s">
        <v>4020</v>
      </c>
      <c r="C26" s="1785" t="s">
        <v>4014</v>
      </c>
      <c r="D26" s="1777" t="s">
        <v>4015</v>
      </c>
      <c r="E26" s="1785" t="s">
        <v>4051</v>
      </c>
      <c r="F26" s="1786" t="s">
        <v>4052</v>
      </c>
      <c r="G26" s="1785" t="s">
        <v>4047</v>
      </c>
      <c r="H26" s="1779" t="s">
        <v>4017</v>
      </c>
      <c r="I26" s="1780">
        <v>200000</v>
      </c>
      <c r="J26" s="1781" t="s">
        <v>2865</v>
      </c>
      <c r="M26" s="1039" t="s">
        <v>2015</v>
      </c>
      <c r="N26" s="1808">
        <f>SUMIFS($I$4:$I$298,$B$4:$B$298,"기확보",$J$4:$J$298,"SM",$C$4:$C$298,M26)</f>
        <v>382080</v>
      </c>
      <c r="O26" s="1808"/>
      <c r="P26" s="1808"/>
      <c r="Q26" s="1808">
        <f>(SUMIFS($I$4:$I$298,$B$4:$B$298,"신규",$J$4:$J$298,"SM",$C$4:$C$298,M26)*$Q$2)</f>
        <v>4204846</v>
      </c>
      <c r="S26" s="1808">
        <f t="shared" si="4"/>
        <v>4586.9260000000004</v>
      </c>
    </row>
    <row r="27" spans="2:19" ht="16.5" customHeight="1" x14ac:dyDescent="0.3">
      <c r="B27" s="1785" t="s">
        <v>4013</v>
      </c>
      <c r="C27" s="1785" t="s">
        <v>4014</v>
      </c>
      <c r="D27" s="1777" t="s">
        <v>4015</v>
      </c>
      <c r="E27" s="1785" t="s">
        <v>4051</v>
      </c>
      <c r="F27" s="1787" t="s">
        <v>4053</v>
      </c>
      <c r="G27" s="1785" t="s">
        <v>1110</v>
      </c>
      <c r="H27" s="1779" t="s">
        <v>4017</v>
      </c>
      <c r="I27" s="1780">
        <v>10000</v>
      </c>
      <c r="J27" s="1781" t="s">
        <v>2865</v>
      </c>
    </row>
    <row r="28" spans="2:19" ht="16.5" customHeight="1" x14ac:dyDescent="0.3">
      <c r="B28" s="1785" t="s">
        <v>4020</v>
      </c>
      <c r="C28" s="1785" t="s">
        <v>4014</v>
      </c>
      <c r="D28" s="1777" t="s">
        <v>4041</v>
      </c>
      <c r="E28" s="1785" t="s">
        <v>4042</v>
      </c>
      <c r="F28" s="1787" t="s">
        <v>4054</v>
      </c>
      <c r="G28" s="1785" t="s">
        <v>4044</v>
      </c>
      <c r="H28" s="1779" t="s">
        <v>4017</v>
      </c>
      <c r="I28" s="1780">
        <v>75000</v>
      </c>
      <c r="J28" s="1781" t="s">
        <v>2865</v>
      </c>
      <c r="M28" s="1452" t="s">
        <v>1978</v>
      </c>
      <c r="N28" s="1809">
        <f>N29+N36</f>
        <v>25998694</v>
      </c>
      <c r="O28" s="1809"/>
      <c r="P28" s="1809"/>
      <c r="Q28" s="1809">
        <f>Q29+Q36</f>
        <v>55708848.406833597</v>
      </c>
      <c r="S28" s="1809">
        <f>S29+S36</f>
        <v>81707.542406833585</v>
      </c>
    </row>
    <row r="29" spans="2:19" ht="16.5" customHeight="1" x14ac:dyDescent="0.3">
      <c r="B29" s="1785" t="s">
        <v>4020</v>
      </c>
      <c r="C29" s="1785" t="s">
        <v>4014</v>
      </c>
      <c r="D29" s="1777" t="s">
        <v>4041</v>
      </c>
      <c r="E29" s="1785" t="s">
        <v>4055</v>
      </c>
      <c r="F29" s="1786" t="s">
        <v>4056</v>
      </c>
      <c r="G29" s="1785" t="s">
        <v>4057</v>
      </c>
      <c r="H29" s="1779" t="s">
        <v>4017</v>
      </c>
      <c r="I29" s="1780">
        <v>157500</v>
      </c>
      <c r="J29" s="1781" t="s">
        <v>2865</v>
      </c>
      <c r="M29" s="1039" t="s">
        <v>4397</v>
      </c>
      <c r="N29" s="1808">
        <f>SUM(N30:N35)</f>
        <v>25977718</v>
      </c>
      <c r="O29" s="1808"/>
      <c r="P29" s="1808"/>
      <c r="Q29" s="1808">
        <f>SUM(Q30:Q35)</f>
        <v>27745542</v>
      </c>
      <c r="S29" s="1808">
        <f>SUM(S30:S35)</f>
        <v>53723.259999999995</v>
      </c>
    </row>
    <row r="30" spans="2:19" ht="16.5" customHeight="1" x14ac:dyDescent="0.3">
      <c r="B30" s="1785" t="s">
        <v>4020</v>
      </c>
      <c r="C30" s="1785" t="s">
        <v>4014</v>
      </c>
      <c r="D30" s="1777" t="s">
        <v>4041</v>
      </c>
      <c r="E30" s="1785" t="s">
        <v>4055</v>
      </c>
      <c r="F30" s="1787" t="s">
        <v>4058</v>
      </c>
      <c r="G30" s="1785" t="s">
        <v>1110</v>
      </c>
      <c r="H30" s="1779" t="s">
        <v>4017</v>
      </c>
      <c r="I30" s="1780">
        <v>150000</v>
      </c>
      <c r="J30" s="1781" t="s">
        <v>2865</v>
      </c>
      <c r="M30" s="1807" t="s">
        <v>4161</v>
      </c>
      <c r="N30" s="1808">
        <f>SUMIFS($I$4:$I$298,$B$4:$B$298,"기확보",$J$4:$J$298,"상품",$D$4:$D$298,M30)</f>
        <v>188639</v>
      </c>
      <c r="O30" s="1808"/>
      <c r="P30" s="1808"/>
      <c r="Q30" s="1808">
        <f>(SUMIFS($I$4:$I$298,$B$4:$B$298,"신규",$J$4:$J$298,"상품",$D$4:$D$298,M30))*$Q$2</f>
        <v>3550572</v>
      </c>
      <c r="S30" s="1808">
        <f t="shared" ref="S30:S36" si="6">(N30+Q30)/1000</f>
        <v>3739.2109999999998</v>
      </c>
    </row>
    <row r="31" spans="2:19" ht="16.5" customHeight="1" x14ac:dyDescent="0.3">
      <c r="B31" s="1785" t="s">
        <v>4013</v>
      </c>
      <c r="C31" s="1785" t="s">
        <v>4014</v>
      </c>
      <c r="D31" s="1777" t="s">
        <v>4041</v>
      </c>
      <c r="E31" s="1785" t="s">
        <v>4055</v>
      </c>
      <c r="F31" s="1787" t="s">
        <v>4059</v>
      </c>
      <c r="G31" s="1785" t="s">
        <v>4044</v>
      </c>
      <c r="H31" s="1779" t="s">
        <v>4017</v>
      </c>
      <c r="I31" s="1788">
        <v>8700</v>
      </c>
      <c r="J31" s="1781" t="s">
        <v>2865</v>
      </c>
      <c r="M31" s="1807" t="s">
        <v>4398</v>
      </c>
      <c r="N31" s="1808">
        <f t="shared" ref="N31:N35" si="7">SUMIFS($I$4:$I$298,$B$4:$B$298,"기확보",$J$4:$J$298,"상품",$D$4:$D$298,M31)</f>
        <v>3000000</v>
      </c>
      <c r="O31" s="1808"/>
      <c r="P31" s="1808"/>
      <c r="Q31" s="1808">
        <f>(SUMIFS($I$4:$I$298,$B$4:$B$298,"신규",$J$4:$J$298,"상품",$D$4:$D$298,M31))*$Q$2</f>
        <v>2443288</v>
      </c>
      <c r="S31" s="1808">
        <f t="shared" si="6"/>
        <v>5443.2879999999996</v>
      </c>
    </row>
    <row r="32" spans="2:19" ht="16.5" customHeight="1" x14ac:dyDescent="0.3">
      <c r="B32" s="1777" t="s">
        <v>4020</v>
      </c>
      <c r="C32" s="1785" t="s">
        <v>4014</v>
      </c>
      <c r="D32" s="1777" t="s">
        <v>4039</v>
      </c>
      <c r="E32" s="1785" t="s">
        <v>4060</v>
      </c>
      <c r="F32" s="1787" t="s">
        <v>4039</v>
      </c>
      <c r="G32" s="1785"/>
      <c r="H32" s="1779" t="s">
        <v>4017</v>
      </c>
      <c r="I32" s="1788">
        <v>189300</v>
      </c>
      <c r="J32" s="1781" t="s">
        <v>2865</v>
      </c>
      <c r="M32" s="1807" t="s">
        <v>4181</v>
      </c>
      <c r="N32" s="1808">
        <f t="shared" si="7"/>
        <v>21906000</v>
      </c>
      <c r="O32" s="1808"/>
      <c r="P32" s="1808"/>
      <c r="Q32" s="1808">
        <f>(SUMIFS($I$4:$I$298,$B$4:$B$298,"신규",$J$4:$J$298,"상품",$D$4:$D$298,M32))*$Q$2</f>
        <v>11394000</v>
      </c>
      <c r="S32" s="1808">
        <f t="shared" si="6"/>
        <v>33300</v>
      </c>
    </row>
    <row r="33" spans="2:19" ht="16.5" customHeight="1" x14ac:dyDescent="0.3">
      <c r="B33" s="1777" t="s">
        <v>4020</v>
      </c>
      <c r="C33" s="1777" t="s">
        <v>4014</v>
      </c>
      <c r="D33" s="1777" t="s">
        <v>4015</v>
      </c>
      <c r="E33" s="1777" t="s">
        <v>4015</v>
      </c>
      <c r="F33" s="1778" t="s">
        <v>4061</v>
      </c>
      <c r="G33" s="1777"/>
      <c r="H33" s="1779" t="s">
        <v>4017</v>
      </c>
      <c r="I33" s="1788">
        <v>14599999.999999998</v>
      </c>
      <c r="J33" s="1781" t="s">
        <v>2866</v>
      </c>
      <c r="M33" s="1807" t="s">
        <v>4000</v>
      </c>
      <c r="N33" s="1808">
        <f t="shared" si="7"/>
        <v>719400</v>
      </c>
      <c r="O33" s="1808"/>
      <c r="P33" s="1808"/>
      <c r="Q33" s="1808">
        <f>(SUMIFS($I$4:$I$298,$B$4:$B$298,"신규",$J$4:$J$298,"상품",$D$4:$D$298,M33))*$Q$2</f>
        <v>0</v>
      </c>
      <c r="S33" s="1808">
        <f t="shared" si="6"/>
        <v>719.4</v>
      </c>
    </row>
    <row r="34" spans="2:19" ht="16.5" customHeight="1" x14ac:dyDescent="0.3">
      <c r="B34" s="1777" t="s">
        <v>4020</v>
      </c>
      <c r="C34" s="1777" t="s">
        <v>4014</v>
      </c>
      <c r="D34" s="1777" t="s">
        <v>4015</v>
      </c>
      <c r="E34" s="1777" t="s">
        <v>4015</v>
      </c>
      <c r="F34" s="1783" t="s">
        <v>4062</v>
      </c>
      <c r="G34" s="1782"/>
      <c r="H34" s="1779" t="s">
        <v>4017</v>
      </c>
      <c r="I34" s="1788">
        <v>2500000</v>
      </c>
      <c r="J34" s="1781" t="s">
        <v>2866</v>
      </c>
      <c r="M34" s="1807" t="s">
        <v>4399</v>
      </c>
      <c r="N34" s="1808">
        <f t="shared" si="7"/>
        <v>163679</v>
      </c>
      <c r="O34" s="1808"/>
      <c r="P34" s="1808"/>
      <c r="Q34" s="1808">
        <f>(SUMIFS($I$4:$I$298,$B$4:$B$298,"신규",$J$4:$J$298,"상품",$D$4:$D$298,M34)+I241+I244+I268)*$Q$2</f>
        <v>10357682</v>
      </c>
      <c r="S34" s="1808">
        <f t="shared" si="6"/>
        <v>10521.361000000001</v>
      </c>
    </row>
    <row r="35" spans="2:19" ht="16.5" customHeight="1" x14ac:dyDescent="0.3">
      <c r="B35" s="1777" t="s">
        <v>4013</v>
      </c>
      <c r="C35" s="1777" t="s">
        <v>4014</v>
      </c>
      <c r="D35" s="1777" t="s">
        <v>4063</v>
      </c>
      <c r="E35" s="1777" t="s">
        <v>4063</v>
      </c>
      <c r="F35" s="1778" t="s">
        <v>4064</v>
      </c>
      <c r="G35" s="1777" t="s">
        <v>4028</v>
      </c>
      <c r="H35" s="1779" t="s">
        <v>4017</v>
      </c>
      <c r="I35" s="1788">
        <v>8400000</v>
      </c>
      <c r="J35" s="1781" t="s">
        <v>2866</v>
      </c>
      <c r="M35" s="1807" t="s">
        <v>1226</v>
      </c>
      <c r="N35" s="1808">
        <f t="shared" si="7"/>
        <v>0</v>
      </c>
      <c r="O35" s="1808"/>
      <c r="P35" s="1808"/>
      <c r="Q35" s="1808">
        <f>(SUMIFS($I$4:$I$298,$B$4:$B$298,"신규",$J$4:$J$298,"상품",$D$4:$D$298,M35))*$Q$2</f>
        <v>0</v>
      </c>
      <c r="S35" s="1808">
        <f t="shared" si="6"/>
        <v>0</v>
      </c>
    </row>
    <row r="36" spans="2:19" ht="16.5" customHeight="1" x14ac:dyDescent="0.3">
      <c r="B36" s="1777" t="s">
        <v>4013</v>
      </c>
      <c r="C36" s="1777" t="s">
        <v>4029</v>
      </c>
      <c r="D36" s="1777" t="s">
        <v>4063</v>
      </c>
      <c r="E36" s="1777" t="s">
        <v>4063</v>
      </c>
      <c r="F36" s="1778" t="s">
        <v>4065</v>
      </c>
      <c r="G36" s="1777" t="s">
        <v>4028</v>
      </c>
      <c r="H36" s="1779" t="s">
        <v>4017</v>
      </c>
      <c r="I36" s="1788">
        <v>3271710</v>
      </c>
      <c r="J36" s="1781" t="s">
        <v>2866</v>
      </c>
      <c r="M36" s="1039" t="s">
        <v>2015</v>
      </c>
      <c r="N36" s="1808">
        <f>SUMIFS($I$4:$I$298,$B$4:$B$298,"기확보",$J$4:$J$298,"상품",$C$4:$C$298,M36)</f>
        <v>20976</v>
      </c>
      <c r="O36" s="1808"/>
      <c r="P36" s="1808"/>
      <c r="Q36" s="1808">
        <f>(SUMIFS($I$4:$I$298,$B$4:$B$298,"신규",$J$4:$J$298,"상품",$C$4:$C$298,M36)*$Q$2)</f>
        <v>27963306.406833597</v>
      </c>
      <c r="S36" s="1808">
        <f t="shared" si="6"/>
        <v>27984.282406833598</v>
      </c>
    </row>
    <row r="37" spans="2:19" ht="16.5" customHeight="1" x14ac:dyDescent="0.3">
      <c r="B37" s="1777" t="s">
        <v>4020</v>
      </c>
      <c r="C37" s="1777" t="s">
        <v>4029</v>
      </c>
      <c r="D37" s="1777" t="s">
        <v>4063</v>
      </c>
      <c r="E37" s="1777" t="s">
        <v>4063</v>
      </c>
      <c r="F37" s="1778" t="s">
        <v>4066</v>
      </c>
      <c r="G37" s="1777" t="s">
        <v>4028</v>
      </c>
      <c r="H37" s="1779" t="s">
        <v>4017</v>
      </c>
      <c r="I37" s="1788">
        <v>3230000</v>
      </c>
      <c r="J37" s="1781" t="s">
        <v>2866</v>
      </c>
    </row>
    <row r="38" spans="2:19" ht="16.5" customHeight="1" x14ac:dyDescent="0.3">
      <c r="B38" s="1777" t="s">
        <v>4013</v>
      </c>
      <c r="C38" s="1777" t="s">
        <v>4014</v>
      </c>
      <c r="D38" s="1777" t="s">
        <v>4031</v>
      </c>
      <c r="E38" s="1777" t="s">
        <v>4031</v>
      </c>
      <c r="F38" s="1778" t="s">
        <v>4067</v>
      </c>
      <c r="G38" s="1777"/>
      <c r="H38" s="1779" t="s">
        <v>4017</v>
      </c>
      <c r="I38" s="1788">
        <v>9948000</v>
      </c>
      <c r="J38" s="1781" t="s">
        <v>2866</v>
      </c>
    </row>
    <row r="39" spans="2:19" ht="16.5" customHeight="1" x14ac:dyDescent="0.3">
      <c r="B39" s="1777" t="s">
        <v>4013</v>
      </c>
      <c r="C39" s="1777" t="s">
        <v>4014</v>
      </c>
      <c r="D39" s="1777" t="s">
        <v>4031</v>
      </c>
      <c r="E39" s="1777" t="s">
        <v>4031</v>
      </c>
      <c r="F39" s="1778" t="s">
        <v>4068</v>
      </c>
      <c r="G39" s="1777" t="s">
        <v>4069</v>
      </c>
      <c r="H39" s="1779" t="s">
        <v>4017</v>
      </c>
      <c r="I39" s="1788">
        <v>1588000.0000000002</v>
      </c>
      <c r="J39" s="1781" t="s">
        <v>2866</v>
      </c>
    </row>
    <row r="40" spans="2:19" ht="16.5" customHeight="1" x14ac:dyDescent="0.3">
      <c r="B40" s="1777" t="s">
        <v>4013</v>
      </c>
      <c r="C40" s="1777" t="s">
        <v>4014</v>
      </c>
      <c r="D40" s="1777" t="s">
        <v>4031</v>
      </c>
      <c r="E40" s="1777" t="s">
        <v>4031</v>
      </c>
      <c r="F40" s="1778" t="s">
        <v>4070</v>
      </c>
      <c r="G40" s="1789" t="s">
        <v>4071</v>
      </c>
      <c r="H40" s="1779" t="s">
        <v>4017</v>
      </c>
      <c r="I40" s="1788">
        <v>1500000</v>
      </c>
      <c r="J40" s="1781" t="s">
        <v>2866</v>
      </c>
    </row>
    <row r="41" spans="2:19" ht="16.5" customHeight="1" x14ac:dyDescent="0.3">
      <c r="B41" s="1777" t="s">
        <v>4013</v>
      </c>
      <c r="C41" s="1777" t="s">
        <v>4014</v>
      </c>
      <c r="D41" s="1777" t="s">
        <v>4031</v>
      </c>
      <c r="E41" s="1777" t="s">
        <v>4072</v>
      </c>
      <c r="F41" s="1778" t="s">
        <v>4073</v>
      </c>
      <c r="G41" s="1789" t="s">
        <v>4071</v>
      </c>
      <c r="H41" s="1779" t="s">
        <v>4017</v>
      </c>
      <c r="I41" s="1788">
        <v>124999.99999999983</v>
      </c>
      <c r="J41" s="1781" t="s">
        <v>2866</v>
      </c>
    </row>
    <row r="42" spans="2:19" ht="16.5" customHeight="1" x14ac:dyDescent="0.3">
      <c r="B42" s="1785" t="s">
        <v>4074</v>
      </c>
      <c r="C42" s="1785" t="s">
        <v>4029</v>
      </c>
      <c r="D42" s="1777" t="s">
        <v>4041</v>
      </c>
      <c r="E42" s="1785" t="s">
        <v>4075</v>
      </c>
      <c r="F42" s="1786" t="s">
        <v>4076</v>
      </c>
      <c r="G42" s="1785" t="s">
        <v>3796</v>
      </c>
      <c r="H42" s="1779" t="s">
        <v>4017</v>
      </c>
      <c r="I42" s="1788">
        <v>425868</v>
      </c>
      <c r="J42" s="1781" t="s">
        <v>2866</v>
      </c>
    </row>
    <row r="43" spans="2:19" ht="16.5" customHeight="1" x14ac:dyDescent="0.3">
      <c r="B43" s="1785" t="s">
        <v>4074</v>
      </c>
      <c r="C43" s="1785" t="s">
        <v>4077</v>
      </c>
      <c r="D43" s="1777" t="s">
        <v>4077</v>
      </c>
      <c r="E43" s="1785" t="s">
        <v>4078</v>
      </c>
      <c r="F43" s="1786" t="s">
        <v>4079</v>
      </c>
      <c r="G43" s="1785" t="s">
        <v>3796</v>
      </c>
      <c r="H43" s="1779" t="s">
        <v>4017</v>
      </c>
      <c r="I43" s="1788">
        <v>8000</v>
      </c>
      <c r="J43" s="1781" t="s">
        <v>2866</v>
      </c>
    </row>
    <row r="44" spans="2:19" ht="16.5" customHeight="1" x14ac:dyDescent="0.3">
      <c r="B44" s="1785" t="s">
        <v>4074</v>
      </c>
      <c r="C44" s="1785" t="s">
        <v>4029</v>
      </c>
      <c r="D44" s="1777" t="s">
        <v>4015</v>
      </c>
      <c r="E44" s="1785" t="s">
        <v>4080</v>
      </c>
      <c r="F44" s="1786" t="s">
        <v>4081</v>
      </c>
      <c r="G44" s="1785" t="s">
        <v>3796</v>
      </c>
      <c r="H44" s="1779" t="s">
        <v>4017</v>
      </c>
      <c r="I44" s="1788">
        <v>610440</v>
      </c>
      <c r="J44" s="1781" t="s">
        <v>2866</v>
      </c>
    </row>
    <row r="45" spans="2:19" ht="16.5" customHeight="1" x14ac:dyDescent="0.3">
      <c r="B45" s="1785" t="s">
        <v>4074</v>
      </c>
      <c r="C45" s="1785" t="s">
        <v>4029</v>
      </c>
      <c r="D45" s="1777" t="s">
        <v>4041</v>
      </c>
      <c r="E45" s="1785" t="s">
        <v>3896</v>
      </c>
      <c r="F45" s="1786" t="s">
        <v>4082</v>
      </c>
      <c r="G45" s="1785" t="s">
        <v>3796</v>
      </c>
      <c r="H45" s="1779" t="s">
        <v>4017</v>
      </c>
      <c r="I45" s="1788">
        <v>630780</v>
      </c>
      <c r="J45" s="1781" t="s">
        <v>2866</v>
      </c>
    </row>
    <row r="46" spans="2:19" ht="16.5" customHeight="1" x14ac:dyDescent="0.3">
      <c r="B46" s="1785" t="s">
        <v>4074</v>
      </c>
      <c r="C46" s="1785" t="s">
        <v>4029</v>
      </c>
      <c r="D46" s="1777" t="s">
        <v>4015</v>
      </c>
      <c r="E46" s="1785" t="s">
        <v>4083</v>
      </c>
      <c r="F46" s="1787" t="s">
        <v>4084</v>
      </c>
      <c r="G46" s="1785" t="s">
        <v>3796</v>
      </c>
      <c r="H46" s="1779" t="s">
        <v>4017</v>
      </c>
      <c r="I46" s="1780">
        <v>789684</v>
      </c>
      <c r="J46" s="1781" t="s">
        <v>2866</v>
      </c>
    </row>
    <row r="47" spans="2:19" ht="16.5" customHeight="1" x14ac:dyDescent="0.3">
      <c r="B47" s="1785" t="s">
        <v>4074</v>
      </c>
      <c r="C47" s="1785" t="s">
        <v>4029</v>
      </c>
      <c r="D47" s="1777" t="s">
        <v>4015</v>
      </c>
      <c r="E47" s="1785" t="s">
        <v>4083</v>
      </c>
      <c r="F47" s="1787" t="s">
        <v>4085</v>
      </c>
      <c r="G47" s="1785" t="s">
        <v>3796</v>
      </c>
      <c r="H47" s="1779" t="s">
        <v>4017</v>
      </c>
      <c r="I47" s="1780">
        <v>295524</v>
      </c>
      <c r="J47" s="1781" t="s">
        <v>2866</v>
      </c>
    </row>
    <row r="48" spans="2:19" ht="16.5" customHeight="1" x14ac:dyDescent="0.3">
      <c r="B48" s="1785" t="s">
        <v>4074</v>
      </c>
      <c r="C48" s="1785" t="s">
        <v>4029</v>
      </c>
      <c r="D48" s="1777" t="s">
        <v>4015</v>
      </c>
      <c r="E48" s="1785" t="s">
        <v>4080</v>
      </c>
      <c r="F48" s="1786" t="s">
        <v>4086</v>
      </c>
      <c r="G48" s="1785" t="s">
        <v>3796</v>
      </c>
      <c r="H48" s="1779" t="s">
        <v>4017</v>
      </c>
      <c r="I48" s="1780">
        <v>226116</v>
      </c>
      <c r="J48" s="1781" t="s">
        <v>2866</v>
      </c>
    </row>
    <row r="49" spans="2:10" ht="16.5" customHeight="1" x14ac:dyDescent="0.3">
      <c r="B49" s="1785" t="s">
        <v>4074</v>
      </c>
      <c r="C49" s="1785" t="s">
        <v>4029</v>
      </c>
      <c r="D49" s="1777" t="s">
        <v>4015</v>
      </c>
      <c r="E49" s="1785" t="s">
        <v>4080</v>
      </c>
      <c r="F49" s="1786" t="s">
        <v>4087</v>
      </c>
      <c r="G49" s="1785" t="s">
        <v>3796</v>
      </c>
      <c r="H49" s="1779" t="s">
        <v>4017</v>
      </c>
      <c r="I49" s="1780">
        <v>193439</v>
      </c>
      <c r="J49" s="1781" t="s">
        <v>2866</v>
      </c>
    </row>
    <row r="50" spans="2:10" ht="16.5" customHeight="1" x14ac:dyDescent="0.3">
      <c r="B50" s="1785" t="s">
        <v>4074</v>
      </c>
      <c r="C50" s="1785" t="s">
        <v>4029</v>
      </c>
      <c r="D50" s="1777" t="s">
        <v>4015</v>
      </c>
      <c r="E50" s="1785" t="s">
        <v>4080</v>
      </c>
      <c r="F50" s="1786" t="s">
        <v>4088</v>
      </c>
      <c r="G50" s="1785" t="s">
        <v>3796</v>
      </c>
      <c r="H50" s="1779" t="s">
        <v>4017</v>
      </c>
      <c r="I50" s="1780">
        <v>2127829</v>
      </c>
      <c r="J50" s="1781" t="s">
        <v>2866</v>
      </c>
    </row>
    <row r="51" spans="2:10" ht="16.5" customHeight="1" x14ac:dyDescent="0.3">
      <c r="B51" s="1785" t="s">
        <v>4074</v>
      </c>
      <c r="C51" s="1785" t="s">
        <v>4029</v>
      </c>
      <c r="D51" s="1777" t="s">
        <v>4041</v>
      </c>
      <c r="E51" s="1785" t="s">
        <v>4089</v>
      </c>
      <c r="F51" s="1787" t="s">
        <v>4090</v>
      </c>
      <c r="G51" s="1785" t="s">
        <v>3796</v>
      </c>
      <c r="H51" s="1779" t="s">
        <v>4017</v>
      </c>
      <c r="I51" s="1780">
        <v>378750</v>
      </c>
      <c r="J51" s="1781" t="s">
        <v>2866</v>
      </c>
    </row>
    <row r="52" spans="2:10" ht="16.5" customHeight="1" x14ac:dyDescent="0.3">
      <c r="B52" s="1785" t="s">
        <v>4074</v>
      </c>
      <c r="C52" s="1785" t="s">
        <v>4029</v>
      </c>
      <c r="D52" s="1777" t="s">
        <v>4041</v>
      </c>
      <c r="E52" s="1785" t="s">
        <v>4089</v>
      </c>
      <c r="F52" s="1787" t="s">
        <v>4091</v>
      </c>
      <c r="G52" s="1785" t="s">
        <v>3796</v>
      </c>
      <c r="H52" s="1779" t="s">
        <v>4017</v>
      </c>
      <c r="I52" s="1780">
        <v>378750</v>
      </c>
      <c r="J52" s="1781" t="s">
        <v>2866</v>
      </c>
    </row>
    <row r="53" spans="2:10" ht="16.5" customHeight="1" x14ac:dyDescent="0.3">
      <c r="B53" s="1785" t="s">
        <v>4074</v>
      </c>
      <c r="C53" s="1785" t="s">
        <v>4029</v>
      </c>
      <c r="D53" s="1777" t="s">
        <v>4041</v>
      </c>
      <c r="E53" s="1785" t="s">
        <v>4092</v>
      </c>
      <c r="F53" s="1786" t="s">
        <v>4093</v>
      </c>
      <c r="G53" s="1785" t="s">
        <v>3796</v>
      </c>
      <c r="H53" s="1779" t="s">
        <v>4017</v>
      </c>
      <c r="I53" s="1780">
        <v>1136250</v>
      </c>
      <c r="J53" s="1781" t="s">
        <v>2866</v>
      </c>
    </row>
    <row r="54" spans="2:10" ht="16.5" customHeight="1" x14ac:dyDescent="0.3">
      <c r="B54" s="1785" t="s">
        <v>4074</v>
      </c>
      <c r="C54" s="1785" t="s">
        <v>4029</v>
      </c>
      <c r="D54" s="1777" t="s">
        <v>4015</v>
      </c>
      <c r="E54" s="1785" t="s">
        <v>4094</v>
      </c>
      <c r="F54" s="1786" t="s">
        <v>4095</v>
      </c>
      <c r="G54" s="1785" t="s">
        <v>3796</v>
      </c>
      <c r="H54" s="1779" t="s">
        <v>4017</v>
      </c>
      <c r="I54" s="1780">
        <v>57324</v>
      </c>
      <c r="J54" s="1781" t="s">
        <v>2866</v>
      </c>
    </row>
    <row r="55" spans="2:10" ht="16.5" customHeight="1" x14ac:dyDescent="0.3">
      <c r="B55" s="1785" t="s">
        <v>4074</v>
      </c>
      <c r="C55" s="1785" t="s">
        <v>4029</v>
      </c>
      <c r="D55" s="1777" t="s">
        <v>4015</v>
      </c>
      <c r="E55" s="1785" t="s">
        <v>4096</v>
      </c>
      <c r="F55" s="1786" t="s">
        <v>4097</v>
      </c>
      <c r="G55" s="1785" t="s">
        <v>3796</v>
      </c>
      <c r="H55" s="1779" t="s">
        <v>4017</v>
      </c>
      <c r="I55" s="1780">
        <v>29160</v>
      </c>
      <c r="J55" s="1781" t="s">
        <v>2866</v>
      </c>
    </row>
    <row r="56" spans="2:10" ht="16.5" customHeight="1" x14ac:dyDescent="0.3">
      <c r="B56" s="1785" t="s">
        <v>4074</v>
      </c>
      <c r="C56" s="1785" t="s">
        <v>4029</v>
      </c>
      <c r="D56" s="1777" t="s">
        <v>4015</v>
      </c>
      <c r="E56" s="1785" t="s">
        <v>4096</v>
      </c>
      <c r="F56" s="1787" t="s">
        <v>4098</v>
      </c>
      <c r="G56" s="1785" t="s">
        <v>3796</v>
      </c>
      <c r="H56" s="1779" t="s">
        <v>4017</v>
      </c>
      <c r="I56" s="1780">
        <v>99600</v>
      </c>
      <c r="J56" s="1781" t="s">
        <v>2866</v>
      </c>
    </row>
    <row r="57" spans="2:10" ht="16.5" customHeight="1" x14ac:dyDescent="0.3">
      <c r="B57" s="1785" t="s">
        <v>4074</v>
      </c>
      <c r="C57" s="1785" t="s">
        <v>4029</v>
      </c>
      <c r="D57" s="1777" t="s">
        <v>4015</v>
      </c>
      <c r="E57" s="1785" t="s">
        <v>4096</v>
      </c>
      <c r="F57" s="1787" t="s">
        <v>4099</v>
      </c>
      <c r="G57" s="1785" t="s">
        <v>3796</v>
      </c>
      <c r="H57" s="1779" t="s">
        <v>4017</v>
      </c>
      <c r="I57" s="1780">
        <v>923184</v>
      </c>
      <c r="J57" s="1781" t="s">
        <v>2866</v>
      </c>
    </row>
    <row r="58" spans="2:10" ht="16.5" customHeight="1" x14ac:dyDescent="0.3">
      <c r="B58" s="1785" t="s">
        <v>4074</v>
      </c>
      <c r="C58" s="1785" t="s">
        <v>4077</v>
      </c>
      <c r="D58" s="1777" t="s">
        <v>4077</v>
      </c>
      <c r="E58" s="1785" t="s">
        <v>4100</v>
      </c>
      <c r="F58" s="1787" t="s">
        <v>4101</v>
      </c>
      <c r="G58" s="1785" t="s">
        <v>3796</v>
      </c>
      <c r="H58" s="1779" t="s">
        <v>4017</v>
      </c>
      <c r="I58" s="1780">
        <v>42000</v>
      </c>
      <c r="J58" s="1781" t="s">
        <v>2866</v>
      </c>
    </row>
    <row r="59" spans="2:10" ht="16.5" customHeight="1" x14ac:dyDescent="0.3">
      <c r="B59" s="1785" t="s">
        <v>4074</v>
      </c>
      <c r="C59" s="1785" t="s">
        <v>4077</v>
      </c>
      <c r="D59" s="1777" t="s">
        <v>4077</v>
      </c>
      <c r="E59" s="1785" t="s">
        <v>4102</v>
      </c>
      <c r="F59" s="1786" t="s">
        <v>4103</v>
      </c>
      <c r="G59" s="1785" t="s">
        <v>3796</v>
      </c>
      <c r="H59" s="1779" t="s">
        <v>4017</v>
      </c>
      <c r="I59" s="1780">
        <v>52200</v>
      </c>
      <c r="J59" s="1781" t="s">
        <v>2866</v>
      </c>
    </row>
    <row r="60" spans="2:10" ht="16.5" customHeight="1" x14ac:dyDescent="0.3">
      <c r="B60" s="1785" t="s">
        <v>4074</v>
      </c>
      <c r="C60" s="1785" t="s">
        <v>4077</v>
      </c>
      <c r="D60" s="1777" t="s">
        <v>4077</v>
      </c>
      <c r="E60" s="1785" t="s">
        <v>4104</v>
      </c>
      <c r="F60" s="1786" t="s">
        <v>4105</v>
      </c>
      <c r="G60" s="1785" t="s">
        <v>3796</v>
      </c>
      <c r="H60" s="1779" t="s">
        <v>4017</v>
      </c>
      <c r="I60" s="1780">
        <v>117000</v>
      </c>
      <c r="J60" s="1781" t="s">
        <v>2866</v>
      </c>
    </row>
    <row r="61" spans="2:10" ht="16.5" customHeight="1" x14ac:dyDescent="0.3">
      <c r="B61" s="1785" t="s">
        <v>4074</v>
      </c>
      <c r="C61" s="1785" t="s">
        <v>4029</v>
      </c>
      <c r="D61" s="1777" t="s">
        <v>4041</v>
      </c>
      <c r="E61" s="1785" t="s">
        <v>4106</v>
      </c>
      <c r="F61" s="1786" t="s">
        <v>4107</v>
      </c>
      <c r="G61" s="1785" t="s">
        <v>3796</v>
      </c>
      <c r="H61" s="1779" t="s">
        <v>4017</v>
      </c>
      <c r="I61" s="1780">
        <v>30480</v>
      </c>
      <c r="J61" s="1781" t="s">
        <v>2866</v>
      </c>
    </row>
    <row r="62" spans="2:10" ht="16.5" customHeight="1" x14ac:dyDescent="0.3">
      <c r="B62" s="1785" t="s">
        <v>4074</v>
      </c>
      <c r="C62" s="1785" t="s">
        <v>4029</v>
      </c>
      <c r="D62" s="1777" t="s">
        <v>4041</v>
      </c>
      <c r="E62" s="1785" t="s">
        <v>4106</v>
      </c>
      <c r="F62" s="1787" t="s">
        <v>4108</v>
      </c>
      <c r="G62" s="1785" t="s">
        <v>3796</v>
      </c>
      <c r="H62" s="1779" t="s">
        <v>4017</v>
      </c>
      <c r="I62" s="1780">
        <v>71004</v>
      </c>
      <c r="J62" s="1781" t="s">
        <v>2866</v>
      </c>
    </row>
    <row r="63" spans="2:10" ht="16.5" customHeight="1" x14ac:dyDescent="0.3">
      <c r="B63" s="1785" t="s">
        <v>4074</v>
      </c>
      <c r="C63" s="1785" t="s">
        <v>4029</v>
      </c>
      <c r="D63" s="1777" t="s">
        <v>4015</v>
      </c>
      <c r="E63" s="1785" t="s">
        <v>4109</v>
      </c>
      <c r="F63" s="1787" t="s">
        <v>4110</v>
      </c>
      <c r="G63" s="1785" t="s">
        <v>3796</v>
      </c>
      <c r="H63" s="1779" t="s">
        <v>4017</v>
      </c>
      <c r="I63" s="1780">
        <v>123000</v>
      </c>
      <c r="J63" s="1781" t="s">
        <v>2866</v>
      </c>
    </row>
    <row r="64" spans="2:10" ht="16.5" customHeight="1" x14ac:dyDescent="0.3">
      <c r="B64" s="1785" t="s">
        <v>4074</v>
      </c>
      <c r="C64" s="1785" t="s">
        <v>4029</v>
      </c>
      <c r="D64" s="1777" t="s">
        <v>4041</v>
      </c>
      <c r="E64" s="1785" t="s">
        <v>4111</v>
      </c>
      <c r="F64" s="1787" t="s">
        <v>4112</v>
      </c>
      <c r="G64" s="1785" t="s">
        <v>3796</v>
      </c>
      <c r="H64" s="1779" t="s">
        <v>4017</v>
      </c>
      <c r="I64" s="1780">
        <v>48240</v>
      </c>
      <c r="J64" s="1781" t="s">
        <v>2866</v>
      </c>
    </row>
    <row r="65" spans="2:10" ht="16.5" customHeight="1" x14ac:dyDescent="0.3">
      <c r="B65" s="1785" t="s">
        <v>4074</v>
      </c>
      <c r="C65" s="1785" t="s">
        <v>4077</v>
      </c>
      <c r="D65" s="1777" t="s">
        <v>4077</v>
      </c>
      <c r="E65" s="1785" t="s">
        <v>4113</v>
      </c>
      <c r="F65" s="1787" t="s">
        <v>4114</v>
      </c>
      <c r="G65" s="1785" t="s">
        <v>3796</v>
      </c>
      <c r="H65" s="1779" t="s">
        <v>4017</v>
      </c>
      <c r="I65" s="1780">
        <v>45996</v>
      </c>
      <c r="J65" s="1781" t="s">
        <v>2866</v>
      </c>
    </row>
    <row r="66" spans="2:10" ht="16.5" customHeight="1" x14ac:dyDescent="0.3">
      <c r="B66" s="1785" t="s">
        <v>4074</v>
      </c>
      <c r="C66" s="1785" t="s">
        <v>4077</v>
      </c>
      <c r="D66" s="1777" t="s">
        <v>4077</v>
      </c>
      <c r="E66" s="1785" t="s">
        <v>4115</v>
      </c>
      <c r="F66" s="1786" t="s">
        <v>4116</v>
      </c>
      <c r="G66" s="1785" t="s">
        <v>3796</v>
      </c>
      <c r="H66" s="1779" t="s">
        <v>4017</v>
      </c>
      <c r="I66" s="1780">
        <v>8400</v>
      </c>
      <c r="J66" s="1781" t="s">
        <v>2866</v>
      </c>
    </row>
    <row r="67" spans="2:10" ht="16.5" customHeight="1" x14ac:dyDescent="0.3">
      <c r="B67" s="1785" t="s">
        <v>4074</v>
      </c>
      <c r="C67" s="1785" t="s">
        <v>4029</v>
      </c>
      <c r="D67" s="1777" t="s">
        <v>4041</v>
      </c>
      <c r="E67" s="1785" t="s">
        <v>4117</v>
      </c>
      <c r="F67" s="1786" t="s">
        <v>4118</v>
      </c>
      <c r="G67" s="1785" t="s">
        <v>3796</v>
      </c>
      <c r="H67" s="1779" t="s">
        <v>4017</v>
      </c>
      <c r="I67" s="1780">
        <v>15648</v>
      </c>
      <c r="J67" s="1781" t="s">
        <v>2866</v>
      </c>
    </row>
    <row r="68" spans="2:10" ht="16.5" customHeight="1" x14ac:dyDescent="0.3">
      <c r="B68" s="1785" t="s">
        <v>4074</v>
      </c>
      <c r="C68" s="1785" t="s">
        <v>4029</v>
      </c>
      <c r="D68" s="1777" t="s">
        <v>4041</v>
      </c>
      <c r="E68" s="1785" t="s">
        <v>4075</v>
      </c>
      <c r="F68" s="1786" t="s">
        <v>4119</v>
      </c>
      <c r="G68" s="1785" t="s">
        <v>3796</v>
      </c>
      <c r="H68" s="1779" t="s">
        <v>4017</v>
      </c>
      <c r="I68" s="1780">
        <v>11400</v>
      </c>
      <c r="J68" s="1781" t="s">
        <v>2866</v>
      </c>
    </row>
    <row r="69" spans="2:10" ht="16.5" customHeight="1" x14ac:dyDescent="0.3">
      <c r="B69" s="1785" t="s">
        <v>4074</v>
      </c>
      <c r="C69" s="1785" t="s">
        <v>4029</v>
      </c>
      <c r="D69" s="1777" t="s">
        <v>4041</v>
      </c>
      <c r="E69" s="1785" t="s">
        <v>4075</v>
      </c>
      <c r="F69" s="1787" t="s">
        <v>4120</v>
      </c>
      <c r="G69" s="1785" t="s">
        <v>3796</v>
      </c>
      <c r="H69" s="1779" t="s">
        <v>4017</v>
      </c>
      <c r="I69" s="1780">
        <v>26450</v>
      </c>
      <c r="J69" s="1781" t="s">
        <v>2866</v>
      </c>
    </row>
    <row r="70" spans="2:10" ht="16.5" customHeight="1" x14ac:dyDescent="0.3">
      <c r="B70" s="1785" t="s">
        <v>4074</v>
      </c>
      <c r="C70" s="1785" t="s">
        <v>4029</v>
      </c>
      <c r="D70" s="1777" t="s">
        <v>4041</v>
      </c>
      <c r="E70" s="1785" t="s">
        <v>4121</v>
      </c>
      <c r="F70" s="1787" t="s">
        <v>4122</v>
      </c>
      <c r="G70" s="1785" t="s">
        <v>3796</v>
      </c>
      <c r="H70" s="1779" t="s">
        <v>4017</v>
      </c>
      <c r="I70" s="1780">
        <v>156996</v>
      </c>
      <c r="J70" s="1781" t="s">
        <v>2866</v>
      </c>
    </row>
    <row r="71" spans="2:10" ht="16.5" customHeight="1" x14ac:dyDescent="0.3">
      <c r="B71" s="1785" t="s">
        <v>4074</v>
      </c>
      <c r="C71" s="1785" t="s">
        <v>4029</v>
      </c>
      <c r="D71" s="1777" t="s">
        <v>4015</v>
      </c>
      <c r="E71" s="1785" t="s">
        <v>4123</v>
      </c>
      <c r="F71" s="1787" t="s">
        <v>4124</v>
      </c>
      <c r="G71" s="1785" t="s">
        <v>3796</v>
      </c>
      <c r="H71" s="1779" t="s">
        <v>4017</v>
      </c>
      <c r="I71" s="1780">
        <v>672900</v>
      </c>
      <c r="J71" s="1781" t="s">
        <v>2866</v>
      </c>
    </row>
    <row r="72" spans="2:10" ht="16.5" customHeight="1" x14ac:dyDescent="0.3">
      <c r="B72" s="1785" t="s">
        <v>4074</v>
      </c>
      <c r="C72" s="1785" t="s">
        <v>4029</v>
      </c>
      <c r="D72" s="1777" t="s">
        <v>4027</v>
      </c>
      <c r="E72" s="1785" t="s">
        <v>4027</v>
      </c>
      <c r="F72" s="1787" t="s">
        <v>4125</v>
      </c>
      <c r="G72" s="1785" t="s">
        <v>3796</v>
      </c>
      <c r="H72" s="1779" t="s">
        <v>4017</v>
      </c>
      <c r="I72" s="1780">
        <v>168228</v>
      </c>
      <c r="J72" s="1781" t="s">
        <v>2866</v>
      </c>
    </row>
    <row r="73" spans="2:10" ht="16.5" customHeight="1" x14ac:dyDescent="0.3">
      <c r="B73" s="1785" t="s">
        <v>4020</v>
      </c>
      <c r="C73" s="1785" t="s">
        <v>4014</v>
      </c>
      <c r="D73" s="1777" t="s">
        <v>4015</v>
      </c>
      <c r="E73" s="1785" t="s">
        <v>4126</v>
      </c>
      <c r="F73" s="1787" t="s">
        <v>4127</v>
      </c>
      <c r="G73" s="1785" t="s">
        <v>4128</v>
      </c>
      <c r="H73" s="1779" t="s">
        <v>4017</v>
      </c>
      <c r="I73" s="1780">
        <v>39000</v>
      </c>
      <c r="J73" s="1781" t="s">
        <v>2866</v>
      </c>
    </row>
    <row r="74" spans="2:10" ht="16.5" customHeight="1" x14ac:dyDescent="0.3">
      <c r="B74" s="1785" t="s">
        <v>4013</v>
      </c>
      <c r="C74" s="1785" t="s">
        <v>4029</v>
      </c>
      <c r="D74" s="1777" t="s">
        <v>4041</v>
      </c>
      <c r="E74" s="1785" t="s">
        <v>4055</v>
      </c>
      <c r="F74" s="1787" t="s">
        <v>4129</v>
      </c>
      <c r="G74" s="1785" t="s">
        <v>4044</v>
      </c>
      <c r="H74" s="1779" t="s">
        <v>4017</v>
      </c>
      <c r="I74" s="1780">
        <v>3480</v>
      </c>
      <c r="J74" s="1781" t="s">
        <v>2866</v>
      </c>
    </row>
    <row r="75" spans="2:10" ht="16.5" customHeight="1" x14ac:dyDescent="0.3">
      <c r="B75" s="1785" t="s">
        <v>4020</v>
      </c>
      <c r="C75" s="1785" t="s">
        <v>4014</v>
      </c>
      <c r="D75" s="1777" t="s">
        <v>4039</v>
      </c>
      <c r="E75" s="1785" t="s">
        <v>4060</v>
      </c>
      <c r="F75" s="1787" t="s">
        <v>4060</v>
      </c>
      <c r="G75" s="1785"/>
      <c r="H75" s="1779" t="s">
        <v>4017</v>
      </c>
      <c r="I75" s="1780">
        <v>3256880</v>
      </c>
      <c r="J75" s="1781" t="s">
        <v>2866</v>
      </c>
    </row>
    <row r="76" spans="2:10" ht="16.5" customHeight="1" x14ac:dyDescent="0.3">
      <c r="B76" s="1785" t="s">
        <v>4013</v>
      </c>
      <c r="C76" s="1785" t="s">
        <v>2015</v>
      </c>
      <c r="D76" s="1777" t="s">
        <v>4077</v>
      </c>
      <c r="E76" s="1785" t="s">
        <v>4130</v>
      </c>
      <c r="F76" s="1787" t="s">
        <v>4131</v>
      </c>
      <c r="G76" s="1785" t="s">
        <v>4047</v>
      </c>
      <c r="H76" s="1779" t="s">
        <v>4017</v>
      </c>
      <c r="I76" s="1780">
        <v>1035650</v>
      </c>
      <c r="J76" s="1781" t="s">
        <v>2865</v>
      </c>
    </row>
    <row r="77" spans="2:10" ht="16.5" customHeight="1" x14ac:dyDescent="0.3">
      <c r="B77" s="1785" t="s">
        <v>4013</v>
      </c>
      <c r="C77" s="1785" t="s">
        <v>4014</v>
      </c>
      <c r="D77" s="1777" t="s">
        <v>4063</v>
      </c>
      <c r="E77" s="1785" t="s">
        <v>4063</v>
      </c>
      <c r="F77" s="1787" t="s">
        <v>4132</v>
      </c>
      <c r="G77" s="1785" t="s">
        <v>4133</v>
      </c>
      <c r="H77" s="1779" t="s">
        <v>4017</v>
      </c>
      <c r="I77" s="1780">
        <v>116398</v>
      </c>
      <c r="J77" s="1781" t="s">
        <v>2865</v>
      </c>
    </row>
    <row r="78" spans="2:10" ht="16.5" customHeight="1" x14ac:dyDescent="0.3">
      <c r="B78" s="1785" t="s">
        <v>4020</v>
      </c>
      <c r="C78" s="1785" t="s">
        <v>4014</v>
      </c>
      <c r="D78" s="1777" t="s">
        <v>4015</v>
      </c>
      <c r="E78" s="1785" t="s">
        <v>4015</v>
      </c>
      <c r="F78" s="1787" t="s">
        <v>4134</v>
      </c>
      <c r="G78" s="1785" t="s">
        <v>4047</v>
      </c>
      <c r="H78" s="1779" t="s">
        <v>4017</v>
      </c>
      <c r="I78" s="1780">
        <v>200000</v>
      </c>
      <c r="J78" s="1781" t="s">
        <v>2865</v>
      </c>
    </row>
    <row r="79" spans="2:10" ht="16.5" customHeight="1" x14ac:dyDescent="0.3">
      <c r="B79" s="1785" t="s">
        <v>4020</v>
      </c>
      <c r="C79" s="1785" t="s">
        <v>4014</v>
      </c>
      <c r="D79" s="1777" t="s">
        <v>4015</v>
      </c>
      <c r="E79" s="1785" t="s">
        <v>4015</v>
      </c>
      <c r="F79" s="1787" t="s">
        <v>4135</v>
      </c>
      <c r="G79" s="1785" t="s">
        <v>4047</v>
      </c>
      <c r="H79" s="1779" t="s">
        <v>4017</v>
      </c>
      <c r="I79" s="1780">
        <v>150000</v>
      </c>
      <c r="J79" s="1781" t="s">
        <v>2865</v>
      </c>
    </row>
    <row r="80" spans="2:10" ht="16.5" customHeight="1" x14ac:dyDescent="0.3">
      <c r="B80" s="1785" t="s">
        <v>4020</v>
      </c>
      <c r="C80" s="1785" t="s">
        <v>4014</v>
      </c>
      <c r="D80" s="1777" t="s">
        <v>4015</v>
      </c>
      <c r="E80" s="1785" t="s">
        <v>4015</v>
      </c>
      <c r="F80" s="1787" t="s">
        <v>4136</v>
      </c>
      <c r="G80" s="1785" t="s">
        <v>4047</v>
      </c>
      <c r="H80" s="1779" t="s">
        <v>4017</v>
      </c>
      <c r="I80" s="1780">
        <v>350000</v>
      </c>
      <c r="J80" s="1781" t="s">
        <v>2865</v>
      </c>
    </row>
    <row r="81" spans="2:10" ht="16.5" customHeight="1" x14ac:dyDescent="0.3">
      <c r="B81" s="1785" t="s">
        <v>4020</v>
      </c>
      <c r="C81" s="1785" t="s">
        <v>4014</v>
      </c>
      <c r="D81" s="1777" t="s">
        <v>4063</v>
      </c>
      <c r="E81" s="1785" t="s">
        <v>4063</v>
      </c>
      <c r="F81" s="1787" t="s">
        <v>4137</v>
      </c>
      <c r="G81" s="1785" t="s">
        <v>4133</v>
      </c>
      <c r="H81" s="1779" t="s">
        <v>4017</v>
      </c>
      <c r="I81" s="1780">
        <v>600000</v>
      </c>
      <c r="J81" s="1781" t="s">
        <v>2865</v>
      </c>
    </row>
    <row r="82" spans="2:10" ht="16.5" customHeight="1" x14ac:dyDescent="0.3">
      <c r="B82" s="1785" t="s">
        <v>4020</v>
      </c>
      <c r="C82" s="1785" t="s">
        <v>4014</v>
      </c>
      <c r="D82" s="1777" t="s">
        <v>4063</v>
      </c>
      <c r="E82" s="1785" t="s">
        <v>4063</v>
      </c>
      <c r="F82" s="1787" t="s">
        <v>4138</v>
      </c>
      <c r="G82" s="1785" t="s">
        <v>4139</v>
      </c>
      <c r="H82" s="1779" t="s">
        <v>4017</v>
      </c>
      <c r="I82" s="1780">
        <v>600000</v>
      </c>
      <c r="J82" s="1781" t="s">
        <v>2865</v>
      </c>
    </row>
    <row r="83" spans="2:10" ht="16.5" customHeight="1" x14ac:dyDescent="0.3">
      <c r="B83" s="1785" t="s">
        <v>4020</v>
      </c>
      <c r="C83" s="1785" t="s">
        <v>4014</v>
      </c>
      <c r="D83" s="1777" t="s">
        <v>4063</v>
      </c>
      <c r="E83" s="1785" t="s">
        <v>4063</v>
      </c>
      <c r="F83" s="1787" t="s">
        <v>4140</v>
      </c>
      <c r="G83" s="1785" t="s">
        <v>4047</v>
      </c>
      <c r="H83" s="1779" t="s">
        <v>4017</v>
      </c>
      <c r="I83" s="1780">
        <v>750000</v>
      </c>
      <c r="J83" s="1781" t="s">
        <v>2865</v>
      </c>
    </row>
    <row r="84" spans="2:10" ht="16.5" customHeight="1" x14ac:dyDescent="0.3">
      <c r="B84" s="1785" t="s">
        <v>4020</v>
      </c>
      <c r="C84" s="1785" t="s">
        <v>4014</v>
      </c>
      <c r="D84" s="1777" t="s">
        <v>4063</v>
      </c>
      <c r="E84" s="1785" t="s">
        <v>4063</v>
      </c>
      <c r="F84" s="1787" t="s">
        <v>4141</v>
      </c>
      <c r="G84" s="1785" t="s">
        <v>4047</v>
      </c>
      <c r="H84" s="1779" t="s">
        <v>4017</v>
      </c>
      <c r="I84" s="1780">
        <v>900000</v>
      </c>
      <c r="J84" s="1781" t="s">
        <v>2865</v>
      </c>
    </row>
    <row r="85" spans="2:10" ht="16.5" customHeight="1" x14ac:dyDescent="0.3">
      <c r="B85" s="1785" t="s">
        <v>4020</v>
      </c>
      <c r="C85" s="1785" t="s">
        <v>4014</v>
      </c>
      <c r="D85" s="1777" t="s">
        <v>4063</v>
      </c>
      <c r="E85" s="1785" t="s">
        <v>4142</v>
      </c>
      <c r="F85" s="1787" t="s">
        <v>4143</v>
      </c>
      <c r="G85" s="1785" t="s">
        <v>4047</v>
      </c>
      <c r="H85" s="1779" t="s">
        <v>4017</v>
      </c>
      <c r="I85" s="1780">
        <v>150000</v>
      </c>
      <c r="J85" s="1781" t="s">
        <v>2865</v>
      </c>
    </row>
    <row r="86" spans="2:10" ht="16.5" customHeight="1" x14ac:dyDescent="0.3">
      <c r="B86" s="1785" t="s">
        <v>4020</v>
      </c>
      <c r="C86" s="1785" t="s">
        <v>4014</v>
      </c>
      <c r="D86" s="1777" t="s">
        <v>4031</v>
      </c>
      <c r="E86" s="1785" t="s">
        <v>4031</v>
      </c>
      <c r="F86" s="1787" t="s">
        <v>4144</v>
      </c>
      <c r="G86" s="1785" t="s">
        <v>4139</v>
      </c>
      <c r="H86" s="1779" t="s">
        <v>4017</v>
      </c>
      <c r="I86" s="1780">
        <v>533332</v>
      </c>
      <c r="J86" s="1781" t="s">
        <v>2865</v>
      </c>
    </row>
    <row r="87" spans="2:10" ht="16.5" customHeight="1" x14ac:dyDescent="0.3">
      <c r="B87" s="1785" t="s">
        <v>4020</v>
      </c>
      <c r="C87" s="1785" t="s">
        <v>4014</v>
      </c>
      <c r="D87" s="1777" t="s">
        <v>4031</v>
      </c>
      <c r="E87" s="1785" t="s">
        <v>4031</v>
      </c>
      <c r="F87" s="1787" t="s">
        <v>4040</v>
      </c>
      <c r="G87" s="1785" t="s">
        <v>4047</v>
      </c>
      <c r="H87" s="1779" t="s">
        <v>4017</v>
      </c>
      <c r="I87" s="1780">
        <v>375000</v>
      </c>
      <c r="J87" s="1781" t="s">
        <v>2865</v>
      </c>
    </row>
    <row r="88" spans="2:10" ht="16.5" customHeight="1" x14ac:dyDescent="0.3">
      <c r="B88" s="1785" t="s">
        <v>4020</v>
      </c>
      <c r="C88" s="1785" t="s">
        <v>4014</v>
      </c>
      <c r="D88" s="1777" t="s">
        <v>4031</v>
      </c>
      <c r="E88" s="1785" t="s">
        <v>4031</v>
      </c>
      <c r="F88" s="1787" t="s">
        <v>4145</v>
      </c>
      <c r="G88" s="1785" t="s">
        <v>4047</v>
      </c>
      <c r="H88" s="1779" t="s">
        <v>4017</v>
      </c>
      <c r="I88" s="1780">
        <v>400000</v>
      </c>
      <c r="J88" s="1781" t="s">
        <v>2865</v>
      </c>
    </row>
    <row r="89" spans="2:10" ht="16.5" customHeight="1" x14ac:dyDescent="0.3">
      <c r="B89" s="1785" t="s">
        <v>4020</v>
      </c>
      <c r="C89" s="1785" t="s">
        <v>4014</v>
      </c>
      <c r="D89" s="1777" t="s">
        <v>4031</v>
      </c>
      <c r="E89" s="1785" t="s">
        <v>4031</v>
      </c>
      <c r="F89" s="1787" t="s">
        <v>4146</v>
      </c>
      <c r="G89" s="1785" t="s">
        <v>4047</v>
      </c>
      <c r="H89" s="1779" t="s">
        <v>4017</v>
      </c>
      <c r="I89" s="1780">
        <v>450000</v>
      </c>
      <c r="J89" s="1781" t="s">
        <v>2865</v>
      </c>
    </row>
    <row r="90" spans="2:10" ht="16.5" customHeight="1" x14ac:dyDescent="0.3">
      <c r="B90" s="1785" t="s">
        <v>4020</v>
      </c>
      <c r="C90" s="1785" t="s">
        <v>4014</v>
      </c>
      <c r="D90" s="1777" t="s">
        <v>4031</v>
      </c>
      <c r="E90" s="1785" t="s">
        <v>4031</v>
      </c>
      <c r="F90" s="1787" t="s">
        <v>4147</v>
      </c>
      <c r="G90" s="1785" t="s">
        <v>4047</v>
      </c>
      <c r="H90" s="1779" t="s">
        <v>4017</v>
      </c>
      <c r="I90" s="1780">
        <v>600000</v>
      </c>
      <c r="J90" s="1781" t="s">
        <v>2865</v>
      </c>
    </row>
    <row r="91" spans="2:10" ht="16.5" customHeight="1" x14ac:dyDescent="0.3">
      <c r="B91" s="1785" t="s">
        <v>4020</v>
      </c>
      <c r="C91" s="1785" t="s">
        <v>4014</v>
      </c>
      <c r="D91" s="1777" t="s">
        <v>4015</v>
      </c>
      <c r="E91" s="1785" t="s">
        <v>4080</v>
      </c>
      <c r="F91" s="1787" t="s">
        <v>4148</v>
      </c>
      <c r="G91" s="1785" t="s">
        <v>4047</v>
      </c>
      <c r="H91" s="1779" t="s">
        <v>4017</v>
      </c>
      <c r="I91" s="1780">
        <v>150000</v>
      </c>
      <c r="J91" s="1781" t="s">
        <v>2865</v>
      </c>
    </row>
    <row r="92" spans="2:10" ht="16.5" customHeight="1" x14ac:dyDescent="0.3">
      <c r="B92" s="1785" t="s">
        <v>4020</v>
      </c>
      <c r="C92" s="1785" t="s">
        <v>4014</v>
      </c>
      <c r="D92" s="1777" t="s">
        <v>4015</v>
      </c>
      <c r="E92" s="1785" t="s">
        <v>4051</v>
      </c>
      <c r="F92" s="1787" t="s">
        <v>4052</v>
      </c>
      <c r="G92" s="1785" t="s">
        <v>4047</v>
      </c>
      <c r="H92" s="1779" t="s">
        <v>4017</v>
      </c>
      <c r="I92" s="1780">
        <v>200000</v>
      </c>
      <c r="J92" s="1781" t="s">
        <v>2865</v>
      </c>
    </row>
    <row r="93" spans="2:10" ht="16.5" customHeight="1" x14ac:dyDescent="0.3">
      <c r="B93" s="1785" t="s">
        <v>4020</v>
      </c>
      <c r="C93" s="1785" t="s">
        <v>2015</v>
      </c>
      <c r="D93" s="1777" t="s">
        <v>4077</v>
      </c>
      <c r="E93" s="1785" t="s">
        <v>4149</v>
      </c>
      <c r="F93" s="1787" t="s">
        <v>4150</v>
      </c>
      <c r="G93" s="1785" t="s">
        <v>4047</v>
      </c>
      <c r="H93" s="1779" t="s">
        <v>4017</v>
      </c>
      <c r="I93" s="1780">
        <v>790000</v>
      </c>
      <c r="J93" s="1781" t="s">
        <v>2865</v>
      </c>
    </row>
    <row r="94" spans="2:10" ht="16.5" customHeight="1" x14ac:dyDescent="0.3">
      <c r="B94" s="1785" t="s">
        <v>4013</v>
      </c>
      <c r="C94" s="1785" t="s">
        <v>2015</v>
      </c>
      <c r="D94" s="1777" t="s">
        <v>4077</v>
      </c>
      <c r="E94" s="1785" t="s">
        <v>4151</v>
      </c>
      <c r="F94" s="1787" t="s">
        <v>4152</v>
      </c>
      <c r="G94" s="1785" t="s">
        <v>4047</v>
      </c>
      <c r="H94" s="1779" t="s">
        <v>4017</v>
      </c>
      <c r="I94" s="1780">
        <v>17200</v>
      </c>
      <c r="J94" s="1781" t="s">
        <v>2865</v>
      </c>
    </row>
    <row r="95" spans="2:10" ht="16.5" customHeight="1" x14ac:dyDescent="0.3">
      <c r="B95" s="1785" t="s">
        <v>4013</v>
      </c>
      <c r="C95" s="1785" t="s">
        <v>2015</v>
      </c>
      <c r="D95" s="1777" t="s">
        <v>4077</v>
      </c>
      <c r="E95" s="1785" t="s">
        <v>4153</v>
      </c>
      <c r="F95" s="1787" t="s">
        <v>4154</v>
      </c>
      <c r="G95" s="1785" t="s">
        <v>4047</v>
      </c>
      <c r="H95" s="1779" t="s">
        <v>4017</v>
      </c>
      <c r="I95" s="1780">
        <v>400000</v>
      </c>
      <c r="J95" s="1781" t="s">
        <v>2865</v>
      </c>
    </row>
    <row r="96" spans="2:10" ht="16.5" customHeight="1" x14ac:dyDescent="0.3">
      <c r="B96" s="1785" t="s">
        <v>4013</v>
      </c>
      <c r="C96" s="1785" t="s">
        <v>2015</v>
      </c>
      <c r="D96" s="1777" t="s">
        <v>4077</v>
      </c>
      <c r="E96" s="1785" t="s">
        <v>4153</v>
      </c>
      <c r="F96" s="1787" t="s">
        <v>4155</v>
      </c>
      <c r="G96" s="1785" t="s">
        <v>4047</v>
      </c>
      <c r="H96" s="1779" t="s">
        <v>4017</v>
      </c>
      <c r="I96" s="1780">
        <v>200000</v>
      </c>
      <c r="J96" s="1781" t="s">
        <v>2865</v>
      </c>
    </row>
    <row r="97" spans="2:10" ht="16.5" customHeight="1" x14ac:dyDescent="0.3">
      <c r="B97" s="1785" t="s">
        <v>4020</v>
      </c>
      <c r="C97" s="1785" t="s">
        <v>2015</v>
      </c>
      <c r="D97" s="1777" t="s">
        <v>4077</v>
      </c>
      <c r="E97" s="1785" t="s">
        <v>4153</v>
      </c>
      <c r="F97" s="1787" t="s">
        <v>4156</v>
      </c>
      <c r="G97" s="1785" t="s">
        <v>4047</v>
      </c>
      <c r="H97" s="1779" t="s">
        <v>4017</v>
      </c>
      <c r="I97" s="1780">
        <v>1000000</v>
      </c>
      <c r="J97" s="1781" t="s">
        <v>2865</v>
      </c>
    </row>
    <row r="98" spans="2:10" ht="16.5" customHeight="1" x14ac:dyDescent="0.3">
      <c r="B98" s="1785" t="s">
        <v>4020</v>
      </c>
      <c r="C98" s="1785" t="s">
        <v>2015</v>
      </c>
      <c r="D98" s="1777" t="s">
        <v>4077</v>
      </c>
      <c r="E98" s="1785" t="s">
        <v>2015</v>
      </c>
      <c r="F98" s="1787" t="s">
        <v>4157</v>
      </c>
      <c r="G98" s="1785" t="s">
        <v>4158</v>
      </c>
      <c r="H98" s="1779" t="s">
        <v>4017</v>
      </c>
      <c r="I98" s="1780">
        <v>700000</v>
      </c>
      <c r="J98" s="1781" t="s">
        <v>2865</v>
      </c>
    </row>
    <row r="99" spans="2:10" ht="16.5" customHeight="1" x14ac:dyDescent="0.3">
      <c r="B99" s="1785" t="s">
        <v>4020</v>
      </c>
      <c r="C99" s="1785" t="s">
        <v>2015</v>
      </c>
      <c r="D99" s="1777" t="s">
        <v>4077</v>
      </c>
      <c r="E99" s="1785" t="s">
        <v>2015</v>
      </c>
      <c r="F99" s="1787" t="s">
        <v>4159</v>
      </c>
      <c r="G99" s="1785" t="s">
        <v>4139</v>
      </c>
      <c r="H99" s="1779" t="s">
        <v>4017</v>
      </c>
      <c r="I99" s="1780">
        <v>1400000</v>
      </c>
      <c r="J99" s="1781" t="s">
        <v>2865</v>
      </c>
    </row>
    <row r="100" spans="2:10" ht="16.5" customHeight="1" x14ac:dyDescent="0.3">
      <c r="B100" s="1785" t="s">
        <v>4020</v>
      </c>
      <c r="C100" s="1785" t="s">
        <v>2015</v>
      </c>
      <c r="D100" s="1777" t="s">
        <v>4077</v>
      </c>
      <c r="E100" s="1785" t="s">
        <v>2015</v>
      </c>
      <c r="F100" s="1787" t="s">
        <v>4160</v>
      </c>
      <c r="G100" s="1785" t="s">
        <v>4047</v>
      </c>
      <c r="H100" s="1779" t="s">
        <v>4017</v>
      </c>
      <c r="I100" s="1780">
        <v>1500000</v>
      </c>
      <c r="J100" s="1781" t="s">
        <v>2865</v>
      </c>
    </row>
    <row r="101" spans="2:10" ht="16.5" customHeight="1" x14ac:dyDescent="0.3">
      <c r="B101" s="1785" t="s">
        <v>4013</v>
      </c>
      <c r="C101" s="1785" t="s">
        <v>4014</v>
      </c>
      <c r="D101" s="1777" t="s">
        <v>4015</v>
      </c>
      <c r="E101" s="1785" t="s">
        <v>4161</v>
      </c>
      <c r="F101" s="1787" t="s">
        <v>4162</v>
      </c>
      <c r="G101" s="1785" t="s">
        <v>1110</v>
      </c>
      <c r="H101" s="1779" t="s">
        <v>4017</v>
      </c>
      <c r="I101" s="1780">
        <v>50000</v>
      </c>
      <c r="J101" s="1781" t="s">
        <v>2865</v>
      </c>
    </row>
    <row r="102" spans="2:10" ht="16.5" customHeight="1" x14ac:dyDescent="0.3">
      <c r="B102" s="1785" t="s">
        <v>4013</v>
      </c>
      <c r="C102" s="1785" t="s">
        <v>2015</v>
      </c>
      <c r="D102" s="1777" t="s">
        <v>4077</v>
      </c>
      <c r="E102" s="1785" t="s">
        <v>4163</v>
      </c>
      <c r="F102" s="1787" t="s">
        <v>4164</v>
      </c>
      <c r="G102" s="1785" t="s">
        <v>1110</v>
      </c>
      <c r="H102" s="1779" t="s">
        <v>4017</v>
      </c>
      <c r="I102" s="1780">
        <v>200000</v>
      </c>
      <c r="J102" s="1781" t="s">
        <v>2865</v>
      </c>
    </row>
    <row r="103" spans="2:10" ht="16.5" customHeight="1" x14ac:dyDescent="0.3">
      <c r="B103" s="1785" t="s">
        <v>4013</v>
      </c>
      <c r="C103" s="1785" t="s">
        <v>2015</v>
      </c>
      <c r="D103" s="1777" t="s">
        <v>4077</v>
      </c>
      <c r="E103" s="1785" t="s">
        <v>4165</v>
      </c>
      <c r="F103" s="1787" t="s">
        <v>4166</v>
      </c>
      <c r="G103" s="1785" t="s">
        <v>1110</v>
      </c>
      <c r="H103" s="1779" t="s">
        <v>4017</v>
      </c>
      <c r="I103" s="1780">
        <v>500000</v>
      </c>
      <c r="J103" s="1781" t="s">
        <v>2865</v>
      </c>
    </row>
    <row r="104" spans="2:10" ht="16.5" customHeight="1" x14ac:dyDescent="0.3">
      <c r="B104" s="1785" t="s">
        <v>4013</v>
      </c>
      <c r="C104" s="1785" t="s">
        <v>4014</v>
      </c>
      <c r="D104" s="1777" t="s">
        <v>4015</v>
      </c>
      <c r="E104" s="1785" t="s">
        <v>4051</v>
      </c>
      <c r="F104" s="1787" t="s">
        <v>4053</v>
      </c>
      <c r="G104" s="1785" t="s">
        <v>1110</v>
      </c>
      <c r="H104" s="1779" t="s">
        <v>4017</v>
      </c>
      <c r="I104" s="1780">
        <v>20000</v>
      </c>
      <c r="J104" s="1781" t="s">
        <v>2865</v>
      </c>
    </row>
    <row r="105" spans="2:10" ht="16.5" customHeight="1" x14ac:dyDescent="0.3">
      <c r="B105" s="1785" t="s">
        <v>4020</v>
      </c>
      <c r="C105" s="1785" t="s">
        <v>4014</v>
      </c>
      <c r="D105" s="1777" t="s">
        <v>4015</v>
      </c>
      <c r="E105" s="1785" t="s">
        <v>4167</v>
      </c>
      <c r="F105" s="1787" t="s">
        <v>4168</v>
      </c>
      <c r="G105" s="1785" t="s">
        <v>1110</v>
      </c>
      <c r="H105" s="1779" t="s">
        <v>4017</v>
      </c>
      <c r="I105" s="1780">
        <v>155000</v>
      </c>
      <c r="J105" s="1781" t="s">
        <v>2865</v>
      </c>
    </row>
    <row r="106" spans="2:10" ht="16.5" customHeight="1" x14ac:dyDescent="0.3">
      <c r="B106" s="1785" t="s">
        <v>4020</v>
      </c>
      <c r="C106" s="1785" t="s">
        <v>2015</v>
      </c>
      <c r="D106" s="1777" t="s">
        <v>4077</v>
      </c>
      <c r="E106" s="1785" t="s">
        <v>4169</v>
      </c>
      <c r="F106" s="1787" t="s">
        <v>4170</v>
      </c>
      <c r="G106" s="1785" t="s">
        <v>1110</v>
      </c>
      <c r="H106" s="1779" t="s">
        <v>4017</v>
      </c>
      <c r="I106" s="1780">
        <v>70000</v>
      </c>
      <c r="J106" s="1781" t="s">
        <v>2865</v>
      </c>
    </row>
    <row r="107" spans="2:10" ht="16.5" customHeight="1" x14ac:dyDescent="0.3">
      <c r="B107" s="1785" t="s">
        <v>4020</v>
      </c>
      <c r="C107" s="1785" t="s">
        <v>2015</v>
      </c>
      <c r="D107" s="1777" t="s">
        <v>4077</v>
      </c>
      <c r="E107" s="1785" t="s">
        <v>4171</v>
      </c>
      <c r="F107" s="1787" t="s">
        <v>4172</v>
      </c>
      <c r="G107" s="1785" t="s">
        <v>1110</v>
      </c>
      <c r="H107" s="1779" t="s">
        <v>4017</v>
      </c>
      <c r="I107" s="1780">
        <v>300000</v>
      </c>
      <c r="J107" s="1781" t="s">
        <v>2865</v>
      </c>
    </row>
    <row r="108" spans="2:10" ht="16.5" customHeight="1" x14ac:dyDescent="0.3">
      <c r="B108" s="1785" t="s">
        <v>4020</v>
      </c>
      <c r="C108" s="1785" t="s">
        <v>2015</v>
      </c>
      <c r="D108" s="1777" t="s">
        <v>4077</v>
      </c>
      <c r="E108" s="1785" t="s">
        <v>4165</v>
      </c>
      <c r="F108" s="1787" t="s">
        <v>4173</v>
      </c>
      <c r="G108" s="1785" t="s">
        <v>1110</v>
      </c>
      <c r="H108" s="1779" t="s">
        <v>4017</v>
      </c>
      <c r="I108" s="1780">
        <v>600000</v>
      </c>
      <c r="J108" s="1781" t="s">
        <v>2865</v>
      </c>
    </row>
    <row r="109" spans="2:10" ht="16.5" customHeight="1" x14ac:dyDescent="0.3">
      <c r="B109" s="1785" t="s">
        <v>4020</v>
      </c>
      <c r="C109" s="1785" t="s">
        <v>4014</v>
      </c>
      <c r="D109" s="1777" t="s">
        <v>4015</v>
      </c>
      <c r="E109" s="1785" t="s">
        <v>4174</v>
      </c>
      <c r="F109" s="1787" t="s">
        <v>4175</v>
      </c>
      <c r="G109" s="1785" t="s">
        <v>1110</v>
      </c>
      <c r="H109" s="1779" t="s">
        <v>4017</v>
      </c>
      <c r="I109" s="1780">
        <v>100000</v>
      </c>
      <c r="J109" s="1781" t="s">
        <v>2865</v>
      </c>
    </row>
    <row r="110" spans="2:10" ht="16.5" customHeight="1" x14ac:dyDescent="0.3">
      <c r="B110" s="1785" t="s">
        <v>4020</v>
      </c>
      <c r="C110" s="1785" t="s">
        <v>4014</v>
      </c>
      <c r="D110" s="1777" t="s">
        <v>4041</v>
      </c>
      <c r="E110" s="1785" t="s">
        <v>4176</v>
      </c>
      <c r="F110" s="1787" t="s">
        <v>4177</v>
      </c>
      <c r="G110" s="1785" t="s">
        <v>1110</v>
      </c>
      <c r="H110" s="1779" t="s">
        <v>4017</v>
      </c>
      <c r="I110" s="1780">
        <v>150000</v>
      </c>
      <c r="J110" s="1781" t="s">
        <v>2865</v>
      </c>
    </row>
    <row r="111" spans="2:10" ht="16.5" customHeight="1" x14ac:dyDescent="0.3">
      <c r="B111" s="1785" t="s">
        <v>4020</v>
      </c>
      <c r="C111" s="1785" t="s">
        <v>2015</v>
      </c>
      <c r="D111" s="1777" t="s">
        <v>4077</v>
      </c>
      <c r="E111" s="1785" t="s">
        <v>4178</v>
      </c>
      <c r="F111" s="1787" t="s">
        <v>4179</v>
      </c>
      <c r="G111" s="1785" t="s">
        <v>1110</v>
      </c>
      <c r="H111" s="1779" t="s">
        <v>4017</v>
      </c>
      <c r="I111" s="1780">
        <v>450000</v>
      </c>
      <c r="J111" s="1781" t="s">
        <v>2865</v>
      </c>
    </row>
    <row r="112" spans="2:10" ht="16.5" customHeight="1" x14ac:dyDescent="0.3">
      <c r="B112" s="1785" t="s">
        <v>4020</v>
      </c>
      <c r="C112" s="1785" t="s">
        <v>2015</v>
      </c>
      <c r="D112" s="1777" t="s">
        <v>4077</v>
      </c>
      <c r="E112" s="1785" t="s">
        <v>4060</v>
      </c>
      <c r="F112" s="1787" t="s">
        <v>4180</v>
      </c>
      <c r="G112" s="1785" t="s">
        <v>1110</v>
      </c>
      <c r="H112" s="1779" t="s">
        <v>4017</v>
      </c>
      <c r="I112" s="1780">
        <v>500000</v>
      </c>
      <c r="J112" s="1781" t="s">
        <v>2865</v>
      </c>
    </row>
    <row r="113" spans="2:10" ht="16.5" customHeight="1" x14ac:dyDescent="0.3">
      <c r="B113" s="1785" t="s">
        <v>4020</v>
      </c>
      <c r="C113" s="1785" t="s">
        <v>4014</v>
      </c>
      <c r="D113" s="1777" t="s">
        <v>4063</v>
      </c>
      <c r="E113" s="1785" t="s">
        <v>4181</v>
      </c>
      <c r="F113" s="1787" t="s">
        <v>4182</v>
      </c>
      <c r="G113" s="1785" t="s">
        <v>1110</v>
      </c>
      <c r="H113" s="1779" t="s">
        <v>4017</v>
      </c>
      <c r="I113" s="1780">
        <v>300000</v>
      </c>
      <c r="J113" s="1781" t="s">
        <v>2865</v>
      </c>
    </row>
    <row r="114" spans="2:10" ht="16.5" customHeight="1" x14ac:dyDescent="0.3">
      <c r="B114" s="1785" t="s">
        <v>4020</v>
      </c>
      <c r="C114" s="1785" t="s">
        <v>2015</v>
      </c>
      <c r="D114" s="1777" t="s">
        <v>4077</v>
      </c>
      <c r="E114" s="1785" t="s">
        <v>4183</v>
      </c>
      <c r="F114" s="1787" t="s">
        <v>4184</v>
      </c>
      <c r="G114" s="1785" t="s">
        <v>1110</v>
      </c>
      <c r="H114" s="1779" t="s">
        <v>4017</v>
      </c>
      <c r="I114" s="1780">
        <v>420000</v>
      </c>
      <c r="J114" s="1781" t="s">
        <v>2865</v>
      </c>
    </row>
    <row r="115" spans="2:10" ht="16.5" customHeight="1" x14ac:dyDescent="0.3">
      <c r="B115" s="1785" t="s">
        <v>4020</v>
      </c>
      <c r="C115" s="1785" t="s">
        <v>2015</v>
      </c>
      <c r="D115" s="1777" t="s">
        <v>4077</v>
      </c>
      <c r="E115" s="1785" t="s">
        <v>4178</v>
      </c>
      <c r="F115" s="1787" t="s">
        <v>4185</v>
      </c>
      <c r="G115" s="1785" t="s">
        <v>1110</v>
      </c>
      <c r="H115" s="1779" t="s">
        <v>4017</v>
      </c>
      <c r="I115" s="1780">
        <v>420000</v>
      </c>
      <c r="J115" s="1781" t="s">
        <v>2865</v>
      </c>
    </row>
    <row r="116" spans="2:10" ht="16.5" customHeight="1" x14ac:dyDescent="0.3">
      <c r="B116" s="1785" t="s">
        <v>4020</v>
      </c>
      <c r="C116" s="1785" t="s">
        <v>2015</v>
      </c>
      <c r="D116" s="1777" t="s">
        <v>4077</v>
      </c>
      <c r="E116" s="1785" t="s">
        <v>4178</v>
      </c>
      <c r="F116" s="1787" t="s">
        <v>4186</v>
      </c>
      <c r="G116" s="1785" t="s">
        <v>4187</v>
      </c>
      <c r="H116" s="1779" t="s">
        <v>4017</v>
      </c>
      <c r="I116" s="1780">
        <v>375000</v>
      </c>
      <c r="J116" s="1781" t="s">
        <v>2865</v>
      </c>
    </row>
    <row r="117" spans="2:10" ht="16.5" customHeight="1" x14ac:dyDescent="0.3">
      <c r="B117" s="1785" t="s">
        <v>4020</v>
      </c>
      <c r="C117" s="1785" t="s">
        <v>2015</v>
      </c>
      <c r="D117" s="1777" t="s">
        <v>4077</v>
      </c>
      <c r="E117" s="1785" t="s">
        <v>4188</v>
      </c>
      <c r="F117" s="1787" t="s">
        <v>4189</v>
      </c>
      <c r="G117" s="1785" t="s">
        <v>4057</v>
      </c>
      <c r="H117" s="1779" t="s">
        <v>4017</v>
      </c>
      <c r="I117" s="1780">
        <v>300000</v>
      </c>
      <c r="J117" s="1781" t="s">
        <v>2865</v>
      </c>
    </row>
    <row r="118" spans="2:10" ht="16.5" customHeight="1" x14ac:dyDescent="0.3">
      <c r="B118" s="1785" t="s">
        <v>4020</v>
      </c>
      <c r="C118" s="1785" t="s">
        <v>2015</v>
      </c>
      <c r="D118" s="1777" t="s">
        <v>4077</v>
      </c>
      <c r="E118" s="1785" t="s">
        <v>4190</v>
      </c>
      <c r="F118" s="1787" t="s">
        <v>4191</v>
      </c>
      <c r="G118" s="1785" t="s">
        <v>4192</v>
      </c>
      <c r="H118" s="1779" t="s">
        <v>4017</v>
      </c>
      <c r="I118" s="1780">
        <v>250000</v>
      </c>
      <c r="J118" s="1781" t="s">
        <v>2865</v>
      </c>
    </row>
    <row r="119" spans="2:10" ht="16.5" customHeight="1" x14ac:dyDescent="0.3">
      <c r="B119" s="1785" t="s">
        <v>4020</v>
      </c>
      <c r="C119" s="1785" t="s">
        <v>4014</v>
      </c>
      <c r="D119" s="1777" t="s">
        <v>4041</v>
      </c>
      <c r="E119" s="1785" t="s">
        <v>4042</v>
      </c>
      <c r="F119" s="1787" t="s">
        <v>4054</v>
      </c>
      <c r="G119" s="1785" t="s">
        <v>4044</v>
      </c>
      <c r="H119" s="1779" t="s">
        <v>4017</v>
      </c>
      <c r="I119" s="1780">
        <v>150000</v>
      </c>
      <c r="J119" s="1781" t="s">
        <v>2865</v>
      </c>
    </row>
    <row r="120" spans="2:10" ht="16.5" customHeight="1" x14ac:dyDescent="0.3">
      <c r="B120" s="1785" t="s">
        <v>4020</v>
      </c>
      <c r="C120" s="1785" t="s">
        <v>4014</v>
      </c>
      <c r="D120" s="1777" t="s">
        <v>4041</v>
      </c>
      <c r="E120" s="1785" t="s">
        <v>4055</v>
      </c>
      <c r="F120" s="1787" t="s">
        <v>4193</v>
      </c>
      <c r="G120" s="1785" t="s">
        <v>4057</v>
      </c>
      <c r="H120" s="1779" t="s">
        <v>4017</v>
      </c>
      <c r="I120" s="1780">
        <v>315000</v>
      </c>
      <c r="J120" s="1781" t="s">
        <v>2865</v>
      </c>
    </row>
    <row r="121" spans="2:10" ht="16.5" customHeight="1" x14ac:dyDescent="0.3">
      <c r="B121" s="1785" t="s">
        <v>4020</v>
      </c>
      <c r="C121" s="1785" t="s">
        <v>4014</v>
      </c>
      <c r="D121" s="1777" t="s">
        <v>4041</v>
      </c>
      <c r="E121" s="1785" t="s">
        <v>4055</v>
      </c>
      <c r="F121" s="1787" t="s">
        <v>4058</v>
      </c>
      <c r="G121" s="1785" t="s">
        <v>1110</v>
      </c>
      <c r="H121" s="1779" t="s">
        <v>4017</v>
      </c>
      <c r="I121" s="1780">
        <v>300000</v>
      </c>
      <c r="J121" s="1781" t="s">
        <v>2865</v>
      </c>
    </row>
    <row r="122" spans="2:10" ht="16.5" customHeight="1" x14ac:dyDescent="0.3">
      <c r="B122" s="1785" t="s">
        <v>4020</v>
      </c>
      <c r="C122" s="1785" t="s">
        <v>2015</v>
      </c>
      <c r="D122" s="1777" t="s">
        <v>4077</v>
      </c>
      <c r="E122" s="1785" t="s">
        <v>4060</v>
      </c>
      <c r="F122" s="1787" t="s">
        <v>4194</v>
      </c>
      <c r="G122" s="1785" t="s">
        <v>4195</v>
      </c>
      <c r="H122" s="1779" t="s">
        <v>4017</v>
      </c>
      <c r="I122" s="1780">
        <v>240000</v>
      </c>
      <c r="J122" s="1781" t="s">
        <v>2865</v>
      </c>
    </row>
    <row r="123" spans="2:10" ht="16.5" customHeight="1" x14ac:dyDescent="0.3">
      <c r="B123" s="1785" t="s">
        <v>4020</v>
      </c>
      <c r="C123" s="1785" t="s">
        <v>2015</v>
      </c>
      <c r="D123" s="1777" t="s">
        <v>4077</v>
      </c>
      <c r="E123" s="1785" t="s">
        <v>4196</v>
      </c>
      <c r="F123" s="1787" t="s">
        <v>4197</v>
      </c>
      <c r="G123" s="1785" t="s">
        <v>4198</v>
      </c>
      <c r="H123" s="1779" t="s">
        <v>4017</v>
      </c>
      <c r="I123" s="1780">
        <v>480000</v>
      </c>
      <c r="J123" s="1781" t="s">
        <v>2865</v>
      </c>
    </row>
    <row r="124" spans="2:10" ht="16.5" customHeight="1" x14ac:dyDescent="0.3">
      <c r="B124" s="1785" t="s">
        <v>4020</v>
      </c>
      <c r="C124" s="1785" t="s">
        <v>2015</v>
      </c>
      <c r="D124" s="1777" t="s">
        <v>4077</v>
      </c>
      <c r="E124" s="1785" t="s">
        <v>4060</v>
      </c>
      <c r="F124" s="1787" t="s">
        <v>4199</v>
      </c>
      <c r="G124" s="1785" t="s">
        <v>4198</v>
      </c>
      <c r="H124" s="1779" t="s">
        <v>4017</v>
      </c>
      <c r="I124" s="1780">
        <v>600000</v>
      </c>
      <c r="J124" s="1781" t="s">
        <v>2865</v>
      </c>
    </row>
    <row r="125" spans="2:10" ht="16.5" customHeight="1" x14ac:dyDescent="0.3">
      <c r="B125" s="1785" t="s">
        <v>4020</v>
      </c>
      <c r="C125" s="1785" t="s">
        <v>2015</v>
      </c>
      <c r="D125" s="1777" t="s">
        <v>4077</v>
      </c>
      <c r="E125" s="1785" t="s">
        <v>4060</v>
      </c>
      <c r="F125" s="1787" t="s">
        <v>4200</v>
      </c>
      <c r="G125" s="1785" t="s">
        <v>4198</v>
      </c>
      <c r="H125" s="1779" t="s">
        <v>4017</v>
      </c>
      <c r="I125" s="1780">
        <v>730000</v>
      </c>
      <c r="J125" s="1781" t="s">
        <v>2865</v>
      </c>
    </row>
    <row r="126" spans="2:10" ht="16.5" customHeight="1" x14ac:dyDescent="0.3">
      <c r="B126" s="1785" t="s">
        <v>4020</v>
      </c>
      <c r="C126" s="1785" t="s">
        <v>4014</v>
      </c>
      <c r="D126" s="1777" t="s">
        <v>3999</v>
      </c>
      <c r="E126" s="1785" t="s">
        <v>3999</v>
      </c>
      <c r="F126" s="1787" t="s">
        <v>4201</v>
      </c>
      <c r="G126" s="1785" t="s">
        <v>4198</v>
      </c>
      <c r="H126" s="1779" t="s">
        <v>4017</v>
      </c>
      <c r="I126" s="1780">
        <v>325000</v>
      </c>
      <c r="J126" s="1781" t="s">
        <v>2865</v>
      </c>
    </row>
    <row r="127" spans="2:10" ht="16.5" customHeight="1" x14ac:dyDescent="0.3">
      <c r="B127" s="1785" t="s">
        <v>4020</v>
      </c>
      <c r="C127" s="1785" t="s">
        <v>2015</v>
      </c>
      <c r="D127" s="1777" t="s">
        <v>4077</v>
      </c>
      <c r="E127" s="1785" t="s">
        <v>4202</v>
      </c>
      <c r="F127" s="1787" t="s">
        <v>4203</v>
      </c>
      <c r="G127" s="1785" t="s">
        <v>4198</v>
      </c>
      <c r="H127" s="1779" t="s">
        <v>4017</v>
      </c>
      <c r="I127" s="1780">
        <v>3350000</v>
      </c>
      <c r="J127" s="1781" t="s">
        <v>2865</v>
      </c>
    </row>
    <row r="128" spans="2:10" ht="16.5" customHeight="1" x14ac:dyDescent="0.3">
      <c r="B128" s="1785" t="s">
        <v>4020</v>
      </c>
      <c r="C128" s="1785" t="s">
        <v>2015</v>
      </c>
      <c r="D128" s="1777" t="s">
        <v>4077</v>
      </c>
      <c r="E128" s="1785" t="s">
        <v>4060</v>
      </c>
      <c r="F128" s="1787" t="s">
        <v>4204</v>
      </c>
      <c r="G128" s="1785" t="s">
        <v>4205</v>
      </c>
      <c r="H128" s="1779" t="s">
        <v>4017</v>
      </c>
      <c r="I128" s="1780">
        <v>1000000</v>
      </c>
      <c r="J128" s="1781" t="s">
        <v>2865</v>
      </c>
    </row>
    <row r="129" spans="2:10" ht="16.5" customHeight="1" x14ac:dyDescent="0.3">
      <c r="B129" s="2028" t="s">
        <v>4020</v>
      </c>
      <c r="C129" s="2028" t="s">
        <v>4014</v>
      </c>
      <c r="D129" s="2029" t="s">
        <v>4549</v>
      </c>
      <c r="E129" s="2028" t="s">
        <v>4000</v>
      </c>
      <c r="F129" s="2030" t="s">
        <v>4206</v>
      </c>
      <c r="G129" s="2028" t="s">
        <v>4207</v>
      </c>
      <c r="H129" s="2031" t="s">
        <v>4017</v>
      </c>
      <c r="I129" s="2032">
        <v>330000</v>
      </c>
      <c r="J129" s="2033" t="s">
        <v>2865</v>
      </c>
    </row>
    <row r="130" spans="2:10" ht="16.5" customHeight="1" x14ac:dyDescent="0.3">
      <c r="B130" s="1785" t="s">
        <v>4020</v>
      </c>
      <c r="C130" s="1785" t="s">
        <v>2015</v>
      </c>
      <c r="D130" s="1777" t="s">
        <v>4077</v>
      </c>
      <c r="E130" s="1785" t="s">
        <v>4060</v>
      </c>
      <c r="F130" s="1787" t="s">
        <v>4208</v>
      </c>
      <c r="G130" s="1785" t="s">
        <v>4195</v>
      </c>
      <c r="H130" s="1779" t="s">
        <v>4017</v>
      </c>
      <c r="I130" s="1780">
        <v>430000</v>
      </c>
      <c r="J130" s="1781" t="s">
        <v>2865</v>
      </c>
    </row>
    <row r="131" spans="2:10" ht="16.5" customHeight="1" x14ac:dyDescent="0.3">
      <c r="B131" s="1785" t="s">
        <v>4020</v>
      </c>
      <c r="C131" s="1785" t="s">
        <v>2015</v>
      </c>
      <c r="D131" s="1777" t="s">
        <v>4077</v>
      </c>
      <c r="E131" s="1785" t="s">
        <v>4060</v>
      </c>
      <c r="F131" s="1787" t="s">
        <v>4209</v>
      </c>
      <c r="G131" s="1785" t="s">
        <v>4195</v>
      </c>
      <c r="H131" s="1779" t="s">
        <v>4017</v>
      </c>
      <c r="I131" s="1780">
        <v>100000</v>
      </c>
      <c r="J131" s="1781" t="s">
        <v>2865</v>
      </c>
    </row>
    <row r="132" spans="2:10" ht="16.5" customHeight="1" x14ac:dyDescent="0.3">
      <c r="B132" s="1785" t="s">
        <v>4020</v>
      </c>
      <c r="C132" s="1785" t="s">
        <v>4014</v>
      </c>
      <c r="D132" s="1777" t="s">
        <v>3999</v>
      </c>
      <c r="E132" s="1785" t="s">
        <v>3999</v>
      </c>
      <c r="F132" s="1787" t="s">
        <v>4210</v>
      </c>
      <c r="G132" s="1785" t="s">
        <v>4207</v>
      </c>
      <c r="H132" s="1779" t="s">
        <v>4017</v>
      </c>
      <c r="I132" s="1780">
        <v>192000</v>
      </c>
      <c r="J132" s="1781" t="s">
        <v>2865</v>
      </c>
    </row>
    <row r="133" spans="2:10" ht="16.5" customHeight="1" x14ac:dyDescent="0.3">
      <c r="B133" s="1785" t="s">
        <v>4020</v>
      </c>
      <c r="C133" s="1785" t="s">
        <v>2015</v>
      </c>
      <c r="D133" s="1777" t="s">
        <v>4077</v>
      </c>
      <c r="E133" s="1785" t="s">
        <v>4211</v>
      </c>
      <c r="F133" s="1787" t="s">
        <v>4212</v>
      </c>
      <c r="G133" s="1785" t="s">
        <v>4213</v>
      </c>
      <c r="H133" s="1779" t="s">
        <v>4017</v>
      </c>
      <c r="I133" s="1780">
        <v>500000</v>
      </c>
      <c r="J133" s="1781" t="s">
        <v>2865</v>
      </c>
    </row>
    <row r="134" spans="2:10" ht="16.5" customHeight="1" x14ac:dyDescent="0.3">
      <c r="B134" s="1785" t="s">
        <v>4020</v>
      </c>
      <c r="C134" s="1785" t="s">
        <v>2015</v>
      </c>
      <c r="D134" s="1777" t="s">
        <v>4077</v>
      </c>
      <c r="E134" s="1785" t="s">
        <v>4214</v>
      </c>
      <c r="F134" s="1787" t="s">
        <v>4215</v>
      </c>
      <c r="G134" s="1785" t="s">
        <v>4128</v>
      </c>
      <c r="H134" s="1779" t="s">
        <v>4017</v>
      </c>
      <c r="I134" s="1780">
        <v>245280</v>
      </c>
      <c r="J134" s="1781" t="s">
        <v>2865</v>
      </c>
    </row>
    <row r="135" spans="2:10" ht="16.5" customHeight="1" x14ac:dyDescent="0.3">
      <c r="B135" s="1785" t="s">
        <v>4020</v>
      </c>
      <c r="C135" s="1785" t="s">
        <v>2015</v>
      </c>
      <c r="D135" s="1777" t="s">
        <v>4077</v>
      </c>
      <c r="E135" s="1785" t="s">
        <v>4216</v>
      </c>
      <c r="F135" s="1787" t="s">
        <v>4217</v>
      </c>
      <c r="G135" s="1785" t="s">
        <v>4128</v>
      </c>
      <c r="H135" s="1779" t="s">
        <v>4017</v>
      </c>
      <c r="I135" s="1780">
        <v>14000</v>
      </c>
      <c r="J135" s="1781" t="s">
        <v>2865</v>
      </c>
    </row>
    <row r="136" spans="2:10" ht="16.5" customHeight="1" x14ac:dyDescent="0.3">
      <c r="B136" s="1785" t="s">
        <v>4020</v>
      </c>
      <c r="C136" s="1785" t="s">
        <v>2015</v>
      </c>
      <c r="D136" s="1777" t="s">
        <v>4077</v>
      </c>
      <c r="E136" s="1785" t="s">
        <v>4218</v>
      </c>
      <c r="F136" s="1787" t="s">
        <v>4219</v>
      </c>
      <c r="G136" s="1785" t="s">
        <v>4128</v>
      </c>
      <c r="H136" s="1779" t="s">
        <v>4017</v>
      </c>
      <c r="I136" s="1780">
        <v>150720</v>
      </c>
      <c r="J136" s="1781" t="s">
        <v>2865</v>
      </c>
    </row>
    <row r="137" spans="2:10" ht="16.5" customHeight="1" x14ac:dyDescent="0.3">
      <c r="B137" s="1785" t="s">
        <v>4013</v>
      </c>
      <c r="C137" s="1785" t="s">
        <v>4014</v>
      </c>
      <c r="D137" s="1777" t="s">
        <v>4041</v>
      </c>
      <c r="E137" s="1785" t="s">
        <v>4055</v>
      </c>
      <c r="F137" s="1787" t="s">
        <v>4059</v>
      </c>
      <c r="G137" s="1785" t="s">
        <v>4044</v>
      </c>
      <c r="H137" s="1779" t="s">
        <v>4017</v>
      </c>
      <c r="I137" s="1780">
        <v>17394</v>
      </c>
      <c r="J137" s="1781" t="s">
        <v>2865</v>
      </c>
    </row>
    <row r="138" spans="2:10" ht="16.5" customHeight="1" x14ac:dyDescent="0.3">
      <c r="B138" s="1785" t="s">
        <v>4013</v>
      </c>
      <c r="C138" s="1785" t="s">
        <v>2015</v>
      </c>
      <c r="D138" s="1777" t="s">
        <v>4077</v>
      </c>
      <c r="E138" s="1785" t="s">
        <v>4220</v>
      </c>
      <c r="F138" s="1787" t="s">
        <v>4221</v>
      </c>
      <c r="G138" s="1785" t="s">
        <v>4044</v>
      </c>
      <c r="H138" s="1779" t="s">
        <v>4017</v>
      </c>
      <c r="I138" s="1780">
        <v>16080</v>
      </c>
      <c r="J138" s="1781" t="s">
        <v>2865</v>
      </c>
    </row>
    <row r="139" spans="2:10" ht="16.5" customHeight="1" x14ac:dyDescent="0.3">
      <c r="B139" s="1785" t="s">
        <v>4013</v>
      </c>
      <c r="C139" s="1785" t="s">
        <v>4014</v>
      </c>
      <c r="D139" s="1777" t="s">
        <v>3999</v>
      </c>
      <c r="E139" s="1785" t="s">
        <v>3999</v>
      </c>
      <c r="F139" s="1787" t="s">
        <v>4222</v>
      </c>
      <c r="G139" s="1785" t="s">
        <v>4207</v>
      </c>
      <c r="H139" s="1779" t="s">
        <v>4017</v>
      </c>
      <c r="I139" s="1780">
        <v>538314</v>
      </c>
      <c r="J139" s="1781" t="s">
        <v>2865</v>
      </c>
    </row>
    <row r="140" spans="2:10" ht="16.5" customHeight="1" x14ac:dyDescent="0.3">
      <c r="B140" s="1785" t="s">
        <v>4013</v>
      </c>
      <c r="C140" s="1785" t="s">
        <v>2015</v>
      </c>
      <c r="D140" s="1777" t="s">
        <v>4077</v>
      </c>
      <c r="E140" s="1785" t="s">
        <v>4196</v>
      </c>
      <c r="F140" s="1787" t="s">
        <v>4223</v>
      </c>
      <c r="G140" s="1785" t="s">
        <v>4198</v>
      </c>
      <c r="H140" s="1779" t="s">
        <v>4017</v>
      </c>
      <c r="I140" s="1780">
        <v>360000</v>
      </c>
      <c r="J140" s="1781" t="s">
        <v>2865</v>
      </c>
    </row>
    <row r="141" spans="2:10" ht="16.5" customHeight="1" x14ac:dyDescent="0.3">
      <c r="B141" s="1785" t="s">
        <v>4013</v>
      </c>
      <c r="C141" s="1785" t="s">
        <v>4014</v>
      </c>
      <c r="D141" s="1777" t="s">
        <v>4015</v>
      </c>
      <c r="E141" s="1785" t="s">
        <v>4015</v>
      </c>
      <c r="F141" s="1787" t="s">
        <v>4224</v>
      </c>
      <c r="G141" s="1785" t="s">
        <v>4213</v>
      </c>
      <c r="H141" s="1779" t="s">
        <v>4017</v>
      </c>
      <c r="I141" s="1780">
        <v>34976</v>
      </c>
      <c r="J141" s="1781" t="s">
        <v>2865</v>
      </c>
    </row>
    <row r="142" spans="2:10" ht="16.5" customHeight="1" x14ac:dyDescent="0.3">
      <c r="B142" s="1785" t="s">
        <v>4020</v>
      </c>
      <c r="C142" s="1785" t="s">
        <v>2015</v>
      </c>
      <c r="D142" s="1777" t="s">
        <v>4077</v>
      </c>
      <c r="E142" s="1785" t="s">
        <v>4225</v>
      </c>
      <c r="F142" s="1787" t="s">
        <v>4226</v>
      </c>
      <c r="G142" s="1785" t="s">
        <v>2865</v>
      </c>
      <c r="H142" s="1779" t="s">
        <v>4017</v>
      </c>
      <c r="I142" s="1780">
        <v>2100000</v>
      </c>
      <c r="J142" s="1781" t="s">
        <v>2865</v>
      </c>
    </row>
    <row r="143" spans="2:10" ht="16.5" customHeight="1" x14ac:dyDescent="0.3">
      <c r="B143" s="1785" t="s">
        <v>4020</v>
      </c>
      <c r="C143" s="1785" t="s">
        <v>2015</v>
      </c>
      <c r="D143" s="1777" t="s">
        <v>4077</v>
      </c>
      <c r="E143" s="1785" t="s">
        <v>4227</v>
      </c>
      <c r="F143" s="1787" t="s">
        <v>4226</v>
      </c>
      <c r="G143" s="1785" t="s">
        <v>2865</v>
      </c>
      <c r="H143" s="1779" t="s">
        <v>4017</v>
      </c>
      <c r="I143" s="1780">
        <v>1800000</v>
      </c>
      <c r="J143" s="1781" t="s">
        <v>2865</v>
      </c>
    </row>
    <row r="144" spans="2:10" ht="16.5" customHeight="1" x14ac:dyDescent="0.3">
      <c r="B144" s="1785" t="s">
        <v>4020</v>
      </c>
      <c r="C144" s="1785" t="s">
        <v>2015</v>
      </c>
      <c r="D144" s="1777" t="s">
        <v>4077</v>
      </c>
      <c r="E144" s="1785" t="s">
        <v>4228</v>
      </c>
      <c r="F144" s="1787" t="s">
        <v>4229</v>
      </c>
      <c r="G144" s="1785" t="s">
        <v>2865</v>
      </c>
      <c r="H144" s="1779" t="s">
        <v>4017</v>
      </c>
      <c r="I144" s="1780">
        <v>700000</v>
      </c>
      <c r="J144" s="1781" t="s">
        <v>2865</v>
      </c>
    </row>
    <row r="145" spans="2:10" ht="16.5" customHeight="1" x14ac:dyDescent="0.3">
      <c r="B145" s="1785" t="s">
        <v>4020</v>
      </c>
      <c r="C145" s="1785" t="s">
        <v>2015</v>
      </c>
      <c r="D145" s="1777" t="s">
        <v>4077</v>
      </c>
      <c r="E145" s="1785" t="s">
        <v>4060</v>
      </c>
      <c r="F145" s="1787" t="s">
        <v>4060</v>
      </c>
      <c r="G145" s="1785" t="s">
        <v>2865</v>
      </c>
      <c r="H145" s="1779" t="s">
        <v>4017</v>
      </c>
      <c r="I145" s="1780">
        <v>900000</v>
      </c>
      <c r="J145" s="1781" t="s">
        <v>2865</v>
      </c>
    </row>
    <row r="146" spans="2:10" ht="16.5" customHeight="1" x14ac:dyDescent="0.3">
      <c r="B146" s="1785" t="s">
        <v>4020</v>
      </c>
      <c r="C146" s="1785" t="s">
        <v>2015</v>
      </c>
      <c r="D146" s="1777" t="s">
        <v>4077</v>
      </c>
      <c r="E146" s="1785" t="s">
        <v>4060</v>
      </c>
      <c r="F146" s="1787" t="s">
        <v>4230</v>
      </c>
      <c r="G146" s="1785" t="s">
        <v>4231</v>
      </c>
      <c r="H146" s="1779" t="s">
        <v>4017</v>
      </c>
      <c r="I146" s="1780">
        <v>264568</v>
      </c>
      <c r="J146" s="1781" t="s">
        <v>4002</v>
      </c>
    </row>
    <row r="147" spans="2:10" ht="16.5" customHeight="1" x14ac:dyDescent="0.3">
      <c r="B147" s="1785" t="s">
        <v>4020</v>
      </c>
      <c r="C147" s="1785" t="s">
        <v>4014</v>
      </c>
      <c r="D147" s="1777" t="s">
        <v>4041</v>
      </c>
      <c r="E147" s="1785" t="s">
        <v>4232</v>
      </c>
      <c r="F147" s="1787" t="s">
        <v>4233</v>
      </c>
      <c r="G147" s="1785" t="s">
        <v>4231</v>
      </c>
      <c r="H147" s="1779" t="s">
        <v>4017</v>
      </c>
      <c r="I147" s="1780">
        <v>120000</v>
      </c>
      <c r="J147" s="1781" t="s">
        <v>4002</v>
      </c>
    </row>
    <row r="148" spans="2:10" ht="16.5" customHeight="1" x14ac:dyDescent="0.3">
      <c r="B148" s="1785" t="s">
        <v>4020</v>
      </c>
      <c r="C148" s="1785" t="s">
        <v>4014</v>
      </c>
      <c r="D148" s="1777" t="s">
        <v>4041</v>
      </c>
      <c r="E148" s="1785" t="s">
        <v>4042</v>
      </c>
      <c r="F148" s="1787" t="s">
        <v>4234</v>
      </c>
      <c r="G148" s="1785" t="s">
        <v>4231</v>
      </c>
      <c r="H148" s="1779" t="s">
        <v>4017</v>
      </c>
      <c r="I148" s="1780">
        <v>125000</v>
      </c>
      <c r="J148" s="1781" t="s">
        <v>4002</v>
      </c>
    </row>
    <row r="149" spans="2:10" ht="16.5" customHeight="1" x14ac:dyDescent="0.3">
      <c r="B149" s="1785" t="s">
        <v>4020</v>
      </c>
      <c r="C149" s="1785" t="s">
        <v>2015</v>
      </c>
      <c r="D149" s="1777" t="s">
        <v>4077</v>
      </c>
      <c r="E149" s="1785" t="s">
        <v>4235</v>
      </c>
      <c r="F149" s="1787" t="s">
        <v>4236</v>
      </c>
      <c r="G149" s="1785" t="s">
        <v>4237</v>
      </c>
      <c r="H149" s="1779" t="s">
        <v>4017</v>
      </c>
      <c r="I149" s="1780">
        <v>1500000</v>
      </c>
      <c r="J149" s="1781" t="s">
        <v>4002</v>
      </c>
    </row>
    <row r="150" spans="2:10" ht="16.5" customHeight="1" x14ac:dyDescent="0.3">
      <c r="B150" s="2028" t="s">
        <v>4020</v>
      </c>
      <c r="C150" s="2028" t="s">
        <v>4014</v>
      </c>
      <c r="D150" s="2029" t="s">
        <v>4550</v>
      </c>
      <c r="E150" s="2028" t="s">
        <v>4161</v>
      </c>
      <c r="F150" s="2030" t="s">
        <v>4238</v>
      </c>
      <c r="G150" s="2028" t="s">
        <v>4237</v>
      </c>
      <c r="H150" s="2031" t="s">
        <v>4017</v>
      </c>
      <c r="I150" s="2032">
        <v>375000</v>
      </c>
      <c r="J150" s="2033" t="s">
        <v>4002</v>
      </c>
    </row>
    <row r="151" spans="2:10" ht="16.5" customHeight="1" x14ac:dyDescent="0.3">
      <c r="B151" s="1785" t="s">
        <v>4020</v>
      </c>
      <c r="C151" s="1785" t="s">
        <v>2015</v>
      </c>
      <c r="D151" s="1777" t="s">
        <v>4077</v>
      </c>
      <c r="E151" s="1785" t="s">
        <v>4161</v>
      </c>
      <c r="F151" s="1787" t="s">
        <v>4239</v>
      </c>
      <c r="G151" s="1785" t="s">
        <v>4240</v>
      </c>
      <c r="H151" s="1779" t="s">
        <v>4017</v>
      </c>
      <c r="I151" s="1780">
        <v>250000</v>
      </c>
      <c r="J151" s="1781" t="s">
        <v>4002</v>
      </c>
    </row>
    <row r="152" spans="2:10" ht="16.5" customHeight="1" x14ac:dyDescent="0.3">
      <c r="B152" s="1785" t="s">
        <v>4013</v>
      </c>
      <c r="C152" s="1785" t="s">
        <v>2015</v>
      </c>
      <c r="D152" s="1777" t="s">
        <v>4077</v>
      </c>
      <c r="E152" s="1785" t="s">
        <v>4241</v>
      </c>
      <c r="F152" s="1787" t="s">
        <v>4242</v>
      </c>
      <c r="G152" s="1785" t="s">
        <v>4237</v>
      </c>
      <c r="H152" s="1779" t="s">
        <v>4017</v>
      </c>
      <c r="I152" s="1780">
        <v>65000</v>
      </c>
      <c r="J152" s="1781" t="s">
        <v>4002</v>
      </c>
    </row>
    <row r="153" spans="2:10" ht="16.5" customHeight="1" x14ac:dyDescent="0.3">
      <c r="B153" s="1785" t="s">
        <v>4020</v>
      </c>
      <c r="C153" s="1785" t="s">
        <v>2015</v>
      </c>
      <c r="D153" s="1777" t="s">
        <v>4077</v>
      </c>
      <c r="E153" s="1785" t="s">
        <v>4060</v>
      </c>
      <c r="F153" s="1787" t="s">
        <v>4243</v>
      </c>
      <c r="G153" s="1785" t="s">
        <v>4002</v>
      </c>
      <c r="H153" s="1779" t="s">
        <v>4017</v>
      </c>
      <c r="I153" s="1780">
        <v>0</v>
      </c>
      <c r="J153" s="1781" t="s">
        <v>4002</v>
      </c>
    </row>
    <row r="154" spans="2:10" ht="16.5" customHeight="1" x14ac:dyDescent="0.3">
      <c r="B154" s="1785" t="s">
        <v>4013</v>
      </c>
      <c r="C154" s="1785" t="s">
        <v>4014</v>
      </c>
      <c r="D154" s="1777" t="s">
        <v>4041</v>
      </c>
      <c r="E154" s="1785" t="s">
        <v>4055</v>
      </c>
      <c r="F154" s="1787" t="s">
        <v>4129</v>
      </c>
      <c r="G154" s="1785" t="s">
        <v>4044</v>
      </c>
      <c r="H154" s="1779" t="s">
        <v>4017</v>
      </c>
      <c r="I154" s="1780">
        <v>3480</v>
      </c>
      <c r="J154" s="1781" t="s">
        <v>2866</v>
      </c>
    </row>
    <row r="155" spans="2:10" ht="16.5" customHeight="1" x14ac:dyDescent="0.3">
      <c r="B155" s="1785" t="s">
        <v>4013</v>
      </c>
      <c r="C155" s="1785" t="s">
        <v>4014</v>
      </c>
      <c r="D155" s="1777" t="s">
        <v>3999</v>
      </c>
      <c r="E155" s="1785" t="s">
        <v>3999</v>
      </c>
      <c r="F155" s="1787" t="s">
        <v>4244</v>
      </c>
      <c r="G155" s="1785" t="s">
        <v>4245</v>
      </c>
      <c r="H155" s="1779" t="s">
        <v>4017</v>
      </c>
      <c r="I155" s="1780">
        <v>12000</v>
      </c>
      <c r="J155" s="1781" t="s">
        <v>2866</v>
      </c>
    </row>
    <row r="156" spans="2:10" ht="16.5" customHeight="1" x14ac:dyDescent="0.3">
      <c r="B156" s="1785" t="s">
        <v>4013</v>
      </c>
      <c r="C156" s="1785" t="s">
        <v>4014</v>
      </c>
      <c r="D156" s="1777" t="s">
        <v>3999</v>
      </c>
      <c r="E156" s="1785" t="s">
        <v>3999</v>
      </c>
      <c r="F156" s="1787" t="s">
        <v>4246</v>
      </c>
      <c r="G156" s="1785" t="s">
        <v>4245</v>
      </c>
      <c r="H156" s="1779" t="s">
        <v>4017</v>
      </c>
      <c r="I156" s="1780">
        <v>36000</v>
      </c>
      <c r="J156" s="1781" t="s">
        <v>2866</v>
      </c>
    </row>
    <row r="157" spans="2:10" ht="16.5" customHeight="1" x14ac:dyDescent="0.3">
      <c r="B157" s="1785" t="s">
        <v>4013</v>
      </c>
      <c r="C157" s="1785" t="s">
        <v>4014</v>
      </c>
      <c r="D157" s="1777" t="s">
        <v>3999</v>
      </c>
      <c r="E157" s="1785" t="s">
        <v>3999</v>
      </c>
      <c r="F157" s="1787" t="s">
        <v>4247</v>
      </c>
      <c r="G157" s="1785" t="s">
        <v>4245</v>
      </c>
      <c r="H157" s="1779" t="s">
        <v>4017</v>
      </c>
      <c r="I157" s="1780">
        <v>60000</v>
      </c>
      <c r="J157" s="1781" t="s">
        <v>2866</v>
      </c>
    </row>
    <row r="158" spans="2:10" ht="16.5" customHeight="1" x14ac:dyDescent="0.3">
      <c r="B158" s="1785" t="s">
        <v>4013</v>
      </c>
      <c r="C158" s="1785" t="s">
        <v>4014</v>
      </c>
      <c r="D158" s="1777" t="s">
        <v>3999</v>
      </c>
      <c r="E158" s="1785" t="s">
        <v>3999</v>
      </c>
      <c r="F158" s="1787" t="s">
        <v>4248</v>
      </c>
      <c r="G158" s="1785" t="s">
        <v>4245</v>
      </c>
      <c r="H158" s="1779" t="s">
        <v>4017</v>
      </c>
      <c r="I158" s="1780">
        <v>33000</v>
      </c>
      <c r="J158" s="1781" t="s">
        <v>2866</v>
      </c>
    </row>
    <row r="159" spans="2:10" ht="16.5" customHeight="1" x14ac:dyDescent="0.3">
      <c r="B159" s="1785" t="s">
        <v>4013</v>
      </c>
      <c r="C159" s="1785" t="s">
        <v>4014</v>
      </c>
      <c r="D159" s="1777" t="s">
        <v>3999</v>
      </c>
      <c r="E159" s="1785" t="s">
        <v>3999</v>
      </c>
      <c r="F159" s="1787" t="s">
        <v>4249</v>
      </c>
      <c r="G159" s="1785" t="s">
        <v>4245</v>
      </c>
      <c r="H159" s="1779" t="s">
        <v>4017</v>
      </c>
      <c r="I159" s="1780">
        <v>22750</v>
      </c>
      <c r="J159" s="1781" t="s">
        <v>2866</v>
      </c>
    </row>
    <row r="160" spans="2:10" ht="16.5" customHeight="1" x14ac:dyDescent="0.3">
      <c r="B160" s="1785" t="s">
        <v>4020</v>
      </c>
      <c r="C160" s="1785" t="s">
        <v>2015</v>
      </c>
      <c r="D160" s="1777" t="s">
        <v>4077</v>
      </c>
      <c r="E160" s="1785" t="s">
        <v>4250</v>
      </c>
      <c r="F160" s="1787" t="s">
        <v>4251</v>
      </c>
      <c r="G160" s="1785" t="s">
        <v>4128</v>
      </c>
      <c r="H160" s="1779" t="s">
        <v>4017</v>
      </c>
      <c r="I160" s="1780">
        <v>40000</v>
      </c>
      <c r="J160" s="1781" t="s">
        <v>2866</v>
      </c>
    </row>
    <row r="161" spans="2:10" ht="16.5" customHeight="1" x14ac:dyDescent="0.3">
      <c r="B161" s="1785" t="s">
        <v>4020</v>
      </c>
      <c r="C161" s="1785" t="s">
        <v>2015</v>
      </c>
      <c r="D161" s="1777" t="s">
        <v>4077</v>
      </c>
      <c r="E161" s="1785" t="s">
        <v>4183</v>
      </c>
      <c r="F161" s="1787" t="s">
        <v>4252</v>
      </c>
      <c r="G161" s="1785" t="s">
        <v>4253</v>
      </c>
      <c r="H161" s="1779" t="s">
        <v>4017</v>
      </c>
      <c r="I161" s="1780">
        <v>60000</v>
      </c>
      <c r="J161" s="1781" t="s">
        <v>2866</v>
      </c>
    </row>
    <row r="162" spans="2:10" ht="16.5" customHeight="1" x14ac:dyDescent="0.3">
      <c r="B162" s="1785" t="s">
        <v>4020</v>
      </c>
      <c r="C162" s="1785" t="s">
        <v>2015</v>
      </c>
      <c r="D162" s="1777" t="s">
        <v>4077</v>
      </c>
      <c r="E162" s="1785" t="s">
        <v>4254</v>
      </c>
      <c r="F162" s="1787" t="s">
        <v>4255</v>
      </c>
      <c r="G162" s="1785" t="s">
        <v>4128</v>
      </c>
      <c r="H162" s="1779" t="s">
        <v>4017</v>
      </c>
      <c r="I162" s="1780">
        <v>101682</v>
      </c>
      <c r="J162" s="1781" t="s">
        <v>2866</v>
      </c>
    </row>
    <row r="163" spans="2:10" ht="16.5" customHeight="1" x14ac:dyDescent="0.3">
      <c r="B163" s="1785" t="s">
        <v>4020</v>
      </c>
      <c r="C163" s="1785" t="s">
        <v>2015</v>
      </c>
      <c r="D163" s="1777" t="s">
        <v>4077</v>
      </c>
      <c r="E163" s="1785" t="s">
        <v>4254</v>
      </c>
      <c r="F163" s="1787" t="s">
        <v>4256</v>
      </c>
      <c r="G163" s="1785" t="s">
        <v>4128</v>
      </c>
      <c r="H163" s="1779" t="s">
        <v>4017</v>
      </c>
      <c r="I163" s="1780">
        <v>62194.999999999993</v>
      </c>
      <c r="J163" s="1781" t="s">
        <v>2866</v>
      </c>
    </row>
    <row r="164" spans="2:10" ht="16.5" customHeight="1" x14ac:dyDescent="0.3">
      <c r="B164" s="1785" t="s">
        <v>4020</v>
      </c>
      <c r="C164" s="1785" t="s">
        <v>2015</v>
      </c>
      <c r="D164" s="1777" t="s">
        <v>4077</v>
      </c>
      <c r="E164" s="1785" t="s">
        <v>4257</v>
      </c>
      <c r="F164" s="1787" t="s">
        <v>4258</v>
      </c>
      <c r="G164" s="1785" t="s">
        <v>4128</v>
      </c>
      <c r="H164" s="1779" t="s">
        <v>4017</v>
      </c>
      <c r="I164" s="1780">
        <v>63000</v>
      </c>
      <c r="J164" s="1781" t="s">
        <v>2866</v>
      </c>
    </row>
    <row r="165" spans="2:10" ht="16.5" customHeight="1" x14ac:dyDescent="0.3">
      <c r="B165" s="1785" t="s">
        <v>4020</v>
      </c>
      <c r="C165" s="1785" t="s">
        <v>2015</v>
      </c>
      <c r="D165" s="1777" t="s">
        <v>4077</v>
      </c>
      <c r="E165" s="1785" t="s">
        <v>4259</v>
      </c>
      <c r="F165" s="1787" t="s">
        <v>4260</v>
      </c>
      <c r="G165" s="1785" t="s">
        <v>4128</v>
      </c>
      <c r="H165" s="1779" t="s">
        <v>4017</v>
      </c>
      <c r="I165" s="1780">
        <v>49909.000000000007</v>
      </c>
      <c r="J165" s="1781" t="s">
        <v>2866</v>
      </c>
    </row>
    <row r="166" spans="2:10" ht="16.5" customHeight="1" x14ac:dyDescent="0.3">
      <c r="B166" s="1785" t="s">
        <v>4020</v>
      </c>
      <c r="C166" s="1785" t="s">
        <v>2015</v>
      </c>
      <c r="D166" s="1777" t="s">
        <v>4077</v>
      </c>
      <c r="E166" s="1785" t="s">
        <v>4261</v>
      </c>
      <c r="F166" s="1787" t="s">
        <v>4262</v>
      </c>
      <c r="G166" s="1785" t="s">
        <v>4128</v>
      </c>
      <c r="H166" s="1779" t="s">
        <v>4017</v>
      </c>
      <c r="I166" s="1780">
        <v>38300</v>
      </c>
      <c r="J166" s="1781" t="s">
        <v>2866</v>
      </c>
    </row>
    <row r="167" spans="2:10" ht="16.5" customHeight="1" x14ac:dyDescent="0.3">
      <c r="B167" s="1785" t="s">
        <v>4020</v>
      </c>
      <c r="C167" s="1785" t="s">
        <v>2015</v>
      </c>
      <c r="D167" s="1777" t="s">
        <v>4077</v>
      </c>
      <c r="E167" s="1785" t="s">
        <v>4263</v>
      </c>
      <c r="F167" s="1787" t="s">
        <v>4264</v>
      </c>
      <c r="G167" s="1785" t="s">
        <v>4128</v>
      </c>
      <c r="H167" s="1779" t="s">
        <v>4017</v>
      </c>
      <c r="I167" s="1780">
        <v>98800.000000000015</v>
      </c>
      <c r="J167" s="1781" t="s">
        <v>2866</v>
      </c>
    </row>
    <row r="168" spans="2:10" ht="16.5" customHeight="1" x14ac:dyDescent="0.3">
      <c r="B168" s="1785" t="s">
        <v>4020</v>
      </c>
      <c r="C168" s="1785" t="s">
        <v>4014</v>
      </c>
      <c r="D168" s="1777" t="s">
        <v>4015</v>
      </c>
      <c r="E168" s="1785" t="s">
        <v>4126</v>
      </c>
      <c r="F168" s="1787" t="s">
        <v>4127</v>
      </c>
      <c r="G168" s="1785" t="s">
        <v>4128</v>
      </c>
      <c r="H168" s="1779" t="s">
        <v>4017</v>
      </c>
      <c r="I168" s="1780">
        <v>39000</v>
      </c>
      <c r="J168" s="1781" t="s">
        <v>2866</v>
      </c>
    </row>
    <row r="169" spans="2:10" ht="16.5" customHeight="1" x14ac:dyDescent="0.3">
      <c r="B169" s="1785" t="s">
        <v>4020</v>
      </c>
      <c r="C169" s="1785" t="s">
        <v>2015</v>
      </c>
      <c r="D169" s="1777" t="s">
        <v>4077</v>
      </c>
      <c r="E169" s="1785" t="s">
        <v>4265</v>
      </c>
      <c r="F169" s="1787" t="s">
        <v>4266</v>
      </c>
      <c r="G169" s="1785" t="s">
        <v>2866</v>
      </c>
      <c r="H169" s="1779" t="s">
        <v>4017</v>
      </c>
      <c r="I169" s="1780">
        <v>339000</v>
      </c>
      <c r="J169" s="1781" t="s">
        <v>2866</v>
      </c>
    </row>
    <row r="170" spans="2:10" ht="16.5" customHeight="1" x14ac:dyDescent="0.3">
      <c r="B170" s="1785" t="s">
        <v>4020</v>
      </c>
      <c r="C170" s="1785" t="s">
        <v>2015</v>
      </c>
      <c r="D170" s="1777" t="s">
        <v>4077</v>
      </c>
      <c r="E170" s="1785" t="s">
        <v>4060</v>
      </c>
      <c r="F170" s="1787" t="s">
        <v>4267</v>
      </c>
      <c r="G170" s="1785" t="s">
        <v>2866</v>
      </c>
      <c r="H170" s="1779" t="s">
        <v>4017</v>
      </c>
      <c r="I170" s="1780">
        <v>350000</v>
      </c>
      <c r="J170" s="1781" t="s">
        <v>2866</v>
      </c>
    </row>
    <row r="171" spans="2:10" ht="16.5" customHeight="1" x14ac:dyDescent="0.3">
      <c r="B171" s="1785" t="s">
        <v>4013</v>
      </c>
      <c r="C171" s="1785" t="s">
        <v>2015</v>
      </c>
      <c r="D171" s="1777" t="s">
        <v>4077</v>
      </c>
      <c r="E171" s="1785" t="s">
        <v>4268</v>
      </c>
      <c r="F171" s="1787" t="s">
        <v>4269</v>
      </c>
      <c r="G171" s="1785" t="s">
        <v>2866</v>
      </c>
      <c r="H171" s="1779" t="s">
        <v>4017</v>
      </c>
      <c r="I171" s="1780">
        <v>53030</v>
      </c>
      <c r="J171" s="1781" t="s">
        <v>2866</v>
      </c>
    </row>
    <row r="172" spans="2:10" ht="16.5" customHeight="1" x14ac:dyDescent="0.3">
      <c r="B172" s="1785" t="s">
        <v>4013</v>
      </c>
      <c r="C172" s="1785" t="s">
        <v>2015</v>
      </c>
      <c r="D172" s="1777" t="s">
        <v>4077</v>
      </c>
      <c r="E172" s="1785" t="s">
        <v>4270</v>
      </c>
      <c r="F172" s="1787" t="s">
        <v>4269</v>
      </c>
      <c r="G172" s="1785" t="s">
        <v>2866</v>
      </c>
      <c r="H172" s="1779" t="s">
        <v>4017</v>
      </c>
      <c r="I172" s="1780">
        <v>36362</v>
      </c>
      <c r="J172" s="1781" t="s">
        <v>2866</v>
      </c>
    </row>
    <row r="173" spans="2:10" ht="16.5" customHeight="1" x14ac:dyDescent="0.3">
      <c r="B173" s="1785" t="s">
        <v>4020</v>
      </c>
      <c r="C173" s="1785" t="s">
        <v>2015</v>
      </c>
      <c r="D173" s="1777" t="s">
        <v>4077</v>
      </c>
      <c r="E173" s="1785" t="s">
        <v>4268</v>
      </c>
      <c r="F173" s="1787" t="s">
        <v>4269</v>
      </c>
      <c r="G173" s="1785" t="s">
        <v>2866</v>
      </c>
      <c r="H173" s="1779" t="s">
        <v>4017</v>
      </c>
      <c r="I173" s="1780">
        <v>265150</v>
      </c>
      <c r="J173" s="1781" t="s">
        <v>2866</v>
      </c>
    </row>
    <row r="174" spans="2:10" ht="16.5" customHeight="1" x14ac:dyDescent="0.3">
      <c r="B174" s="1785" t="s">
        <v>4020</v>
      </c>
      <c r="C174" s="1785" t="s">
        <v>2015</v>
      </c>
      <c r="D174" s="1777" t="s">
        <v>4077</v>
      </c>
      <c r="E174" s="1785" t="s">
        <v>4270</v>
      </c>
      <c r="F174" s="1787" t="s">
        <v>4269</v>
      </c>
      <c r="G174" s="1785" t="s">
        <v>2866</v>
      </c>
      <c r="H174" s="1779" t="s">
        <v>4017</v>
      </c>
      <c r="I174" s="1780">
        <v>181810</v>
      </c>
      <c r="J174" s="1781" t="s">
        <v>2866</v>
      </c>
    </row>
    <row r="175" spans="2:10" ht="16.5" customHeight="1" x14ac:dyDescent="0.3">
      <c r="B175" s="1785" t="s">
        <v>4020</v>
      </c>
      <c r="C175" s="1785" t="s">
        <v>2015</v>
      </c>
      <c r="D175" s="1777" t="s">
        <v>4077</v>
      </c>
      <c r="E175" s="1785" t="s">
        <v>4271</v>
      </c>
      <c r="F175" s="1787" t="s">
        <v>4272</v>
      </c>
      <c r="G175" s="1785" t="s">
        <v>2866</v>
      </c>
      <c r="H175" s="1779" t="s">
        <v>4017</v>
      </c>
      <c r="I175" s="1780">
        <v>480000</v>
      </c>
      <c r="J175" s="1781" t="s">
        <v>2866</v>
      </c>
    </row>
    <row r="176" spans="2:10" ht="16.5" customHeight="1" x14ac:dyDescent="0.3">
      <c r="B176" s="1785" t="s">
        <v>4020</v>
      </c>
      <c r="C176" s="1785" t="s">
        <v>2015</v>
      </c>
      <c r="D176" s="1777" t="s">
        <v>4077</v>
      </c>
      <c r="E176" s="1785" t="s">
        <v>4060</v>
      </c>
      <c r="F176" s="1787" t="s">
        <v>4060</v>
      </c>
      <c r="G176" s="1785" t="s">
        <v>2866</v>
      </c>
      <c r="H176" s="1779" t="s">
        <v>4017</v>
      </c>
      <c r="I176" s="1780">
        <v>350000</v>
      </c>
      <c r="J176" s="1781" t="s">
        <v>2866</v>
      </c>
    </row>
    <row r="177" spans="2:10" ht="16.5" customHeight="1" x14ac:dyDescent="0.3">
      <c r="B177" s="1785" t="s">
        <v>4020</v>
      </c>
      <c r="C177" s="1785" t="s">
        <v>2015</v>
      </c>
      <c r="D177" s="1777" t="s">
        <v>4077</v>
      </c>
      <c r="E177" s="1785" t="s">
        <v>2015</v>
      </c>
      <c r="F177" s="1787" t="s">
        <v>4273</v>
      </c>
      <c r="G177" s="1785" t="s">
        <v>4274</v>
      </c>
      <c r="H177" s="1779" t="s">
        <v>4017</v>
      </c>
      <c r="I177" s="1780">
        <v>1200000</v>
      </c>
      <c r="J177" s="1781" t="s">
        <v>4002</v>
      </c>
    </row>
    <row r="178" spans="2:10" ht="16.5" customHeight="1" x14ac:dyDescent="0.3">
      <c r="B178" s="1785" t="s">
        <v>4020</v>
      </c>
      <c r="C178" s="1785" t="s">
        <v>2015</v>
      </c>
      <c r="D178" s="1777" t="s">
        <v>4077</v>
      </c>
      <c r="E178" s="1785" t="s">
        <v>2015</v>
      </c>
      <c r="F178" s="1787" t="s">
        <v>4275</v>
      </c>
      <c r="G178" s="1785" t="s">
        <v>4276</v>
      </c>
      <c r="H178" s="1779" t="s">
        <v>4017</v>
      </c>
      <c r="I178" s="1780">
        <v>400000</v>
      </c>
      <c r="J178" s="1781" t="s">
        <v>4002</v>
      </c>
    </row>
    <row r="179" spans="2:10" ht="16.5" customHeight="1" x14ac:dyDescent="0.3">
      <c r="B179" s="1785" t="s">
        <v>4020</v>
      </c>
      <c r="C179" s="1785" t="s">
        <v>2015</v>
      </c>
      <c r="D179" s="1777" t="s">
        <v>4077</v>
      </c>
      <c r="E179" s="1785" t="s">
        <v>2015</v>
      </c>
      <c r="F179" s="1787" t="s">
        <v>4277</v>
      </c>
      <c r="G179" s="1785" t="s">
        <v>4276</v>
      </c>
      <c r="H179" s="1779" t="s">
        <v>4017</v>
      </c>
      <c r="I179" s="1780">
        <v>600000</v>
      </c>
      <c r="J179" s="1781" t="s">
        <v>4002</v>
      </c>
    </row>
    <row r="180" spans="2:10" ht="16.5" customHeight="1" x14ac:dyDescent="0.3">
      <c r="B180" s="1785" t="s">
        <v>4020</v>
      </c>
      <c r="C180" s="1785" t="s">
        <v>2015</v>
      </c>
      <c r="D180" s="1777" t="s">
        <v>4077</v>
      </c>
      <c r="E180" s="1785" t="s">
        <v>2015</v>
      </c>
      <c r="F180" s="1787" t="s">
        <v>4278</v>
      </c>
      <c r="G180" s="1785" t="s">
        <v>4276</v>
      </c>
      <c r="H180" s="1779" t="s">
        <v>4017</v>
      </c>
      <c r="I180" s="1780">
        <v>3425000</v>
      </c>
      <c r="J180" s="1781" t="s">
        <v>4002</v>
      </c>
    </row>
    <row r="181" spans="2:10" ht="16.5" customHeight="1" x14ac:dyDescent="0.3">
      <c r="B181" s="1785" t="s">
        <v>4020</v>
      </c>
      <c r="C181" s="1785" t="s">
        <v>2015</v>
      </c>
      <c r="D181" s="1777" t="s">
        <v>4077</v>
      </c>
      <c r="E181" s="1785" t="s">
        <v>2015</v>
      </c>
      <c r="F181" s="1787" t="s">
        <v>3857</v>
      </c>
      <c r="G181" s="1785" t="s">
        <v>4274</v>
      </c>
      <c r="H181" s="1779" t="s">
        <v>4017</v>
      </c>
      <c r="I181" s="1780">
        <v>3600000</v>
      </c>
      <c r="J181" s="1781" t="s">
        <v>4002</v>
      </c>
    </row>
    <row r="182" spans="2:10" ht="16.5" customHeight="1" x14ac:dyDescent="0.3">
      <c r="B182" s="1785" t="s">
        <v>4020</v>
      </c>
      <c r="C182" s="1785" t="s">
        <v>2015</v>
      </c>
      <c r="D182" s="1777" t="s">
        <v>4077</v>
      </c>
      <c r="E182" s="1785" t="s">
        <v>2015</v>
      </c>
      <c r="F182" s="1787" t="s">
        <v>3857</v>
      </c>
      <c r="G182" s="1785" t="s">
        <v>4274</v>
      </c>
      <c r="H182" s="1779" t="s">
        <v>4017</v>
      </c>
      <c r="I182" s="1780">
        <v>9000000</v>
      </c>
      <c r="J182" s="1781" t="s">
        <v>4002</v>
      </c>
    </row>
    <row r="183" spans="2:10" ht="16.5" customHeight="1" x14ac:dyDescent="0.3">
      <c r="B183" s="1785" t="s">
        <v>4020</v>
      </c>
      <c r="C183" s="1785" t="s">
        <v>2015</v>
      </c>
      <c r="D183" s="1777" t="s">
        <v>4077</v>
      </c>
      <c r="E183" s="1785" t="s">
        <v>2015</v>
      </c>
      <c r="F183" s="1787" t="s">
        <v>4279</v>
      </c>
      <c r="G183" s="1785" t="s">
        <v>4280</v>
      </c>
      <c r="H183" s="1779" t="s">
        <v>4017</v>
      </c>
      <c r="I183" s="1780">
        <v>3000000</v>
      </c>
      <c r="J183" s="1781" t="s">
        <v>4002</v>
      </c>
    </row>
    <row r="184" spans="2:10" ht="16.5" customHeight="1" x14ac:dyDescent="0.3">
      <c r="B184" s="1785" t="s">
        <v>4020</v>
      </c>
      <c r="C184" s="1785" t="s">
        <v>2015</v>
      </c>
      <c r="D184" s="1777" t="s">
        <v>4077</v>
      </c>
      <c r="E184" s="1785" t="s">
        <v>2015</v>
      </c>
      <c r="F184" s="1787" t="s">
        <v>4060</v>
      </c>
      <c r="G184" s="1785"/>
      <c r="H184" s="1779" t="s">
        <v>4017</v>
      </c>
      <c r="I184" s="1780">
        <v>1475000</v>
      </c>
      <c r="J184" s="1781" t="s">
        <v>4002</v>
      </c>
    </row>
    <row r="185" spans="2:10" ht="16.5" customHeight="1" x14ac:dyDescent="0.3">
      <c r="B185" s="1785" t="s">
        <v>4020</v>
      </c>
      <c r="C185" s="1785" t="s">
        <v>2015</v>
      </c>
      <c r="D185" s="1777" t="s">
        <v>4077</v>
      </c>
      <c r="E185" s="1785" t="s">
        <v>4281</v>
      </c>
      <c r="F185" s="1787" t="s">
        <v>4282</v>
      </c>
      <c r="G185" s="1785" t="s">
        <v>4002</v>
      </c>
      <c r="H185" s="1779" t="s">
        <v>4017</v>
      </c>
      <c r="I185" s="1780">
        <v>3260869.5652173921</v>
      </c>
      <c r="J185" s="1781" t="s">
        <v>4002</v>
      </c>
    </row>
    <row r="186" spans="2:10" ht="16.5" customHeight="1" x14ac:dyDescent="0.3">
      <c r="B186" s="1785" t="s">
        <v>4020</v>
      </c>
      <c r="C186" s="1785" t="s">
        <v>2015</v>
      </c>
      <c r="D186" s="1777" t="s">
        <v>4077</v>
      </c>
      <c r="E186" s="1785" t="s">
        <v>4283</v>
      </c>
      <c r="F186" s="1787" t="s">
        <v>4284</v>
      </c>
      <c r="G186" s="1785" t="s">
        <v>4002</v>
      </c>
      <c r="H186" s="1779" t="s">
        <v>4017</v>
      </c>
      <c r="I186" s="1780">
        <v>1400000</v>
      </c>
      <c r="J186" s="1781" t="s">
        <v>4002</v>
      </c>
    </row>
    <row r="187" spans="2:10" ht="16.5" customHeight="1" x14ac:dyDescent="0.3">
      <c r="B187" s="1785" t="s">
        <v>4020</v>
      </c>
      <c r="C187" s="1785" t="s">
        <v>2015</v>
      </c>
      <c r="D187" s="1777" t="s">
        <v>4077</v>
      </c>
      <c r="E187" s="1785" t="s">
        <v>4283</v>
      </c>
      <c r="F187" s="1787" t="s">
        <v>4285</v>
      </c>
      <c r="G187" s="1785" t="s">
        <v>4002</v>
      </c>
      <c r="H187" s="1779" t="s">
        <v>4017</v>
      </c>
      <c r="I187" s="1780">
        <v>1339130.0000000002</v>
      </c>
      <c r="J187" s="1781" t="s">
        <v>4002</v>
      </c>
    </row>
    <row r="188" spans="2:10" ht="16.5" customHeight="1" x14ac:dyDescent="0.3">
      <c r="B188" s="1785" t="s">
        <v>4020</v>
      </c>
      <c r="C188" s="1785" t="s">
        <v>2015</v>
      </c>
      <c r="D188" s="1777" t="s">
        <v>4077</v>
      </c>
      <c r="E188" s="1785" t="s">
        <v>4283</v>
      </c>
      <c r="F188" s="1787" t="s">
        <v>4285</v>
      </c>
      <c r="G188" s="1785" t="s">
        <v>4002</v>
      </c>
      <c r="H188" s="1779" t="s">
        <v>4017</v>
      </c>
      <c r="I188" s="1780">
        <v>4000000</v>
      </c>
      <c r="J188" s="1781" t="s">
        <v>4002</v>
      </c>
    </row>
    <row r="189" spans="2:10" ht="16.5" customHeight="1" x14ac:dyDescent="0.3">
      <c r="B189" s="1785" t="s">
        <v>4020</v>
      </c>
      <c r="C189" s="1785" t="s">
        <v>2015</v>
      </c>
      <c r="D189" s="1777" t="s">
        <v>4077</v>
      </c>
      <c r="E189" s="1785" t="s">
        <v>4283</v>
      </c>
      <c r="F189" s="1787" t="s">
        <v>4285</v>
      </c>
      <c r="G189" s="1785" t="s">
        <v>4002</v>
      </c>
      <c r="H189" s="1779" t="s">
        <v>4017</v>
      </c>
      <c r="I189" s="1780">
        <v>3000000</v>
      </c>
      <c r="J189" s="1781" t="s">
        <v>4002</v>
      </c>
    </row>
    <row r="190" spans="2:10" ht="16.5" customHeight="1" x14ac:dyDescent="0.3">
      <c r="B190" s="1785" t="s">
        <v>4020</v>
      </c>
      <c r="C190" s="1785" t="s">
        <v>2015</v>
      </c>
      <c r="D190" s="1777" t="s">
        <v>4077</v>
      </c>
      <c r="E190" s="1785" t="s">
        <v>4286</v>
      </c>
      <c r="F190" s="1787" t="s">
        <v>4287</v>
      </c>
      <c r="G190" s="1785" t="s">
        <v>4002</v>
      </c>
      <c r="H190" s="1779" t="s">
        <v>4017</v>
      </c>
      <c r="I190" s="1780">
        <v>1000000</v>
      </c>
      <c r="J190" s="1781" t="s">
        <v>4002</v>
      </c>
    </row>
    <row r="191" spans="2:10" ht="16.5" customHeight="1" x14ac:dyDescent="0.3">
      <c r="B191" s="1785" t="s">
        <v>4020</v>
      </c>
      <c r="C191" s="1785" t="s">
        <v>2015</v>
      </c>
      <c r="D191" s="1777" t="s">
        <v>4077</v>
      </c>
      <c r="E191" s="1785" t="s">
        <v>2015</v>
      </c>
      <c r="F191" s="1787" t="s">
        <v>4288</v>
      </c>
      <c r="G191" s="1785" t="s">
        <v>4002</v>
      </c>
      <c r="H191" s="1779" t="s">
        <v>4017</v>
      </c>
      <c r="I191" s="1780">
        <v>3056024</v>
      </c>
      <c r="J191" s="1781" t="s">
        <v>4002</v>
      </c>
    </row>
    <row r="192" spans="2:10" ht="16.5" customHeight="1" x14ac:dyDescent="0.3">
      <c r="B192" s="1785" t="s">
        <v>4013</v>
      </c>
      <c r="C192" s="1785" t="s">
        <v>2015</v>
      </c>
      <c r="D192" s="1777" t="s">
        <v>4077</v>
      </c>
      <c r="E192" s="1785" t="s">
        <v>4289</v>
      </c>
      <c r="F192" s="1787" t="s">
        <v>4290</v>
      </c>
      <c r="G192" s="1785" t="s">
        <v>4002</v>
      </c>
      <c r="H192" s="1779" t="s">
        <v>4017</v>
      </c>
      <c r="I192" s="1780">
        <v>1304000</v>
      </c>
      <c r="J192" s="1781" t="s">
        <v>4002</v>
      </c>
    </row>
    <row r="193" spans="2:10" ht="16.5" customHeight="1" x14ac:dyDescent="0.3">
      <c r="B193" s="1785" t="s">
        <v>4013</v>
      </c>
      <c r="C193" s="1785" t="s">
        <v>2015</v>
      </c>
      <c r="D193" s="1777" t="s">
        <v>4077</v>
      </c>
      <c r="E193" s="1785" t="s">
        <v>4289</v>
      </c>
      <c r="F193" s="1787" t="s">
        <v>4291</v>
      </c>
      <c r="G193" s="1785" t="s">
        <v>4002</v>
      </c>
      <c r="H193" s="1779" t="s">
        <v>4017</v>
      </c>
      <c r="I193" s="1780">
        <v>540000</v>
      </c>
      <c r="J193" s="1781" t="s">
        <v>4002</v>
      </c>
    </row>
    <row r="194" spans="2:10" ht="16.5" customHeight="1" x14ac:dyDescent="0.3">
      <c r="B194" s="1785" t="s">
        <v>4020</v>
      </c>
      <c r="C194" s="1785" t="s">
        <v>2015</v>
      </c>
      <c r="D194" s="1777" t="s">
        <v>4077</v>
      </c>
      <c r="E194" s="1785" t="s">
        <v>4289</v>
      </c>
      <c r="F194" s="1787" t="s">
        <v>4292</v>
      </c>
      <c r="G194" s="1785" t="s">
        <v>4002</v>
      </c>
      <c r="H194" s="1779" t="s">
        <v>4017</v>
      </c>
      <c r="I194" s="1780">
        <v>410000</v>
      </c>
      <c r="J194" s="1781" t="s">
        <v>4002</v>
      </c>
    </row>
    <row r="195" spans="2:10" ht="16.5" customHeight="1" x14ac:dyDescent="0.3">
      <c r="B195" s="1785" t="s">
        <v>4020</v>
      </c>
      <c r="C195" s="1785" t="s">
        <v>2015</v>
      </c>
      <c r="D195" s="1777" t="s">
        <v>4077</v>
      </c>
      <c r="E195" s="1785" t="s">
        <v>4289</v>
      </c>
      <c r="F195" s="1787" t="s">
        <v>4293</v>
      </c>
      <c r="G195" s="1785" t="s">
        <v>4002</v>
      </c>
      <c r="H195" s="1779" t="s">
        <v>4017</v>
      </c>
      <c r="I195" s="1780">
        <v>246000</v>
      </c>
      <c r="J195" s="1781" t="s">
        <v>4002</v>
      </c>
    </row>
    <row r="196" spans="2:10" ht="16.5" customHeight="1" x14ac:dyDescent="0.3">
      <c r="B196" s="1785" t="s">
        <v>4020</v>
      </c>
      <c r="C196" s="1785" t="s">
        <v>2015</v>
      </c>
      <c r="D196" s="1777" t="s">
        <v>4077</v>
      </c>
      <c r="E196" s="1785" t="s">
        <v>4294</v>
      </c>
      <c r="F196" s="1787" t="s">
        <v>4288</v>
      </c>
      <c r="G196" s="1785" t="s">
        <v>4002</v>
      </c>
      <c r="H196" s="1779" t="s">
        <v>4017</v>
      </c>
      <c r="I196" s="1780">
        <v>1000000</v>
      </c>
      <c r="J196" s="1781" t="s">
        <v>4002</v>
      </c>
    </row>
    <row r="197" spans="2:10" ht="16.5" customHeight="1" x14ac:dyDescent="0.3">
      <c r="B197" s="1785" t="s">
        <v>4020</v>
      </c>
      <c r="C197" s="1785" t="s">
        <v>2015</v>
      </c>
      <c r="D197" s="1777" t="s">
        <v>4077</v>
      </c>
      <c r="E197" s="1785" t="s">
        <v>4060</v>
      </c>
      <c r="F197" s="1787" t="s">
        <v>4060</v>
      </c>
      <c r="G197" s="1785" t="s">
        <v>4002</v>
      </c>
      <c r="H197" s="1779" t="s">
        <v>4017</v>
      </c>
      <c r="I197" s="1780">
        <v>3600000</v>
      </c>
      <c r="J197" s="1781" t="s">
        <v>4002</v>
      </c>
    </row>
    <row r="198" spans="2:10" ht="16.5" customHeight="1" x14ac:dyDescent="0.3">
      <c r="B198" s="1785" t="s">
        <v>4013</v>
      </c>
      <c r="C198" s="1785" t="s">
        <v>4014</v>
      </c>
      <c r="D198" s="1777" t="s">
        <v>4063</v>
      </c>
      <c r="E198" s="1785" t="s">
        <v>4063</v>
      </c>
      <c r="F198" s="1787" t="s">
        <v>4295</v>
      </c>
      <c r="G198" s="1785" t="s">
        <v>4028</v>
      </c>
      <c r="H198" s="1779" t="s">
        <v>4017</v>
      </c>
      <c r="I198" s="1780">
        <v>5400000</v>
      </c>
      <c r="J198" s="1781" t="s">
        <v>2866</v>
      </c>
    </row>
    <row r="199" spans="2:10" ht="16.5" customHeight="1" x14ac:dyDescent="0.3">
      <c r="B199" s="1785" t="s">
        <v>4020</v>
      </c>
      <c r="C199" s="1785" t="s">
        <v>4014</v>
      </c>
      <c r="D199" s="1777" t="s">
        <v>4063</v>
      </c>
      <c r="E199" s="1785" t="s">
        <v>4063</v>
      </c>
      <c r="F199" s="1787" t="s">
        <v>4296</v>
      </c>
      <c r="G199" s="1785" t="s">
        <v>4028</v>
      </c>
      <c r="H199" s="1779" t="s">
        <v>4017</v>
      </c>
      <c r="I199" s="1780">
        <v>600000</v>
      </c>
      <c r="J199" s="1781" t="s">
        <v>2866</v>
      </c>
    </row>
    <row r="200" spans="2:10" ht="16.5" customHeight="1" x14ac:dyDescent="0.3">
      <c r="B200" s="1785" t="s">
        <v>4020</v>
      </c>
      <c r="C200" s="1785" t="s">
        <v>4014</v>
      </c>
      <c r="D200" s="1777" t="s">
        <v>4063</v>
      </c>
      <c r="E200" s="1785" t="s">
        <v>4063</v>
      </c>
      <c r="F200" s="1787" t="s">
        <v>4295</v>
      </c>
      <c r="G200" s="1785" t="s">
        <v>4028</v>
      </c>
      <c r="H200" s="1779" t="s">
        <v>4017</v>
      </c>
      <c r="I200" s="1780">
        <v>400000</v>
      </c>
      <c r="J200" s="1781" t="s">
        <v>2866</v>
      </c>
    </row>
    <row r="201" spans="2:10" ht="16.5" customHeight="1" x14ac:dyDescent="0.3">
      <c r="B201" s="1785" t="s">
        <v>4020</v>
      </c>
      <c r="C201" s="1785" t="s">
        <v>2015</v>
      </c>
      <c r="D201" s="1777" t="s">
        <v>4077</v>
      </c>
      <c r="E201" s="1785" t="s">
        <v>4297</v>
      </c>
      <c r="F201" s="1787" t="s">
        <v>4298</v>
      </c>
      <c r="G201" s="1785" t="s">
        <v>2866</v>
      </c>
      <c r="H201" s="1779" t="s">
        <v>4017</v>
      </c>
      <c r="I201" s="1780">
        <v>150000</v>
      </c>
      <c r="J201" s="1781" t="s">
        <v>2866</v>
      </c>
    </row>
    <row r="202" spans="2:10" ht="16.5" customHeight="1" x14ac:dyDescent="0.3">
      <c r="B202" s="1785" t="s">
        <v>4020</v>
      </c>
      <c r="C202" s="1785" t="s">
        <v>2015</v>
      </c>
      <c r="D202" s="1777" t="s">
        <v>4077</v>
      </c>
      <c r="E202" s="1785" t="s">
        <v>4299</v>
      </c>
      <c r="F202" s="1787" t="s">
        <v>4300</v>
      </c>
      <c r="G202" s="1785" t="s">
        <v>2866</v>
      </c>
      <c r="H202" s="1779" t="s">
        <v>4017</v>
      </c>
      <c r="I202" s="1780">
        <v>150000</v>
      </c>
      <c r="J202" s="1781" t="s">
        <v>2866</v>
      </c>
    </row>
    <row r="203" spans="2:10" ht="16.5" customHeight="1" x14ac:dyDescent="0.3">
      <c r="B203" s="1785" t="s">
        <v>4020</v>
      </c>
      <c r="C203" s="1785" t="s">
        <v>2015</v>
      </c>
      <c r="D203" s="1777" t="s">
        <v>4077</v>
      </c>
      <c r="E203" s="1785" t="s">
        <v>4301</v>
      </c>
      <c r="F203" s="1787" t="s">
        <v>4302</v>
      </c>
      <c r="G203" s="1785" t="s">
        <v>2866</v>
      </c>
      <c r="H203" s="1779" t="s">
        <v>4017</v>
      </c>
      <c r="I203" s="1780">
        <v>24000</v>
      </c>
      <c r="J203" s="1781" t="s">
        <v>2866</v>
      </c>
    </row>
    <row r="204" spans="2:10" ht="16.5" customHeight="1" x14ac:dyDescent="0.3">
      <c r="B204" s="1785" t="s">
        <v>4020</v>
      </c>
      <c r="C204" s="1785" t="s">
        <v>2015</v>
      </c>
      <c r="D204" s="1777" t="s">
        <v>4077</v>
      </c>
      <c r="E204" s="1785" t="s">
        <v>4303</v>
      </c>
      <c r="F204" s="1787" t="s">
        <v>4066</v>
      </c>
      <c r="G204" s="1785" t="s">
        <v>2866</v>
      </c>
      <c r="H204" s="1779" t="s">
        <v>4017</v>
      </c>
      <c r="I204" s="1780">
        <v>376000</v>
      </c>
      <c r="J204" s="1781" t="s">
        <v>2866</v>
      </c>
    </row>
    <row r="205" spans="2:10" ht="16.5" customHeight="1" x14ac:dyDescent="0.3">
      <c r="B205" s="1785" t="s">
        <v>4013</v>
      </c>
      <c r="C205" s="1785" t="s">
        <v>4014</v>
      </c>
      <c r="D205" s="1777" t="s">
        <v>4015</v>
      </c>
      <c r="E205" s="1785" t="s">
        <v>4015</v>
      </c>
      <c r="F205" s="1787" t="s">
        <v>4066</v>
      </c>
      <c r="G205" s="1785" t="s">
        <v>2866</v>
      </c>
      <c r="H205" s="1779" t="s">
        <v>4017</v>
      </c>
      <c r="I205" s="1780">
        <v>2520000</v>
      </c>
      <c r="J205" s="1781" t="s">
        <v>2866</v>
      </c>
    </row>
    <row r="206" spans="2:10" ht="16.5" customHeight="1" x14ac:dyDescent="0.3">
      <c r="B206" s="1785" t="s">
        <v>4013</v>
      </c>
      <c r="C206" s="1785" t="s">
        <v>4014</v>
      </c>
      <c r="D206" s="1777" t="s">
        <v>4031</v>
      </c>
      <c r="E206" s="1785" t="s">
        <v>4031</v>
      </c>
      <c r="F206" s="1787" t="s">
        <v>4304</v>
      </c>
      <c r="G206" s="1785" t="s">
        <v>4047</v>
      </c>
      <c r="H206" s="1779" t="s">
        <v>4017</v>
      </c>
      <c r="I206" s="1780">
        <v>1092654</v>
      </c>
      <c r="J206" s="1781" t="s">
        <v>2866</v>
      </c>
    </row>
    <row r="207" spans="2:10" ht="16.5" customHeight="1" x14ac:dyDescent="0.3">
      <c r="B207" s="1785" t="s">
        <v>4013</v>
      </c>
      <c r="C207" s="1785" t="s">
        <v>4014</v>
      </c>
      <c r="D207" s="1777" t="s">
        <v>4031</v>
      </c>
      <c r="E207" s="1785" t="s">
        <v>4031</v>
      </c>
      <c r="F207" s="1787" t="s">
        <v>4305</v>
      </c>
      <c r="G207" s="1785" t="s">
        <v>4047</v>
      </c>
      <c r="H207" s="1779" t="s">
        <v>4017</v>
      </c>
      <c r="I207" s="1780">
        <v>134058</v>
      </c>
      <c r="J207" s="1781" t="s">
        <v>2866</v>
      </c>
    </row>
    <row r="208" spans="2:10" ht="16.5" customHeight="1" x14ac:dyDescent="0.3">
      <c r="B208" s="1785" t="s">
        <v>4013</v>
      </c>
      <c r="C208" s="1785" t="s">
        <v>4014</v>
      </c>
      <c r="D208" s="1777" t="s">
        <v>3999</v>
      </c>
      <c r="E208" s="1785" t="s">
        <v>3999</v>
      </c>
      <c r="F208" s="1787" t="s">
        <v>4306</v>
      </c>
      <c r="G208" s="1785" t="s">
        <v>2866</v>
      </c>
      <c r="H208" s="1779" t="s">
        <v>4017</v>
      </c>
      <c r="I208" s="1780">
        <v>158400</v>
      </c>
      <c r="J208" s="1781" t="s">
        <v>2866</v>
      </c>
    </row>
    <row r="209" spans="2:10" ht="16.5" customHeight="1" x14ac:dyDescent="0.3">
      <c r="B209" s="1785" t="s">
        <v>4013</v>
      </c>
      <c r="C209" s="1785" t="s">
        <v>4014</v>
      </c>
      <c r="D209" s="1777" t="s">
        <v>3999</v>
      </c>
      <c r="E209" s="1785" t="s">
        <v>3999</v>
      </c>
      <c r="F209" s="1787" t="s">
        <v>4307</v>
      </c>
      <c r="G209" s="1785" t="s">
        <v>2866</v>
      </c>
      <c r="H209" s="1779" t="s">
        <v>4017</v>
      </c>
      <c r="I209" s="1780">
        <v>764484</v>
      </c>
      <c r="J209" s="1781" t="s">
        <v>2866</v>
      </c>
    </row>
    <row r="210" spans="2:10" ht="16.5" customHeight="1" x14ac:dyDescent="0.3">
      <c r="B210" s="1785" t="s">
        <v>4013</v>
      </c>
      <c r="C210" s="1785" t="s">
        <v>4014</v>
      </c>
      <c r="D210" s="1777" t="s">
        <v>3999</v>
      </c>
      <c r="E210" s="1785" t="s">
        <v>3999</v>
      </c>
      <c r="F210" s="1787" t="s">
        <v>4308</v>
      </c>
      <c r="G210" s="1785" t="s">
        <v>4047</v>
      </c>
      <c r="H210" s="1779" t="s">
        <v>4017</v>
      </c>
      <c r="I210" s="1780">
        <v>9000</v>
      </c>
      <c r="J210" s="1781" t="s">
        <v>2866</v>
      </c>
    </row>
    <row r="211" spans="2:10" ht="16.5" customHeight="1" x14ac:dyDescent="0.3">
      <c r="B211" s="1785" t="s">
        <v>4013</v>
      </c>
      <c r="C211" s="1785" t="s">
        <v>4014</v>
      </c>
      <c r="D211" s="1777" t="s">
        <v>3999</v>
      </c>
      <c r="E211" s="1785" t="s">
        <v>3999</v>
      </c>
      <c r="F211" s="1787" t="s">
        <v>4309</v>
      </c>
      <c r="G211" s="1785" t="s">
        <v>4047</v>
      </c>
      <c r="H211" s="1779" t="s">
        <v>4017</v>
      </c>
      <c r="I211" s="1780">
        <v>24000</v>
      </c>
      <c r="J211" s="1781" t="s">
        <v>2866</v>
      </c>
    </row>
    <row r="212" spans="2:10" ht="16.5" customHeight="1" x14ac:dyDescent="0.3">
      <c r="B212" s="1785" t="s">
        <v>4013</v>
      </c>
      <c r="C212" s="1785" t="s">
        <v>4014</v>
      </c>
      <c r="D212" s="1777" t="s">
        <v>3999</v>
      </c>
      <c r="E212" s="1785" t="s">
        <v>3999</v>
      </c>
      <c r="F212" s="1787" t="s">
        <v>4310</v>
      </c>
      <c r="G212" s="1785" t="s">
        <v>2866</v>
      </c>
      <c r="H212" s="1779" t="s">
        <v>4017</v>
      </c>
      <c r="I212" s="1780">
        <v>84000</v>
      </c>
      <c r="J212" s="1781" t="s">
        <v>2866</v>
      </c>
    </row>
    <row r="213" spans="2:10" ht="16.5" customHeight="1" x14ac:dyDescent="0.3">
      <c r="B213" s="1785" t="s">
        <v>4013</v>
      </c>
      <c r="C213" s="1785" t="s">
        <v>4014</v>
      </c>
      <c r="D213" s="1777" t="s">
        <v>3999</v>
      </c>
      <c r="E213" s="1785" t="s">
        <v>4151</v>
      </c>
      <c r="F213" s="1787" t="s">
        <v>4311</v>
      </c>
      <c r="G213" s="1785" t="s">
        <v>2866</v>
      </c>
      <c r="H213" s="1779" t="s">
        <v>4017</v>
      </c>
      <c r="I213" s="1780">
        <v>126000</v>
      </c>
      <c r="J213" s="1781" t="s">
        <v>2866</v>
      </c>
    </row>
    <row r="214" spans="2:10" ht="16.5" customHeight="1" x14ac:dyDescent="0.3">
      <c r="B214" s="1785" t="s">
        <v>4013</v>
      </c>
      <c r="C214" s="1785" t="s">
        <v>4014</v>
      </c>
      <c r="D214" s="1777" t="s">
        <v>3999</v>
      </c>
      <c r="E214" s="1785" t="s">
        <v>4312</v>
      </c>
      <c r="F214" s="1787" t="s">
        <v>4313</v>
      </c>
      <c r="G214" s="1785" t="s">
        <v>4047</v>
      </c>
      <c r="H214" s="1779" t="s">
        <v>4017</v>
      </c>
      <c r="I214" s="1780">
        <v>39600</v>
      </c>
      <c r="J214" s="1781" t="s">
        <v>2866</v>
      </c>
    </row>
    <row r="215" spans="2:10" ht="16.5" customHeight="1" x14ac:dyDescent="0.3">
      <c r="B215" s="1785" t="s">
        <v>4013</v>
      </c>
      <c r="C215" s="1785" t="s">
        <v>2015</v>
      </c>
      <c r="D215" s="1777" t="s">
        <v>4077</v>
      </c>
      <c r="E215" s="1785" t="s">
        <v>4314</v>
      </c>
      <c r="F215" s="1787" t="s">
        <v>4315</v>
      </c>
      <c r="G215" s="1785" t="s">
        <v>4047</v>
      </c>
      <c r="H215" s="1779" t="s">
        <v>4017</v>
      </c>
      <c r="I215" s="1780">
        <v>19092</v>
      </c>
      <c r="J215" s="1781" t="s">
        <v>2866</v>
      </c>
    </row>
    <row r="216" spans="2:10" ht="16.5" customHeight="1" x14ac:dyDescent="0.3">
      <c r="B216" s="1785" t="s">
        <v>4020</v>
      </c>
      <c r="C216" s="1785" t="s">
        <v>2015</v>
      </c>
      <c r="D216" s="1777" t="s">
        <v>4077</v>
      </c>
      <c r="E216" s="1785" t="s">
        <v>4316</v>
      </c>
      <c r="F216" s="1787" t="s">
        <v>4066</v>
      </c>
      <c r="G216" s="1785" t="s">
        <v>3854</v>
      </c>
      <c r="H216" s="1779" t="s">
        <v>4017</v>
      </c>
      <c r="I216" s="1780">
        <v>437500</v>
      </c>
      <c r="J216" s="1781" t="s">
        <v>2866</v>
      </c>
    </row>
    <row r="217" spans="2:10" ht="16.5" customHeight="1" x14ac:dyDescent="0.3">
      <c r="B217" s="1785" t="s">
        <v>4020</v>
      </c>
      <c r="C217" s="1785" t="s">
        <v>2015</v>
      </c>
      <c r="D217" s="1777" t="s">
        <v>4077</v>
      </c>
      <c r="E217" s="1785" t="s">
        <v>4317</v>
      </c>
      <c r="F217" s="1787" t="s">
        <v>4066</v>
      </c>
      <c r="G217" s="1785" t="s">
        <v>3854</v>
      </c>
      <c r="H217" s="1779" t="s">
        <v>4017</v>
      </c>
      <c r="I217" s="1780">
        <v>119000</v>
      </c>
      <c r="J217" s="1781" t="s">
        <v>2866</v>
      </c>
    </row>
    <row r="218" spans="2:10" ht="16.5" customHeight="1" x14ac:dyDescent="0.3">
      <c r="B218" s="1785" t="s">
        <v>4020</v>
      </c>
      <c r="C218" s="1785" t="s">
        <v>2015</v>
      </c>
      <c r="D218" s="1777" t="s">
        <v>4077</v>
      </c>
      <c r="E218" s="1785" t="s">
        <v>4318</v>
      </c>
      <c r="F218" s="1787" t="s">
        <v>4066</v>
      </c>
      <c r="G218" s="1785" t="s">
        <v>3854</v>
      </c>
      <c r="H218" s="1779" t="s">
        <v>4017</v>
      </c>
      <c r="I218" s="1780">
        <v>54000</v>
      </c>
      <c r="J218" s="1781" t="s">
        <v>2866</v>
      </c>
    </row>
    <row r="219" spans="2:10" ht="16.5" customHeight="1" x14ac:dyDescent="0.3">
      <c r="B219" s="1785" t="s">
        <v>4020</v>
      </c>
      <c r="C219" s="1785" t="s">
        <v>2015</v>
      </c>
      <c r="D219" s="1777" t="s">
        <v>4077</v>
      </c>
      <c r="E219" s="1785" t="s">
        <v>4319</v>
      </c>
      <c r="F219" s="1787" t="s">
        <v>4066</v>
      </c>
      <c r="G219" s="1785" t="s">
        <v>3854</v>
      </c>
      <c r="H219" s="1779" t="s">
        <v>4017</v>
      </c>
      <c r="I219" s="1780">
        <v>75500</v>
      </c>
      <c r="J219" s="1781" t="s">
        <v>2866</v>
      </c>
    </row>
    <row r="220" spans="2:10" ht="16.5" customHeight="1" x14ac:dyDescent="0.3">
      <c r="B220" s="1785" t="s">
        <v>4020</v>
      </c>
      <c r="C220" s="1785" t="s">
        <v>2015</v>
      </c>
      <c r="D220" s="1777" t="s">
        <v>4077</v>
      </c>
      <c r="E220" s="1785" t="s">
        <v>4320</v>
      </c>
      <c r="F220" s="1787" t="s">
        <v>4066</v>
      </c>
      <c r="G220" s="1785" t="s">
        <v>3854</v>
      </c>
      <c r="H220" s="1779" t="s">
        <v>4017</v>
      </c>
      <c r="I220" s="1780">
        <v>100000</v>
      </c>
      <c r="J220" s="1781" t="s">
        <v>2866</v>
      </c>
    </row>
    <row r="221" spans="2:10" ht="16.5" customHeight="1" x14ac:dyDescent="0.3">
      <c r="B221" s="1785" t="s">
        <v>4020</v>
      </c>
      <c r="C221" s="1785" t="s">
        <v>2015</v>
      </c>
      <c r="D221" s="1777" t="s">
        <v>4077</v>
      </c>
      <c r="E221" s="1785" t="s">
        <v>4321</v>
      </c>
      <c r="F221" s="1787" t="s">
        <v>4066</v>
      </c>
      <c r="G221" s="1785" t="s">
        <v>3854</v>
      </c>
      <c r="H221" s="1779" t="s">
        <v>4017</v>
      </c>
      <c r="I221" s="1780">
        <v>120000</v>
      </c>
      <c r="J221" s="1781" t="s">
        <v>2866</v>
      </c>
    </row>
    <row r="222" spans="2:10" ht="16.5" customHeight="1" x14ac:dyDescent="0.3">
      <c r="B222" s="1785" t="s">
        <v>4020</v>
      </c>
      <c r="C222" s="1785" t="s">
        <v>2015</v>
      </c>
      <c r="D222" s="1777" t="s">
        <v>4077</v>
      </c>
      <c r="E222" s="1785" t="s">
        <v>4322</v>
      </c>
      <c r="F222" s="1787" t="s">
        <v>4066</v>
      </c>
      <c r="G222" s="1785" t="s">
        <v>3854</v>
      </c>
      <c r="H222" s="1779" t="s">
        <v>4017</v>
      </c>
      <c r="I222" s="1780">
        <v>119000</v>
      </c>
      <c r="J222" s="1781" t="s">
        <v>2866</v>
      </c>
    </row>
    <row r="223" spans="2:10" x14ac:dyDescent="0.3">
      <c r="B223" s="1790" t="s">
        <v>4018</v>
      </c>
      <c r="C223" s="1790" t="s">
        <v>4029</v>
      </c>
      <c r="D223" s="1777" t="s">
        <v>4015</v>
      </c>
      <c r="E223" s="1790" t="s">
        <v>4015</v>
      </c>
      <c r="F223" s="1791" t="s">
        <v>4323</v>
      </c>
      <c r="G223" s="1790"/>
      <c r="H223" s="1792" t="s">
        <v>4017</v>
      </c>
      <c r="I223" s="1793">
        <v>3050572</v>
      </c>
      <c r="J223" s="1781" t="s">
        <v>1978</v>
      </c>
    </row>
    <row r="224" spans="2:10" x14ac:dyDescent="0.3">
      <c r="B224" s="1790" t="s">
        <v>4013</v>
      </c>
      <c r="C224" s="1790" t="s">
        <v>4029</v>
      </c>
      <c r="D224" s="1777" t="s">
        <v>4063</v>
      </c>
      <c r="E224" s="1790" t="s">
        <v>4063</v>
      </c>
      <c r="F224" s="1791"/>
      <c r="G224" s="1790" t="s">
        <v>4028</v>
      </c>
      <c r="H224" s="1792" t="s">
        <v>4017</v>
      </c>
      <c r="I224" s="1793">
        <v>11806000</v>
      </c>
      <c r="J224" s="1781" t="s">
        <v>4324</v>
      </c>
    </row>
    <row r="225" spans="2:10" x14ac:dyDescent="0.3">
      <c r="B225" s="1790" t="s">
        <v>4020</v>
      </c>
      <c r="C225" s="1790" t="s">
        <v>4014</v>
      </c>
      <c r="D225" s="1777" t="s">
        <v>4063</v>
      </c>
      <c r="E225" s="1790" t="s">
        <v>4063</v>
      </c>
      <c r="F225" s="1791"/>
      <c r="G225" s="1794" t="s">
        <v>4028</v>
      </c>
      <c r="H225" s="1792" t="s">
        <v>4017</v>
      </c>
      <c r="I225" s="1793">
        <v>5594000</v>
      </c>
      <c r="J225" s="1781" t="s">
        <v>4324</v>
      </c>
    </row>
    <row r="226" spans="2:10" x14ac:dyDescent="0.3">
      <c r="B226" s="1790" t="s">
        <v>4020</v>
      </c>
      <c r="C226" s="1790" t="s">
        <v>4077</v>
      </c>
      <c r="D226" s="1777" t="s">
        <v>4077</v>
      </c>
      <c r="E226" s="1790" t="s">
        <v>4325</v>
      </c>
      <c r="F226" s="1791"/>
      <c r="G226" s="1794" t="s">
        <v>4028</v>
      </c>
      <c r="H226" s="1792" t="s">
        <v>4017</v>
      </c>
      <c r="I226" s="1795">
        <v>500000</v>
      </c>
      <c r="J226" s="1781" t="s">
        <v>4324</v>
      </c>
    </row>
    <row r="227" spans="2:10" x14ac:dyDescent="0.3">
      <c r="B227" s="1790" t="s">
        <v>4074</v>
      </c>
      <c r="C227" s="1790" t="s">
        <v>4029</v>
      </c>
      <c r="D227" s="1777" t="s">
        <v>4031</v>
      </c>
      <c r="E227" s="1790" t="s">
        <v>4072</v>
      </c>
      <c r="F227" s="1791" t="s">
        <v>4326</v>
      </c>
      <c r="G227" s="1790"/>
      <c r="H227" s="1792" t="s">
        <v>4017</v>
      </c>
      <c r="I227" s="1788">
        <v>3000000</v>
      </c>
      <c r="J227" s="1781" t="s">
        <v>4324</v>
      </c>
    </row>
    <row r="228" spans="2:10" x14ac:dyDescent="0.3">
      <c r="B228" s="1796" t="s">
        <v>4020</v>
      </c>
      <c r="C228" s="1796" t="s">
        <v>2015</v>
      </c>
      <c r="D228" s="1777" t="s">
        <v>4077</v>
      </c>
      <c r="E228" s="1796" t="s">
        <v>2015</v>
      </c>
      <c r="F228" s="1797" t="s">
        <v>4327</v>
      </c>
      <c r="G228" s="1798"/>
      <c r="H228" s="1799" t="s">
        <v>4017</v>
      </c>
      <c r="I228" s="1788">
        <v>4220662.4068335993</v>
      </c>
      <c r="J228" s="1781" t="s">
        <v>4324</v>
      </c>
    </row>
    <row r="229" spans="2:10" x14ac:dyDescent="0.3">
      <c r="B229" s="1790" t="s">
        <v>4013</v>
      </c>
      <c r="C229" s="1790" t="s">
        <v>4014</v>
      </c>
      <c r="D229" s="1777" t="s">
        <v>4041</v>
      </c>
      <c r="E229" s="1800" t="s">
        <v>3897</v>
      </c>
      <c r="F229" s="1801" t="s">
        <v>4328</v>
      </c>
      <c r="G229" s="1790"/>
      <c r="H229" s="1792" t="s">
        <v>4017</v>
      </c>
      <c r="I229" s="1795">
        <v>3300</v>
      </c>
      <c r="J229" s="1781" t="s">
        <v>4324</v>
      </c>
    </row>
    <row r="230" spans="2:10" x14ac:dyDescent="0.3">
      <c r="B230" s="1790" t="s">
        <v>4013</v>
      </c>
      <c r="C230" s="1790" t="s">
        <v>4014</v>
      </c>
      <c r="D230" s="1777" t="s">
        <v>4041</v>
      </c>
      <c r="E230" s="1802" t="s">
        <v>3897</v>
      </c>
      <c r="F230" s="1801" t="s">
        <v>4329</v>
      </c>
      <c r="G230" s="1790"/>
      <c r="H230" s="1792" t="s">
        <v>4017</v>
      </c>
      <c r="I230" s="1795">
        <v>128000</v>
      </c>
      <c r="J230" s="1781" t="s">
        <v>4324</v>
      </c>
    </row>
    <row r="231" spans="2:10" x14ac:dyDescent="0.3">
      <c r="B231" s="1790" t="s">
        <v>4013</v>
      </c>
      <c r="C231" s="1790" t="s">
        <v>4014</v>
      </c>
      <c r="D231" s="1777" t="s">
        <v>4015</v>
      </c>
      <c r="E231" s="1796" t="s">
        <v>4049</v>
      </c>
      <c r="F231" s="1801" t="s">
        <v>4330</v>
      </c>
      <c r="G231" s="1803"/>
      <c r="H231" s="1792" t="s">
        <v>4017</v>
      </c>
      <c r="I231" s="1795">
        <v>18984</v>
      </c>
      <c r="J231" s="1781" t="s">
        <v>4324</v>
      </c>
    </row>
    <row r="232" spans="2:10" x14ac:dyDescent="0.3">
      <c r="B232" s="1790" t="s">
        <v>4013</v>
      </c>
      <c r="C232" s="1790" t="s">
        <v>4014</v>
      </c>
      <c r="D232" s="1777" t="s">
        <v>4041</v>
      </c>
      <c r="E232" s="1796" t="s">
        <v>4331</v>
      </c>
      <c r="F232" s="1797" t="s">
        <v>4332</v>
      </c>
      <c r="G232" s="1803"/>
      <c r="H232" s="1792" t="s">
        <v>4017</v>
      </c>
      <c r="I232" s="1795">
        <v>28158</v>
      </c>
      <c r="J232" s="1781" t="s">
        <v>4324</v>
      </c>
    </row>
    <row r="233" spans="2:10" x14ac:dyDescent="0.3">
      <c r="B233" s="1790" t="s">
        <v>4013</v>
      </c>
      <c r="C233" s="1790" t="s">
        <v>4014</v>
      </c>
      <c r="D233" s="1777" t="s">
        <v>4015</v>
      </c>
      <c r="E233" s="1796" t="s">
        <v>4126</v>
      </c>
      <c r="F233" s="1797" t="s">
        <v>4333</v>
      </c>
      <c r="G233" s="1804"/>
      <c r="H233" s="1799" t="s">
        <v>4334</v>
      </c>
      <c r="I233" s="1795">
        <v>60570</v>
      </c>
      <c r="J233" s="1781" t="s">
        <v>4324</v>
      </c>
    </row>
    <row r="234" spans="2:10" x14ac:dyDescent="0.3">
      <c r="B234" s="1790" t="s">
        <v>4013</v>
      </c>
      <c r="C234" s="1790" t="s">
        <v>4014</v>
      </c>
      <c r="D234" s="1777" t="s">
        <v>4015</v>
      </c>
      <c r="E234" s="1796" t="s">
        <v>4126</v>
      </c>
      <c r="F234" s="1797" t="s">
        <v>4335</v>
      </c>
      <c r="G234" s="1803"/>
      <c r="H234" s="1792" t="s">
        <v>4017</v>
      </c>
      <c r="I234" s="1795">
        <v>53130</v>
      </c>
      <c r="J234" s="1781" t="s">
        <v>4324</v>
      </c>
    </row>
    <row r="235" spans="2:10" x14ac:dyDescent="0.3">
      <c r="B235" s="1790" t="s">
        <v>4013</v>
      </c>
      <c r="C235" s="1790" t="s">
        <v>4014</v>
      </c>
      <c r="D235" s="1777" t="s">
        <v>4015</v>
      </c>
      <c r="E235" s="1796" t="s">
        <v>4126</v>
      </c>
      <c r="F235" s="1797" t="s">
        <v>4336</v>
      </c>
      <c r="G235" s="1803"/>
      <c r="H235" s="1792" t="s">
        <v>4017</v>
      </c>
      <c r="I235" s="1795">
        <v>5220</v>
      </c>
      <c r="J235" s="1781" t="s">
        <v>4324</v>
      </c>
    </row>
    <row r="236" spans="2:10" x14ac:dyDescent="0.3">
      <c r="B236" s="1790" t="s">
        <v>4013</v>
      </c>
      <c r="C236" s="1790" t="s">
        <v>4014</v>
      </c>
      <c r="D236" s="1777" t="s">
        <v>4015</v>
      </c>
      <c r="E236" s="1796" t="s">
        <v>4174</v>
      </c>
      <c r="F236" s="1797" t="s">
        <v>4337</v>
      </c>
      <c r="G236" s="1803"/>
      <c r="H236" s="1792" t="s">
        <v>4017</v>
      </c>
      <c r="I236" s="1795">
        <v>818</v>
      </c>
      <c r="J236" s="1781" t="s">
        <v>4324</v>
      </c>
    </row>
    <row r="237" spans="2:10" x14ac:dyDescent="0.3">
      <c r="B237" s="1790" t="s">
        <v>4013</v>
      </c>
      <c r="C237" s="1790" t="s">
        <v>4014</v>
      </c>
      <c r="D237" s="1777" t="s">
        <v>4041</v>
      </c>
      <c r="E237" s="1796" t="s">
        <v>4045</v>
      </c>
      <c r="F237" s="1797" t="s">
        <v>4338</v>
      </c>
      <c r="G237" s="1803"/>
      <c r="H237" s="1792" t="s">
        <v>4017</v>
      </c>
      <c r="I237" s="1795">
        <v>286</v>
      </c>
      <c r="J237" s="1781" t="s">
        <v>4324</v>
      </c>
    </row>
    <row r="238" spans="2:10" x14ac:dyDescent="0.3">
      <c r="B238" s="1790" t="s">
        <v>4013</v>
      </c>
      <c r="C238" s="1790" t="s">
        <v>4014</v>
      </c>
      <c r="D238" s="1777" t="s">
        <v>4041</v>
      </c>
      <c r="E238" s="1796" t="s">
        <v>4331</v>
      </c>
      <c r="F238" s="1797" t="s">
        <v>4339</v>
      </c>
      <c r="G238" s="1803"/>
      <c r="H238" s="1792" t="s">
        <v>4017</v>
      </c>
      <c r="I238" s="1795">
        <v>3935</v>
      </c>
      <c r="J238" s="1781" t="s">
        <v>4324</v>
      </c>
    </row>
    <row r="239" spans="2:10" x14ac:dyDescent="0.3">
      <c r="B239" s="1790" t="s">
        <v>4013</v>
      </c>
      <c r="C239" s="1790" t="s">
        <v>4014</v>
      </c>
      <c r="D239" s="1777" t="s">
        <v>4015</v>
      </c>
      <c r="E239" s="1796" t="s">
        <v>4051</v>
      </c>
      <c r="F239" s="1797" t="s">
        <v>4340</v>
      </c>
      <c r="G239" s="1803"/>
      <c r="H239" s="1792" t="s">
        <v>4017</v>
      </c>
      <c r="I239" s="1795">
        <v>47817</v>
      </c>
      <c r="J239" s="1781" t="s">
        <v>4324</v>
      </c>
    </row>
    <row r="240" spans="2:10" x14ac:dyDescent="0.3">
      <c r="B240" s="1790" t="s">
        <v>4013</v>
      </c>
      <c r="C240" s="1790" t="s">
        <v>4014</v>
      </c>
      <c r="D240" s="1777" t="s">
        <v>4015</v>
      </c>
      <c r="E240" s="1796" t="s">
        <v>4051</v>
      </c>
      <c r="F240" s="1797" t="s">
        <v>4341</v>
      </c>
      <c r="G240" s="1803"/>
      <c r="H240" s="1792" t="s">
        <v>4017</v>
      </c>
      <c r="I240" s="1795">
        <v>2100</v>
      </c>
      <c r="J240" s="1781" t="s">
        <v>4324</v>
      </c>
    </row>
    <row r="241" spans="2:10" x14ac:dyDescent="0.3">
      <c r="B241" s="1790" t="s">
        <v>4020</v>
      </c>
      <c r="C241" s="1790" t="s">
        <v>4014</v>
      </c>
      <c r="D241" s="1777" t="s">
        <v>4039</v>
      </c>
      <c r="E241" s="1796" t="s">
        <v>4060</v>
      </c>
      <c r="F241" s="1797" t="s">
        <v>4060</v>
      </c>
      <c r="G241" s="1803"/>
      <c r="H241" s="1792" t="s">
        <v>4017</v>
      </c>
      <c r="I241" s="1795">
        <v>8057682</v>
      </c>
      <c r="J241" s="1781" t="s">
        <v>4324</v>
      </c>
    </row>
    <row r="242" spans="2:10" x14ac:dyDescent="0.3">
      <c r="B242" s="1790" t="s">
        <v>4018</v>
      </c>
      <c r="C242" s="1790" t="s">
        <v>4077</v>
      </c>
      <c r="D242" s="1777" t="s">
        <v>4077</v>
      </c>
      <c r="E242" s="1790" t="s">
        <v>4060</v>
      </c>
      <c r="F242" s="1791" t="s">
        <v>4342</v>
      </c>
      <c r="G242" s="1790" t="s">
        <v>1110</v>
      </c>
      <c r="H242" s="1792" t="s">
        <v>4017</v>
      </c>
      <c r="I242" s="1795">
        <v>300000</v>
      </c>
      <c r="J242" s="1781" t="s">
        <v>4324</v>
      </c>
    </row>
    <row r="243" spans="2:10" x14ac:dyDescent="0.3">
      <c r="B243" s="1790" t="s">
        <v>4018</v>
      </c>
      <c r="C243" s="1790" t="s">
        <v>4077</v>
      </c>
      <c r="D243" s="1777" t="s">
        <v>4077</v>
      </c>
      <c r="E243" s="1790" t="s">
        <v>4060</v>
      </c>
      <c r="F243" s="1791" t="s">
        <v>4343</v>
      </c>
      <c r="G243" s="1790" t="s">
        <v>1110</v>
      </c>
      <c r="H243" s="1792" t="s">
        <v>4017</v>
      </c>
      <c r="I243" s="1795">
        <v>300000</v>
      </c>
      <c r="J243" s="1781" t="s">
        <v>4324</v>
      </c>
    </row>
    <row r="244" spans="2:10" x14ac:dyDescent="0.3">
      <c r="B244" s="1790" t="s">
        <v>4018</v>
      </c>
      <c r="C244" s="1790" t="s">
        <v>4029</v>
      </c>
      <c r="D244" s="1777" t="s">
        <v>4039</v>
      </c>
      <c r="E244" s="1790" t="s">
        <v>4060</v>
      </c>
      <c r="F244" s="1791" t="s">
        <v>4344</v>
      </c>
      <c r="G244" s="1790" t="s">
        <v>1110</v>
      </c>
      <c r="H244" s="1792" t="s">
        <v>4017</v>
      </c>
      <c r="I244" s="1795">
        <v>300000</v>
      </c>
      <c r="J244" s="1781" t="s">
        <v>4324</v>
      </c>
    </row>
    <row r="245" spans="2:10" x14ac:dyDescent="0.3">
      <c r="B245" s="1790" t="s">
        <v>4074</v>
      </c>
      <c r="C245" s="1790" t="s">
        <v>4077</v>
      </c>
      <c r="D245" s="1777" t="s">
        <v>4077</v>
      </c>
      <c r="E245" s="1790" t="s">
        <v>4345</v>
      </c>
      <c r="F245" s="1791" t="s">
        <v>4346</v>
      </c>
      <c r="G245" s="1790" t="s">
        <v>4347</v>
      </c>
      <c r="H245" s="1792" t="s">
        <v>4017</v>
      </c>
      <c r="I245" s="1795">
        <v>20976</v>
      </c>
      <c r="J245" s="1781" t="s">
        <v>4324</v>
      </c>
    </row>
    <row r="246" spans="2:10" x14ac:dyDescent="0.3">
      <c r="B246" s="1790" t="s">
        <v>4020</v>
      </c>
      <c r="C246" s="1790" t="s">
        <v>2015</v>
      </c>
      <c r="D246" s="1777" t="s">
        <v>4077</v>
      </c>
      <c r="E246" s="1790" t="s">
        <v>2015</v>
      </c>
      <c r="F246" s="1791" t="s">
        <v>4348</v>
      </c>
      <c r="G246" s="1803" t="s">
        <v>1978</v>
      </c>
      <c r="H246" s="1792" t="s">
        <v>4017</v>
      </c>
      <c r="I246" s="1793">
        <v>1000000</v>
      </c>
      <c r="J246" s="1781" t="s">
        <v>4324</v>
      </c>
    </row>
    <row r="247" spans="2:10" x14ac:dyDescent="0.3">
      <c r="B247" s="1790" t="s">
        <v>4020</v>
      </c>
      <c r="C247" s="1790" t="s">
        <v>4077</v>
      </c>
      <c r="D247" s="1777" t="s">
        <v>4077</v>
      </c>
      <c r="E247" s="1790" t="s">
        <v>4268</v>
      </c>
      <c r="F247" s="1791" t="s">
        <v>4349</v>
      </c>
      <c r="G247" s="1790" t="s">
        <v>1978</v>
      </c>
      <c r="H247" s="1792" t="s">
        <v>4017</v>
      </c>
      <c r="I247" s="1793">
        <v>180000</v>
      </c>
      <c r="J247" s="1781" t="s">
        <v>4324</v>
      </c>
    </row>
    <row r="248" spans="2:10" x14ac:dyDescent="0.3">
      <c r="B248" s="1790" t="s">
        <v>4020</v>
      </c>
      <c r="C248" s="1790" t="s">
        <v>4077</v>
      </c>
      <c r="D248" s="1777" t="s">
        <v>4077</v>
      </c>
      <c r="E248" s="1790" t="s">
        <v>4270</v>
      </c>
      <c r="F248" s="1791" t="s">
        <v>4349</v>
      </c>
      <c r="G248" s="1803" t="s">
        <v>1978</v>
      </c>
      <c r="H248" s="1792" t="s">
        <v>4017</v>
      </c>
      <c r="I248" s="1793">
        <v>150000</v>
      </c>
      <c r="J248" s="1781" t="s">
        <v>4324</v>
      </c>
    </row>
    <row r="249" spans="2:10" x14ac:dyDescent="0.3">
      <c r="B249" s="1790" t="s">
        <v>4020</v>
      </c>
      <c r="C249" s="1790" t="s">
        <v>4077</v>
      </c>
      <c r="D249" s="1777" t="s">
        <v>4077</v>
      </c>
      <c r="E249" s="1790" t="s">
        <v>4268</v>
      </c>
      <c r="F249" s="1791" t="s">
        <v>4349</v>
      </c>
      <c r="G249" s="1790" t="s">
        <v>1978</v>
      </c>
      <c r="H249" s="1792" t="s">
        <v>4017</v>
      </c>
      <c r="I249" s="1793">
        <v>180000</v>
      </c>
      <c r="J249" s="1781" t="s">
        <v>4324</v>
      </c>
    </row>
    <row r="250" spans="2:10" x14ac:dyDescent="0.3">
      <c r="B250" s="1790" t="s">
        <v>4020</v>
      </c>
      <c r="C250" s="1790" t="s">
        <v>2015</v>
      </c>
      <c r="D250" s="1777" t="s">
        <v>4077</v>
      </c>
      <c r="E250" s="1790" t="s">
        <v>4350</v>
      </c>
      <c r="F250" s="1791" t="s">
        <v>4349</v>
      </c>
      <c r="G250" s="1803" t="s">
        <v>1978</v>
      </c>
      <c r="H250" s="1792" t="s">
        <v>4017</v>
      </c>
      <c r="I250" s="1793">
        <v>306363.49999999994</v>
      </c>
      <c r="J250" s="1781" t="s">
        <v>4324</v>
      </c>
    </row>
    <row r="251" spans="2:10" x14ac:dyDescent="0.3">
      <c r="B251" s="1790" t="s">
        <v>4020</v>
      </c>
      <c r="C251" s="1790" t="s">
        <v>2015</v>
      </c>
      <c r="D251" s="1777" t="s">
        <v>4077</v>
      </c>
      <c r="E251" s="1790" t="s">
        <v>4060</v>
      </c>
      <c r="F251" s="1797" t="s">
        <v>4060</v>
      </c>
      <c r="G251" s="1803" t="s">
        <v>1978</v>
      </c>
      <c r="H251" s="1792" t="s">
        <v>4017</v>
      </c>
      <c r="I251" s="1793">
        <v>1666666.666666667</v>
      </c>
      <c r="J251" s="1781" t="s">
        <v>4324</v>
      </c>
    </row>
    <row r="252" spans="2:10" x14ac:dyDescent="0.3">
      <c r="B252" s="1790" t="s">
        <v>4020</v>
      </c>
      <c r="C252" s="1790" t="s">
        <v>2015</v>
      </c>
      <c r="D252" s="1777" t="s">
        <v>4077</v>
      </c>
      <c r="E252" s="1790" t="s">
        <v>4060</v>
      </c>
      <c r="F252" s="1797" t="s">
        <v>4060</v>
      </c>
      <c r="G252" s="1803" t="s">
        <v>1978</v>
      </c>
      <c r="H252" s="1792" t="s">
        <v>4017</v>
      </c>
      <c r="I252" s="1793">
        <v>1666666.666666667</v>
      </c>
      <c r="J252" s="1781" t="s">
        <v>4324</v>
      </c>
    </row>
    <row r="253" spans="2:10" x14ac:dyDescent="0.3">
      <c r="B253" s="1790" t="s">
        <v>4020</v>
      </c>
      <c r="C253" s="1790" t="s">
        <v>2015</v>
      </c>
      <c r="D253" s="1777" t="s">
        <v>4077</v>
      </c>
      <c r="E253" s="1790" t="s">
        <v>4060</v>
      </c>
      <c r="F253" s="1797" t="s">
        <v>4060</v>
      </c>
      <c r="G253" s="1803" t="s">
        <v>1978</v>
      </c>
      <c r="H253" s="1792" t="s">
        <v>4017</v>
      </c>
      <c r="I253" s="1793">
        <v>1666666.666666667</v>
      </c>
      <c r="J253" s="1781" t="s">
        <v>4324</v>
      </c>
    </row>
    <row r="254" spans="2:10" x14ac:dyDescent="0.3">
      <c r="B254" s="1790" t="s">
        <v>4020</v>
      </c>
      <c r="C254" s="1790" t="s">
        <v>2015</v>
      </c>
      <c r="D254" s="1777" t="s">
        <v>4077</v>
      </c>
      <c r="E254" s="1790" t="s">
        <v>4060</v>
      </c>
      <c r="F254" s="1797" t="s">
        <v>4060</v>
      </c>
      <c r="G254" s="1803" t="s">
        <v>1978</v>
      </c>
      <c r="H254" s="1792" t="s">
        <v>4017</v>
      </c>
      <c r="I254" s="1793">
        <v>47093.5</v>
      </c>
      <c r="J254" s="1781" t="s">
        <v>4324</v>
      </c>
    </row>
    <row r="255" spans="2:10" x14ac:dyDescent="0.3">
      <c r="B255" s="1790" t="s">
        <v>4020</v>
      </c>
      <c r="C255" s="1790" t="s">
        <v>2015</v>
      </c>
      <c r="D255" s="1777" t="s">
        <v>4077</v>
      </c>
      <c r="E255" s="1790" t="s">
        <v>4060</v>
      </c>
      <c r="F255" s="1797" t="s">
        <v>4060</v>
      </c>
      <c r="G255" s="1803" t="s">
        <v>1978</v>
      </c>
      <c r="H255" s="1792" t="s">
        <v>4017</v>
      </c>
      <c r="I255" s="1793">
        <v>47093.5</v>
      </c>
      <c r="J255" s="1781" t="s">
        <v>4324</v>
      </c>
    </row>
    <row r="256" spans="2:10" x14ac:dyDescent="0.3">
      <c r="B256" s="1790" t="s">
        <v>4020</v>
      </c>
      <c r="C256" s="1790" t="s">
        <v>2015</v>
      </c>
      <c r="D256" s="1777" t="s">
        <v>4077</v>
      </c>
      <c r="E256" s="1790" t="s">
        <v>4060</v>
      </c>
      <c r="F256" s="1797" t="s">
        <v>4060</v>
      </c>
      <c r="G256" s="1803" t="s">
        <v>1978</v>
      </c>
      <c r="H256" s="1792" t="s">
        <v>4017</v>
      </c>
      <c r="I256" s="1793">
        <v>47093.5</v>
      </c>
      <c r="J256" s="1781" t="s">
        <v>4324</v>
      </c>
    </row>
    <row r="257" spans="2:10" x14ac:dyDescent="0.3">
      <c r="B257" s="1790" t="s">
        <v>4020</v>
      </c>
      <c r="C257" s="1790" t="s">
        <v>2015</v>
      </c>
      <c r="D257" s="1777" t="s">
        <v>4077</v>
      </c>
      <c r="E257" s="1790" t="s">
        <v>4060</v>
      </c>
      <c r="F257" s="1797" t="s">
        <v>4060</v>
      </c>
      <c r="G257" s="1803" t="s">
        <v>1978</v>
      </c>
      <c r="H257" s="1792" t="s">
        <v>4017</v>
      </c>
      <c r="I257" s="1793">
        <v>666666.66666666663</v>
      </c>
      <c r="J257" s="1781" t="s">
        <v>4324</v>
      </c>
    </row>
    <row r="258" spans="2:10" x14ac:dyDescent="0.3">
      <c r="B258" s="1790" t="s">
        <v>4020</v>
      </c>
      <c r="C258" s="1790" t="s">
        <v>2015</v>
      </c>
      <c r="D258" s="1777" t="s">
        <v>4077</v>
      </c>
      <c r="E258" s="1790" t="s">
        <v>4060</v>
      </c>
      <c r="F258" s="1797" t="s">
        <v>4060</v>
      </c>
      <c r="G258" s="1803" t="s">
        <v>1978</v>
      </c>
      <c r="H258" s="1792" t="s">
        <v>4017</v>
      </c>
      <c r="I258" s="1793">
        <v>666666.66666666663</v>
      </c>
      <c r="J258" s="1781" t="s">
        <v>4324</v>
      </c>
    </row>
    <row r="259" spans="2:10" x14ac:dyDescent="0.3">
      <c r="B259" s="1790" t="s">
        <v>4020</v>
      </c>
      <c r="C259" s="1790" t="s">
        <v>2015</v>
      </c>
      <c r="D259" s="1777" t="s">
        <v>4077</v>
      </c>
      <c r="E259" s="1790" t="s">
        <v>4060</v>
      </c>
      <c r="F259" s="1797" t="s">
        <v>4060</v>
      </c>
      <c r="G259" s="1803" t="s">
        <v>1978</v>
      </c>
      <c r="H259" s="1805" t="s">
        <v>4334</v>
      </c>
      <c r="I259" s="1806">
        <v>666666.66666666663</v>
      </c>
      <c r="J259" s="1781" t="s">
        <v>4324</v>
      </c>
    </row>
    <row r="260" spans="2:10" x14ac:dyDescent="0.3">
      <c r="B260" s="1790" t="s">
        <v>4018</v>
      </c>
      <c r="C260" s="1790" t="s">
        <v>4077</v>
      </c>
      <c r="D260" s="1777" t="s">
        <v>4077</v>
      </c>
      <c r="E260" s="1790" t="s">
        <v>4077</v>
      </c>
      <c r="F260" s="1791" t="s">
        <v>4351</v>
      </c>
      <c r="G260" s="1803" t="s">
        <v>4352</v>
      </c>
      <c r="H260" s="1792" t="s">
        <v>4017</v>
      </c>
      <c r="I260" s="1793">
        <v>50000</v>
      </c>
      <c r="J260" s="1781" t="s">
        <v>4324</v>
      </c>
    </row>
    <row r="261" spans="2:10" x14ac:dyDescent="0.3">
      <c r="B261" s="1790" t="s">
        <v>4018</v>
      </c>
      <c r="C261" s="1790" t="s">
        <v>4077</v>
      </c>
      <c r="D261" s="1777" t="s">
        <v>4077</v>
      </c>
      <c r="E261" s="1790" t="s">
        <v>4077</v>
      </c>
      <c r="F261" s="1791" t="s">
        <v>4353</v>
      </c>
      <c r="G261" s="1803" t="s">
        <v>4352</v>
      </c>
      <c r="H261" s="1792" t="s">
        <v>4017</v>
      </c>
      <c r="I261" s="1793">
        <v>1000000</v>
      </c>
      <c r="J261" s="1781" t="s">
        <v>4324</v>
      </c>
    </row>
    <row r="262" spans="2:10" x14ac:dyDescent="0.3">
      <c r="B262" s="1790" t="s">
        <v>4018</v>
      </c>
      <c r="C262" s="1790" t="s">
        <v>4077</v>
      </c>
      <c r="D262" s="1777" t="s">
        <v>4077</v>
      </c>
      <c r="E262" s="1790" t="s">
        <v>4077</v>
      </c>
      <c r="F262" s="1791" t="s">
        <v>4354</v>
      </c>
      <c r="G262" s="1803" t="s">
        <v>4352</v>
      </c>
      <c r="H262" s="1792" t="s">
        <v>4017</v>
      </c>
      <c r="I262" s="1793">
        <v>25000</v>
      </c>
      <c r="J262" s="1781" t="s">
        <v>4324</v>
      </c>
    </row>
    <row r="263" spans="2:10" x14ac:dyDescent="0.3">
      <c r="B263" s="1790" t="s">
        <v>4018</v>
      </c>
      <c r="C263" s="1790" t="s">
        <v>4077</v>
      </c>
      <c r="D263" s="1777" t="s">
        <v>4077</v>
      </c>
      <c r="E263" s="1790" t="s">
        <v>4077</v>
      </c>
      <c r="F263" s="1791" t="s">
        <v>4355</v>
      </c>
      <c r="G263" s="1803" t="s">
        <v>4352</v>
      </c>
      <c r="H263" s="1792" t="s">
        <v>4017</v>
      </c>
      <c r="I263" s="1793">
        <v>130000</v>
      </c>
      <c r="J263" s="1781" t="s">
        <v>4324</v>
      </c>
    </row>
    <row r="264" spans="2:10" x14ac:dyDescent="0.3">
      <c r="B264" s="1790" t="s">
        <v>4018</v>
      </c>
      <c r="C264" s="1790" t="s">
        <v>4077</v>
      </c>
      <c r="D264" s="1777" t="s">
        <v>4077</v>
      </c>
      <c r="E264" s="1790" t="s">
        <v>4077</v>
      </c>
      <c r="F264" s="1791" t="s">
        <v>4356</v>
      </c>
      <c r="G264" s="1803" t="s">
        <v>4352</v>
      </c>
      <c r="H264" s="1792" t="s">
        <v>4334</v>
      </c>
      <c r="I264" s="1793">
        <v>800000</v>
      </c>
      <c r="J264" s="1781" t="s">
        <v>4324</v>
      </c>
    </row>
    <row r="265" spans="2:10" x14ac:dyDescent="0.3">
      <c r="B265" s="1790" t="s">
        <v>4018</v>
      </c>
      <c r="C265" s="1790" t="s">
        <v>4077</v>
      </c>
      <c r="D265" s="1777" t="s">
        <v>4077</v>
      </c>
      <c r="E265" s="1790" t="s">
        <v>4077</v>
      </c>
      <c r="F265" s="1791" t="s">
        <v>4357</v>
      </c>
      <c r="G265" s="1803" t="s">
        <v>4352</v>
      </c>
      <c r="H265" s="1792" t="s">
        <v>4017</v>
      </c>
      <c r="I265" s="1793">
        <v>50000</v>
      </c>
      <c r="J265" s="1781" t="s">
        <v>4324</v>
      </c>
    </row>
    <row r="266" spans="2:10" x14ac:dyDescent="0.3">
      <c r="B266" s="1790" t="s">
        <v>4018</v>
      </c>
      <c r="C266" s="1790" t="s">
        <v>4077</v>
      </c>
      <c r="D266" s="1777" t="s">
        <v>4077</v>
      </c>
      <c r="E266" s="1790" t="s">
        <v>4077</v>
      </c>
      <c r="F266" s="1791" t="s">
        <v>4358</v>
      </c>
      <c r="G266" s="1803" t="s">
        <v>4352</v>
      </c>
      <c r="H266" s="1792" t="s">
        <v>4017</v>
      </c>
      <c r="I266" s="1793">
        <v>150000</v>
      </c>
      <c r="J266" s="1781" t="s">
        <v>4324</v>
      </c>
    </row>
    <row r="267" spans="2:10" x14ac:dyDescent="0.3">
      <c r="B267" s="1790" t="s">
        <v>4018</v>
      </c>
      <c r="C267" s="1790" t="s">
        <v>4077</v>
      </c>
      <c r="D267" s="1777" t="s">
        <v>4077</v>
      </c>
      <c r="E267" s="1790" t="s">
        <v>4077</v>
      </c>
      <c r="F267" s="1791" t="s">
        <v>4359</v>
      </c>
      <c r="G267" s="1803" t="s">
        <v>4352</v>
      </c>
      <c r="H267" s="1792" t="s">
        <v>4017</v>
      </c>
      <c r="I267" s="1793">
        <v>295000</v>
      </c>
      <c r="J267" s="1781" t="s">
        <v>4324</v>
      </c>
    </row>
    <row r="268" spans="2:10" ht="24" x14ac:dyDescent="0.3">
      <c r="B268" s="1790" t="s">
        <v>4018</v>
      </c>
      <c r="C268" s="1790" t="s">
        <v>4029</v>
      </c>
      <c r="D268" s="1777" t="s">
        <v>4360</v>
      </c>
      <c r="E268" s="1790" t="s">
        <v>4361</v>
      </c>
      <c r="F268" s="1797" t="s">
        <v>4060</v>
      </c>
      <c r="G268" s="1790" t="s">
        <v>4047</v>
      </c>
      <c r="H268" s="1792" t="s">
        <v>4017</v>
      </c>
      <c r="I268" s="1793">
        <v>2000000</v>
      </c>
      <c r="J268" s="1781" t="s">
        <v>4324</v>
      </c>
    </row>
    <row r="269" spans="2:10" x14ac:dyDescent="0.3">
      <c r="B269" s="1790" t="s">
        <v>4020</v>
      </c>
      <c r="C269" s="1790" t="s">
        <v>2015</v>
      </c>
      <c r="D269" s="1777" t="s">
        <v>4077</v>
      </c>
      <c r="E269" s="1790" t="s">
        <v>4362</v>
      </c>
      <c r="F269" s="1791" t="s">
        <v>4363</v>
      </c>
      <c r="G269" s="1803" t="s">
        <v>4047</v>
      </c>
      <c r="H269" s="1792" t="s">
        <v>4017</v>
      </c>
      <c r="I269" s="1793">
        <v>1000000</v>
      </c>
      <c r="J269" s="1781" t="s">
        <v>4324</v>
      </c>
    </row>
    <row r="270" spans="2:10" x14ac:dyDescent="0.3">
      <c r="B270" s="1790" t="s">
        <v>4020</v>
      </c>
      <c r="C270" s="1790" t="s">
        <v>2015</v>
      </c>
      <c r="D270" s="1777" t="s">
        <v>4077</v>
      </c>
      <c r="E270" s="1790" t="s">
        <v>2015</v>
      </c>
      <c r="F270" s="1791" t="s">
        <v>4364</v>
      </c>
      <c r="G270" s="1803" t="s">
        <v>4365</v>
      </c>
      <c r="H270" s="1792" t="s">
        <v>4017</v>
      </c>
      <c r="I270" s="1793">
        <v>1000000</v>
      </c>
      <c r="J270" s="1781" t="s">
        <v>4324</v>
      </c>
    </row>
    <row r="271" spans="2:10" x14ac:dyDescent="0.3">
      <c r="B271" s="1790" t="s">
        <v>4020</v>
      </c>
      <c r="C271" s="1790" t="s">
        <v>2015</v>
      </c>
      <c r="D271" s="1777" t="s">
        <v>4077</v>
      </c>
      <c r="E271" s="1790" t="s">
        <v>2015</v>
      </c>
      <c r="F271" s="1791" t="s">
        <v>4366</v>
      </c>
      <c r="G271" s="1803" t="s">
        <v>4047</v>
      </c>
      <c r="H271" s="1792" t="s">
        <v>4017</v>
      </c>
      <c r="I271" s="1793">
        <v>200000</v>
      </c>
      <c r="J271" s="1781" t="s">
        <v>4324</v>
      </c>
    </row>
    <row r="272" spans="2:10" x14ac:dyDescent="0.3">
      <c r="B272" s="1790" t="s">
        <v>4074</v>
      </c>
      <c r="C272" s="1790" t="s">
        <v>4029</v>
      </c>
      <c r="D272" s="1777" t="s">
        <v>4063</v>
      </c>
      <c r="E272" s="1790" t="s">
        <v>4063</v>
      </c>
      <c r="F272" s="1791" t="s">
        <v>4367</v>
      </c>
      <c r="G272" s="1803" t="s">
        <v>4368</v>
      </c>
      <c r="H272" s="1792" t="s">
        <v>4334</v>
      </c>
      <c r="I272" s="1793">
        <v>10100000</v>
      </c>
      <c r="J272" s="1781" t="s">
        <v>4324</v>
      </c>
    </row>
    <row r="273" spans="2:10" x14ac:dyDescent="0.3">
      <c r="B273" s="1790" t="s">
        <v>4018</v>
      </c>
      <c r="C273" s="1790" t="s">
        <v>4029</v>
      </c>
      <c r="D273" s="1777" t="s">
        <v>4063</v>
      </c>
      <c r="E273" s="1790" t="s">
        <v>4063</v>
      </c>
      <c r="F273" s="1791" t="s">
        <v>4369</v>
      </c>
      <c r="G273" s="1803" t="s">
        <v>4368</v>
      </c>
      <c r="H273" s="1792" t="s">
        <v>4017</v>
      </c>
      <c r="I273" s="1793">
        <v>4800000</v>
      </c>
      <c r="J273" s="1781" t="s">
        <v>4324</v>
      </c>
    </row>
    <row r="274" spans="2:10" x14ac:dyDescent="0.3">
      <c r="B274" s="1790" t="s">
        <v>4018</v>
      </c>
      <c r="C274" s="1790" t="s">
        <v>4077</v>
      </c>
      <c r="D274" s="1777" t="s">
        <v>4077</v>
      </c>
      <c r="E274" s="1790" t="s">
        <v>4370</v>
      </c>
      <c r="F274" s="1791" t="s">
        <v>4371</v>
      </c>
      <c r="G274" s="1803" t="s">
        <v>4368</v>
      </c>
      <c r="H274" s="1792" t="s">
        <v>4017</v>
      </c>
      <c r="I274" s="1793">
        <v>500000</v>
      </c>
      <c r="J274" s="1781" t="s">
        <v>4324</v>
      </c>
    </row>
    <row r="275" spans="2:10" x14ac:dyDescent="0.3">
      <c r="B275" s="1790" t="s">
        <v>4018</v>
      </c>
      <c r="C275" s="1790" t="s">
        <v>4077</v>
      </c>
      <c r="D275" s="1777" t="s">
        <v>4077</v>
      </c>
      <c r="E275" s="1790" t="s">
        <v>4372</v>
      </c>
      <c r="F275" s="1791" t="s">
        <v>4373</v>
      </c>
      <c r="G275" s="1790" t="s">
        <v>4374</v>
      </c>
      <c r="H275" s="1792" t="s">
        <v>4017</v>
      </c>
      <c r="I275" s="1793">
        <v>300000</v>
      </c>
      <c r="J275" s="1781" t="s">
        <v>4324</v>
      </c>
    </row>
    <row r="276" spans="2:10" x14ac:dyDescent="0.3">
      <c r="B276" s="1790" t="s">
        <v>4018</v>
      </c>
      <c r="C276" s="1790" t="s">
        <v>4077</v>
      </c>
      <c r="D276" s="1777" t="s">
        <v>4077</v>
      </c>
      <c r="E276" s="1790" t="s">
        <v>4303</v>
      </c>
      <c r="F276" s="1791" t="s">
        <v>4373</v>
      </c>
      <c r="G276" s="1790" t="s">
        <v>4374</v>
      </c>
      <c r="H276" s="1792" t="s">
        <v>4017</v>
      </c>
      <c r="I276" s="1793">
        <v>250000</v>
      </c>
      <c r="J276" s="1781" t="s">
        <v>4324</v>
      </c>
    </row>
    <row r="277" spans="2:10" x14ac:dyDescent="0.3">
      <c r="B277" s="1790" t="s">
        <v>4018</v>
      </c>
      <c r="C277" s="1790" t="s">
        <v>4077</v>
      </c>
      <c r="D277" s="1777" t="s">
        <v>4077</v>
      </c>
      <c r="E277" s="1790" t="s">
        <v>4375</v>
      </c>
      <c r="F277" s="1791" t="s">
        <v>4373</v>
      </c>
      <c r="G277" s="1790" t="s">
        <v>4374</v>
      </c>
      <c r="H277" s="1792" t="s">
        <v>4017</v>
      </c>
      <c r="I277" s="1793">
        <v>300000</v>
      </c>
      <c r="J277" s="1781" t="s">
        <v>4324</v>
      </c>
    </row>
    <row r="278" spans="2:10" x14ac:dyDescent="0.3">
      <c r="B278" s="1790" t="s">
        <v>4018</v>
      </c>
      <c r="C278" s="1790" t="s">
        <v>4077</v>
      </c>
      <c r="D278" s="1777" t="s">
        <v>4077</v>
      </c>
      <c r="E278" s="1790" t="s">
        <v>4376</v>
      </c>
      <c r="F278" s="1791" t="s">
        <v>4373</v>
      </c>
      <c r="G278" s="1790" t="s">
        <v>4374</v>
      </c>
      <c r="H278" s="1792" t="s">
        <v>4017</v>
      </c>
      <c r="I278" s="1793">
        <v>200000</v>
      </c>
      <c r="J278" s="1781" t="s">
        <v>4324</v>
      </c>
    </row>
    <row r="279" spans="2:10" x14ac:dyDescent="0.3">
      <c r="B279" s="1790" t="s">
        <v>4020</v>
      </c>
      <c r="C279" s="1790" t="s">
        <v>4029</v>
      </c>
      <c r="D279" s="1777" t="s">
        <v>4015</v>
      </c>
      <c r="E279" s="1790" t="s">
        <v>4015</v>
      </c>
      <c r="F279" s="1791" t="s">
        <v>4377</v>
      </c>
      <c r="G279" s="1803" t="s">
        <v>4378</v>
      </c>
      <c r="H279" s="1792" t="s">
        <v>4334</v>
      </c>
      <c r="I279" s="1793">
        <v>500000</v>
      </c>
      <c r="J279" s="1781" t="s">
        <v>4324</v>
      </c>
    </row>
    <row r="280" spans="2:10" x14ac:dyDescent="0.3">
      <c r="B280" s="1790" t="s">
        <v>4018</v>
      </c>
      <c r="C280" s="1790" t="s">
        <v>4029</v>
      </c>
      <c r="D280" s="1777" t="s">
        <v>4031</v>
      </c>
      <c r="E280" s="1790" t="s">
        <v>4031</v>
      </c>
      <c r="F280" s="1791" t="s">
        <v>4379</v>
      </c>
      <c r="G280" s="1790" t="s">
        <v>4380</v>
      </c>
      <c r="H280" s="1792" t="s">
        <v>4017</v>
      </c>
      <c r="I280" s="1793">
        <v>2183298</v>
      </c>
      <c r="J280" s="1781" t="s">
        <v>4324</v>
      </c>
    </row>
    <row r="281" spans="2:10" x14ac:dyDescent="0.3">
      <c r="B281" s="1790" t="s">
        <v>4018</v>
      </c>
      <c r="C281" s="1790" t="s">
        <v>4029</v>
      </c>
      <c r="D281" s="1777" t="s">
        <v>4031</v>
      </c>
      <c r="E281" s="1790" t="s">
        <v>4031</v>
      </c>
      <c r="F281" s="1797" t="s">
        <v>4060</v>
      </c>
      <c r="G281" s="1794" t="s">
        <v>4380</v>
      </c>
      <c r="H281" s="1792" t="s">
        <v>4017</v>
      </c>
      <c r="I281" s="1793">
        <v>259990</v>
      </c>
      <c r="J281" s="1781" t="s">
        <v>4324</v>
      </c>
    </row>
    <row r="282" spans="2:10" x14ac:dyDescent="0.3">
      <c r="B282" s="1790" t="s">
        <v>4074</v>
      </c>
      <c r="C282" s="1790" t="s">
        <v>4029</v>
      </c>
      <c r="D282" s="1777" t="s">
        <v>3999</v>
      </c>
      <c r="E282" s="1790" t="s">
        <v>3999</v>
      </c>
      <c r="F282" s="1791" t="s">
        <v>4381</v>
      </c>
      <c r="G282" s="1803" t="s">
        <v>1978</v>
      </c>
      <c r="H282" s="1792" t="s">
        <v>4017</v>
      </c>
      <c r="I282" s="1793">
        <v>51600</v>
      </c>
      <c r="J282" s="1781" t="s">
        <v>4324</v>
      </c>
    </row>
    <row r="283" spans="2:10" x14ac:dyDescent="0.3">
      <c r="B283" s="1790" t="s">
        <v>4074</v>
      </c>
      <c r="C283" s="1790" t="s">
        <v>4029</v>
      </c>
      <c r="D283" s="1777" t="s">
        <v>3999</v>
      </c>
      <c r="E283" s="1790" t="s">
        <v>3999</v>
      </c>
      <c r="F283" s="1791" t="s">
        <v>4382</v>
      </c>
      <c r="G283" s="1803" t="s">
        <v>1978</v>
      </c>
      <c r="H283" s="1792" t="s">
        <v>4017</v>
      </c>
      <c r="I283" s="1793">
        <v>7800</v>
      </c>
      <c r="J283" s="1781" t="s">
        <v>4324</v>
      </c>
    </row>
    <row r="284" spans="2:10" x14ac:dyDescent="0.3">
      <c r="B284" s="1790" t="s">
        <v>4074</v>
      </c>
      <c r="C284" s="1790" t="s">
        <v>4029</v>
      </c>
      <c r="D284" s="1777" t="s">
        <v>3999</v>
      </c>
      <c r="E284" s="1790" t="s">
        <v>3999</v>
      </c>
      <c r="F284" s="1791" t="s">
        <v>4383</v>
      </c>
      <c r="G284" s="1803" t="s">
        <v>4047</v>
      </c>
      <c r="H284" s="1792" t="s">
        <v>4017</v>
      </c>
      <c r="I284" s="1793">
        <v>60000</v>
      </c>
      <c r="J284" s="1781" t="s">
        <v>4324</v>
      </c>
    </row>
    <row r="285" spans="2:10" x14ac:dyDescent="0.3">
      <c r="B285" s="1790" t="s">
        <v>4074</v>
      </c>
      <c r="C285" s="1790" t="s">
        <v>4029</v>
      </c>
      <c r="D285" s="1777" t="s">
        <v>3999</v>
      </c>
      <c r="E285" s="1790" t="s">
        <v>3999</v>
      </c>
      <c r="F285" s="1791" t="s">
        <v>4384</v>
      </c>
      <c r="G285" s="1803" t="s">
        <v>4047</v>
      </c>
      <c r="H285" s="1792" t="s">
        <v>4017</v>
      </c>
      <c r="I285" s="1793">
        <v>600000</v>
      </c>
      <c r="J285" s="1781" t="s">
        <v>4324</v>
      </c>
    </row>
    <row r="286" spans="2:10" x14ac:dyDescent="0.3">
      <c r="B286" s="1790" t="s">
        <v>4018</v>
      </c>
      <c r="C286" s="1790" t="s">
        <v>4029</v>
      </c>
      <c r="D286" s="1777" t="s">
        <v>4063</v>
      </c>
      <c r="E286" s="1790" t="s">
        <v>4063</v>
      </c>
      <c r="F286" s="1791" t="s">
        <v>4369</v>
      </c>
      <c r="G286" s="1803" t="s">
        <v>4368</v>
      </c>
      <c r="H286" s="1792" t="s">
        <v>4017</v>
      </c>
      <c r="I286" s="1793">
        <v>1000000</v>
      </c>
      <c r="J286" s="1781" t="s">
        <v>4324</v>
      </c>
    </row>
    <row r="287" spans="2:10" x14ac:dyDescent="0.3">
      <c r="B287" s="1790" t="s">
        <v>4018</v>
      </c>
      <c r="C287" s="1790" t="s">
        <v>4077</v>
      </c>
      <c r="D287" s="1777" t="s">
        <v>4077</v>
      </c>
      <c r="E287" s="1790" t="s">
        <v>4385</v>
      </c>
      <c r="F287" s="1791" t="s">
        <v>4386</v>
      </c>
      <c r="G287" s="1790" t="s">
        <v>4374</v>
      </c>
      <c r="H287" s="1792" t="s">
        <v>4017</v>
      </c>
      <c r="I287" s="1793">
        <v>50000</v>
      </c>
      <c r="J287" s="1781" t="s">
        <v>4324</v>
      </c>
    </row>
    <row r="288" spans="2:10" x14ac:dyDescent="0.3">
      <c r="B288" s="1790" t="s">
        <v>4018</v>
      </c>
      <c r="C288" s="1790" t="s">
        <v>4077</v>
      </c>
      <c r="D288" s="1777" t="s">
        <v>4077</v>
      </c>
      <c r="E288" s="1790" t="s">
        <v>4316</v>
      </c>
      <c r="F288" s="1791" t="s">
        <v>4387</v>
      </c>
      <c r="G288" s="1790" t="s">
        <v>4374</v>
      </c>
      <c r="H288" s="1792" t="s">
        <v>4017</v>
      </c>
      <c r="I288" s="1793">
        <v>50000</v>
      </c>
      <c r="J288" s="1781" t="s">
        <v>4324</v>
      </c>
    </row>
    <row r="289" spans="2:10" x14ac:dyDescent="0.3">
      <c r="B289" s="1790" t="s">
        <v>4018</v>
      </c>
      <c r="C289" s="1790" t="s">
        <v>4077</v>
      </c>
      <c r="D289" s="1777" t="s">
        <v>4077</v>
      </c>
      <c r="E289" s="1790" t="s">
        <v>4388</v>
      </c>
      <c r="F289" s="1791" t="s">
        <v>4386</v>
      </c>
      <c r="G289" s="1790" t="s">
        <v>4374</v>
      </c>
      <c r="H289" s="1792" t="s">
        <v>4017</v>
      </c>
      <c r="I289" s="1793">
        <v>100000</v>
      </c>
      <c r="J289" s="1781" t="s">
        <v>4324</v>
      </c>
    </row>
    <row r="290" spans="2:10" x14ac:dyDescent="0.3">
      <c r="B290" s="1790" t="s">
        <v>4018</v>
      </c>
      <c r="C290" s="1790" t="s">
        <v>4077</v>
      </c>
      <c r="D290" s="1777" t="s">
        <v>4077</v>
      </c>
      <c r="E290" s="1790" t="s">
        <v>4316</v>
      </c>
      <c r="F290" s="1791" t="s">
        <v>4389</v>
      </c>
      <c r="G290" s="1790" t="s">
        <v>4374</v>
      </c>
      <c r="H290" s="1792" t="s">
        <v>4017</v>
      </c>
      <c r="I290" s="1793">
        <v>300000</v>
      </c>
      <c r="J290" s="1781" t="s">
        <v>4324</v>
      </c>
    </row>
    <row r="291" spans="2:10" x14ac:dyDescent="0.3">
      <c r="B291" s="1790" t="s">
        <v>4018</v>
      </c>
      <c r="C291" s="1790" t="s">
        <v>4077</v>
      </c>
      <c r="D291" s="1777" t="s">
        <v>4077</v>
      </c>
      <c r="E291" s="1790" t="s">
        <v>4390</v>
      </c>
      <c r="F291" s="1791" t="s">
        <v>4391</v>
      </c>
      <c r="G291" s="1790" t="s">
        <v>4374</v>
      </c>
      <c r="H291" s="1792" t="s">
        <v>4017</v>
      </c>
      <c r="I291" s="1793">
        <v>60000</v>
      </c>
      <c r="J291" s="1781" t="s">
        <v>4324</v>
      </c>
    </row>
    <row r="292" spans="2:10" x14ac:dyDescent="0.3">
      <c r="B292" s="1790" t="s">
        <v>4020</v>
      </c>
      <c r="C292" s="1790" t="s">
        <v>4077</v>
      </c>
      <c r="D292" s="1777" t="s">
        <v>4077</v>
      </c>
      <c r="E292" s="1790" t="s">
        <v>4392</v>
      </c>
      <c r="F292" s="1791" t="s">
        <v>4377</v>
      </c>
      <c r="G292" s="1803" t="s">
        <v>4378</v>
      </c>
      <c r="H292" s="1792" t="s">
        <v>4334</v>
      </c>
      <c r="I292" s="1793">
        <v>265000</v>
      </c>
      <c r="J292" s="1781" t="s">
        <v>4324</v>
      </c>
    </row>
    <row r="293" spans="2:10" x14ac:dyDescent="0.3">
      <c r="B293" s="1790" t="s">
        <v>4020</v>
      </c>
      <c r="C293" s="1790" t="s">
        <v>4077</v>
      </c>
      <c r="D293" s="1777" t="s">
        <v>4077</v>
      </c>
      <c r="E293" s="1790" t="s">
        <v>4393</v>
      </c>
      <c r="F293" s="1791" t="s">
        <v>4377</v>
      </c>
      <c r="G293" s="1803" t="s">
        <v>4378</v>
      </c>
      <c r="H293" s="1792" t="s">
        <v>4017</v>
      </c>
      <c r="I293" s="1793">
        <v>400000</v>
      </c>
      <c r="J293" s="1781" t="s">
        <v>4324</v>
      </c>
    </row>
    <row r="294" spans="2:10" x14ac:dyDescent="0.3">
      <c r="B294" s="1790" t="s">
        <v>4018</v>
      </c>
      <c r="C294" s="1790" t="s">
        <v>4077</v>
      </c>
      <c r="D294" s="1777" t="s">
        <v>4077</v>
      </c>
      <c r="E294" s="1790" t="s">
        <v>4394</v>
      </c>
      <c r="F294" s="1791" t="s">
        <v>4395</v>
      </c>
      <c r="G294" s="1790" t="s">
        <v>4374</v>
      </c>
      <c r="H294" s="1792" t="s">
        <v>4017</v>
      </c>
      <c r="I294" s="1793">
        <v>50000</v>
      </c>
      <c r="J294" s="1781" t="s">
        <v>4324</v>
      </c>
    </row>
    <row r="295" spans="2:10" x14ac:dyDescent="0.3">
      <c r="B295" s="1790" t="s">
        <v>4020</v>
      </c>
      <c r="C295" s="1790" t="s">
        <v>2015</v>
      </c>
      <c r="D295" s="1777" t="s">
        <v>4077</v>
      </c>
      <c r="E295" s="1790" t="s">
        <v>4316</v>
      </c>
      <c r="F295" s="1791" t="s">
        <v>4396</v>
      </c>
      <c r="G295" s="1794" t="s">
        <v>4374</v>
      </c>
      <c r="H295" s="1792" t="s">
        <v>4017</v>
      </c>
      <c r="I295" s="1793">
        <v>100000</v>
      </c>
      <c r="J295" s="1781" t="s">
        <v>4324</v>
      </c>
    </row>
    <row r="296" spans="2:10" x14ac:dyDescent="0.3">
      <c r="B296" s="1790" t="s">
        <v>4020</v>
      </c>
      <c r="C296" s="1790" t="s">
        <v>2015</v>
      </c>
      <c r="D296" s="1777" t="s">
        <v>4077</v>
      </c>
      <c r="E296" s="1790" t="s">
        <v>4350</v>
      </c>
      <c r="F296" s="1791" t="s">
        <v>4396</v>
      </c>
      <c r="G296" s="1794" t="s">
        <v>4374</v>
      </c>
      <c r="H296" s="1792" t="s">
        <v>4017</v>
      </c>
      <c r="I296" s="1793">
        <v>100000</v>
      </c>
      <c r="J296" s="1781" t="s">
        <v>4324</v>
      </c>
    </row>
    <row r="297" spans="2:10" x14ac:dyDescent="0.3">
      <c r="B297" s="1790" t="s">
        <v>4020</v>
      </c>
      <c r="C297" s="1790" t="s">
        <v>2015</v>
      </c>
      <c r="D297" s="1777" t="s">
        <v>4077</v>
      </c>
      <c r="E297" s="1790" t="s">
        <v>2015</v>
      </c>
      <c r="F297" s="1797" t="s">
        <v>4060</v>
      </c>
      <c r="G297" s="1803" t="s">
        <v>4047</v>
      </c>
      <c r="H297" s="1792" t="s">
        <v>4017</v>
      </c>
      <c r="I297" s="1793">
        <v>2360000</v>
      </c>
      <c r="J297" s="1781" t="s">
        <v>4324</v>
      </c>
    </row>
    <row r="298" spans="2:10" x14ac:dyDescent="0.3">
      <c r="B298" s="1790" t="s">
        <v>4020</v>
      </c>
      <c r="C298" s="1790" t="s">
        <v>2015</v>
      </c>
      <c r="D298" s="1777" t="s">
        <v>4077</v>
      </c>
      <c r="E298" s="1790" t="s">
        <v>2015</v>
      </c>
      <c r="F298" s="1797" t="s">
        <v>4060</v>
      </c>
      <c r="G298" s="1803" t="s">
        <v>4047</v>
      </c>
      <c r="H298" s="1792" t="s">
        <v>4017</v>
      </c>
      <c r="I298" s="1793">
        <v>3600000</v>
      </c>
      <c r="J298" s="1781" t="s">
        <v>4324</v>
      </c>
    </row>
  </sheetData>
  <autoFilter ref="B3:J298"/>
  <dataConsolidate topLabels="1">
    <dataRefs count="1">
      <dataRef ref="D3:H298" sheet="요약" r:id="rId1"/>
    </dataRefs>
  </dataConsolidate>
  <phoneticPr fontId="1" type="noConversion"/>
  <dataValidations count="2">
    <dataValidation type="list" allowBlank="1" showInputMessage="1" showErrorMessage="1" sqref="B4:B298">
      <formula1>"기확보,신규"</formula1>
    </dataValidation>
    <dataValidation type="list" allowBlank="1" showInputMessage="1" showErrorMessage="1" sqref="C4:C298">
      <formula1>"관계사,대외"</formula1>
    </dataValidation>
  </dataValidations>
  <pageMargins left="0.7" right="0.7" top="0.75" bottom="0.75" header="0.3" footer="0.3"/>
  <pageSetup paperSize="9" orientation="portrait" r:id="rId2"/>
  <ignoredErrors>
    <ignoredError sqref="Q10" formula="1"/>
  </ignoredErrors>
  <legacy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B50"/>
  <sheetViews>
    <sheetView tabSelected="1" topLeftCell="I1" zoomScale="70" zoomScaleNormal="70" workbookViewId="0">
      <selection activeCell="U32" sqref="U32"/>
    </sheetView>
  </sheetViews>
  <sheetFormatPr defaultRowHeight="16.5" x14ac:dyDescent="0.3"/>
  <cols>
    <col min="1" max="1" width="9" style="691"/>
    <col min="2" max="2" width="13.75" style="691" customWidth="1"/>
    <col min="3" max="10" width="17.75" style="691" customWidth="1"/>
    <col min="11" max="11" width="9" style="691"/>
    <col min="12" max="21" width="19" style="691" customWidth="1"/>
    <col min="22" max="26" width="11.75" style="691" bestFit="1" customWidth="1"/>
    <col min="27" max="27" width="9" style="691"/>
    <col min="28" max="28" width="11.75" style="691" bestFit="1" customWidth="1"/>
    <col min="29" max="16384" width="9" style="691"/>
  </cols>
  <sheetData>
    <row r="1" spans="1:28" ht="31.5" x14ac:dyDescent="0.3">
      <c r="A1" s="1455" t="s">
        <v>2915</v>
      </c>
    </row>
    <row r="2" spans="1:28" x14ac:dyDescent="0.3">
      <c r="H2" s="1456" t="s">
        <v>2886</v>
      </c>
      <c r="I2" s="1456"/>
      <c r="J2" s="1456"/>
    </row>
    <row r="3" spans="1:28" s="141" customFormat="1" x14ac:dyDescent="0.3">
      <c r="A3" s="2164" t="s">
        <v>2887</v>
      </c>
      <c r="B3" s="2164" t="s">
        <v>2888</v>
      </c>
      <c r="C3" s="2164" t="s">
        <v>2889</v>
      </c>
      <c r="D3" s="2165" t="s">
        <v>2890</v>
      </c>
      <c r="E3" s="2166"/>
      <c r="F3" s="2166"/>
      <c r="G3" s="2167"/>
      <c r="H3" s="2164" t="s">
        <v>2891</v>
      </c>
      <c r="I3" s="2164" t="s">
        <v>3864</v>
      </c>
      <c r="J3" s="1717"/>
    </row>
    <row r="4" spans="1:28" s="141" customFormat="1" x14ac:dyDescent="0.3">
      <c r="A4" s="2164"/>
      <c r="B4" s="2164"/>
      <c r="C4" s="2164"/>
      <c r="D4" s="1457" t="s">
        <v>2892</v>
      </c>
      <c r="E4" s="1457" t="s">
        <v>2893</v>
      </c>
      <c r="F4" s="1457" t="s">
        <v>2894</v>
      </c>
      <c r="G4" s="1457" t="s">
        <v>2895</v>
      </c>
      <c r="H4" s="2164"/>
      <c r="I4" s="2164"/>
      <c r="J4" s="1717"/>
      <c r="L4" s="1458"/>
      <c r="M4" s="1459"/>
      <c r="N4" s="1460" t="s">
        <v>2918</v>
      </c>
      <c r="O4" s="1460" t="s">
        <v>2896</v>
      </c>
      <c r="P4" s="1460" t="s">
        <v>2897</v>
      </c>
      <c r="Q4" s="1460" t="s">
        <v>2898</v>
      </c>
      <c r="R4" s="1460" t="s">
        <v>2916</v>
      </c>
      <c r="S4" s="1459" t="s">
        <v>4561</v>
      </c>
      <c r="U4" s="1460" t="s">
        <v>2918</v>
      </c>
      <c r="V4" s="1460" t="s">
        <v>2896</v>
      </c>
      <c r="W4" s="1460" t="s">
        <v>2897</v>
      </c>
      <c r="X4" s="1460" t="s">
        <v>2898</v>
      </c>
      <c r="Y4" s="1459" t="s">
        <v>2916</v>
      </c>
      <c r="Z4" s="1459" t="s">
        <v>4561</v>
      </c>
    </row>
    <row r="5" spans="1:28" s="141" customFormat="1" x14ac:dyDescent="0.3">
      <c r="A5" s="2168" t="s">
        <v>2918</v>
      </c>
      <c r="B5" s="1461" t="s">
        <v>2899</v>
      </c>
      <c r="C5" s="1462">
        <f>IS!C9</f>
        <v>32345633294</v>
      </c>
      <c r="D5" s="1462">
        <f>원가명세서!K5</f>
        <v>8920120833</v>
      </c>
      <c r="E5" s="1462">
        <f>원가명세서!K14</f>
        <v>16070873765</v>
      </c>
      <c r="F5" s="1462">
        <f>원가명세서!K8</f>
        <v>3463321534</v>
      </c>
      <c r="G5" s="1462">
        <f>원가명세서!K17</f>
        <v>1046477160</v>
      </c>
      <c r="H5" s="1463">
        <f>C5-E5-F5-D5-G5</f>
        <v>2844840002</v>
      </c>
      <c r="I5" s="1718">
        <f>SUM(D5:G5)</f>
        <v>29500793292</v>
      </c>
      <c r="J5" s="1718">
        <f>I5/1000000</f>
        <v>29500.793291999998</v>
      </c>
      <c r="L5" s="1464" t="s">
        <v>2900</v>
      </c>
      <c r="M5" s="1465" t="s">
        <v>2901</v>
      </c>
      <c r="N5" s="1466">
        <f>C5</f>
        <v>32345633294</v>
      </c>
      <c r="O5" s="1466">
        <f>C11</f>
        <v>31656878968</v>
      </c>
      <c r="P5" s="1466">
        <f>C17</f>
        <v>52687668978</v>
      </c>
      <c r="Q5" s="1466">
        <f>C23</f>
        <v>60245229019</v>
      </c>
      <c r="R5" s="1466">
        <f>C29</f>
        <v>90980180335</v>
      </c>
      <c r="S5" s="1467">
        <f>C35</f>
        <v>76214068413</v>
      </c>
      <c r="U5" s="1721">
        <f>N5/1000000</f>
        <v>32345.633293999999</v>
      </c>
      <c r="V5" s="1721">
        <f t="shared" ref="V5:V18" si="0">O5/1000000</f>
        <v>31656.878968000001</v>
      </c>
      <c r="W5" s="1721">
        <f t="shared" ref="W5:W18" si="1">P5/1000000</f>
        <v>52687.668978000002</v>
      </c>
      <c r="X5" s="1721">
        <f t="shared" ref="X5:X18" si="2">Q5/1000000</f>
        <v>60245.229018999999</v>
      </c>
      <c r="Y5" s="1721">
        <f t="shared" ref="Y5:Z18" si="3">R5/1000000</f>
        <v>90980.180334999997</v>
      </c>
      <c r="Z5" s="1721">
        <f t="shared" si="3"/>
        <v>76214.068413000001</v>
      </c>
    </row>
    <row r="6" spans="1:28" s="141" customFormat="1" x14ac:dyDescent="0.3">
      <c r="A6" s="2162"/>
      <c r="B6" s="1468" t="s">
        <v>2902</v>
      </c>
      <c r="C6" s="1462">
        <f>IS!C10</f>
        <v>40189430041</v>
      </c>
      <c r="D6" s="1469">
        <f>원가명세서!C5</f>
        <v>0</v>
      </c>
      <c r="E6" s="1469">
        <f>원가명세서!C14</f>
        <v>21290231644</v>
      </c>
      <c r="F6" s="1469">
        <f>원가명세서!C8</f>
        <v>6750528391</v>
      </c>
      <c r="G6" s="1469">
        <f>원가명세서!C17</f>
        <v>1325090116</v>
      </c>
      <c r="H6" s="1470">
        <f>C6-E6-F6-D6-G6</f>
        <v>10823579890</v>
      </c>
      <c r="I6" s="1718">
        <f>SUM(D6:G6)</f>
        <v>29365850151</v>
      </c>
      <c r="J6" s="1718">
        <f t="shared" ref="J6" si="4">I6/1000000</f>
        <v>29365.850150999999</v>
      </c>
      <c r="L6" s="1471"/>
      <c r="M6" s="1472" t="s">
        <v>2890</v>
      </c>
      <c r="N6" s="1473">
        <f>N7+N8+N9+N10</f>
        <v>29500793292</v>
      </c>
      <c r="O6" s="1473">
        <f t="shared" ref="O6:Q6" si="5">O7+O8+O9+O10</f>
        <v>29493783500</v>
      </c>
      <c r="P6" s="1473">
        <f t="shared" si="5"/>
        <v>49020706046</v>
      </c>
      <c r="Q6" s="1473">
        <f t="shared" si="5"/>
        <v>56234131072</v>
      </c>
      <c r="R6" s="1473">
        <f t="shared" ref="R6:S6" si="6">R7+R8+R9+R10</f>
        <v>86626579138</v>
      </c>
      <c r="S6" s="1474">
        <f t="shared" si="6"/>
        <v>71978982562</v>
      </c>
      <c r="U6" s="1721">
        <f t="shared" ref="U6:U18" si="7">N6/1000000</f>
        <v>29500.793291999998</v>
      </c>
      <c r="V6" s="1721">
        <f t="shared" si="0"/>
        <v>29493.783500000001</v>
      </c>
      <c r="W6" s="1721">
        <f t="shared" si="1"/>
        <v>49020.706045999999</v>
      </c>
      <c r="X6" s="1721">
        <f t="shared" si="2"/>
        <v>56234.131071999996</v>
      </c>
      <c r="Y6" s="1721">
        <f t="shared" si="3"/>
        <v>86626.579138000001</v>
      </c>
      <c r="Z6" s="1721">
        <f t="shared" si="3"/>
        <v>71978.982562000005</v>
      </c>
      <c r="AB6" s="1721"/>
    </row>
    <row r="7" spans="1:28" s="141" customFormat="1" x14ac:dyDescent="0.3">
      <c r="A7" s="2163" t="s">
        <v>2903</v>
      </c>
      <c r="B7" s="2163"/>
      <c r="C7" s="1475">
        <f t="shared" ref="C7:H7" si="8">SUM(C5:C6)</f>
        <v>72535063335</v>
      </c>
      <c r="D7" s="1475">
        <f t="shared" si="8"/>
        <v>8920120833</v>
      </c>
      <c r="E7" s="1475">
        <f t="shared" si="8"/>
        <v>37361105409</v>
      </c>
      <c r="F7" s="1475">
        <f t="shared" si="8"/>
        <v>10213849925</v>
      </c>
      <c r="G7" s="1475">
        <f t="shared" si="8"/>
        <v>2371567276</v>
      </c>
      <c r="H7" s="1475">
        <f t="shared" si="8"/>
        <v>13668419892</v>
      </c>
      <c r="I7" s="1719"/>
      <c r="J7" s="1719"/>
      <c r="L7" s="1471"/>
      <c r="M7" s="1476" t="s">
        <v>2904</v>
      </c>
      <c r="N7" s="1477">
        <f>D5</f>
        <v>8920120833</v>
      </c>
      <c r="O7" s="1477">
        <f>D11</f>
        <v>5695285408</v>
      </c>
      <c r="P7" s="1477">
        <f>D17</f>
        <v>15938098574</v>
      </c>
      <c r="Q7" s="1477">
        <f>D23</f>
        <v>16629557270</v>
      </c>
      <c r="R7" s="1477">
        <f>D29</f>
        <v>39088627035</v>
      </c>
      <c r="S7" s="1478">
        <f>D35</f>
        <v>43278918266</v>
      </c>
      <c r="U7" s="1721">
        <f t="shared" si="7"/>
        <v>8920.1208330000009</v>
      </c>
      <c r="V7" s="1721">
        <f t="shared" si="0"/>
        <v>5695.2854079999997</v>
      </c>
      <c r="W7" s="1721">
        <f t="shared" si="1"/>
        <v>15938.098574</v>
      </c>
      <c r="X7" s="1721">
        <f t="shared" si="2"/>
        <v>16629.557270000001</v>
      </c>
      <c r="Y7" s="1721">
        <f t="shared" si="3"/>
        <v>39088.627034999998</v>
      </c>
      <c r="Z7" s="1721">
        <f t="shared" si="3"/>
        <v>43278.918266000001</v>
      </c>
      <c r="AB7" s="1721"/>
    </row>
    <row r="8" spans="1:28" x14ac:dyDescent="0.25">
      <c r="C8" s="1479"/>
      <c r="D8" s="1479"/>
      <c r="E8" s="1479"/>
      <c r="F8" s="1479"/>
      <c r="G8" s="1479"/>
      <c r="H8" s="1480" t="s">
        <v>2886</v>
      </c>
      <c r="I8" s="1480"/>
      <c r="J8" s="1480"/>
      <c r="L8" s="1481"/>
      <c r="M8" s="1476" t="s">
        <v>2905</v>
      </c>
      <c r="N8" s="1482">
        <f>E5</f>
        <v>16070873765</v>
      </c>
      <c r="O8" s="1482">
        <f>E11</f>
        <v>17984832646</v>
      </c>
      <c r="P8" s="1482">
        <f>E17</f>
        <v>22867108027</v>
      </c>
      <c r="Q8" s="1482">
        <f>E23</f>
        <v>27675831128</v>
      </c>
      <c r="R8" s="1482">
        <f>E29</f>
        <v>36198633320</v>
      </c>
      <c r="S8" s="1483">
        <f>E35</f>
        <v>19261767823</v>
      </c>
      <c r="U8" s="1721">
        <f t="shared" si="7"/>
        <v>16070.873765</v>
      </c>
      <c r="V8" s="1721">
        <f t="shared" si="0"/>
        <v>17984.832645999999</v>
      </c>
      <c r="W8" s="1721">
        <f t="shared" si="1"/>
        <v>22867.108026999998</v>
      </c>
      <c r="X8" s="1721">
        <f t="shared" si="2"/>
        <v>27675.831128000002</v>
      </c>
      <c r="Y8" s="1721">
        <f t="shared" si="3"/>
        <v>36198.633320000001</v>
      </c>
      <c r="Z8" s="1721">
        <f t="shared" si="3"/>
        <v>19261.767822999998</v>
      </c>
    </row>
    <row r="9" spans="1:28" x14ac:dyDescent="0.3">
      <c r="A9" s="2164" t="s">
        <v>2887</v>
      </c>
      <c r="B9" s="2164" t="s">
        <v>2888</v>
      </c>
      <c r="C9" s="2164" t="s">
        <v>2889</v>
      </c>
      <c r="D9" s="2165" t="s">
        <v>2890</v>
      </c>
      <c r="E9" s="2166"/>
      <c r="F9" s="2166"/>
      <c r="G9" s="2167"/>
      <c r="H9" s="2164" t="s">
        <v>2891</v>
      </c>
      <c r="I9" s="1717"/>
      <c r="J9" s="1717"/>
      <c r="L9" s="1481"/>
      <c r="M9" s="1476" t="s">
        <v>2906</v>
      </c>
      <c r="N9" s="1482">
        <f>F5</f>
        <v>3463321534</v>
      </c>
      <c r="O9" s="1482">
        <f>F11</f>
        <v>4560321760</v>
      </c>
      <c r="P9" s="1482">
        <f>F17</f>
        <v>8414110146</v>
      </c>
      <c r="Q9" s="1482">
        <f>F23</f>
        <v>9745237227</v>
      </c>
      <c r="R9" s="1482">
        <f>F29</f>
        <v>9052152489</v>
      </c>
      <c r="S9" s="1483">
        <f>F35</f>
        <v>7243493693</v>
      </c>
      <c r="U9" s="1721">
        <f t="shared" si="7"/>
        <v>3463.3215340000002</v>
      </c>
      <c r="V9" s="1721">
        <f t="shared" si="0"/>
        <v>4560.3217599999998</v>
      </c>
      <c r="W9" s="1721">
        <f t="shared" si="1"/>
        <v>8414.1101460000009</v>
      </c>
      <c r="X9" s="1721">
        <f t="shared" si="2"/>
        <v>9745.2372269999996</v>
      </c>
      <c r="Y9" s="1721">
        <f t="shared" si="3"/>
        <v>9052.1524890000001</v>
      </c>
      <c r="Z9" s="1721">
        <f t="shared" si="3"/>
        <v>7243.4936930000003</v>
      </c>
    </row>
    <row r="10" spans="1:28" x14ac:dyDescent="0.3">
      <c r="A10" s="2164"/>
      <c r="B10" s="2164"/>
      <c r="C10" s="2164"/>
      <c r="D10" s="1457" t="s">
        <v>2892</v>
      </c>
      <c r="E10" s="1457" t="s">
        <v>2893</v>
      </c>
      <c r="F10" s="1457" t="s">
        <v>2894</v>
      </c>
      <c r="G10" s="1457" t="s">
        <v>2895</v>
      </c>
      <c r="H10" s="2164"/>
      <c r="I10" s="1717"/>
      <c r="J10" s="1717"/>
      <c r="L10" s="1481"/>
      <c r="M10" s="1476" t="s">
        <v>2907</v>
      </c>
      <c r="N10" s="1482">
        <f>G5</f>
        <v>1046477160</v>
      </c>
      <c r="O10" s="1482">
        <f>G11</f>
        <v>1253343686</v>
      </c>
      <c r="P10" s="1482">
        <f>G17</f>
        <v>1801389299</v>
      </c>
      <c r="Q10" s="1482">
        <f>G23</f>
        <v>2183505447</v>
      </c>
      <c r="R10" s="1482">
        <f>G29</f>
        <v>2287166294</v>
      </c>
      <c r="S10" s="1483">
        <f>G35</f>
        <v>2194802780</v>
      </c>
      <c r="U10" s="1721">
        <f t="shared" si="7"/>
        <v>1046.4771599999999</v>
      </c>
      <c r="V10" s="1721">
        <f t="shared" si="0"/>
        <v>1253.3436859999999</v>
      </c>
      <c r="W10" s="1721">
        <f t="shared" si="1"/>
        <v>1801.3892989999999</v>
      </c>
      <c r="X10" s="1721">
        <f t="shared" si="2"/>
        <v>2183.505447</v>
      </c>
      <c r="Y10" s="1721">
        <f t="shared" si="3"/>
        <v>2287.1662940000001</v>
      </c>
      <c r="Z10" s="1721">
        <f t="shared" si="3"/>
        <v>2194.80278</v>
      </c>
    </row>
    <row r="11" spans="1:28" x14ac:dyDescent="0.3">
      <c r="A11" s="2168" t="s">
        <v>2896</v>
      </c>
      <c r="B11" s="1484" t="s">
        <v>2908</v>
      </c>
      <c r="C11" s="1485">
        <f>IS!D9</f>
        <v>31656878968</v>
      </c>
      <c r="D11" s="1485">
        <f>원가명세서!L5</f>
        <v>5695285408</v>
      </c>
      <c r="E11" s="1485">
        <f>원가명세서!L14</f>
        <v>17984832646</v>
      </c>
      <c r="F11" s="1485">
        <f>원가명세서!L8</f>
        <v>4560321760</v>
      </c>
      <c r="G11" s="1485">
        <f>원가명세서!L17</f>
        <v>1253343686</v>
      </c>
      <c r="H11" s="1486">
        <f>C11-D11-E11-F11-G11</f>
        <v>2163095468</v>
      </c>
      <c r="I11" s="1718">
        <f>SUM(D11:G11)</f>
        <v>29493783500</v>
      </c>
      <c r="J11" s="1718">
        <f t="shared" ref="J11:J12" si="9">I11/1000000</f>
        <v>29493.783500000001</v>
      </c>
      <c r="L11" s="1487"/>
      <c r="M11" s="1488" t="s">
        <v>2891</v>
      </c>
      <c r="N11" s="1489">
        <f t="shared" ref="N11:S11" si="10">N5-N6</f>
        <v>2844840002</v>
      </c>
      <c r="O11" s="1489">
        <f t="shared" si="10"/>
        <v>2163095468</v>
      </c>
      <c r="P11" s="1489">
        <f t="shared" si="10"/>
        <v>3666962932</v>
      </c>
      <c r="Q11" s="1489">
        <f t="shared" si="10"/>
        <v>4011097947</v>
      </c>
      <c r="R11" s="1489">
        <f t="shared" si="10"/>
        <v>4353601197</v>
      </c>
      <c r="S11" s="1490">
        <f t="shared" si="10"/>
        <v>4235085851</v>
      </c>
      <c r="U11" s="1721">
        <f t="shared" si="7"/>
        <v>2844.8400019999999</v>
      </c>
      <c r="V11" s="1721">
        <f t="shared" si="0"/>
        <v>2163.095468</v>
      </c>
      <c r="W11" s="1721">
        <f t="shared" si="1"/>
        <v>3666.9629319999999</v>
      </c>
      <c r="X11" s="1721">
        <f t="shared" si="2"/>
        <v>4011.0979470000002</v>
      </c>
      <c r="Y11" s="1721">
        <f t="shared" si="3"/>
        <v>4353.601197</v>
      </c>
      <c r="Z11" s="1721">
        <f t="shared" si="3"/>
        <v>4235.0858509999998</v>
      </c>
    </row>
    <row r="12" spans="1:28" x14ac:dyDescent="0.3">
      <c r="A12" s="2162"/>
      <c r="B12" s="1491" t="s">
        <v>2902</v>
      </c>
      <c r="C12" s="1485">
        <f>IS!D10</f>
        <v>54615106055</v>
      </c>
      <c r="D12" s="1492">
        <f>원가명세서!D5</f>
        <v>0</v>
      </c>
      <c r="E12" s="1492">
        <f>원가명세서!D14</f>
        <v>33156849820</v>
      </c>
      <c r="F12" s="1492">
        <f>원가명세서!D8</f>
        <v>9903382901</v>
      </c>
      <c r="G12" s="1492">
        <f>원가명세서!D17</f>
        <v>1718032938</v>
      </c>
      <c r="H12" s="1492">
        <f>C12-D12-E12-F12-G12</f>
        <v>9836840396</v>
      </c>
      <c r="I12" s="1718">
        <f>SUM(D12:G12)</f>
        <v>44778265659</v>
      </c>
      <c r="J12" s="1718">
        <f t="shared" si="9"/>
        <v>44778.265658999997</v>
      </c>
      <c r="L12" s="1471" t="s">
        <v>2909</v>
      </c>
      <c r="M12" s="1472" t="s">
        <v>2910</v>
      </c>
      <c r="N12" s="1482">
        <f>C6</f>
        <v>40189430041</v>
      </c>
      <c r="O12" s="1482">
        <f>C12</f>
        <v>54615106055</v>
      </c>
      <c r="P12" s="1482">
        <f>C18</f>
        <v>56695629685</v>
      </c>
      <c r="Q12" s="1482">
        <f>C24</f>
        <v>79663359315</v>
      </c>
      <c r="R12" s="1482">
        <f>C30</f>
        <v>91593798192</v>
      </c>
      <c r="S12" s="1483">
        <f>C36</f>
        <v>95362060357</v>
      </c>
      <c r="U12" s="1721">
        <f t="shared" si="7"/>
        <v>40189.430041</v>
      </c>
      <c r="V12" s="1721">
        <f t="shared" si="0"/>
        <v>54615.106054999997</v>
      </c>
      <c r="W12" s="1721">
        <f t="shared" si="1"/>
        <v>56695.629685</v>
      </c>
      <c r="X12" s="1721">
        <f t="shared" si="2"/>
        <v>79663.359314999994</v>
      </c>
      <c r="Y12" s="1721">
        <f t="shared" si="3"/>
        <v>91593.798192000002</v>
      </c>
      <c r="Z12" s="1721">
        <f t="shared" si="3"/>
        <v>95362.060356999995</v>
      </c>
    </row>
    <row r="13" spans="1:28" s="141" customFormat="1" x14ac:dyDescent="0.3">
      <c r="A13" s="2163" t="s">
        <v>2903</v>
      </c>
      <c r="B13" s="2163"/>
      <c r="C13" s="1493">
        <f>SUM(C11:C12)</f>
        <v>86271985023</v>
      </c>
      <c r="D13" s="1493">
        <f>SUM(D11:D12)</f>
        <v>5695285408</v>
      </c>
      <c r="E13" s="1493">
        <f t="shared" ref="E13:H13" si="11">SUM(E11:E12)</f>
        <v>51141682466</v>
      </c>
      <c r="F13" s="1493">
        <f t="shared" si="11"/>
        <v>14463704661</v>
      </c>
      <c r="G13" s="1493">
        <f t="shared" si="11"/>
        <v>2971376624</v>
      </c>
      <c r="H13" s="1493">
        <f t="shared" si="11"/>
        <v>11999935864</v>
      </c>
      <c r="I13" s="1720"/>
      <c r="J13" s="1720"/>
      <c r="L13" s="1471"/>
      <c r="M13" s="1472" t="s">
        <v>2890</v>
      </c>
      <c r="N13" s="1473">
        <f>N14+N15+N16+N17</f>
        <v>29365850151</v>
      </c>
      <c r="O13" s="1473">
        <f t="shared" ref="O13:Q13" si="12">O14+O15+O16+O17</f>
        <v>44778265659</v>
      </c>
      <c r="P13" s="1473">
        <f t="shared" si="12"/>
        <v>46807634802</v>
      </c>
      <c r="Q13" s="1473">
        <f t="shared" si="12"/>
        <v>67927545558</v>
      </c>
      <c r="R13" s="1473">
        <f t="shared" ref="R13:S13" si="13">R14+R15+R16+R17</f>
        <v>79827859213</v>
      </c>
      <c r="S13" s="1474">
        <f t="shared" si="13"/>
        <v>80067323844</v>
      </c>
      <c r="U13" s="1721">
        <f t="shared" si="7"/>
        <v>29365.850150999999</v>
      </c>
      <c r="V13" s="1721">
        <f t="shared" si="0"/>
        <v>44778.265658999997</v>
      </c>
      <c r="W13" s="1721">
        <f t="shared" si="1"/>
        <v>46807.634802</v>
      </c>
      <c r="X13" s="1721">
        <f t="shared" si="2"/>
        <v>67927.545557999998</v>
      </c>
      <c r="Y13" s="1721">
        <f t="shared" si="3"/>
        <v>79827.859213000003</v>
      </c>
      <c r="Z13" s="1721">
        <f t="shared" si="3"/>
        <v>80067.323843999999</v>
      </c>
    </row>
    <row r="14" spans="1:28" x14ac:dyDescent="0.25">
      <c r="C14" s="1479"/>
      <c r="D14" s="1479"/>
      <c r="E14" s="1479"/>
      <c r="F14" s="1479"/>
      <c r="G14" s="1479"/>
      <c r="H14" s="1480" t="s">
        <v>2911</v>
      </c>
      <c r="I14" s="1480"/>
      <c r="J14" s="1480"/>
      <c r="L14" s="1481"/>
      <c r="M14" s="1476" t="s">
        <v>2912</v>
      </c>
      <c r="N14" s="1482">
        <f>D6</f>
        <v>0</v>
      </c>
      <c r="O14" s="1482">
        <f>D12</f>
        <v>0</v>
      </c>
      <c r="P14" s="1482">
        <f>D18</f>
        <v>0</v>
      </c>
      <c r="Q14" s="1482">
        <f>D24</f>
        <v>0</v>
      </c>
      <c r="R14" s="1482">
        <f>D30</f>
        <v>0</v>
      </c>
      <c r="S14" s="1483">
        <f>D36</f>
        <v>0</v>
      </c>
      <c r="U14" s="1721">
        <f t="shared" si="7"/>
        <v>0</v>
      </c>
      <c r="V14" s="1721">
        <f t="shared" si="0"/>
        <v>0</v>
      </c>
      <c r="W14" s="1721">
        <f t="shared" si="1"/>
        <v>0</v>
      </c>
      <c r="X14" s="1721">
        <f t="shared" si="2"/>
        <v>0</v>
      </c>
      <c r="Y14" s="1721">
        <f t="shared" si="3"/>
        <v>0</v>
      </c>
      <c r="Z14" s="1721">
        <f t="shared" si="3"/>
        <v>0</v>
      </c>
    </row>
    <row r="15" spans="1:28" x14ac:dyDescent="0.3">
      <c r="A15" s="2164" t="s">
        <v>2887</v>
      </c>
      <c r="B15" s="2164" t="s">
        <v>2888</v>
      </c>
      <c r="C15" s="2164" t="s">
        <v>2889</v>
      </c>
      <c r="D15" s="2165" t="s">
        <v>2890</v>
      </c>
      <c r="E15" s="2166"/>
      <c r="F15" s="2166"/>
      <c r="G15" s="2167"/>
      <c r="H15" s="2164" t="s">
        <v>2891</v>
      </c>
      <c r="I15" s="1717"/>
      <c r="J15" s="1717"/>
      <c r="L15" s="1481"/>
      <c r="M15" s="1476" t="s">
        <v>2905</v>
      </c>
      <c r="N15" s="1482">
        <f>E6</f>
        <v>21290231644</v>
      </c>
      <c r="O15" s="1482">
        <f>E12</f>
        <v>33156849820</v>
      </c>
      <c r="P15" s="1482">
        <f>E18</f>
        <v>32209744416</v>
      </c>
      <c r="Q15" s="1482">
        <f>E24</f>
        <v>50332076617</v>
      </c>
      <c r="R15" s="1482">
        <f>E30</f>
        <v>60259229023</v>
      </c>
      <c r="S15" s="1483">
        <f>E36</f>
        <v>61479456315</v>
      </c>
      <c r="U15" s="1721">
        <f t="shared" si="7"/>
        <v>21290.231644</v>
      </c>
      <c r="V15" s="1721">
        <f t="shared" si="0"/>
        <v>33156.849820000003</v>
      </c>
      <c r="W15" s="1721">
        <f t="shared" si="1"/>
        <v>32209.744416000001</v>
      </c>
      <c r="X15" s="1721">
        <f t="shared" si="2"/>
        <v>50332.076616999999</v>
      </c>
      <c r="Y15" s="1721">
        <f t="shared" si="3"/>
        <v>60259.229023</v>
      </c>
      <c r="Z15" s="1721">
        <f t="shared" si="3"/>
        <v>61479.456315000003</v>
      </c>
    </row>
    <row r="16" spans="1:28" x14ac:dyDescent="0.3">
      <c r="A16" s="2164"/>
      <c r="B16" s="2164"/>
      <c r="C16" s="2164"/>
      <c r="D16" s="1457" t="s">
        <v>2892</v>
      </c>
      <c r="E16" s="1457" t="s">
        <v>2893</v>
      </c>
      <c r="F16" s="1457" t="s">
        <v>2894</v>
      </c>
      <c r="G16" s="1457" t="s">
        <v>2895</v>
      </c>
      <c r="H16" s="2164"/>
      <c r="I16" s="1717"/>
      <c r="J16" s="1717"/>
      <c r="L16" s="1481"/>
      <c r="M16" s="1476" t="s">
        <v>2906</v>
      </c>
      <c r="N16" s="1482">
        <f>F6</f>
        <v>6750528391</v>
      </c>
      <c r="O16" s="1482">
        <f>F12</f>
        <v>9903382901</v>
      </c>
      <c r="P16" s="1482">
        <f>F18</f>
        <v>12531267970</v>
      </c>
      <c r="Q16" s="1482">
        <f>F24</f>
        <v>14621496784</v>
      </c>
      <c r="R16" s="1482">
        <f>F30</f>
        <v>16446713977</v>
      </c>
      <c r="S16" s="1483">
        <f>F36</f>
        <v>15478762442</v>
      </c>
      <c r="U16" s="1721">
        <f t="shared" si="7"/>
        <v>6750.5283909999998</v>
      </c>
      <c r="V16" s="1721">
        <f t="shared" si="0"/>
        <v>9903.3829010000009</v>
      </c>
      <c r="W16" s="1721">
        <f t="shared" si="1"/>
        <v>12531.267970000001</v>
      </c>
      <c r="X16" s="1721">
        <f t="shared" si="2"/>
        <v>14621.496784000001</v>
      </c>
      <c r="Y16" s="1721">
        <f t="shared" si="3"/>
        <v>16446.713976999999</v>
      </c>
      <c r="Z16" s="1721">
        <f t="shared" si="3"/>
        <v>15478.762441999999</v>
      </c>
    </row>
    <row r="17" spans="1:26" x14ac:dyDescent="0.3">
      <c r="A17" s="2168" t="s">
        <v>2917</v>
      </c>
      <c r="B17" s="1484" t="s">
        <v>2908</v>
      </c>
      <c r="C17" s="1485">
        <f>IS!E9</f>
        <v>52687668978</v>
      </c>
      <c r="D17" s="1485">
        <f>원가명세서!M5</f>
        <v>15938098574</v>
      </c>
      <c r="E17" s="1485">
        <f>원가명세서!M14</f>
        <v>22867108027</v>
      </c>
      <c r="F17" s="1485">
        <f>원가명세서!M8</f>
        <v>8414110146</v>
      </c>
      <c r="G17" s="1485">
        <f>원가명세서!M17</f>
        <v>1801389299</v>
      </c>
      <c r="H17" s="1486">
        <f>C17-D17-E17-F17-G17</f>
        <v>3666962932</v>
      </c>
      <c r="I17" s="1718">
        <f>SUM(D17:G17)</f>
        <v>49020706046</v>
      </c>
      <c r="J17" s="1718">
        <f t="shared" ref="J17:J18" si="14">I17/1000000</f>
        <v>49020.706045999999</v>
      </c>
      <c r="L17" s="1481"/>
      <c r="M17" s="1476" t="s">
        <v>2907</v>
      </c>
      <c r="N17" s="1482">
        <f>G6</f>
        <v>1325090116</v>
      </c>
      <c r="O17" s="1482">
        <f>G12</f>
        <v>1718032938</v>
      </c>
      <c r="P17" s="1482">
        <f>G18</f>
        <v>2066622416</v>
      </c>
      <c r="Q17" s="1482">
        <f>G24</f>
        <v>2973972157</v>
      </c>
      <c r="R17" s="1482">
        <f>G30</f>
        <v>3121916213</v>
      </c>
      <c r="S17" s="1483">
        <f>G36</f>
        <v>3109105087</v>
      </c>
      <c r="U17" s="1721">
        <f t="shared" si="7"/>
        <v>1325.0901160000001</v>
      </c>
      <c r="V17" s="1721">
        <f t="shared" si="0"/>
        <v>1718.0329380000001</v>
      </c>
      <c r="W17" s="1721">
        <f t="shared" si="1"/>
        <v>2066.6224160000002</v>
      </c>
      <c r="X17" s="1721">
        <f t="shared" si="2"/>
        <v>2973.9721570000002</v>
      </c>
      <c r="Y17" s="1721">
        <f t="shared" si="3"/>
        <v>3121.916213</v>
      </c>
      <c r="Z17" s="1721">
        <f t="shared" si="3"/>
        <v>3109.1050869999999</v>
      </c>
    </row>
    <row r="18" spans="1:26" x14ac:dyDescent="0.3">
      <c r="A18" s="2162"/>
      <c r="B18" s="1491" t="s">
        <v>2902</v>
      </c>
      <c r="C18" s="1485">
        <f>IS!E10</f>
        <v>56695629685</v>
      </c>
      <c r="D18" s="1492">
        <f>원가명세서!E5</f>
        <v>0</v>
      </c>
      <c r="E18" s="1492">
        <f>원가명세서!E14</f>
        <v>32209744416</v>
      </c>
      <c r="F18" s="1492">
        <f>원가명세서!E8</f>
        <v>12531267970</v>
      </c>
      <c r="G18" s="1492">
        <f>원가명세서!E17</f>
        <v>2066622416</v>
      </c>
      <c r="H18" s="1492">
        <f>C18-D18-E18-F18-G18</f>
        <v>9887994883</v>
      </c>
      <c r="I18" s="1718">
        <f>SUM(D18:G18)</f>
        <v>46807634802</v>
      </c>
      <c r="J18" s="1718">
        <f t="shared" si="14"/>
        <v>46807.634802</v>
      </c>
      <c r="L18" s="1487"/>
      <c r="M18" s="1488" t="s">
        <v>2891</v>
      </c>
      <c r="N18" s="1489">
        <f>N12-N13</f>
        <v>10823579890</v>
      </c>
      <c r="O18" s="1489">
        <f t="shared" ref="O18:Q18" si="15">O12-O13</f>
        <v>9836840396</v>
      </c>
      <c r="P18" s="1489">
        <f t="shared" si="15"/>
        <v>9887994883</v>
      </c>
      <c r="Q18" s="1489">
        <f t="shared" si="15"/>
        <v>11735813757</v>
      </c>
      <c r="R18" s="1489">
        <f t="shared" ref="R18:S18" si="16">R12-R13</f>
        <v>11765938979</v>
      </c>
      <c r="S18" s="1490">
        <f t="shared" si="16"/>
        <v>15294736513</v>
      </c>
      <c r="U18" s="1721">
        <f t="shared" si="7"/>
        <v>10823.579890000001</v>
      </c>
      <c r="V18" s="1721">
        <f t="shared" si="0"/>
        <v>9836.8403959999996</v>
      </c>
      <c r="W18" s="1721">
        <f t="shared" si="1"/>
        <v>9887.9948829999994</v>
      </c>
      <c r="X18" s="1721">
        <f t="shared" si="2"/>
        <v>11735.813757</v>
      </c>
      <c r="Y18" s="1721">
        <f t="shared" si="3"/>
        <v>11765.938979</v>
      </c>
      <c r="Z18" s="1721">
        <f t="shared" si="3"/>
        <v>15294.736513</v>
      </c>
    </row>
    <row r="19" spans="1:26" s="141" customFormat="1" x14ac:dyDescent="0.3">
      <c r="A19" s="2163" t="s">
        <v>2903</v>
      </c>
      <c r="B19" s="2163"/>
      <c r="C19" s="1493">
        <f>SUM(C17:C18)</f>
        <v>109383298663</v>
      </c>
      <c r="D19" s="1493">
        <f>SUM(D17:D18)</f>
        <v>15938098574</v>
      </c>
      <c r="E19" s="1493">
        <f t="shared" ref="E19:G19" si="17">SUM(E17:E18)</f>
        <v>55076852443</v>
      </c>
      <c r="F19" s="1493">
        <f t="shared" si="17"/>
        <v>20945378116</v>
      </c>
      <c r="G19" s="1493">
        <f t="shared" si="17"/>
        <v>3868011715</v>
      </c>
      <c r="H19" s="1493">
        <f>SUM(H17:H18)</f>
        <v>13554957815</v>
      </c>
      <c r="I19" s="1720"/>
      <c r="J19" s="1720"/>
      <c r="M19" s="1495" t="s">
        <v>2025</v>
      </c>
      <c r="N19" s="1496">
        <f>IS!C8</f>
        <v>28667764768</v>
      </c>
      <c r="O19" s="1496">
        <f>IS!D8</f>
        <v>33818960225</v>
      </c>
      <c r="P19" s="1496">
        <f>IS!E8</f>
        <v>72895967909</v>
      </c>
      <c r="Q19" s="1496">
        <f>IS!F8</f>
        <v>71774780263</v>
      </c>
      <c r="R19" s="1496">
        <f>IS!G8</f>
        <v>69236768545</v>
      </c>
      <c r="S19" s="2041">
        <f>IS!H8</f>
        <v>43311994717</v>
      </c>
    </row>
    <row r="20" spans="1:26" x14ac:dyDescent="0.25">
      <c r="H20" s="1480" t="s">
        <v>2886</v>
      </c>
      <c r="I20" s="1480"/>
      <c r="J20" s="1480"/>
      <c r="M20" s="1495" t="s">
        <v>2919</v>
      </c>
      <c r="N20" s="1496">
        <f>IS!C12</f>
        <v>27235239343</v>
      </c>
      <c r="O20" s="1496">
        <f>IS!D12</f>
        <v>32097449906</v>
      </c>
      <c r="P20" s="1496">
        <f>IS!E12</f>
        <v>69812615934</v>
      </c>
      <c r="Q20" s="1496">
        <f>IS!F12</f>
        <v>69867514086</v>
      </c>
      <c r="R20" s="1496">
        <f>IS!G12</f>
        <v>67227543761</v>
      </c>
      <c r="S20" s="2041">
        <f>IS!H12</f>
        <v>41402707941</v>
      </c>
    </row>
    <row r="21" spans="1:26" x14ac:dyDescent="0.3">
      <c r="A21" s="2164" t="s">
        <v>2887</v>
      </c>
      <c r="B21" s="2164" t="s">
        <v>2888</v>
      </c>
      <c r="C21" s="2164" t="s">
        <v>2889</v>
      </c>
      <c r="D21" s="2165" t="s">
        <v>2890</v>
      </c>
      <c r="E21" s="2166"/>
      <c r="F21" s="2166"/>
      <c r="G21" s="2167"/>
      <c r="H21" s="2164" t="s">
        <v>2891</v>
      </c>
      <c r="I21" s="1717"/>
      <c r="J21" s="1717"/>
      <c r="L21" s="1494" t="s">
        <v>2913</v>
      </c>
      <c r="M21" s="1495" t="s">
        <v>2910</v>
      </c>
      <c r="N21" s="1496">
        <f>ROUND(N5+N12+N19-IS!C7,)</f>
        <v>0</v>
      </c>
      <c r="O21" s="1496">
        <f>ROUND(O5+O12+O19-IS!D7,)</f>
        <v>0</v>
      </c>
      <c r="P21" s="1496">
        <f>ROUND(P5+P12+P19-IS!E7,)</f>
        <v>0</v>
      </c>
      <c r="Q21" s="1496">
        <f>ROUND(Q5+Q12+Q19-IS!F7,)</f>
        <v>0</v>
      </c>
      <c r="R21" s="1496">
        <f>ROUND(R5+R12+R19-IS!G7,)</f>
        <v>0</v>
      </c>
      <c r="S21" s="2041">
        <f>ROUND(S5+S12+S19-IS!H7,)</f>
        <v>0</v>
      </c>
    </row>
    <row r="22" spans="1:26" x14ac:dyDescent="0.3">
      <c r="A22" s="2164"/>
      <c r="B22" s="2164"/>
      <c r="C22" s="2164"/>
      <c r="D22" s="1457" t="s">
        <v>2892</v>
      </c>
      <c r="E22" s="1457" t="s">
        <v>2893</v>
      </c>
      <c r="F22" s="1457" t="s">
        <v>2894</v>
      </c>
      <c r="G22" s="1457" t="s">
        <v>2895</v>
      </c>
      <c r="H22" s="2164"/>
      <c r="I22" s="1717"/>
      <c r="J22" s="1717"/>
      <c r="M22" s="1495" t="s">
        <v>2914</v>
      </c>
      <c r="N22" s="1497">
        <f>ROUND(N6+N13+N20-IS!C11,)</f>
        <v>0</v>
      </c>
      <c r="O22" s="1497">
        <f>ROUND(O6+O13+O20-IS!D11,)</f>
        <v>0</v>
      </c>
      <c r="P22" s="1497">
        <f>ROUND(P6+P13+P20-IS!E11,)</f>
        <v>0</v>
      </c>
      <c r="Q22" s="1497">
        <f>ROUND(Q6+Q13+Q20-IS!F11,)</f>
        <v>0</v>
      </c>
      <c r="R22" s="1497">
        <f>ROUND(R6+R13+R20-IS!G11,)</f>
        <v>0</v>
      </c>
      <c r="S22" s="2042">
        <f>ROUND(S6+S13+S20-IS!H11,)</f>
        <v>0</v>
      </c>
    </row>
    <row r="23" spans="1:26" x14ac:dyDescent="0.3">
      <c r="A23" s="2161" t="s">
        <v>2558</v>
      </c>
      <c r="B23" s="1484" t="s">
        <v>2908</v>
      </c>
      <c r="C23" s="1485">
        <f>IS!F9</f>
        <v>60245229019</v>
      </c>
      <c r="D23" s="1485">
        <f>원가명세서!N5</f>
        <v>16629557270</v>
      </c>
      <c r="E23" s="1485">
        <f>원가명세서!N14</f>
        <v>27675831128</v>
      </c>
      <c r="F23" s="1485">
        <f>원가명세서!N8</f>
        <v>9745237227</v>
      </c>
      <c r="G23" s="1485">
        <f>원가명세서!N17</f>
        <v>2183505447</v>
      </c>
      <c r="H23" s="1486">
        <f>C23-D23-E23-F23-G23</f>
        <v>4011097947</v>
      </c>
      <c r="I23" s="1718">
        <f>SUM(D23:G23)</f>
        <v>56234131072</v>
      </c>
      <c r="J23" s="1718">
        <f t="shared" ref="J23:J24" si="18">I23/1000000</f>
        <v>56234.131071999996</v>
      </c>
    </row>
    <row r="24" spans="1:26" x14ac:dyDescent="0.3">
      <c r="A24" s="2162"/>
      <c r="B24" s="1491" t="s">
        <v>2902</v>
      </c>
      <c r="C24" s="1485">
        <f>IS!F10</f>
        <v>79663359315</v>
      </c>
      <c r="D24" s="1492">
        <f>원가명세서!F5</f>
        <v>0</v>
      </c>
      <c r="E24" s="1492">
        <f>원가명세서!F14</f>
        <v>50332076617</v>
      </c>
      <c r="F24" s="1492">
        <f>원가명세서!F8</f>
        <v>14621496784</v>
      </c>
      <c r="G24" s="1492">
        <f>원가명세서!F17</f>
        <v>2973972157</v>
      </c>
      <c r="H24" s="1492">
        <f>C24-D24-E24-F24-G24</f>
        <v>11735813757</v>
      </c>
      <c r="I24" s="1718">
        <f>SUM(D24:G24)</f>
        <v>67927545558</v>
      </c>
      <c r="J24" s="1718">
        <f t="shared" si="18"/>
        <v>67927.545557999998</v>
      </c>
    </row>
    <row r="25" spans="1:26" s="141" customFormat="1" x14ac:dyDescent="0.3">
      <c r="A25" s="2163" t="s">
        <v>2903</v>
      </c>
      <c r="B25" s="2163"/>
      <c r="C25" s="1493">
        <f>SUM(C23:C24)</f>
        <v>139908588334</v>
      </c>
      <c r="D25" s="1493">
        <f>SUM(D23:D24)</f>
        <v>16629557270</v>
      </c>
      <c r="E25" s="1493">
        <f t="shared" ref="E25:H25" si="19">SUM(E23:E24)</f>
        <v>78007907745</v>
      </c>
      <c r="F25" s="1493">
        <f t="shared" si="19"/>
        <v>24366734011</v>
      </c>
      <c r="G25" s="1493">
        <f t="shared" si="19"/>
        <v>5157477604</v>
      </c>
      <c r="H25" s="1493">
        <f t="shared" si="19"/>
        <v>15746911704</v>
      </c>
      <c r="I25" s="1720"/>
      <c r="J25" s="1720"/>
    </row>
    <row r="26" spans="1:26" x14ac:dyDescent="0.25">
      <c r="H26" s="1480" t="s">
        <v>2886</v>
      </c>
      <c r="I26" s="1480"/>
      <c r="J26" s="1480"/>
      <c r="L26" s="1587" t="s">
        <v>2900</v>
      </c>
      <c r="M26" s="1588" t="s">
        <v>3757</v>
      </c>
    </row>
    <row r="27" spans="1:26" x14ac:dyDescent="0.3">
      <c r="A27" s="2164" t="s">
        <v>2887</v>
      </c>
      <c r="B27" s="2164" t="s">
        <v>2888</v>
      </c>
      <c r="C27" s="2164" t="s">
        <v>2889</v>
      </c>
      <c r="D27" s="2165" t="s">
        <v>2890</v>
      </c>
      <c r="E27" s="2166"/>
      <c r="F27" s="2166"/>
      <c r="G27" s="2167"/>
      <c r="H27" s="2164" t="s">
        <v>2891</v>
      </c>
      <c r="I27" s="1717"/>
      <c r="J27" s="1717"/>
      <c r="L27" s="1587"/>
      <c r="M27" s="1589" t="s">
        <v>2904</v>
      </c>
      <c r="N27" s="1591">
        <f>N7/N$6</f>
        <v>0.30236884631231087</v>
      </c>
      <c r="O27" s="1591">
        <f t="shared" ref="O27:R27" si="20">O7/O$6</f>
        <v>0.19310121429486996</v>
      </c>
      <c r="P27" s="1591">
        <f t="shared" si="20"/>
        <v>0.32512992691382336</v>
      </c>
      <c r="Q27" s="1591">
        <f t="shared" si="20"/>
        <v>0.29572000052260361</v>
      </c>
      <c r="R27" s="1591">
        <f t="shared" si="20"/>
        <v>0.45123133597056947</v>
      </c>
      <c r="S27" s="1591">
        <f t="shared" ref="S27" si="21">S7/S$6</f>
        <v>0.60127160353678466</v>
      </c>
    </row>
    <row r="28" spans="1:26" x14ac:dyDescent="0.3">
      <c r="A28" s="2164"/>
      <c r="B28" s="2164"/>
      <c r="C28" s="2164"/>
      <c r="D28" s="1457" t="s">
        <v>2892</v>
      </c>
      <c r="E28" s="1457" t="s">
        <v>2893</v>
      </c>
      <c r="F28" s="1457" t="s">
        <v>2894</v>
      </c>
      <c r="G28" s="1457" t="s">
        <v>2895</v>
      </c>
      <c r="H28" s="2164"/>
      <c r="I28" s="1717"/>
      <c r="J28" s="1717"/>
      <c r="L28" s="1587"/>
      <c r="M28" s="1589" t="s">
        <v>2905</v>
      </c>
      <c r="N28" s="1591">
        <f t="shared" ref="N28:R30" si="22">N8/N$6</f>
        <v>0.54476073256504887</v>
      </c>
      <c r="O28" s="1591">
        <f t="shared" si="22"/>
        <v>0.60978384295795751</v>
      </c>
      <c r="P28" s="1591">
        <f t="shared" si="22"/>
        <v>0.46647855307391917</v>
      </c>
      <c r="Q28" s="1591">
        <f t="shared" si="22"/>
        <v>0.49215361917062328</v>
      </c>
      <c r="R28" s="1591">
        <f t="shared" si="22"/>
        <v>0.41786982332909584</v>
      </c>
      <c r="S28" s="1591">
        <f t="shared" ref="S28" si="23">S8/S$6</f>
        <v>0.26760266868746907</v>
      </c>
    </row>
    <row r="29" spans="1:26" x14ac:dyDescent="0.3">
      <c r="A29" s="2161" t="s">
        <v>2916</v>
      </c>
      <c r="B29" s="1484" t="s">
        <v>2908</v>
      </c>
      <c r="C29" s="1485">
        <f>IS!G9</f>
        <v>90980180335</v>
      </c>
      <c r="D29" s="1485">
        <f>원가명세서!O5</f>
        <v>39088627035</v>
      </c>
      <c r="E29" s="1485">
        <f>원가명세서!O14</f>
        <v>36198633320</v>
      </c>
      <c r="F29" s="1485">
        <f>원가명세서!O8</f>
        <v>9052152489</v>
      </c>
      <c r="G29" s="1485">
        <f>원가명세서!O17</f>
        <v>2287166294</v>
      </c>
      <c r="H29" s="1486">
        <f>C29-D29-E29-F29-G29</f>
        <v>4353601197</v>
      </c>
      <c r="I29" s="1718">
        <f>SUM(D29:G29)</f>
        <v>86626579138</v>
      </c>
      <c r="J29" s="1718">
        <f t="shared" ref="J29:J30" si="24">I29/1000000</f>
        <v>86626.579138000001</v>
      </c>
      <c r="L29" s="1590"/>
      <c r="M29" s="1589" t="s">
        <v>1892</v>
      </c>
      <c r="N29" s="1591">
        <f t="shared" si="22"/>
        <v>0.11739757299811936</v>
      </c>
      <c r="O29" s="1591">
        <f t="shared" si="22"/>
        <v>0.15461976114390344</v>
      </c>
      <c r="P29" s="1591">
        <f t="shared" si="22"/>
        <v>0.17164400157974827</v>
      </c>
      <c r="Q29" s="1591">
        <f t="shared" si="22"/>
        <v>0.17329755152653781</v>
      </c>
      <c r="R29" s="1591">
        <f t="shared" si="22"/>
        <v>0.10449624790769491</v>
      </c>
      <c r="S29" s="1591">
        <f t="shared" ref="S29" si="25">S9/S$6</f>
        <v>0.10063345486664424</v>
      </c>
    </row>
    <row r="30" spans="1:26" x14ac:dyDescent="0.3">
      <c r="A30" s="2162"/>
      <c r="B30" s="1491" t="s">
        <v>2902</v>
      </c>
      <c r="C30" s="1485">
        <f>IS!G10</f>
        <v>91593798192</v>
      </c>
      <c r="D30" s="1492">
        <f>원가명세서!G5</f>
        <v>0</v>
      </c>
      <c r="E30" s="1492">
        <f>원가명세서!G14</f>
        <v>60259229023</v>
      </c>
      <c r="F30" s="1492">
        <f>원가명세서!G8</f>
        <v>16446713977</v>
      </c>
      <c r="G30" s="1492">
        <f>원가명세서!G17</f>
        <v>3121916213</v>
      </c>
      <c r="H30" s="1492">
        <f>C30-D30-E30-F30-G30</f>
        <v>11765938979</v>
      </c>
      <c r="I30" s="1718">
        <f>SUM(D30:G30)</f>
        <v>79827859213</v>
      </c>
      <c r="J30" s="1718">
        <f t="shared" si="24"/>
        <v>79827.859213000003</v>
      </c>
      <c r="L30" s="1590"/>
      <c r="M30" s="1589" t="s">
        <v>2907</v>
      </c>
      <c r="N30" s="1591">
        <f t="shared" si="22"/>
        <v>3.5472848124520867E-2</v>
      </c>
      <c r="O30" s="1591">
        <f t="shared" si="22"/>
        <v>4.2495181603269039E-2</v>
      </c>
      <c r="P30" s="1591">
        <f t="shared" si="22"/>
        <v>3.6747518432509195E-2</v>
      </c>
      <c r="Q30" s="1591">
        <f t="shared" si="22"/>
        <v>3.8828828780235337E-2</v>
      </c>
      <c r="R30" s="1591">
        <f t="shared" si="22"/>
        <v>2.64025927926398E-2</v>
      </c>
      <c r="S30" s="1591">
        <f t="shared" ref="S30" si="26">S10/S$6</f>
        <v>3.0492272909102031E-2</v>
      </c>
    </row>
    <row r="31" spans="1:26" x14ac:dyDescent="0.3">
      <c r="A31" s="2163" t="s">
        <v>2903</v>
      </c>
      <c r="B31" s="2163"/>
      <c r="C31" s="1493">
        <f>SUM(C29:C30)</f>
        <v>182573978527</v>
      </c>
      <c r="D31" s="1493">
        <f>SUM(D29:D30)</f>
        <v>39088627035</v>
      </c>
      <c r="E31" s="1493">
        <f t="shared" ref="E31:H31" si="27">SUM(E29:E30)</f>
        <v>96457862343</v>
      </c>
      <c r="F31" s="1493">
        <f t="shared" si="27"/>
        <v>25498866466</v>
      </c>
      <c r="G31" s="1493">
        <f t="shared" si="27"/>
        <v>5409082507</v>
      </c>
      <c r="H31" s="1493">
        <f t="shared" si="27"/>
        <v>16119540176</v>
      </c>
      <c r="I31" s="1720"/>
      <c r="J31" s="1720"/>
      <c r="L31" s="1590"/>
    </row>
    <row r="32" spans="1:26" x14ac:dyDescent="0.3">
      <c r="L32" s="1587" t="s">
        <v>2909</v>
      </c>
      <c r="M32" s="1588" t="s">
        <v>3757</v>
      </c>
    </row>
    <row r="33" spans="1:19" x14ac:dyDescent="0.3">
      <c r="A33" s="2164" t="s">
        <v>2887</v>
      </c>
      <c r="B33" s="2164" t="s">
        <v>2888</v>
      </c>
      <c r="C33" s="2164" t="s">
        <v>71</v>
      </c>
      <c r="D33" s="2165" t="s">
        <v>158</v>
      </c>
      <c r="E33" s="2166"/>
      <c r="F33" s="2166"/>
      <c r="G33" s="2167"/>
      <c r="H33" s="2164" t="s">
        <v>2891</v>
      </c>
      <c r="I33" s="1717"/>
      <c r="J33" s="1717"/>
      <c r="M33" s="1589" t="s">
        <v>2904</v>
      </c>
      <c r="N33" s="1591">
        <f>N14/N$13</f>
        <v>0</v>
      </c>
      <c r="O33" s="1591">
        <f t="shared" ref="O33:R33" si="28">O14/O$13</f>
        <v>0</v>
      </c>
      <c r="P33" s="1591">
        <f t="shared" si="28"/>
        <v>0</v>
      </c>
      <c r="Q33" s="1591">
        <f t="shared" si="28"/>
        <v>0</v>
      </c>
      <c r="R33" s="1591">
        <f t="shared" si="28"/>
        <v>0</v>
      </c>
      <c r="S33" s="1591">
        <f t="shared" ref="S33" si="29">S14/S$13</f>
        <v>0</v>
      </c>
    </row>
    <row r="34" spans="1:19" x14ac:dyDescent="0.3">
      <c r="A34" s="2164"/>
      <c r="B34" s="2164"/>
      <c r="C34" s="2164"/>
      <c r="D34" s="2040" t="s">
        <v>2892</v>
      </c>
      <c r="E34" s="2040" t="s">
        <v>2893</v>
      </c>
      <c r="F34" s="2040" t="s">
        <v>2894</v>
      </c>
      <c r="G34" s="2040" t="s">
        <v>2895</v>
      </c>
      <c r="H34" s="2164"/>
      <c r="I34" s="1717"/>
      <c r="J34" s="1717"/>
      <c r="M34" s="1589" t="s">
        <v>2905</v>
      </c>
      <c r="N34" s="1591">
        <f t="shared" ref="N34:R34" si="30">N15/N$13</f>
        <v>0.72499966915737324</v>
      </c>
      <c r="O34" s="1591">
        <f t="shared" si="30"/>
        <v>0.74046748644754157</v>
      </c>
      <c r="P34" s="1591">
        <f t="shared" si="30"/>
        <v>0.68813014270534645</v>
      </c>
      <c r="Q34" s="1591">
        <f t="shared" si="30"/>
        <v>0.7409671025729011</v>
      </c>
      <c r="R34" s="1591">
        <f t="shared" si="30"/>
        <v>0.75486465022460181</v>
      </c>
      <c r="S34" s="1591">
        <f t="shared" ref="S34" si="31">S15/S$13</f>
        <v>0.76784702377194647</v>
      </c>
    </row>
    <row r="35" spans="1:19" x14ac:dyDescent="0.3">
      <c r="A35" s="2161" t="s">
        <v>4561</v>
      </c>
      <c r="B35" s="1484" t="s">
        <v>2908</v>
      </c>
      <c r="C35" s="1485">
        <f>IS!H9</f>
        <v>76214068413</v>
      </c>
      <c r="D35" s="1485">
        <f>원가명세서!P6</f>
        <v>43278918266</v>
      </c>
      <c r="E35" s="1485">
        <f>원가명세서!P15</f>
        <v>19261767823</v>
      </c>
      <c r="F35" s="1485">
        <f>원가명세서!P8</f>
        <v>7243493693</v>
      </c>
      <c r="G35" s="1485">
        <f>원가명세서!P17</f>
        <v>2194802780</v>
      </c>
      <c r="H35" s="1486">
        <f>C35-D35-E35-F35-G35</f>
        <v>4235085851</v>
      </c>
      <c r="I35" s="1718">
        <f>SUM(D35:G35)</f>
        <v>71978982562</v>
      </c>
      <c r="J35" s="1718">
        <f t="shared" ref="J35:J36" si="32">I35/1000000</f>
        <v>71978.982562000005</v>
      </c>
      <c r="M35" s="1589" t="s">
        <v>1892</v>
      </c>
      <c r="N35" s="1591">
        <f t="shared" ref="N35:R35" si="33">N16/N$13</f>
        <v>0.22987682482504676</v>
      </c>
      <c r="O35" s="1591">
        <f t="shared" si="33"/>
        <v>0.22116495034482236</v>
      </c>
      <c r="P35" s="1591">
        <f t="shared" si="33"/>
        <v>0.26771846137939365</v>
      </c>
      <c r="Q35" s="1591">
        <f t="shared" si="33"/>
        <v>0.21525136325609501</v>
      </c>
      <c r="R35" s="1591">
        <f t="shared" si="33"/>
        <v>0.2060272458655843</v>
      </c>
      <c r="S35" s="1591">
        <f t="shared" ref="S35" si="34">S16/S$13</f>
        <v>0.19332184090676249</v>
      </c>
    </row>
    <row r="36" spans="1:19" x14ac:dyDescent="0.3">
      <c r="A36" s="2162"/>
      <c r="B36" s="1491" t="s">
        <v>2902</v>
      </c>
      <c r="C36" s="1485">
        <f>IS!H10</f>
        <v>95362060357</v>
      </c>
      <c r="D36" s="1492">
        <f>원가명세서!H6</f>
        <v>0</v>
      </c>
      <c r="E36" s="1492">
        <f>원가명세서!H15</f>
        <v>61479456315</v>
      </c>
      <c r="F36" s="1492">
        <f>원가명세서!H8</f>
        <v>15478762442</v>
      </c>
      <c r="G36" s="1492">
        <f>원가명세서!H17</f>
        <v>3109105087</v>
      </c>
      <c r="H36" s="1492">
        <f>C36-D36-E36-F36-G36</f>
        <v>15294736513</v>
      </c>
      <c r="I36" s="1718">
        <f>SUM(D36:G36)</f>
        <v>80067323844</v>
      </c>
      <c r="J36" s="1718">
        <f t="shared" si="32"/>
        <v>80067.323843999999</v>
      </c>
      <c r="M36" s="1589" t="s">
        <v>2907</v>
      </c>
      <c r="N36" s="1591">
        <f t="shared" ref="N36:R36" si="35">N17/N$13</f>
        <v>4.5123506017579966E-2</v>
      </c>
      <c r="O36" s="1591">
        <f t="shared" si="35"/>
        <v>3.836756320763602E-2</v>
      </c>
      <c r="P36" s="1591">
        <f t="shared" si="35"/>
        <v>4.4151395915259899E-2</v>
      </c>
      <c r="Q36" s="1591">
        <f t="shared" si="35"/>
        <v>4.3781534171003882E-2</v>
      </c>
      <c r="R36" s="1591">
        <f t="shared" si="35"/>
        <v>3.9108103909813917E-2</v>
      </c>
      <c r="S36" s="1591">
        <f t="shared" ref="S36" si="36">S17/S$13</f>
        <v>3.883113532129108E-2</v>
      </c>
    </row>
    <row r="37" spans="1:19" x14ac:dyDescent="0.3">
      <c r="A37" s="2163" t="s">
        <v>2502</v>
      </c>
      <c r="B37" s="2163"/>
      <c r="C37" s="1493">
        <f>SUM(C35:C36)</f>
        <v>171576128770</v>
      </c>
      <c r="D37" s="1493">
        <f>SUM(D35:D36)</f>
        <v>43278918266</v>
      </c>
      <c r="E37" s="1493">
        <f t="shared" ref="E37:H37" si="37">SUM(E35:E36)</f>
        <v>80741224138</v>
      </c>
      <c r="F37" s="1493">
        <f t="shared" si="37"/>
        <v>22722256135</v>
      </c>
      <c r="G37" s="1493">
        <f t="shared" si="37"/>
        <v>5303907867</v>
      </c>
      <c r="H37" s="1493">
        <f t="shared" si="37"/>
        <v>19529822364</v>
      </c>
      <c r="I37" s="1720"/>
      <c r="J37" s="1720"/>
    </row>
    <row r="40" spans="1:19" x14ac:dyDescent="0.3">
      <c r="L40" s="1587" t="s">
        <v>2900</v>
      </c>
      <c r="M40" s="1588" t="s">
        <v>4602</v>
      </c>
    </row>
    <row r="41" spans="1:19" x14ac:dyDescent="0.3">
      <c r="L41" s="1587"/>
      <c r="M41" s="1589" t="s">
        <v>2904</v>
      </c>
      <c r="N41" s="1591">
        <f>N7/N$5</f>
        <v>0.2757751178318914</v>
      </c>
      <c r="O41" s="1591">
        <f t="shared" ref="O41:S41" si="38">O7/O$5</f>
        <v>0.17990672465712793</v>
      </c>
      <c r="P41" s="1591">
        <f t="shared" si="38"/>
        <v>0.30250149386291947</v>
      </c>
      <c r="Q41" s="1591">
        <f t="shared" si="38"/>
        <v>0.27603110720610602</v>
      </c>
      <c r="R41" s="1591">
        <f t="shared" si="38"/>
        <v>0.42963892675383758</v>
      </c>
      <c r="S41" s="1591">
        <f t="shared" si="38"/>
        <v>0.56785996558370078</v>
      </c>
    </row>
    <row r="42" spans="1:19" x14ac:dyDescent="0.3">
      <c r="L42" s="1587"/>
      <c r="M42" s="1589" t="s">
        <v>2905</v>
      </c>
      <c r="N42" s="1591">
        <f t="shared" ref="N42:S42" si="39">N8/N$5</f>
        <v>0.49684832629265879</v>
      </c>
      <c r="O42" s="1591">
        <f t="shared" si="39"/>
        <v>0.56811768033670551</v>
      </c>
      <c r="P42" s="1591">
        <f t="shared" si="39"/>
        <v>0.43401252077688757</v>
      </c>
      <c r="Q42" s="1591">
        <f t="shared" si="39"/>
        <v>0.45938627138875449</v>
      </c>
      <c r="R42" s="1591">
        <f t="shared" si="39"/>
        <v>0.39787383567181628</v>
      </c>
      <c r="S42" s="1591">
        <f t="shared" si="39"/>
        <v>0.25273244460092986</v>
      </c>
    </row>
    <row r="43" spans="1:19" x14ac:dyDescent="0.3">
      <c r="L43" s="1590"/>
      <c r="M43" s="1589" t="s">
        <v>1892</v>
      </c>
      <c r="N43" s="1591">
        <f t="shared" ref="N43:S43" si="40">N9/N$5</f>
        <v>0.10707230563460428</v>
      </c>
      <c r="O43" s="1591">
        <f t="shared" si="40"/>
        <v>0.14405468601657637</v>
      </c>
      <c r="P43" s="1591">
        <f t="shared" si="40"/>
        <v>0.15969790103094814</v>
      </c>
      <c r="Q43" s="1591">
        <f t="shared" si="40"/>
        <v>0.16175948511917135</v>
      </c>
      <c r="R43" s="1591">
        <f t="shared" si="40"/>
        <v>9.9495873229409768E-2</v>
      </c>
      <c r="S43" s="1591">
        <f t="shared" si="40"/>
        <v>9.504142534089495E-2</v>
      </c>
    </row>
    <row r="44" spans="1:19" x14ac:dyDescent="0.3">
      <c r="L44" s="1590"/>
      <c r="M44" s="1589" t="s">
        <v>2907</v>
      </c>
      <c r="N44" s="1591">
        <f t="shared" ref="N44:S44" si="41">N10/N$5</f>
        <v>3.2352965560705771E-2</v>
      </c>
      <c r="O44" s="1591">
        <f t="shared" si="41"/>
        <v>3.9591511445803876E-2</v>
      </c>
      <c r="P44" s="1591">
        <f t="shared" si="41"/>
        <v>3.4189960078745925E-2</v>
      </c>
      <c r="Q44" s="1591">
        <f t="shared" si="41"/>
        <v>3.6243624309426577E-2</v>
      </c>
      <c r="R44" s="1591">
        <f t="shared" si="41"/>
        <v>2.5139170812570142E-2</v>
      </c>
      <c r="S44" s="1591">
        <f t="shared" si="41"/>
        <v>2.8797869287156802E-2</v>
      </c>
    </row>
    <row r="45" spans="1:19" x14ac:dyDescent="0.3">
      <c r="L45" s="1590"/>
    </row>
    <row r="46" spans="1:19" x14ac:dyDescent="0.3">
      <c r="L46" s="1587" t="s">
        <v>2909</v>
      </c>
      <c r="M46" s="1588" t="s">
        <v>4602</v>
      </c>
    </row>
    <row r="47" spans="1:19" x14ac:dyDescent="0.3">
      <c r="M47" s="1589" t="s">
        <v>2904</v>
      </c>
      <c r="N47" s="1591">
        <f>N14/N$12</f>
        <v>0</v>
      </c>
      <c r="O47" s="1591">
        <f t="shared" ref="O47:S47" si="42">O14/O$12</f>
        <v>0</v>
      </c>
      <c r="P47" s="1591">
        <f t="shared" si="42"/>
        <v>0</v>
      </c>
      <c r="Q47" s="1591">
        <f t="shared" si="42"/>
        <v>0</v>
      </c>
      <c r="R47" s="1591">
        <f t="shared" si="42"/>
        <v>0</v>
      </c>
      <c r="S47" s="1591">
        <f t="shared" si="42"/>
        <v>0</v>
      </c>
    </row>
    <row r="48" spans="1:19" x14ac:dyDescent="0.3">
      <c r="M48" s="1589" t="s">
        <v>2905</v>
      </c>
      <c r="N48" s="1591">
        <f t="shared" ref="N48:S48" si="43">N15/N$12</f>
        <v>0.52974704100755776</v>
      </c>
      <c r="O48" s="1591">
        <f t="shared" si="43"/>
        <v>0.60710034668081536</v>
      </c>
      <c r="P48" s="1591">
        <f t="shared" si="43"/>
        <v>0.56811688299357144</v>
      </c>
      <c r="Q48" s="1591">
        <f t="shared" si="43"/>
        <v>0.63180961799489233</v>
      </c>
      <c r="R48" s="1591">
        <f t="shared" si="43"/>
        <v>0.6578963883196971</v>
      </c>
      <c r="S48" s="1591">
        <f t="shared" si="43"/>
        <v>0.6446951343631192</v>
      </c>
    </row>
    <row r="49" spans="13:19" x14ac:dyDescent="0.3">
      <c r="M49" s="1589" t="s">
        <v>1892</v>
      </c>
      <c r="N49" s="1591">
        <f t="shared" ref="N49:S49" si="44">N16/N$12</f>
        <v>0.16796775630093091</v>
      </c>
      <c r="O49" s="1591">
        <f t="shared" si="44"/>
        <v>0.18133047093283722</v>
      </c>
      <c r="P49" s="1591">
        <f t="shared" si="44"/>
        <v>0.22102705340117962</v>
      </c>
      <c r="Q49" s="1591">
        <f t="shared" si="44"/>
        <v>0.18354105211888652</v>
      </c>
      <c r="R49" s="1591">
        <f t="shared" si="44"/>
        <v>0.17956143649075676</v>
      </c>
      <c r="S49" s="1591">
        <f t="shared" si="44"/>
        <v>0.162315730008908</v>
      </c>
    </row>
    <row r="50" spans="13:19" x14ac:dyDescent="0.3">
      <c r="M50" s="1589" t="s">
        <v>2907</v>
      </c>
      <c r="N50" s="1591">
        <f t="shared" ref="N50:S50" si="45">N17/N$12</f>
        <v>3.2971109932342521E-2</v>
      </c>
      <c r="O50" s="1591">
        <f t="shared" si="45"/>
        <v>3.145710156215497E-2</v>
      </c>
      <c r="P50" s="1591">
        <f t="shared" si="45"/>
        <v>3.6451176704132587E-2</v>
      </c>
      <c r="Q50" s="1591">
        <f t="shared" si="45"/>
        <v>3.7331744262007589E-2</v>
      </c>
      <c r="R50" s="1591">
        <f t="shared" si="45"/>
        <v>3.4084362419994879E-2</v>
      </c>
      <c r="S50" s="1591">
        <f t="shared" si="45"/>
        <v>3.2603166032284428E-2</v>
      </c>
    </row>
  </sheetData>
  <mergeCells count="43">
    <mergeCell ref="I3:I4"/>
    <mergeCell ref="H9:H10"/>
    <mergeCell ref="A3:A4"/>
    <mergeCell ref="B3:B4"/>
    <mergeCell ref="C3:C4"/>
    <mergeCell ref="D3:G3"/>
    <mergeCell ref="H3:H4"/>
    <mergeCell ref="A7:B7"/>
    <mergeCell ref="A9:A10"/>
    <mergeCell ref="B9:B10"/>
    <mergeCell ref="C9:C10"/>
    <mergeCell ref="D9:G9"/>
    <mergeCell ref="A5:A6"/>
    <mergeCell ref="H15:H16"/>
    <mergeCell ref="A17:A18"/>
    <mergeCell ref="A19:B19"/>
    <mergeCell ref="A21:A22"/>
    <mergeCell ref="B21:B22"/>
    <mergeCell ref="C21:C22"/>
    <mergeCell ref="D21:G21"/>
    <mergeCell ref="H21:H22"/>
    <mergeCell ref="A15:A16"/>
    <mergeCell ref="B15:B16"/>
    <mergeCell ref="C15:C16"/>
    <mergeCell ref="D15:G15"/>
    <mergeCell ref="A23:A24"/>
    <mergeCell ref="A25:B25"/>
    <mergeCell ref="A27:A28"/>
    <mergeCell ref="B27:B28"/>
    <mergeCell ref="A11:A12"/>
    <mergeCell ref="A13:B13"/>
    <mergeCell ref="D33:G33"/>
    <mergeCell ref="H33:H34"/>
    <mergeCell ref="H27:H28"/>
    <mergeCell ref="A29:A30"/>
    <mergeCell ref="A31:B31"/>
    <mergeCell ref="C27:C28"/>
    <mergeCell ref="D27:G27"/>
    <mergeCell ref="A35:A36"/>
    <mergeCell ref="A37:B37"/>
    <mergeCell ref="A33:A34"/>
    <mergeCell ref="B33:B34"/>
    <mergeCell ref="C33:C34"/>
  </mergeCells>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4">
    <tabColor rgb="FF000000"/>
  </sheetPr>
  <dimension ref="A1"/>
  <sheetViews>
    <sheetView showGridLines="0" workbookViewId="0"/>
  </sheetViews>
  <sheetFormatPr defaultRowHeight="16.5" x14ac:dyDescent="0.3"/>
  <cols>
    <col min="1" max="16384" width="9" style="142"/>
  </cols>
  <sheetData/>
  <phoneticPr fontId="1"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2"/>
  <sheetViews>
    <sheetView topLeftCell="A53" zoomScale="85" zoomScaleNormal="85" workbookViewId="0">
      <selection activeCell="O77" sqref="O77"/>
    </sheetView>
  </sheetViews>
  <sheetFormatPr defaultRowHeight="16.5" outlineLevelCol="1" x14ac:dyDescent="0.3"/>
  <cols>
    <col min="1" max="1" width="1.25" style="1039" customWidth="1"/>
    <col min="2" max="2" width="20.875" style="1039" customWidth="1"/>
    <col min="3" max="3" width="14.5" style="1039" customWidth="1" outlineLevel="1"/>
    <col min="4" max="4" width="14" style="1039" customWidth="1" outlineLevel="1"/>
    <col min="5" max="5" width="14.25" style="1039" customWidth="1" outlineLevel="1"/>
    <col min="6" max="6" width="14.125" style="1039" customWidth="1" outlineLevel="1"/>
    <col min="7" max="8" width="14.375" style="1039" customWidth="1" outlineLevel="1"/>
    <col min="9" max="9" width="2.625" style="1039" customWidth="1"/>
    <col min="10" max="15" width="9.875" style="1039" customWidth="1"/>
    <col min="16" max="17" width="1.625" style="1039" customWidth="1"/>
    <col min="18" max="22" width="14.625" style="1039" customWidth="1" outlineLevel="1"/>
    <col min="23" max="23" width="1.625" style="1039" customWidth="1" outlineLevel="1"/>
    <col min="24" max="24" width="13.625" style="1039" bestFit="1" customWidth="1"/>
    <col min="25" max="16384" width="9" style="1039"/>
  </cols>
  <sheetData>
    <row r="1" spans="1:22" s="1065" customFormat="1" ht="27" customHeight="1" x14ac:dyDescent="0.3">
      <c r="A1" s="1100"/>
      <c r="B1" s="1041" t="str">
        <f>"Project"&amp;" "&amp;Title!L6</f>
        <v>Project IT</v>
      </c>
      <c r="C1" s="1041"/>
      <c r="D1" s="1042"/>
      <c r="E1" s="1042"/>
      <c r="F1" s="1042"/>
      <c r="G1" s="1043"/>
      <c r="H1" s="1043" t="str">
        <f>[114]Des!$C$12</f>
        <v>DRAFT - For Discussion Purposes Only</v>
      </c>
      <c r="J1" s="1042"/>
      <c r="K1" s="1042"/>
      <c r="L1" s="1042"/>
      <c r="M1" s="1042"/>
      <c r="N1" s="1043"/>
      <c r="O1" s="1043" t="str">
        <f>[114]Des!$C$12</f>
        <v>DRAFT - For Discussion Purposes Only</v>
      </c>
      <c r="R1" s="1043"/>
      <c r="S1" s="1043"/>
      <c r="T1" s="1043"/>
      <c r="U1" s="1043"/>
      <c r="V1" s="1043"/>
    </row>
    <row r="2" spans="1:22" s="1065" customFormat="1" ht="21" customHeight="1" x14ac:dyDescent="0.3">
      <c r="A2" s="1101"/>
      <c r="B2" s="1044" t="s">
        <v>1945</v>
      </c>
      <c r="C2" s="1044"/>
      <c r="D2" s="1044"/>
      <c r="E2" s="1044"/>
      <c r="F2" s="1044"/>
      <c r="G2" s="1044"/>
      <c r="H2" s="1044"/>
      <c r="J2" s="1044"/>
      <c r="K2" s="1044"/>
      <c r="L2" s="1044"/>
      <c r="M2" s="1044"/>
      <c r="N2" s="1044"/>
      <c r="O2" s="1044"/>
      <c r="R2" s="1044"/>
      <c r="S2" s="1044"/>
      <c r="T2" s="1044"/>
      <c r="U2" s="1044"/>
      <c r="V2" s="1044"/>
    </row>
    <row r="3" spans="1:22" s="1065" customFormat="1" ht="18.75" customHeight="1" x14ac:dyDescent="0.25">
      <c r="A3" s="1059"/>
      <c r="B3" s="1060"/>
      <c r="C3" s="1060"/>
      <c r="D3" s="1059"/>
      <c r="E3" s="1059"/>
      <c r="F3" s="1061"/>
      <c r="G3" s="1063" t="s">
        <v>1946</v>
      </c>
      <c r="H3" s="1063" t="s">
        <v>1946</v>
      </c>
      <c r="J3" s="1059"/>
      <c r="K3" s="1059"/>
      <c r="L3" s="1059"/>
      <c r="M3" s="1061"/>
      <c r="N3" s="1063" t="str">
        <f>unit</f>
        <v>KRW Millions</v>
      </c>
      <c r="O3" s="1063" t="str">
        <f>unit</f>
        <v>KRW Millions</v>
      </c>
      <c r="R3" s="1063"/>
      <c r="S3" s="1063"/>
      <c r="T3" s="1063"/>
      <c r="U3" s="1063"/>
      <c r="V3" s="1063"/>
    </row>
    <row r="4" spans="1:22" s="1065" customFormat="1" ht="13.5" x14ac:dyDescent="0.3">
      <c r="B4" s="2169" t="s">
        <v>1874</v>
      </c>
      <c r="C4" s="1045" t="s">
        <v>2002</v>
      </c>
      <c r="D4" s="1045" t="s">
        <v>1863</v>
      </c>
      <c r="E4" s="1045" t="s">
        <v>1864</v>
      </c>
      <c r="F4" s="1045" t="s">
        <v>1865</v>
      </c>
      <c r="G4" s="1045" t="s">
        <v>1866</v>
      </c>
      <c r="H4" s="1045" t="s">
        <v>4560</v>
      </c>
      <c r="I4" s="1102"/>
      <c r="J4" s="1115" t="s">
        <v>2002</v>
      </c>
      <c r="K4" s="1115" t="s">
        <v>1863</v>
      </c>
      <c r="L4" s="1115" t="s">
        <v>1864</v>
      </c>
      <c r="M4" s="1115" t="s">
        <v>1865</v>
      </c>
      <c r="N4" s="1115" t="s">
        <v>1866</v>
      </c>
      <c r="O4" s="1045" t="s">
        <v>4560</v>
      </c>
      <c r="P4" s="1102"/>
      <c r="R4" s="1117" t="s">
        <v>1947</v>
      </c>
      <c r="S4" s="1117"/>
      <c r="T4" s="1117"/>
      <c r="U4" s="1117"/>
      <c r="V4" s="1117"/>
    </row>
    <row r="5" spans="1:22" s="1065" customFormat="1" ht="13.5" x14ac:dyDescent="0.3">
      <c r="B5" s="2170"/>
      <c r="C5" s="1045" t="s">
        <v>1867</v>
      </c>
      <c r="D5" s="1045" t="s">
        <v>1867</v>
      </c>
      <c r="E5" s="1045" t="s">
        <v>1867</v>
      </c>
      <c r="F5" s="1045" t="s">
        <v>1867</v>
      </c>
      <c r="G5" s="1045" t="s">
        <v>1867</v>
      </c>
      <c r="H5" s="1114"/>
      <c r="I5" s="1102"/>
      <c r="J5" s="1115" t="s">
        <v>1867</v>
      </c>
      <c r="K5" s="1115" t="s">
        <v>1867</v>
      </c>
      <c r="L5" s="1115" t="s">
        <v>1867</v>
      </c>
      <c r="M5" s="1115" t="s">
        <v>1867</v>
      </c>
      <c r="N5" s="1115" t="s">
        <v>1867</v>
      </c>
      <c r="O5" s="1116"/>
      <c r="P5" s="1102"/>
      <c r="R5" s="1046" t="s">
        <v>1880</v>
      </c>
      <c r="S5" s="1118" t="s">
        <v>1881</v>
      </c>
      <c r="T5" s="1118"/>
      <c r="U5" s="1118" t="s">
        <v>1882</v>
      </c>
      <c r="V5" s="1118" t="s">
        <v>706</v>
      </c>
    </row>
    <row r="6" spans="1:22" s="1065" customFormat="1" ht="13.5" x14ac:dyDescent="0.3">
      <c r="B6" s="2170"/>
      <c r="C6" s="1047" t="s">
        <v>1936</v>
      </c>
      <c r="D6" s="1047" t="s">
        <v>1936</v>
      </c>
      <c r="E6" s="1047" t="s">
        <v>1936</v>
      </c>
      <c r="F6" s="1047" t="s">
        <v>1936</v>
      </c>
      <c r="G6" s="1047" t="s">
        <v>1868</v>
      </c>
      <c r="H6" s="1047" t="s">
        <v>2830</v>
      </c>
      <c r="I6" s="1102"/>
      <c r="J6" s="1047" t="s">
        <v>1868</v>
      </c>
      <c r="K6" s="1047" t="s">
        <v>1868</v>
      </c>
      <c r="L6" s="1047" t="s">
        <v>1868</v>
      </c>
      <c r="M6" s="1047" t="s">
        <v>1868</v>
      </c>
      <c r="N6" s="1047" t="s">
        <v>1868</v>
      </c>
      <c r="O6" s="1047" t="s">
        <v>2830</v>
      </c>
      <c r="P6" s="1102"/>
      <c r="R6" s="1048"/>
      <c r="S6" s="1048" t="s">
        <v>1883</v>
      </c>
      <c r="T6" s="1048" t="s">
        <v>1884</v>
      </c>
      <c r="U6" s="1048"/>
      <c r="V6" s="1048"/>
    </row>
    <row r="7" spans="1:22" s="1102" customFormat="1" ht="13.5" x14ac:dyDescent="0.3">
      <c r="B7" s="1109" t="s">
        <v>1937</v>
      </c>
      <c r="C7" s="1109"/>
      <c r="D7" s="1109"/>
      <c r="E7" s="1109"/>
      <c r="F7" s="1110"/>
      <c r="G7" s="1111"/>
      <c r="H7" s="1111"/>
      <c r="J7" s="1109"/>
      <c r="K7" s="1109"/>
      <c r="L7" s="1109"/>
      <c r="M7" s="1110"/>
      <c r="N7" s="1111"/>
      <c r="O7" s="1111"/>
      <c r="R7" s="1112"/>
      <c r="S7" s="1113"/>
      <c r="T7" s="1112"/>
      <c r="U7" s="1113"/>
      <c r="V7" s="1113"/>
    </row>
    <row r="8" spans="1:22" s="1065" customFormat="1" ht="13.5" x14ac:dyDescent="0.3">
      <c r="B8" s="1071" t="s">
        <v>94</v>
      </c>
      <c r="C8" s="1051">
        <f>C9+C10+C11+C14+C19+C22</f>
        <v>40937203365</v>
      </c>
      <c r="D8" s="1051">
        <f>D9+D10+D11+D14+D19+D22</f>
        <v>37087359324</v>
      </c>
      <c r="E8" s="1051">
        <f t="shared" ref="E8:H8" si="0">E9+E10+E11+E14+E19+E22</f>
        <v>69641040727</v>
      </c>
      <c r="F8" s="1051">
        <f t="shared" si="0"/>
        <v>66925905916</v>
      </c>
      <c r="G8" s="1051">
        <f t="shared" si="0"/>
        <v>95061867584</v>
      </c>
      <c r="H8" s="1051">
        <f t="shared" si="0"/>
        <v>65220182141</v>
      </c>
      <c r="I8" s="1069"/>
      <c r="J8" s="1051">
        <f>J9+J10+J11+J14+J19+J22</f>
        <v>40937.203364999994</v>
      </c>
      <c r="K8" s="1051">
        <f>K9+K10+K11+K14+K19+K22</f>
        <v>37087.359324000005</v>
      </c>
      <c r="L8" s="1051">
        <f t="shared" ref="L8:N8" si="1">L9+L10+L11+L14+L19+L22</f>
        <v>69641.040727</v>
      </c>
      <c r="M8" s="1051">
        <f t="shared" si="1"/>
        <v>66925.905915999989</v>
      </c>
      <c r="N8" s="1051">
        <f t="shared" si="1"/>
        <v>95061.867583999978</v>
      </c>
      <c r="O8" s="1051">
        <f t="shared" ref="O8" si="2">O9+O10+O11+O14+O19+O22</f>
        <v>65220.182141000012</v>
      </c>
      <c r="R8" s="1057"/>
      <c r="S8" s="1053"/>
      <c r="T8" s="1057"/>
      <c r="U8" s="1053"/>
      <c r="V8" s="1053"/>
    </row>
    <row r="9" spans="1:22" s="1065" customFormat="1" ht="13.5" x14ac:dyDescent="0.3">
      <c r="B9" s="1072" t="s">
        <v>168</v>
      </c>
      <c r="C9" s="1073">
        <f>DART!C7</f>
        <v>9821043129</v>
      </c>
      <c r="D9" s="1073">
        <f>DART!E7</f>
        <v>4284074542</v>
      </c>
      <c r="E9" s="1073">
        <f>DART!G7</f>
        <v>3320421036</v>
      </c>
      <c r="F9" s="1073">
        <f>DART!I7</f>
        <v>9651952728</v>
      </c>
      <c r="G9" s="1073">
        <f>DART!K7</f>
        <v>10436371552</v>
      </c>
      <c r="H9" s="1073">
        <v>7679896610</v>
      </c>
      <c r="I9" s="1068"/>
      <c r="J9" s="1073">
        <f t="shared" ref="J9:O10" si="3">C9/1000000</f>
        <v>9821.0431289999997</v>
      </c>
      <c r="K9" s="1073">
        <f t="shared" si="3"/>
        <v>4284.0745420000003</v>
      </c>
      <c r="L9" s="1073">
        <f t="shared" si="3"/>
        <v>3320.4210360000002</v>
      </c>
      <c r="M9" s="1073">
        <f t="shared" si="3"/>
        <v>9651.9527280000002</v>
      </c>
      <c r="N9" s="1073">
        <f t="shared" si="3"/>
        <v>10436.371552000001</v>
      </c>
      <c r="O9" s="1073">
        <f t="shared" si="3"/>
        <v>7679.8966099999998</v>
      </c>
      <c r="R9" s="1074" t="s">
        <v>1948</v>
      </c>
      <c r="S9" s="1074"/>
      <c r="T9" s="1074"/>
      <c r="U9" s="1074"/>
      <c r="V9" s="1075"/>
    </row>
    <row r="10" spans="1:22" s="1065" customFormat="1" ht="13.5" x14ac:dyDescent="0.3">
      <c r="B10" s="1072" t="s">
        <v>169</v>
      </c>
      <c r="C10" s="1073">
        <f>DART!C8</f>
        <v>12000000000</v>
      </c>
      <c r="D10" s="1073">
        <f>DART!E8</f>
        <v>10030000000</v>
      </c>
      <c r="E10" s="1073">
        <f>DART!G8</f>
        <v>12030000000</v>
      </c>
      <c r="F10" s="1073">
        <f>DART!I8</f>
        <v>7030000000</v>
      </c>
      <c r="G10" s="1073">
        <f>DART!K8</f>
        <v>10030000000</v>
      </c>
      <c r="H10" s="1073">
        <v>7000000000</v>
      </c>
      <c r="I10" s="1068"/>
      <c r="J10" s="1073">
        <f t="shared" si="3"/>
        <v>12000</v>
      </c>
      <c r="K10" s="1073">
        <f t="shared" si="3"/>
        <v>10030</v>
      </c>
      <c r="L10" s="1073">
        <f t="shared" si="3"/>
        <v>12030</v>
      </c>
      <c r="M10" s="1073">
        <f t="shared" si="3"/>
        <v>7030</v>
      </c>
      <c r="N10" s="1073">
        <f t="shared" si="3"/>
        <v>10030</v>
      </c>
      <c r="O10" s="1073">
        <f t="shared" si="3"/>
        <v>7000</v>
      </c>
      <c r="R10" s="1074" t="s">
        <v>177</v>
      </c>
      <c r="S10" s="1074"/>
      <c r="T10" s="1074"/>
      <c r="U10" s="1074"/>
      <c r="V10" s="1075"/>
    </row>
    <row r="11" spans="1:22" s="1065" customFormat="1" ht="13.5" x14ac:dyDescent="0.3">
      <c r="B11" s="1078" t="s">
        <v>1949</v>
      </c>
      <c r="C11" s="1079">
        <f>SUM(C12:C13)</f>
        <v>17773456383</v>
      </c>
      <c r="D11" s="1079">
        <f>SUM(D12:D13)</f>
        <v>21031333290</v>
      </c>
      <c r="E11" s="1079">
        <f t="shared" ref="E11:H11" si="4">SUM(E12:E13)</f>
        <v>50905102564</v>
      </c>
      <c r="F11" s="1079">
        <f t="shared" si="4"/>
        <v>44334764403</v>
      </c>
      <c r="G11" s="1079">
        <f t="shared" si="4"/>
        <v>71278666540</v>
      </c>
      <c r="H11" s="1079">
        <f t="shared" si="4"/>
        <v>48654174305</v>
      </c>
      <c r="I11" s="1068"/>
      <c r="J11" s="1079">
        <f>SUM(J12:J13)</f>
        <v>17773.456383000001</v>
      </c>
      <c r="K11" s="1079">
        <f>SUM(K12:K13)</f>
        <v>21031.333290000002</v>
      </c>
      <c r="L11" s="1079">
        <f t="shared" ref="L11:N11" si="5">SUM(L12:L13)</f>
        <v>50905.102564000001</v>
      </c>
      <c r="M11" s="1079">
        <f t="shared" si="5"/>
        <v>44334.764403000001</v>
      </c>
      <c r="N11" s="1079">
        <f t="shared" si="5"/>
        <v>71278.666539999991</v>
      </c>
      <c r="O11" s="1079">
        <f t="shared" ref="O11" si="6">SUM(O12:O13)</f>
        <v>48654.174305</v>
      </c>
      <c r="R11" s="1080" t="s">
        <v>1941</v>
      </c>
      <c r="S11" s="1080"/>
      <c r="T11" s="1080"/>
      <c r="U11" s="1080"/>
      <c r="V11" s="1081"/>
    </row>
    <row r="12" spans="1:22" s="1065" customFormat="1" ht="13.5" x14ac:dyDescent="0.3">
      <c r="B12" s="1076" t="s">
        <v>1949</v>
      </c>
      <c r="C12" s="1053">
        <f>DART!C9</f>
        <v>17997574732</v>
      </c>
      <c r="D12" s="1053">
        <f>DART!E9</f>
        <v>21271679916</v>
      </c>
      <c r="E12" s="1053">
        <f>DART!G9</f>
        <v>51542899890</v>
      </c>
      <c r="F12" s="1053">
        <f>DART!I9</f>
        <v>45208136971</v>
      </c>
      <c r="G12" s="1053">
        <f>DART!K9</f>
        <v>72602220313</v>
      </c>
      <c r="H12" s="1053">
        <v>52504617280</v>
      </c>
      <c r="I12" s="1069"/>
      <c r="J12" s="1053">
        <f t="shared" ref="J12:O13" si="7">C12/1000000</f>
        <v>17997.574732000001</v>
      </c>
      <c r="K12" s="1053">
        <f t="shared" si="7"/>
        <v>21271.679916000001</v>
      </c>
      <c r="L12" s="1053">
        <f t="shared" si="7"/>
        <v>51542.899890000001</v>
      </c>
      <c r="M12" s="1053">
        <f t="shared" si="7"/>
        <v>45208.136971</v>
      </c>
      <c r="N12" s="1053">
        <f t="shared" si="7"/>
        <v>72602.220312999998</v>
      </c>
      <c r="O12" s="1053">
        <f t="shared" si="7"/>
        <v>52504.617279999999</v>
      </c>
      <c r="R12" s="1057"/>
      <c r="S12" s="1053"/>
      <c r="T12" s="1057"/>
      <c r="U12" s="1053"/>
      <c r="V12" s="1053"/>
    </row>
    <row r="13" spans="1:22" s="1065" customFormat="1" ht="13.5" x14ac:dyDescent="0.3">
      <c r="B13" s="1076" t="s">
        <v>1950</v>
      </c>
      <c r="C13" s="1053">
        <f>DART!C10</f>
        <v>-224118349</v>
      </c>
      <c r="D13" s="1053">
        <f>DART!E10</f>
        <v>-240346626</v>
      </c>
      <c r="E13" s="1053">
        <f>DART!G10</f>
        <v>-637797326</v>
      </c>
      <c r="F13" s="1053">
        <f>DART!I10</f>
        <v>-873372568</v>
      </c>
      <c r="G13" s="1053">
        <f>DART!K10</f>
        <v>-1323553773</v>
      </c>
      <c r="H13" s="1053">
        <v>-3850442975</v>
      </c>
      <c r="I13" s="1069"/>
      <c r="J13" s="1053">
        <f t="shared" si="7"/>
        <v>-224.11834899999999</v>
      </c>
      <c r="K13" s="1053">
        <f t="shared" si="7"/>
        <v>-240.34662599999999</v>
      </c>
      <c r="L13" s="1053">
        <f t="shared" si="7"/>
        <v>-637.797326</v>
      </c>
      <c r="M13" s="1053">
        <f t="shared" si="7"/>
        <v>-873.372568</v>
      </c>
      <c r="N13" s="1053">
        <f t="shared" si="7"/>
        <v>-1323.5537730000001</v>
      </c>
      <c r="O13" s="1053">
        <f t="shared" si="7"/>
        <v>-3850.4429749999999</v>
      </c>
      <c r="R13" s="1057"/>
      <c r="S13" s="1053"/>
      <c r="T13" s="1057"/>
      <c r="U13" s="1053"/>
      <c r="V13" s="1053"/>
    </row>
    <row r="14" spans="1:22" s="1065" customFormat="1" ht="13.5" x14ac:dyDescent="0.3">
      <c r="B14" s="1077" t="s">
        <v>1951</v>
      </c>
      <c r="C14" s="1051">
        <f t="shared" ref="C14:H14" si="8">SUM(C15:C18)</f>
        <v>248074927</v>
      </c>
      <c r="D14" s="1051">
        <f t="shared" si="8"/>
        <v>293795111</v>
      </c>
      <c r="E14" s="1051">
        <f t="shared" si="8"/>
        <v>265103294</v>
      </c>
      <c r="F14" s="1051">
        <f t="shared" si="8"/>
        <v>585894744</v>
      </c>
      <c r="G14" s="1051">
        <f t="shared" si="8"/>
        <v>164221462</v>
      </c>
      <c r="H14" s="1051">
        <f t="shared" si="8"/>
        <v>274432758</v>
      </c>
      <c r="I14" s="1068"/>
      <c r="J14" s="1051">
        <f t="shared" ref="J14:O14" si="9">SUM(J15:J18)</f>
        <v>248.074927</v>
      </c>
      <c r="K14" s="1051">
        <f t="shared" si="9"/>
        <v>293.79511100000002</v>
      </c>
      <c r="L14" s="1051">
        <f t="shared" si="9"/>
        <v>265.10329400000001</v>
      </c>
      <c r="M14" s="1051">
        <f t="shared" si="9"/>
        <v>585.89474399999995</v>
      </c>
      <c r="N14" s="1051">
        <f t="shared" si="9"/>
        <v>164.221462</v>
      </c>
      <c r="O14" s="1051">
        <f t="shared" si="9"/>
        <v>274.43275799999998</v>
      </c>
      <c r="R14" s="1057"/>
      <c r="S14" s="1053"/>
      <c r="T14" s="1057"/>
      <c r="U14" s="1053"/>
      <c r="V14" s="1053"/>
    </row>
    <row r="15" spans="1:22" s="1065" customFormat="1" ht="13.5" x14ac:dyDescent="0.3">
      <c r="B15" s="1076" t="s">
        <v>1952</v>
      </c>
      <c r="C15" s="1053">
        <f>DART!C14</f>
        <v>229114713</v>
      </c>
      <c r="D15" s="1053">
        <f>DART!E14</f>
        <v>212149267</v>
      </c>
      <c r="E15" s="1053">
        <f>DART!G14</f>
        <v>218917651</v>
      </c>
      <c r="F15" s="1053">
        <f>DART!I14</f>
        <v>96944364</v>
      </c>
      <c r="G15" s="1053">
        <f>DART!K14</f>
        <v>112022614</v>
      </c>
      <c r="H15" s="1053">
        <v>44487778</v>
      </c>
      <c r="I15" s="1069"/>
      <c r="J15" s="1053">
        <f t="shared" ref="J15:O18" si="10">C15/1000000</f>
        <v>229.11471299999999</v>
      </c>
      <c r="K15" s="1053">
        <f t="shared" si="10"/>
        <v>212.14926700000001</v>
      </c>
      <c r="L15" s="1053">
        <f t="shared" si="10"/>
        <v>218.91765100000001</v>
      </c>
      <c r="M15" s="1053">
        <f t="shared" si="10"/>
        <v>96.944363999999993</v>
      </c>
      <c r="N15" s="1053">
        <f t="shared" si="10"/>
        <v>112.022614</v>
      </c>
      <c r="O15" s="1053">
        <f t="shared" si="10"/>
        <v>44.487777999999999</v>
      </c>
      <c r="R15" s="1057"/>
      <c r="S15" s="1053"/>
      <c r="T15" s="1057"/>
      <c r="U15" s="1053"/>
      <c r="V15" s="1053"/>
    </row>
    <row r="16" spans="1:22" s="1065" customFormat="1" ht="13.5" x14ac:dyDescent="0.3">
      <c r="B16" s="1076" t="s">
        <v>1953</v>
      </c>
      <c r="C16" s="1053">
        <f>DART!C12</f>
        <v>1128578</v>
      </c>
      <c r="D16" s="1053">
        <f>DART!E12</f>
        <v>66582030</v>
      </c>
      <c r="E16" s="1053">
        <f>DART!G12</f>
        <v>35281610</v>
      </c>
      <c r="F16" s="1053">
        <f>DART!I12</f>
        <v>490632936</v>
      </c>
      <c r="G16" s="1053">
        <f>DART!K12</f>
        <v>50092693</v>
      </c>
      <c r="H16" s="1053">
        <v>242040801</v>
      </c>
      <c r="I16" s="1069"/>
      <c r="J16" s="1053">
        <f t="shared" si="10"/>
        <v>1.1285780000000001</v>
      </c>
      <c r="K16" s="1053">
        <f t="shared" si="10"/>
        <v>66.582030000000003</v>
      </c>
      <c r="L16" s="1053">
        <f t="shared" si="10"/>
        <v>35.281610000000001</v>
      </c>
      <c r="M16" s="1053">
        <f t="shared" si="10"/>
        <v>490.63293599999997</v>
      </c>
      <c r="N16" s="1053">
        <f t="shared" si="10"/>
        <v>50.092692999999997</v>
      </c>
      <c r="O16" s="1053">
        <f t="shared" si="10"/>
        <v>242.04080099999999</v>
      </c>
      <c r="R16" s="1057"/>
      <c r="S16" s="1053"/>
      <c r="T16" s="1057"/>
      <c r="U16" s="1053"/>
      <c r="V16" s="1053"/>
    </row>
    <row r="17" spans="2:24" s="1065" customFormat="1" ht="13.5" x14ac:dyDescent="0.3">
      <c r="B17" s="1076" t="s">
        <v>1950</v>
      </c>
      <c r="C17" s="1053">
        <f>DART!C13</f>
        <v>0</v>
      </c>
      <c r="D17" s="1053">
        <f>DART!E13</f>
        <v>0</v>
      </c>
      <c r="E17" s="1053">
        <f>DART!G13</f>
        <v>0</v>
      </c>
      <c r="F17" s="1053">
        <f>DART!I13</f>
        <v>-8586589</v>
      </c>
      <c r="G17" s="1053">
        <f>DART!K13</f>
        <v>-6368280</v>
      </c>
      <c r="H17" s="1053">
        <v>-12095821</v>
      </c>
      <c r="I17" s="1069"/>
      <c r="J17" s="1053">
        <f t="shared" si="10"/>
        <v>0</v>
      </c>
      <c r="K17" s="1053">
        <f t="shared" si="10"/>
        <v>0</v>
      </c>
      <c r="L17" s="1053">
        <f t="shared" si="10"/>
        <v>0</v>
      </c>
      <c r="M17" s="1053">
        <f t="shared" si="10"/>
        <v>-8.586589</v>
      </c>
      <c r="N17" s="1053">
        <f t="shared" si="10"/>
        <v>-6.3682800000000004</v>
      </c>
      <c r="O17" s="1053">
        <f t="shared" si="10"/>
        <v>-12.095821000000001</v>
      </c>
      <c r="R17" s="1057"/>
      <c r="S17" s="1053"/>
      <c r="T17" s="1057"/>
      <c r="U17" s="1053"/>
      <c r="V17" s="1053"/>
    </row>
    <row r="18" spans="2:24" s="1065" customFormat="1" ht="13.5" x14ac:dyDescent="0.3">
      <c r="B18" s="1076" t="s">
        <v>1977</v>
      </c>
      <c r="C18" s="1053">
        <f>DART!C11</f>
        <v>17831636</v>
      </c>
      <c r="D18" s="1053">
        <f>DART!E11</f>
        <v>15063814</v>
      </c>
      <c r="E18" s="1053">
        <f>DART!G11</f>
        <v>10904033</v>
      </c>
      <c r="F18" s="1053">
        <f>DART!I11</f>
        <v>6904033</v>
      </c>
      <c r="G18" s="1053">
        <f>DART!K11</f>
        <v>8474435</v>
      </c>
      <c r="H18" s="1053">
        <v>0</v>
      </c>
      <c r="I18" s="1069"/>
      <c r="J18" s="1053">
        <f t="shared" si="10"/>
        <v>17.831636</v>
      </c>
      <c r="K18" s="1053">
        <f t="shared" si="10"/>
        <v>15.063814000000001</v>
      </c>
      <c r="L18" s="1053">
        <f t="shared" si="10"/>
        <v>10.904033</v>
      </c>
      <c r="M18" s="1053">
        <f t="shared" si="10"/>
        <v>6.9040330000000001</v>
      </c>
      <c r="N18" s="1053">
        <f t="shared" si="10"/>
        <v>8.4744349999999997</v>
      </c>
      <c r="O18" s="1053">
        <f t="shared" si="10"/>
        <v>0</v>
      </c>
      <c r="R18" s="1057"/>
      <c r="S18" s="1053"/>
      <c r="T18" s="1057"/>
      <c r="U18" s="1053"/>
      <c r="V18" s="1053"/>
    </row>
    <row r="19" spans="2:24" s="1065" customFormat="1" ht="13.5" x14ac:dyDescent="0.3">
      <c r="B19" s="1078" t="s">
        <v>1954</v>
      </c>
      <c r="C19" s="1079">
        <f t="shared" ref="C19:H19" si="11">SUM(C20:C21)</f>
        <v>745954900</v>
      </c>
      <c r="D19" s="1079">
        <f t="shared" si="11"/>
        <v>628930006</v>
      </c>
      <c r="E19" s="1079">
        <f t="shared" si="11"/>
        <v>2359733012</v>
      </c>
      <c r="F19" s="1079">
        <f t="shared" si="11"/>
        <v>4021815617</v>
      </c>
      <c r="G19" s="1079">
        <f t="shared" si="11"/>
        <v>2399977506</v>
      </c>
      <c r="H19" s="1079">
        <f t="shared" si="11"/>
        <v>473220972</v>
      </c>
      <c r="I19" s="1068"/>
      <c r="J19" s="1079">
        <f t="shared" ref="J19:O19" si="12">SUM(J20:J21)</f>
        <v>745.95489999999995</v>
      </c>
      <c r="K19" s="1079">
        <f t="shared" si="12"/>
        <v>628.93000600000005</v>
      </c>
      <c r="L19" s="1079">
        <f t="shared" si="12"/>
        <v>2359.7330120000001</v>
      </c>
      <c r="M19" s="1079">
        <f t="shared" si="12"/>
        <v>4021.8156169999997</v>
      </c>
      <c r="N19" s="1079">
        <f t="shared" si="12"/>
        <v>2399.9775060000002</v>
      </c>
      <c r="O19" s="1079">
        <f t="shared" si="12"/>
        <v>473.22097200000007</v>
      </c>
      <c r="R19" s="1080" t="s">
        <v>1941</v>
      </c>
      <c r="S19" s="1080"/>
      <c r="T19" s="1080"/>
      <c r="U19" s="1080"/>
      <c r="V19" s="1079"/>
    </row>
    <row r="20" spans="2:24" s="1065" customFormat="1" ht="13.5" x14ac:dyDescent="0.3">
      <c r="B20" s="1076" t="s">
        <v>1978</v>
      </c>
      <c r="C20" s="1053">
        <f>DART!C20</f>
        <v>745954900</v>
      </c>
      <c r="D20" s="1053">
        <f>DART!E20</f>
        <v>628930006</v>
      </c>
      <c r="E20" s="1053">
        <f>DART!G20</f>
        <v>2359733012</v>
      </c>
      <c r="F20" s="1053">
        <f>DART!I20</f>
        <v>4441945623</v>
      </c>
      <c r="G20" s="1053">
        <f>DART!K20</f>
        <v>2820107512</v>
      </c>
      <c r="H20" s="1053">
        <v>893350978</v>
      </c>
      <c r="I20" s="1069"/>
      <c r="J20" s="1053">
        <f t="shared" ref="J20:O21" si="13">C20/1000000</f>
        <v>745.95489999999995</v>
      </c>
      <c r="K20" s="1053">
        <f t="shared" si="13"/>
        <v>628.93000600000005</v>
      </c>
      <c r="L20" s="1053">
        <f t="shared" si="13"/>
        <v>2359.7330120000001</v>
      </c>
      <c r="M20" s="1053">
        <f t="shared" si="13"/>
        <v>4441.9456229999996</v>
      </c>
      <c r="N20" s="1053">
        <f t="shared" si="13"/>
        <v>2820.107512</v>
      </c>
      <c r="O20" s="1053">
        <f t="shared" si="13"/>
        <v>893.35097800000005</v>
      </c>
      <c r="R20" s="1057"/>
      <c r="S20" s="1051"/>
      <c r="T20" s="1057"/>
      <c r="U20" s="1051"/>
      <c r="V20" s="1051"/>
    </row>
    <row r="21" spans="2:24" s="1065" customFormat="1" ht="13.5" x14ac:dyDescent="0.3">
      <c r="B21" s="1076" t="s">
        <v>1979</v>
      </c>
      <c r="C21" s="1053">
        <f>DART!C21</f>
        <v>0</v>
      </c>
      <c r="D21" s="1053">
        <f>DART!E21</f>
        <v>0</v>
      </c>
      <c r="E21" s="1053">
        <f>DART!G21</f>
        <v>0</v>
      </c>
      <c r="F21" s="1053">
        <f>DART!I21</f>
        <v>-420130006</v>
      </c>
      <c r="G21" s="1053">
        <f>DART!K21</f>
        <v>-420130006</v>
      </c>
      <c r="H21" s="1053">
        <v>-420130006</v>
      </c>
      <c r="I21" s="1069"/>
      <c r="J21" s="1053">
        <f t="shared" si="13"/>
        <v>0</v>
      </c>
      <c r="K21" s="1053">
        <f t="shared" si="13"/>
        <v>0</v>
      </c>
      <c r="L21" s="1053">
        <f t="shared" si="13"/>
        <v>0</v>
      </c>
      <c r="M21" s="1053">
        <f t="shared" si="13"/>
        <v>-420.13000599999998</v>
      </c>
      <c r="N21" s="1053">
        <f t="shared" si="13"/>
        <v>-420.13000599999998</v>
      </c>
      <c r="O21" s="1053">
        <f t="shared" si="13"/>
        <v>-420.13000599999998</v>
      </c>
      <c r="R21" s="1057"/>
      <c r="S21" s="1057"/>
      <c r="T21" s="1057"/>
      <c r="U21" s="1057"/>
      <c r="V21" s="1057"/>
    </row>
    <row r="22" spans="2:24" s="1066" customFormat="1" ht="13.5" x14ac:dyDescent="0.3">
      <c r="B22" s="1077" t="s">
        <v>1955</v>
      </c>
      <c r="C22" s="1051">
        <f t="shared" ref="C22:H22" si="14">SUM(C23:C27)</f>
        <v>348674026</v>
      </c>
      <c r="D22" s="1051">
        <f t="shared" si="14"/>
        <v>819226375</v>
      </c>
      <c r="E22" s="1051">
        <f t="shared" si="14"/>
        <v>760680821</v>
      </c>
      <c r="F22" s="1051">
        <f t="shared" si="14"/>
        <v>1301478424</v>
      </c>
      <c r="G22" s="1051">
        <f t="shared" si="14"/>
        <v>752630524</v>
      </c>
      <c r="H22" s="1051">
        <f t="shared" si="14"/>
        <v>1138457496</v>
      </c>
      <c r="I22" s="1068"/>
      <c r="J22" s="1051">
        <f t="shared" ref="J22:O22" si="15">SUM(J23:J27)</f>
        <v>348.67402599999997</v>
      </c>
      <c r="K22" s="1051">
        <f t="shared" si="15"/>
        <v>819.22637500000008</v>
      </c>
      <c r="L22" s="1051">
        <f t="shared" si="15"/>
        <v>760.68082100000004</v>
      </c>
      <c r="M22" s="1051">
        <f t="shared" si="15"/>
        <v>1301.4784239999999</v>
      </c>
      <c r="N22" s="1051">
        <f t="shared" si="15"/>
        <v>752.63052400000004</v>
      </c>
      <c r="O22" s="1051">
        <f t="shared" si="15"/>
        <v>1138.4574959999998</v>
      </c>
      <c r="P22" s="1065"/>
      <c r="Q22" s="1065"/>
      <c r="R22" s="1057"/>
      <c r="S22" s="1057"/>
      <c r="T22" s="1057"/>
      <c r="U22" s="1057"/>
      <c r="V22" s="1057"/>
      <c r="W22" s="1065"/>
      <c r="X22" s="1065"/>
    </row>
    <row r="23" spans="2:24" s="1066" customFormat="1" ht="13.5" x14ac:dyDescent="0.3">
      <c r="B23" s="1076" t="s">
        <v>1956</v>
      </c>
      <c r="C23" s="1053">
        <f>DART!C15</f>
        <v>135931824</v>
      </c>
      <c r="D23" s="1053">
        <f>DART!E15</f>
        <v>717944910</v>
      </c>
      <c r="E23" s="1053">
        <f>DART!G15</f>
        <v>413380382</v>
      </c>
      <c r="F23" s="1053">
        <f>DART!I15</f>
        <v>622658001</v>
      </c>
      <c r="G23" s="1053">
        <f>DART!K15</f>
        <v>86529066</v>
      </c>
      <c r="H23" s="1053">
        <v>8154713</v>
      </c>
      <c r="I23" s="1069"/>
      <c r="J23" s="1053">
        <f t="shared" ref="J23:O27" si="16">C23/1000000</f>
        <v>135.93182400000001</v>
      </c>
      <c r="K23" s="1053">
        <f t="shared" si="16"/>
        <v>717.94491000000005</v>
      </c>
      <c r="L23" s="1053">
        <f t="shared" si="16"/>
        <v>413.380382</v>
      </c>
      <c r="M23" s="1053">
        <f t="shared" si="16"/>
        <v>622.65800100000001</v>
      </c>
      <c r="N23" s="1053">
        <f t="shared" si="16"/>
        <v>86.529066</v>
      </c>
      <c r="O23" s="1053">
        <f t="shared" si="16"/>
        <v>8.1547129999999992</v>
      </c>
      <c r="P23" s="1065"/>
      <c r="Q23" s="1065"/>
      <c r="R23" s="1057"/>
      <c r="S23" s="1057"/>
      <c r="T23" s="1057"/>
      <c r="U23" s="1057"/>
      <c r="V23" s="1057"/>
      <c r="W23" s="1065"/>
      <c r="X23" s="1065"/>
    </row>
    <row r="24" spans="2:24" s="1066" customFormat="1" ht="13.5" x14ac:dyDescent="0.3">
      <c r="B24" s="1076" t="s">
        <v>1950</v>
      </c>
      <c r="C24" s="1053">
        <f>DART!C16</f>
        <v>-1359318</v>
      </c>
      <c r="D24" s="1053">
        <f>DART!E16</f>
        <v>-7179449</v>
      </c>
      <c r="E24" s="1053">
        <f>DART!G16</f>
        <v>-4133804</v>
      </c>
      <c r="F24" s="1053">
        <f>DART!I16</f>
        <v>-14365</v>
      </c>
      <c r="G24" s="1053">
        <f>DART!K16</f>
        <v>-865291</v>
      </c>
      <c r="H24" s="1053">
        <v>-81017</v>
      </c>
      <c r="I24" s="1069"/>
      <c r="J24" s="1053">
        <f t="shared" si="16"/>
        <v>-1.359318</v>
      </c>
      <c r="K24" s="1053">
        <f t="shared" si="16"/>
        <v>-7.179449</v>
      </c>
      <c r="L24" s="1053">
        <f t="shared" si="16"/>
        <v>-4.1338039999999996</v>
      </c>
      <c r="M24" s="1053">
        <f t="shared" si="16"/>
        <v>-1.4364999999999999E-2</v>
      </c>
      <c r="N24" s="1053">
        <f t="shared" si="16"/>
        <v>-0.86529100000000003</v>
      </c>
      <c r="O24" s="1053">
        <f t="shared" si="16"/>
        <v>-8.1017000000000006E-2</v>
      </c>
      <c r="P24" s="1065"/>
      <c r="Q24" s="1065"/>
      <c r="R24" s="1057"/>
      <c r="S24" s="1057"/>
      <c r="T24" s="1057"/>
      <c r="U24" s="1057"/>
      <c r="V24" s="1057"/>
      <c r="W24" s="1065"/>
      <c r="X24" s="1065"/>
    </row>
    <row r="25" spans="2:24" s="1066" customFormat="1" ht="13.5" x14ac:dyDescent="0.3">
      <c r="B25" s="1076" t="s">
        <v>2831</v>
      </c>
      <c r="C25" s="1053">
        <v>0</v>
      </c>
      <c r="D25" s="1053">
        <v>0</v>
      </c>
      <c r="E25" s="1053">
        <v>0</v>
      </c>
      <c r="F25" s="1053">
        <v>0</v>
      </c>
      <c r="G25" s="1053">
        <v>0</v>
      </c>
      <c r="H25" s="1053">
        <v>0</v>
      </c>
      <c r="I25" s="1069"/>
      <c r="J25" s="1053"/>
      <c r="K25" s="1053"/>
      <c r="L25" s="1053"/>
      <c r="M25" s="1053"/>
      <c r="N25" s="1053"/>
      <c r="O25" s="1053">
        <f t="shared" si="16"/>
        <v>0</v>
      </c>
      <c r="P25" s="1065"/>
      <c r="Q25" s="1065"/>
      <c r="R25" s="1057"/>
      <c r="S25" s="1057"/>
      <c r="T25" s="1057"/>
      <c r="U25" s="1057"/>
      <c r="V25" s="1057"/>
      <c r="W25" s="1065"/>
      <c r="X25" s="1065"/>
    </row>
    <row r="26" spans="2:24" s="1065" customFormat="1" ht="13.5" x14ac:dyDescent="0.3">
      <c r="B26" s="1076" t="s">
        <v>1957</v>
      </c>
      <c r="C26" s="1053">
        <f>DART!C18</f>
        <v>206776221</v>
      </c>
      <c r="D26" s="1053">
        <f>DART!E18</f>
        <v>100150226</v>
      </c>
      <c r="E26" s="1053">
        <f>DART!G18</f>
        <v>309625088</v>
      </c>
      <c r="F26" s="1053">
        <f>DART!I18</f>
        <v>656729515</v>
      </c>
      <c r="G26" s="1053">
        <f>DART!K18</f>
        <v>587931541</v>
      </c>
      <c r="H26" s="1053">
        <v>1059308130</v>
      </c>
      <c r="I26" s="1069"/>
      <c r="J26" s="1053">
        <f t="shared" si="16"/>
        <v>206.77622099999999</v>
      </c>
      <c r="K26" s="1053">
        <f t="shared" si="16"/>
        <v>100.150226</v>
      </c>
      <c r="L26" s="1053">
        <f t="shared" si="16"/>
        <v>309.62508800000001</v>
      </c>
      <c r="M26" s="1053">
        <f t="shared" si="16"/>
        <v>656.72951499999999</v>
      </c>
      <c r="N26" s="1053">
        <f t="shared" si="16"/>
        <v>587.93154100000004</v>
      </c>
      <c r="O26" s="1053">
        <f t="shared" si="16"/>
        <v>1059.3081299999999</v>
      </c>
      <c r="R26" s="1057"/>
      <c r="S26" s="1053"/>
      <c r="T26" s="1057"/>
      <c r="U26" s="1053"/>
      <c r="V26" s="1053"/>
    </row>
    <row r="27" spans="2:24" s="1065" customFormat="1" ht="13.5" x14ac:dyDescent="0.3">
      <c r="B27" s="1076" t="s">
        <v>147</v>
      </c>
      <c r="C27" s="1053">
        <f>DART!C17</f>
        <v>7325299</v>
      </c>
      <c r="D27" s="1053">
        <f>DART!E17</f>
        <v>8310688</v>
      </c>
      <c r="E27" s="1053">
        <f>DART!G17</f>
        <v>41809155</v>
      </c>
      <c r="F27" s="1053">
        <f>DART!I17</f>
        <v>22105273</v>
      </c>
      <c r="G27" s="1053">
        <f>DART!K17</f>
        <v>79035208</v>
      </c>
      <c r="H27" s="1053">
        <v>71075670</v>
      </c>
      <c r="I27" s="1069"/>
      <c r="J27" s="1053">
        <f t="shared" si="16"/>
        <v>7.3252990000000002</v>
      </c>
      <c r="K27" s="1053">
        <f t="shared" si="16"/>
        <v>8.3106880000000007</v>
      </c>
      <c r="L27" s="1053">
        <f t="shared" si="16"/>
        <v>41.809154999999997</v>
      </c>
      <c r="M27" s="1053">
        <f t="shared" si="16"/>
        <v>22.105273</v>
      </c>
      <c r="N27" s="1053">
        <f t="shared" si="16"/>
        <v>79.035207999999997</v>
      </c>
      <c r="O27" s="1053">
        <f t="shared" si="16"/>
        <v>71.075670000000002</v>
      </c>
      <c r="R27" s="1057"/>
      <c r="S27" s="1053"/>
      <c r="T27" s="1057"/>
      <c r="U27" s="1053"/>
      <c r="V27" s="1053"/>
    </row>
    <row r="28" spans="2:24" s="1065" customFormat="1" ht="13.5" x14ac:dyDescent="0.3">
      <c r="B28" s="1071" t="s">
        <v>1958</v>
      </c>
      <c r="C28" s="1051">
        <f>+C29+C33+C36+C50</f>
        <v>3219246632</v>
      </c>
      <c r="D28" s="1051">
        <f>+D29+D33+D36+D50</f>
        <v>3777527020</v>
      </c>
      <c r="E28" s="1051">
        <f t="shared" ref="E28:H28" si="17">+E29+E33+E36+E50</f>
        <v>4314300062</v>
      </c>
      <c r="F28" s="1051">
        <f t="shared" si="17"/>
        <v>11569274919</v>
      </c>
      <c r="G28" s="1051">
        <f t="shared" si="17"/>
        <v>12612632041</v>
      </c>
      <c r="H28" s="1051">
        <f t="shared" si="17"/>
        <v>13955580400</v>
      </c>
      <c r="I28" s="1068"/>
      <c r="J28" s="1051">
        <f>+J29+J33+J36+J50</f>
        <v>3219.2466320000003</v>
      </c>
      <c r="K28" s="1051">
        <f>+K29+K33+K36+K50</f>
        <v>3777.52702</v>
      </c>
      <c r="L28" s="1051">
        <f t="shared" ref="L28:N28" si="18">+L29+L33+L36+L50</f>
        <v>4314.3000619999993</v>
      </c>
      <c r="M28" s="1051">
        <f t="shared" si="18"/>
        <v>11569.274919000001</v>
      </c>
      <c r="N28" s="1051">
        <f t="shared" si="18"/>
        <v>12612.632040999999</v>
      </c>
      <c r="O28" s="1051">
        <f t="shared" ref="O28" si="19">+O29+O33+O36+O50</f>
        <v>13955.580399999999</v>
      </c>
      <c r="P28" s="1066"/>
      <c r="Q28" s="1066"/>
      <c r="R28" s="1057"/>
      <c r="S28" s="1053"/>
      <c r="T28" s="1057"/>
      <c r="U28" s="1053"/>
      <c r="V28" s="1053"/>
      <c r="W28" s="1066"/>
      <c r="X28" s="1107"/>
    </row>
    <row r="29" spans="2:24" s="1065" customFormat="1" ht="13.5" x14ac:dyDescent="0.3">
      <c r="B29" s="1077" t="s">
        <v>1980</v>
      </c>
      <c r="C29" s="1051">
        <f t="shared" ref="C29" si="20">SUM(C30:C32)</f>
        <v>1902584057</v>
      </c>
      <c r="D29" s="1051">
        <f t="shared" ref="D29:H29" si="21">SUM(D30:D32)</f>
        <v>1749414311</v>
      </c>
      <c r="E29" s="1051">
        <f t="shared" si="21"/>
        <v>2144618701</v>
      </c>
      <c r="F29" s="1051">
        <f t="shared" si="21"/>
        <v>2421080037</v>
      </c>
      <c r="G29" s="1051">
        <f t="shared" si="21"/>
        <v>2402887742</v>
      </c>
      <c r="H29" s="1051">
        <f t="shared" si="21"/>
        <v>2963295607</v>
      </c>
      <c r="I29" s="1068"/>
      <c r="J29" s="1051">
        <f>SUM(J30:J32)</f>
        <v>1902.584057</v>
      </c>
      <c r="K29" s="1051">
        <f>SUM(K30:K32)</f>
        <v>1749.414311</v>
      </c>
      <c r="L29" s="1051">
        <f t="shared" ref="L29:N29" si="22">SUM(L30:L32)</f>
        <v>2144.6187009999999</v>
      </c>
      <c r="M29" s="1051">
        <f t="shared" si="22"/>
        <v>2421.0800369999997</v>
      </c>
      <c r="N29" s="1051">
        <f t="shared" si="22"/>
        <v>2402.8877419999999</v>
      </c>
      <c r="O29" s="1051">
        <f t="shared" ref="O29" si="23">SUM(O30:O32)</f>
        <v>2963.295607</v>
      </c>
      <c r="R29" s="1057"/>
      <c r="S29" s="1053"/>
      <c r="T29" s="1057"/>
      <c r="U29" s="1053"/>
      <c r="V29" s="1053"/>
      <c r="X29" s="1069"/>
    </row>
    <row r="30" spans="2:24" s="1065" customFormat="1" ht="13.5" x14ac:dyDescent="0.3">
      <c r="B30" s="1189" t="s">
        <v>1981</v>
      </c>
      <c r="C30" s="1075">
        <f>DART!C45</f>
        <v>980736821</v>
      </c>
      <c r="D30" s="1075">
        <f>DART!E45</f>
        <v>980736821</v>
      </c>
      <c r="E30" s="1075">
        <f>DART!G45</f>
        <v>1253165182</v>
      </c>
      <c r="F30" s="1075">
        <f>DART!I45</f>
        <v>1482336491</v>
      </c>
      <c r="G30" s="1075">
        <f>DART!K45</f>
        <v>1369020640</v>
      </c>
      <c r="H30" s="1075">
        <v>1634037586</v>
      </c>
      <c r="I30" s="1069"/>
      <c r="J30" s="1075">
        <f t="shared" ref="J30:O32" si="24">C30/1000000</f>
        <v>980.73682099999996</v>
      </c>
      <c r="K30" s="1075">
        <f t="shared" si="24"/>
        <v>980.73682099999996</v>
      </c>
      <c r="L30" s="1075">
        <f t="shared" si="24"/>
        <v>1253.165182</v>
      </c>
      <c r="M30" s="1075">
        <f t="shared" si="24"/>
        <v>1482.336491</v>
      </c>
      <c r="N30" s="1075">
        <f t="shared" si="24"/>
        <v>1369.02064</v>
      </c>
      <c r="O30" s="1075">
        <f t="shared" si="24"/>
        <v>1634.0375859999999</v>
      </c>
      <c r="R30" s="1074" t="s">
        <v>2048</v>
      </c>
      <c r="S30" s="1075"/>
      <c r="T30" s="1074"/>
      <c r="U30" s="1075"/>
      <c r="V30" s="1075"/>
    </row>
    <row r="31" spans="2:24" s="1065" customFormat="1" ht="13.5" x14ac:dyDescent="0.3">
      <c r="B31" s="1076" t="s">
        <v>1982</v>
      </c>
      <c r="C31" s="1053">
        <f>DART!C46</f>
        <v>464306000</v>
      </c>
      <c r="D31" s="1053">
        <f>DART!E46</f>
        <v>762304000</v>
      </c>
      <c r="E31" s="1053">
        <f>DART!G46</f>
        <v>877276000</v>
      </c>
      <c r="F31" s="1053">
        <f>DART!I46</f>
        <v>758859000</v>
      </c>
      <c r="G31" s="1053">
        <f>DART!K46</f>
        <v>873701000</v>
      </c>
      <c r="H31" s="1053">
        <v>1160355000</v>
      </c>
      <c r="I31" s="1069"/>
      <c r="J31" s="1053">
        <f t="shared" si="24"/>
        <v>464.30599999999998</v>
      </c>
      <c r="K31" s="1053">
        <f t="shared" si="24"/>
        <v>762.30399999999997</v>
      </c>
      <c r="L31" s="1053">
        <f t="shared" si="24"/>
        <v>877.27599999999995</v>
      </c>
      <c r="M31" s="1053">
        <f t="shared" si="24"/>
        <v>758.85900000000004</v>
      </c>
      <c r="N31" s="1053">
        <f t="shared" si="24"/>
        <v>873.70100000000002</v>
      </c>
      <c r="O31" s="1053">
        <f t="shared" si="24"/>
        <v>1160.355</v>
      </c>
      <c r="R31" s="1057"/>
      <c r="S31" s="1053"/>
      <c r="T31" s="1057"/>
      <c r="U31" s="1053"/>
      <c r="V31" s="1053"/>
    </row>
    <row r="32" spans="2:24" s="1065" customFormat="1" ht="13.5" x14ac:dyDescent="0.3">
      <c r="B32" s="1076" t="s">
        <v>1983</v>
      </c>
      <c r="C32" s="1053">
        <f>DART!C47</f>
        <v>457541236</v>
      </c>
      <c r="D32" s="1053">
        <f>DART!E47</f>
        <v>6373490</v>
      </c>
      <c r="E32" s="1053">
        <f>DART!G47</f>
        <v>14177519</v>
      </c>
      <c r="F32" s="1053">
        <f>DART!I47</f>
        <v>179884546</v>
      </c>
      <c r="G32" s="1053">
        <f>DART!K47</f>
        <v>160166102</v>
      </c>
      <c r="H32" s="1053">
        <v>168903021</v>
      </c>
      <c r="I32" s="1069"/>
      <c r="J32" s="1053">
        <f t="shared" si="24"/>
        <v>457.54123600000003</v>
      </c>
      <c r="K32" s="1053">
        <f t="shared" si="24"/>
        <v>6.3734900000000003</v>
      </c>
      <c r="L32" s="1053">
        <f t="shared" si="24"/>
        <v>14.177519</v>
      </c>
      <c r="M32" s="1053">
        <f t="shared" si="24"/>
        <v>179.884546</v>
      </c>
      <c r="N32" s="1053">
        <f t="shared" si="24"/>
        <v>160.166102</v>
      </c>
      <c r="O32" s="1053">
        <f t="shared" si="24"/>
        <v>168.903021</v>
      </c>
      <c r="R32" s="1057"/>
      <c r="S32" s="1053"/>
      <c r="T32" s="1057"/>
      <c r="U32" s="1053"/>
      <c r="V32" s="1053"/>
    </row>
    <row r="33" spans="2:22" s="1065" customFormat="1" ht="13.5" x14ac:dyDescent="0.3">
      <c r="B33" s="1077" t="s">
        <v>1984</v>
      </c>
      <c r="C33" s="1051">
        <f t="shared" ref="C33:H33" si="25">SUM(C34:C35)</f>
        <v>126935650</v>
      </c>
      <c r="D33" s="1051">
        <f t="shared" si="25"/>
        <v>271630370</v>
      </c>
      <c r="E33" s="1051">
        <f t="shared" si="25"/>
        <v>371630370</v>
      </c>
      <c r="F33" s="1051">
        <f t="shared" si="25"/>
        <v>371630370</v>
      </c>
      <c r="G33" s="1051">
        <f t="shared" si="25"/>
        <v>1054629870</v>
      </c>
      <c r="H33" s="1051">
        <f t="shared" si="25"/>
        <v>1054629870</v>
      </c>
      <c r="I33" s="1068"/>
      <c r="J33" s="1051">
        <f t="shared" ref="J33:O33" si="26">SUM(J34:J35)</f>
        <v>126.93565</v>
      </c>
      <c r="K33" s="1051">
        <f t="shared" si="26"/>
        <v>271.63037000000003</v>
      </c>
      <c r="L33" s="1051">
        <f t="shared" si="26"/>
        <v>371.63037000000003</v>
      </c>
      <c r="M33" s="1051">
        <f t="shared" si="26"/>
        <v>371.63037000000003</v>
      </c>
      <c r="N33" s="1051">
        <f t="shared" si="26"/>
        <v>1054.62987</v>
      </c>
      <c r="O33" s="1051">
        <f t="shared" si="26"/>
        <v>1054.62987</v>
      </c>
      <c r="R33" s="1057"/>
      <c r="S33" s="1053"/>
      <c r="T33" s="1057"/>
      <c r="U33" s="1053"/>
      <c r="V33" s="1053"/>
    </row>
    <row r="34" spans="2:22" s="1065" customFormat="1" ht="13.5" x14ac:dyDescent="0.3">
      <c r="B34" s="1189" t="s">
        <v>1938</v>
      </c>
      <c r="C34" s="1075">
        <f>DART!C24</f>
        <v>126935650</v>
      </c>
      <c r="D34" s="1075">
        <f>DART!E24</f>
        <v>271630370</v>
      </c>
      <c r="E34" s="1075">
        <f>DART!G24</f>
        <v>371630370</v>
      </c>
      <c r="F34" s="1075">
        <f>DART!I24</f>
        <v>371630370</v>
      </c>
      <c r="G34" s="1075">
        <f>DART!K24</f>
        <v>871629870</v>
      </c>
      <c r="H34" s="1075">
        <v>871629870</v>
      </c>
      <c r="I34" s="1069"/>
      <c r="J34" s="1075">
        <f t="shared" ref="J34:O35" si="27">C34/1000000</f>
        <v>126.93565</v>
      </c>
      <c r="K34" s="1075">
        <f t="shared" si="27"/>
        <v>271.63037000000003</v>
      </c>
      <c r="L34" s="1075">
        <f t="shared" si="27"/>
        <v>371.63037000000003</v>
      </c>
      <c r="M34" s="1075">
        <f t="shared" si="27"/>
        <v>371.63037000000003</v>
      </c>
      <c r="N34" s="1075">
        <f t="shared" si="27"/>
        <v>871.62986999999998</v>
      </c>
      <c r="O34" s="1075">
        <f t="shared" si="27"/>
        <v>871.62986999999998</v>
      </c>
      <c r="R34" s="1074" t="s">
        <v>177</v>
      </c>
      <c r="S34" s="1075"/>
      <c r="T34" s="1074"/>
      <c r="U34" s="1075"/>
      <c r="V34" s="1075"/>
    </row>
    <row r="35" spans="2:22" s="1065" customFormat="1" ht="13.5" x14ac:dyDescent="0.3">
      <c r="B35" s="1189" t="s">
        <v>1985</v>
      </c>
      <c r="C35" s="1075">
        <f>DART!C25</f>
        <v>0</v>
      </c>
      <c r="D35" s="1075">
        <f>DART!E25</f>
        <v>0</v>
      </c>
      <c r="E35" s="1075">
        <f>DART!G25</f>
        <v>0</v>
      </c>
      <c r="F35" s="1075">
        <f>DART!I25</f>
        <v>0</v>
      </c>
      <c r="G35" s="1075">
        <f>DART!K25</f>
        <v>183000000</v>
      </c>
      <c r="H35" s="1075">
        <v>183000000</v>
      </c>
      <c r="I35" s="1069"/>
      <c r="J35" s="1075">
        <f t="shared" si="27"/>
        <v>0</v>
      </c>
      <c r="K35" s="1075">
        <f t="shared" si="27"/>
        <v>0</v>
      </c>
      <c r="L35" s="1075">
        <f t="shared" si="27"/>
        <v>0</v>
      </c>
      <c r="M35" s="1075">
        <f t="shared" si="27"/>
        <v>0</v>
      </c>
      <c r="N35" s="1075">
        <f t="shared" si="27"/>
        <v>183</v>
      </c>
      <c r="O35" s="1075">
        <f t="shared" si="27"/>
        <v>183</v>
      </c>
      <c r="R35" s="1074" t="s">
        <v>177</v>
      </c>
      <c r="S35" s="1075"/>
      <c r="T35" s="1074"/>
      <c r="U35" s="1075"/>
      <c r="V35" s="1075"/>
    </row>
    <row r="36" spans="2:22" s="1065" customFormat="1" ht="13.5" x14ac:dyDescent="0.3">
      <c r="B36" s="1077" t="s">
        <v>1959</v>
      </c>
      <c r="C36" s="1051">
        <f>SUM(C37:C49)</f>
        <v>919570347</v>
      </c>
      <c r="D36" s="1051">
        <f>SUM(D37:D49)</f>
        <v>1577517969</v>
      </c>
      <c r="E36" s="1051">
        <f t="shared" ref="E36:H36" si="28">SUM(E37:E49)</f>
        <v>1570351253</v>
      </c>
      <c r="F36" s="1051">
        <f t="shared" si="28"/>
        <v>8610606946</v>
      </c>
      <c r="G36" s="1051">
        <f t="shared" si="28"/>
        <v>9077006664</v>
      </c>
      <c r="H36" s="1051">
        <f t="shared" si="28"/>
        <v>9578774346</v>
      </c>
      <c r="I36" s="1069"/>
      <c r="J36" s="1051">
        <f>SUM(J37:J49)</f>
        <v>919.57034700000008</v>
      </c>
      <c r="K36" s="1051">
        <f>SUM(K37:K49)</f>
        <v>1577.5179689999998</v>
      </c>
      <c r="L36" s="1051">
        <f t="shared" ref="L36:N36" si="29">SUM(L37:L49)</f>
        <v>1570.3512529999996</v>
      </c>
      <c r="M36" s="1051">
        <f t="shared" si="29"/>
        <v>8610.6069460000017</v>
      </c>
      <c r="N36" s="1051">
        <f t="shared" si="29"/>
        <v>9077.0066639999986</v>
      </c>
      <c r="O36" s="1051">
        <f t="shared" ref="O36" si="30">SUM(O37:O49)</f>
        <v>9578.7743460000002</v>
      </c>
      <c r="R36" s="1112"/>
      <c r="S36" s="1112"/>
      <c r="T36" s="1112"/>
      <c r="U36" s="1112"/>
      <c r="V36" s="1075"/>
    </row>
    <row r="37" spans="2:22" s="1065" customFormat="1" ht="13.5" x14ac:dyDescent="0.3">
      <c r="B37" s="1076" t="s">
        <v>1986</v>
      </c>
      <c r="C37" s="1053">
        <f>DART!C27</f>
        <v>0</v>
      </c>
      <c r="D37" s="1053">
        <f>DART!E27</f>
        <v>0</v>
      </c>
      <c r="E37" s="1053">
        <f>DART!G27</f>
        <v>0</v>
      </c>
      <c r="F37" s="1053">
        <f>DART!I27</f>
        <v>6695646780</v>
      </c>
      <c r="G37" s="1053">
        <f>DART!K27</f>
        <v>7006586180</v>
      </c>
      <c r="H37" s="1053">
        <v>7006586180</v>
      </c>
      <c r="I37" s="1069"/>
      <c r="J37" s="1053">
        <f t="shared" ref="J37:J49" si="31">C37/1000000</f>
        <v>0</v>
      </c>
      <c r="K37" s="1053">
        <f t="shared" ref="K37:K49" si="32">D37/1000000</f>
        <v>0</v>
      </c>
      <c r="L37" s="1053">
        <f t="shared" ref="L37:L49" si="33">E37/1000000</f>
        <v>0</v>
      </c>
      <c r="M37" s="1053">
        <f t="shared" ref="M37:M49" si="34">F37/1000000</f>
        <v>6695.64678</v>
      </c>
      <c r="N37" s="1053">
        <f t="shared" ref="N37:O49" si="35">G37/1000000</f>
        <v>7006.5861800000002</v>
      </c>
      <c r="O37" s="1053">
        <f t="shared" si="35"/>
        <v>7006.5861800000002</v>
      </c>
      <c r="R37" s="1112"/>
      <c r="S37" s="1112"/>
      <c r="T37" s="1112"/>
      <c r="U37" s="1112"/>
      <c r="V37" s="1075"/>
    </row>
    <row r="38" spans="2:22" s="1065" customFormat="1" ht="13.5" x14ac:dyDescent="0.3">
      <c r="B38" s="1076" t="s">
        <v>1987</v>
      </c>
      <c r="C38" s="1053">
        <f>DART!C28</f>
        <v>636607226</v>
      </c>
      <c r="D38" s="1053">
        <f>DART!E28</f>
        <v>1106106783</v>
      </c>
      <c r="E38" s="1053">
        <f>DART!G28</f>
        <v>1329916783</v>
      </c>
      <c r="F38" s="1053">
        <f>DART!I28</f>
        <v>1349616783</v>
      </c>
      <c r="G38" s="1053">
        <f>DART!K28</f>
        <v>1383672783</v>
      </c>
      <c r="H38" s="1053">
        <v>1402632783</v>
      </c>
      <c r="I38" s="1069"/>
      <c r="J38" s="1053">
        <f t="shared" si="31"/>
        <v>636.60722599999997</v>
      </c>
      <c r="K38" s="1053">
        <f t="shared" si="32"/>
        <v>1106.106783</v>
      </c>
      <c r="L38" s="1053">
        <f t="shared" si="33"/>
        <v>1329.9167829999999</v>
      </c>
      <c r="M38" s="1053">
        <f t="shared" si="34"/>
        <v>1349.6167829999999</v>
      </c>
      <c r="N38" s="1053">
        <f t="shared" si="35"/>
        <v>1383.672783</v>
      </c>
      <c r="O38" s="1053">
        <f t="shared" si="35"/>
        <v>1402.632783</v>
      </c>
      <c r="R38" s="1057"/>
      <c r="S38" s="1057"/>
      <c r="T38" s="1057"/>
      <c r="U38" s="1057"/>
      <c r="V38" s="1053"/>
    </row>
    <row r="39" spans="2:22" s="1065" customFormat="1" ht="13.5" x14ac:dyDescent="0.3">
      <c r="B39" s="1076" t="s">
        <v>1693</v>
      </c>
      <c r="C39" s="1053">
        <f>DART!C29</f>
        <v>-291056076</v>
      </c>
      <c r="D39" s="1053">
        <f>DART!E29</f>
        <v>-389277686</v>
      </c>
      <c r="E39" s="1053">
        <f>DART!G29</f>
        <v>-604941324</v>
      </c>
      <c r="F39" s="1053">
        <f>DART!I29</f>
        <v>-835473361</v>
      </c>
      <c r="G39" s="1053">
        <f>DART!K29</f>
        <v>-1060601839</v>
      </c>
      <c r="H39" s="1053">
        <v>-1246724749</v>
      </c>
      <c r="I39" s="1069"/>
      <c r="J39" s="1053">
        <f t="shared" si="31"/>
        <v>-291.05607600000002</v>
      </c>
      <c r="K39" s="1053">
        <f t="shared" si="32"/>
        <v>-389.27768600000002</v>
      </c>
      <c r="L39" s="1053">
        <f t="shared" si="33"/>
        <v>-604.94132400000001</v>
      </c>
      <c r="M39" s="1053">
        <f t="shared" si="34"/>
        <v>-835.47336099999995</v>
      </c>
      <c r="N39" s="1053">
        <f t="shared" si="35"/>
        <v>-1060.6018389999999</v>
      </c>
      <c r="O39" s="1053">
        <f t="shared" si="35"/>
        <v>-1246.724749</v>
      </c>
      <c r="R39" s="1057"/>
      <c r="S39" s="1053"/>
      <c r="T39" s="1057"/>
      <c r="U39" s="1053"/>
      <c r="V39" s="1053"/>
    </row>
    <row r="40" spans="2:22" s="1065" customFormat="1" ht="13.5" x14ac:dyDescent="0.3">
      <c r="B40" s="1076" t="s">
        <v>1988</v>
      </c>
      <c r="C40" s="1053">
        <f>DART!C30</f>
        <v>184293370</v>
      </c>
      <c r="D40" s="1053">
        <f>DART!E30</f>
        <v>184293370</v>
      </c>
      <c r="E40" s="1053">
        <f>DART!G30</f>
        <v>184293370</v>
      </c>
      <c r="F40" s="1053">
        <f>DART!I30</f>
        <v>301687440</v>
      </c>
      <c r="G40" s="1053">
        <f>DART!K30</f>
        <v>301258270</v>
      </c>
      <c r="H40" s="1053">
        <v>403800020</v>
      </c>
      <c r="I40" s="1069"/>
      <c r="J40" s="1053">
        <f t="shared" si="31"/>
        <v>184.29337000000001</v>
      </c>
      <c r="K40" s="1053">
        <f t="shared" si="32"/>
        <v>184.29337000000001</v>
      </c>
      <c r="L40" s="1053">
        <f t="shared" si="33"/>
        <v>184.29337000000001</v>
      </c>
      <c r="M40" s="1053">
        <f t="shared" si="34"/>
        <v>301.68743999999998</v>
      </c>
      <c r="N40" s="1053">
        <f t="shared" si="35"/>
        <v>301.25826999999998</v>
      </c>
      <c r="O40" s="1053">
        <f t="shared" si="35"/>
        <v>403.80002000000002</v>
      </c>
      <c r="R40" s="1057"/>
      <c r="S40" s="1053"/>
      <c r="T40" s="1057"/>
      <c r="U40" s="1053"/>
      <c r="V40" s="1053"/>
    </row>
    <row r="41" spans="2:22" s="1065" customFormat="1" ht="13.5" x14ac:dyDescent="0.3">
      <c r="B41" s="1076" t="s">
        <v>1693</v>
      </c>
      <c r="C41" s="1053">
        <f>DART!C31</f>
        <v>-33330226</v>
      </c>
      <c r="D41" s="1053">
        <f>DART!E31</f>
        <v>-70188900</v>
      </c>
      <c r="E41" s="1053">
        <f>DART!G31</f>
        <v>-107047574</v>
      </c>
      <c r="F41" s="1053">
        <f>DART!I31</f>
        <v>-77300126</v>
      </c>
      <c r="G41" s="1053">
        <f>DART!K31</f>
        <v>-82287059</v>
      </c>
      <c r="H41" s="1053">
        <v>-145956771</v>
      </c>
      <c r="I41" s="1069"/>
      <c r="J41" s="1053">
        <f t="shared" si="31"/>
        <v>-33.330226000000003</v>
      </c>
      <c r="K41" s="1053">
        <f t="shared" si="32"/>
        <v>-70.188900000000004</v>
      </c>
      <c r="L41" s="1053">
        <f t="shared" si="33"/>
        <v>-107.047574</v>
      </c>
      <c r="M41" s="1053">
        <f t="shared" si="34"/>
        <v>-77.300126000000006</v>
      </c>
      <c r="N41" s="1053">
        <f t="shared" si="35"/>
        <v>-82.287058999999999</v>
      </c>
      <c r="O41" s="1053">
        <f t="shared" si="35"/>
        <v>-145.956771</v>
      </c>
      <c r="R41" s="1057"/>
      <c r="S41" s="1053"/>
      <c r="T41" s="1057"/>
      <c r="U41" s="1053"/>
      <c r="V41" s="1053"/>
    </row>
    <row r="42" spans="2:22" s="1065" customFormat="1" ht="13.5" x14ac:dyDescent="0.3">
      <c r="B42" s="1076" t="s">
        <v>1989</v>
      </c>
      <c r="C42" s="1053">
        <f>DART!C32</f>
        <v>403495066</v>
      </c>
      <c r="D42" s="1053">
        <f>DART!E32</f>
        <v>791412794</v>
      </c>
      <c r="E42" s="1053">
        <f>DART!G32</f>
        <v>963259794</v>
      </c>
      <c r="F42" s="1053">
        <f>DART!I32</f>
        <v>931845289</v>
      </c>
      <c r="G42" s="1053">
        <f>DART!K32</f>
        <v>1074618653</v>
      </c>
      <c r="H42" s="1053">
        <v>1321331438</v>
      </c>
      <c r="I42" s="1069"/>
      <c r="J42" s="1053">
        <f t="shared" si="31"/>
        <v>403.49506600000001</v>
      </c>
      <c r="K42" s="1053">
        <f t="shared" si="32"/>
        <v>791.41279399999996</v>
      </c>
      <c r="L42" s="1053">
        <f t="shared" si="33"/>
        <v>963.25979400000006</v>
      </c>
      <c r="M42" s="1053">
        <f t="shared" si="34"/>
        <v>931.84528899999998</v>
      </c>
      <c r="N42" s="1053">
        <f t="shared" si="35"/>
        <v>1074.618653</v>
      </c>
      <c r="O42" s="1053">
        <f t="shared" si="35"/>
        <v>1321.3314379999999</v>
      </c>
      <c r="R42" s="1057"/>
      <c r="S42" s="1057"/>
      <c r="T42" s="1057"/>
      <c r="U42" s="1057"/>
      <c r="V42" s="1057"/>
    </row>
    <row r="43" spans="2:22" s="1065" customFormat="1" ht="13.5" x14ac:dyDescent="0.3">
      <c r="B43" s="1076" t="s">
        <v>1693</v>
      </c>
      <c r="C43" s="1053">
        <f>DART!C33</f>
        <v>-187797167</v>
      </c>
      <c r="D43" s="1053">
        <f>DART!E33</f>
        <v>-290301594</v>
      </c>
      <c r="E43" s="1053">
        <f>DART!G33</f>
        <v>-449684541</v>
      </c>
      <c r="F43" s="1053">
        <f>DART!I33</f>
        <v>-389332358</v>
      </c>
      <c r="G43" s="1053">
        <f>DART!K33</f>
        <v>-587617405</v>
      </c>
      <c r="H43" s="1053">
        <v>-813725158</v>
      </c>
      <c r="I43" s="1069"/>
      <c r="J43" s="1053">
        <f t="shared" si="31"/>
        <v>-187.797167</v>
      </c>
      <c r="K43" s="1053">
        <f t="shared" si="32"/>
        <v>-290.30159400000002</v>
      </c>
      <c r="L43" s="1053">
        <f t="shared" si="33"/>
        <v>-449.68454100000002</v>
      </c>
      <c r="M43" s="1053">
        <f t="shared" si="34"/>
        <v>-389.332358</v>
      </c>
      <c r="N43" s="1053">
        <f t="shared" si="35"/>
        <v>-587.61740499999996</v>
      </c>
      <c r="O43" s="1053">
        <f t="shared" si="35"/>
        <v>-813.72515799999996</v>
      </c>
      <c r="R43" s="1057"/>
      <c r="S43" s="1053"/>
      <c r="T43" s="1057"/>
      <c r="U43" s="1053"/>
      <c r="V43" s="1053"/>
    </row>
    <row r="44" spans="2:22" s="1065" customFormat="1" ht="13.5" x14ac:dyDescent="0.3">
      <c r="B44" s="1076" t="s">
        <v>1990</v>
      </c>
      <c r="C44" s="1053">
        <f>DART!C34</f>
        <v>160014940</v>
      </c>
      <c r="D44" s="1053">
        <f>DART!E34</f>
        <v>219009352</v>
      </c>
      <c r="E44" s="1053">
        <f>DART!G34</f>
        <v>242401852</v>
      </c>
      <c r="F44" s="1053">
        <f>DART!I34</f>
        <v>661203343</v>
      </c>
      <c r="G44" s="1053">
        <f>DART!K34</f>
        <v>685077643</v>
      </c>
      <c r="H44" s="1053">
        <v>1049589643</v>
      </c>
      <c r="I44" s="1069"/>
      <c r="J44" s="1053">
        <f t="shared" si="31"/>
        <v>160.01494</v>
      </c>
      <c r="K44" s="1053">
        <f t="shared" si="32"/>
        <v>219.00935200000001</v>
      </c>
      <c r="L44" s="1053">
        <f t="shared" si="33"/>
        <v>242.40185199999999</v>
      </c>
      <c r="M44" s="1053">
        <f t="shared" si="34"/>
        <v>661.20334300000002</v>
      </c>
      <c r="N44" s="1053">
        <f t="shared" si="35"/>
        <v>685.07764299999997</v>
      </c>
      <c r="O44" s="1053">
        <f t="shared" si="35"/>
        <v>1049.589643</v>
      </c>
      <c r="R44" s="1057"/>
      <c r="S44" s="1051"/>
      <c r="T44" s="1057"/>
      <c r="U44" s="1051"/>
      <c r="V44" s="1051"/>
    </row>
    <row r="45" spans="2:22" s="1065" customFormat="1" ht="13.5" x14ac:dyDescent="0.3">
      <c r="B45" s="1076" t="s">
        <v>1693</v>
      </c>
      <c r="C45" s="1053">
        <f>DART!C35</f>
        <v>-130972786</v>
      </c>
      <c r="D45" s="1053">
        <f>DART!E35</f>
        <v>-101706150</v>
      </c>
      <c r="E45" s="1053">
        <f>DART!G35</f>
        <v>-133025675</v>
      </c>
      <c r="F45" s="1053">
        <f>DART!I35</f>
        <v>-226841145</v>
      </c>
      <c r="G45" s="1053">
        <f>DART!K35</f>
        <v>-341620016</v>
      </c>
      <c r="H45" s="1053">
        <v>-509582663</v>
      </c>
      <c r="I45" s="1069"/>
      <c r="J45" s="1053">
        <f t="shared" si="31"/>
        <v>-130.97278600000001</v>
      </c>
      <c r="K45" s="1053">
        <f t="shared" si="32"/>
        <v>-101.70614999999999</v>
      </c>
      <c r="L45" s="1053">
        <f t="shared" si="33"/>
        <v>-133.02567500000001</v>
      </c>
      <c r="M45" s="1053">
        <f t="shared" si="34"/>
        <v>-226.84114500000001</v>
      </c>
      <c r="N45" s="1053">
        <f t="shared" si="35"/>
        <v>-341.62001600000002</v>
      </c>
      <c r="O45" s="1053">
        <f t="shared" si="35"/>
        <v>-509.58266300000003</v>
      </c>
      <c r="R45" s="1057"/>
      <c r="S45" s="1051"/>
      <c r="T45" s="1057"/>
      <c r="U45" s="1051"/>
      <c r="V45" s="1051"/>
    </row>
    <row r="46" spans="2:22" s="1065" customFormat="1" ht="13.5" x14ac:dyDescent="0.3">
      <c r="B46" s="1076" t="s">
        <v>1991</v>
      </c>
      <c r="C46" s="1053">
        <f>DART!C36</f>
        <v>0</v>
      </c>
      <c r="D46" s="1053">
        <f>DART!E36</f>
        <v>0</v>
      </c>
      <c r="E46" s="1053">
        <f>DART!G36</f>
        <v>129097000</v>
      </c>
      <c r="F46" s="1053">
        <f>DART!I36</f>
        <v>214030000</v>
      </c>
      <c r="G46" s="1053">
        <f>DART!K36</f>
        <v>226784000</v>
      </c>
      <c r="H46" s="1053">
        <v>236854000</v>
      </c>
      <c r="I46" s="1069"/>
      <c r="J46" s="1053">
        <f t="shared" si="31"/>
        <v>0</v>
      </c>
      <c r="K46" s="1053">
        <f t="shared" si="32"/>
        <v>0</v>
      </c>
      <c r="L46" s="1053">
        <f t="shared" si="33"/>
        <v>129.09700000000001</v>
      </c>
      <c r="M46" s="1053">
        <f t="shared" si="34"/>
        <v>214.03</v>
      </c>
      <c r="N46" s="1053">
        <f t="shared" si="35"/>
        <v>226.78399999999999</v>
      </c>
      <c r="O46" s="1053">
        <f t="shared" si="35"/>
        <v>236.85400000000001</v>
      </c>
      <c r="R46" s="1057"/>
      <c r="S46" s="1053"/>
      <c r="T46" s="1057"/>
      <c r="U46" s="1053"/>
      <c r="V46" s="1053"/>
    </row>
    <row r="47" spans="2:22" s="1065" customFormat="1" ht="13.5" x14ac:dyDescent="0.3">
      <c r="B47" s="1076" t="s">
        <v>1693</v>
      </c>
      <c r="C47" s="1053">
        <f>DART!C37</f>
        <v>0</v>
      </c>
      <c r="D47" s="1053">
        <f>DART!E37</f>
        <v>0</v>
      </c>
      <c r="E47" s="1053">
        <f>DART!G37</f>
        <v>-11278432</v>
      </c>
      <c r="F47" s="1053">
        <f>DART!I37</f>
        <v>-41835699</v>
      </c>
      <c r="G47" s="1053">
        <f>DART!K37</f>
        <v>-86911437</v>
      </c>
      <c r="H47" s="1053">
        <v>-132304403</v>
      </c>
      <c r="I47" s="1069"/>
      <c r="J47" s="1053">
        <f t="shared" si="31"/>
        <v>0</v>
      </c>
      <c r="K47" s="1053">
        <f t="shared" si="32"/>
        <v>0</v>
      </c>
      <c r="L47" s="1053">
        <f t="shared" si="33"/>
        <v>-11.278432</v>
      </c>
      <c r="M47" s="1053">
        <f t="shared" si="34"/>
        <v>-41.835698999999998</v>
      </c>
      <c r="N47" s="1053">
        <f t="shared" si="35"/>
        <v>-86.911437000000006</v>
      </c>
      <c r="O47" s="1053">
        <f t="shared" si="35"/>
        <v>-132.30440300000001</v>
      </c>
      <c r="R47" s="1057"/>
      <c r="S47" s="1053"/>
      <c r="T47" s="1057"/>
      <c r="U47" s="1053"/>
      <c r="V47" s="1053"/>
    </row>
    <row r="48" spans="2:22" s="1065" customFormat="1" ht="13.5" x14ac:dyDescent="0.3">
      <c r="B48" s="1076" t="s">
        <v>1992</v>
      </c>
      <c r="C48" s="1053">
        <f>DART!C38</f>
        <v>27360000</v>
      </c>
      <c r="D48" s="1053">
        <f>DART!E38</f>
        <v>27360000</v>
      </c>
      <c r="E48" s="1053">
        <f>DART!G38</f>
        <v>27360000</v>
      </c>
      <c r="F48" s="1053">
        <f>DART!I38</f>
        <v>27360000</v>
      </c>
      <c r="G48" s="1053">
        <f>DART!K38</f>
        <v>27360000</v>
      </c>
      <c r="H48" s="1053">
        <v>27360000</v>
      </c>
      <c r="I48" s="1069"/>
      <c r="J48" s="1053">
        <f t="shared" si="31"/>
        <v>27.36</v>
      </c>
      <c r="K48" s="1053">
        <f t="shared" si="32"/>
        <v>27.36</v>
      </c>
      <c r="L48" s="1053">
        <f t="shared" si="33"/>
        <v>27.36</v>
      </c>
      <c r="M48" s="1053">
        <f t="shared" si="34"/>
        <v>27.36</v>
      </c>
      <c r="N48" s="1053">
        <f t="shared" si="35"/>
        <v>27.36</v>
      </c>
      <c r="O48" s="1053">
        <f t="shared" si="35"/>
        <v>27.36</v>
      </c>
      <c r="R48" s="1057"/>
      <c r="S48" s="1053"/>
      <c r="T48" s="1057"/>
      <c r="U48" s="1053"/>
      <c r="V48" s="1053"/>
    </row>
    <row r="49" spans="2:24" s="1065" customFormat="1" ht="13.5" x14ac:dyDescent="0.3">
      <c r="B49" s="1076" t="s">
        <v>1993</v>
      </c>
      <c r="C49" s="1053">
        <f>DART!C39</f>
        <v>150956000</v>
      </c>
      <c r="D49" s="1053">
        <f>DART!E39</f>
        <v>100810000</v>
      </c>
      <c r="E49" s="1053">
        <f>DART!G39</f>
        <v>0</v>
      </c>
      <c r="F49" s="1053">
        <f>DART!I39</f>
        <v>0</v>
      </c>
      <c r="G49" s="1053">
        <f>DART!K39</f>
        <v>530686891</v>
      </c>
      <c r="H49" s="1053">
        <v>978914026</v>
      </c>
      <c r="I49" s="1069"/>
      <c r="J49" s="1053">
        <f t="shared" si="31"/>
        <v>150.95599999999999</v>
      </c>
      <c r="K49" s="1053">
        <f t="shared" si="32"/>
        <v>100.81</v>
      </c>
      <c r="L49" s="1053">
        <f t="shared" si="33"/>
        <v>0</v>
      </c>
      <c r="M49" s="1053">
        <f t="shared" si="34"/>
        <v>0</v>
      </c>
      <c r="N49" s="1053">
        <f t="shared" si="35"/>
        <v>530.68689099999995</v>
      </c>
      <c r="O49" s="1053">
        <f t="shared" si="35"/>
        <v>978.91402600000004</v>
      </c>
      <c r="R49" s="1057"/>
      <c r="S49" s="1053"/>
      <c r="T49" s="1057"/>
      <c r="U49" s="1053"/>
      <c r="V49" s="1053"/>
    </row>
    <row r="50" spans="2:24" s="1065" customFormat="1" ht="13.5" x14ac:dyDescent="0.3">
      <c r="B50" s="1077" t="s">
        <v>1939</v>
      </c>
      <c r="C50" s="1051">
        <f t="shared" ref="C50:H50" si="36">SUM(C51:C53)</f>
        <v>270156578</v>
      </c>
      <c r="D50" s="1051">
        <f t="shared" si="36"/>
        <v>178964370</v>
      </c>
      <c r="E50" s="1051">
        <f t="shared" si="36"/>
        <v>227699738</v>
      </c>
      <c r="F50" s="1051">
        <f t="shared" si="36"/>
        <v>165957566</v>
      </c>
      <c r="G50" s="1051">
        <f t="shared" si="36"/>
        <v>78107765</v>
      </c>
      <c r="H50" s="1051">
        <f t="shared" si="36"/>
        <v>358880577</v>
      </c>
      <c r="I50" s="1069"/>
      <c r="J50" s="1051">
        <f>SUM(J51:J53)</f>
        <v>270.15657799999997</v>
      </c>
      <c r="K50" s="1051">
        <f>SUM(K51:K53)</f>
        <v>178.96437</v>
      </c>
      <c r="L50" s="1051">
        <f t="shared" ref="L50:N50" si="37">SUM(L51:L53)</f>
        <v>227.699738</v>
      </c>
      <c r="M50" s="1051">
        <f t="shared" si="37"/>
        <v>165.95756600000001</v>
      </c>
      <c r="N50" s="1051">
        <f t="shared" si="37"/>
        <v>78.107765000000001</v>
      </c>
      <c r="O50" s="1051">
        <f t="shared" ref="O50" si="38">SUM(O51:O53)</f>
        <v>358.88057700000002</v>
      </c>
      <c r="R50" s="1057"/>
      <c r="S50" s="1053"/>
      <c r="T50" s="1057"/>
      <c r="U50" s="1053"/>
      <c r="V50" s="1053"/>
    </row>
    <row r="51" spans="2:24" s="1065" customFormat="1" ht="13.5" x14ac:dyDescent="0.3">
      <c r="B51" s="1076" t="s">
        <v>2006</v>
      </c>
      <c r="C51" s="1053">
        <f>DART!C41</f>
        <v>201152472</v>
      </c>
      <c r="D51" s="1053">
        <f>DART!E41</f>
        <v>0</v>
      </c>
      <c r="E51" s="1053">
        <f>DART!E41</f>
        <v>0</v>
      </c>
      <c r="F51" s="1053">
        <f>DART!G41</f>
        <v>0</v>
      </c>
      <c r="G51" s="1053">
        <f>DART!I41</f>
        <v>0</v>
      </c>
      <c r="H51" s="1053">
        <f>DART!J41</f>
        <v>0</v>
      </c>
      <c r="I51" s="1069"/>
      <c r="J51" s="1053">
        <f t="shared" ref="J51:O53" si="39">C51/1000000</f>
        <v>201.15247199999999</v>
      </c>
      <c r="K51" s="1053">
        <f t="shared" si="39"/>
        <v>0</v>
      </c>
      <c r="L51" s="1053">
        <f t="shared" si="39"/>
        <v>0</v>
      </c>
      <c r="M51" s="1053">
        <f t="shared" si="39"/>
        <v>0</v>
      </c>
      <c r="N51" s="1053">
        <f t="shared" si="39"/>
        <v>0</v>
      </c>
      <c r="O51" s="1053">
        <f t="shared" si="39"/>
        <v>0</v>
      </c>
      <c r="R51" s="1057"/>
      <c r="S51" s="1053"/>
      <c r="T51" s="1057"/>
      <c r="U51" s="1053"/>
      <c r="V51" s="1053"/>
    </row>
    <row r="52" spans="2:24" s="1065" customFormat="1" ht="13.5" x14ac:dyDescent="0.3">
      <c r="B52" s="1076" t="s">
        <v>1994</v>
      </c>
      <c r="C52" s="1053">
        <f>DART!C42</f>
        <v>263188</v>
      </c>
      <c r="D52" s="1053">
        <f>DART!E42</f>
        <v>3853464</v>
      </c>
      <c r="E52" s="1053">
        <f>DART!G42</f>
        <v>3346700</v>
      </c>
      <c r="F52" s="1053">
        <f>DART!I42</f>
        <v>2936900</v>
      </c>
      <c r="G52" s="1053">
        <f>DART!K42</f>
        <v>2527100</v>
      </c>
      <c r="H52" s="1053">
        <v>2117300</v>
      </c>
      <c r="I52" s="1069"/>
      <c r="J52" s="1053">
        <f t="shared" si="39"/>
        <v>0.26318799999999998</v>
      </c>
      <c r="K52" s="1053">
        <f t="shared" si="39"/>
        <v>3.8534639999999998</v>
      </c>
      <c r="L52" s="1053">
        <f t="shared" si="39"/>
        <v>3.3466999999999998</v>
      </c>
      <c r="M52" s="1053">
        <f t="shared" si="39"/>
        <v>2.9369000000000001</v>
      </c>
      <c r="N52" s="1053">
        <f t="shared" si="39"/>
        <v>2.5270999999999999</v>
      </c>
      <c r="O52" s="1053">
        <f t="shared" si="39"/>
        <v>2.1173000000000002</v>
      </c>
      <c r="R52" s="1057"/>
      <c r="S52" s="1053"/>
      <c r="T52" s="1057"/>
      <c r="U52" s="1053"/>
      <c r="V52" s="1053"/>
    </row>
    <row r="53" spans="2:24" s="1065" customFormat="1" ht="13.5" x14ac:dyDescent="0.3">
      <c r="B53" s="1076" t="s">
        <v>1995</v>
      </c>
      <c r="C53" s="1053">
        <f>DART!C43</f>
        <v>68740918</v>
      </c>
      <c r="D53" s="1053">
        <f>DART!E43</f>
        <v>175110906</v>
      </c>
      <c r="E53" s="1053">
        <f>DART!G43</f>
        <v>224353038</v>
      </c>
      <c r="F53" s="1053">
        <f>DART!I43</f>
        <v>163020666</v>
      </c>
      <c r="G53" s="1053">
        <f>DART!K43</f>
        <v>75580665</v>
      </c>
      <c r="H53" s="1053">
        <v>356763277</v>
      </c>
      <c r="I53" s="1069"/>
      <c r="J53" s="1053">
        <f t="shared" si="39"/>
        <v>68.740917999999994</v>
      </c>
      <c r="K53" s="1053">
        <f t="shared" si="39"/>
        <v>175.110906</v>
      </c>
      <c r="L53" s="1053">
        <f t="shared" si="39"/>
        <v>224.353038</v>
      </c>
      <c r="M53" s="1053">
        <f t="shared" si="39"/>
        <v>163.02066600000001</v>
      </c>
      <c r="N53" s="1053">
        <f t="shared" si="39"/>
        <v>75.580664999999996</v>
      </c>
      <c r="O53" s="1053">
        <f t="shared" si="39"/>
        <v>356.76327700000002</v>
      </c>
      <c r="R53" s="1057"/>
      <c r="S53" s="1053"/>
      <c r="T53" s="1057"/>
      <c r="U53" s="1057"/>
      <c r="V53" s="1053"/>
    </row>
    <row r="54" spans="2:24" s="1065" customFormat="1" ht="13.5" x14ac:dyDescent="0.3">
      <c r="B54" s="1082" t="s">
        <v>1960</v>
      </c>
      <c r="C54" s="1083">
        <f t="shared" ref="C54:H54" si="40">C28+C8</f>
        <v>44156449997</v>
      </c>
      <c r="D54" s="1083">
        <f t="shared" si="40"/>
        <v>40864886344</v>
      </c>
      <c r="E54" s="1083">
        <f t="shared" si="40"/>
        <v>73955340789</v>
      </c>
      <c r="F54" s="1083">
        <f t="shared" si="40"/>
        <v>78495180835</v>
      </c>
      <c r="G54" s="1083">
        <f t="shared" si="40"/>
        <v>107674499625</v>
      </c>
      <c r="H54" s="1083">
        <f t="shared" si="40"/>
        <v>79175762541</v>
      </c>
      <c r="I54" s="1068"/>
      <c r="J54" s="1083">
        <f t="shared" ref="J54:O54" si="41">J28+J8</f>
        <v>44156.449996999996</v>
      </c>
      <c r="K54" s="1083">
        <f t="shared" si="41"/>
        <v>40864.886344000006</v>
      </c>
      <c r="L54" s="1083">
        <f t="shared" si="41"/>
        <v>73955.340788999994</v>
      </c>
      <c r="M54" s="1083">
        <f t="shared" si="41"/>
        <v>78495.180834999992</v>
      </c>
      <c r="N54" s="1083">
        <f t="shared" si="41"/>
        <v>107674.49962499998</v>
      </c>
      <c r="O54" s="1083">
        <f t="shared" si="41"/>
        <v>79175.762541000004</v>
      </c>
      <c r="R54" s="1057"/>
      <c r="S54" s="1053"/>
      <c r="T54" s="1057"/>
      <c r="U54" s="1057"/>
      <c r="V54" s="1053"/>
    </row>
    <row r="55" spans="2:24" s="1065" customFormat="1" ht="13.5" x14ac:dyDescent="0.3">
      <c r="B55" s="1084" t="s">
        <v>1961</v>
      </c>
      <c r="C55" s="1084"/>
      <c r="D55" s="1085"/>
      <c r="E55" s="1085"/>
      <c r="F55" s="1085"/>
      <c r="G55" s="1085"/>
      <c r="H55" s="1085"/>
      <c r="I55" s="1069"/>
      <c r="J55" s="1085"/>
      <c r="K55" s="1085"/>
      <c r="L55" s="1085"/>
      <c r="M55" s="1085"/>
      <c r="N55" s="1085"/>
      <c r="O55" s="1085"/>
      <c r="R55" s="1057"/>
      <c r="S55" s="1053"/>
      <c r="T55" s="1057"/>
      <c r="U55" s="1057"/>
      <c r="V55" s="1053"/>
    </row>
    <row r="56" spans="2:24" s="1065" customFormat="1" ht="13.5" x14ac:dyDescent="0.3">
      <c r="B56" s="1086" t="s">
        <v>1962</v>
      </c>
      <c r="C56" s="1051">
        <f>C57+C58+C62+C63+C64</f>
        <v>25086127446</v>
      </c>
      <c r="D56" s="1051">
        <f>D57+D58+D62+D63+D64</f>
        <v>20511387362</v>
      </c>
      <c r="E56" s="1051">
        <f t="shared" ref="E56:H56" si="42">E57+E58+E62+E63+E64</f>
        <v>48037120335</v>
      </c>
      <c r="F56" s="1051">
        <f t="shared" si="42"/>
        <v>46667757208</v>
      </c>
      <c r="G56" s="1051">
        <f t="shared" si="42"/>
        <v>70887749107</v>
      </c>
      <c r="H56" s="1051">
        <f t="shared" si="42"/>
        <v>37284845561</v>
      </c>
      <c r="I56" s="1069"/>
      <c r="J56" s="1051">
        <f>J57+J58+J62+J63+J64</f>
        <v>25086.127445999999</v>
      </c>
      <c r="K56" s="1051">
        <f>K57+K58+K62+K63+K64</f>
        <v>20511.387361999998</v>
      </c>
      <c r="L56" s="1051">
        <f t="shared" ref="L56:O56" si="43">L57+L58+L62+L63+L64</f>
        <v>48037.120334999992</v>
      </c>
      <c r="M56" s="1051">
        <f t="shared" si="43"/>
        <v>46667.757208000003</v>
      </c>
      <c r="N56" s="1051">
        <f t="shared" si="43"/>
        <v>70887.749106999996</v>
      </c>
      <c r="O56" s="1051">
        <f t="shared" si="43"/>
        <v>37284.845561000002</v>
      </c>
      <c r="R56" s="1057"/>
      <c r="S56" s="1053"/>
      <c r="T56" s="1057"/>
      <c r="U56" s="1053"/>
      <c r="V56" s="1053"/>
    </row>
    <row r="57" spans="2:24" s="1065" customFormat="1" ht="13.5" x14ac:dyDescent="0.3">
      <c r="B57" s="1087" t="s">
        <v>1940</v>
      </c>
      <c r="C57" s="1088">
        <f>DART!C51</f>
        <v>19416165578</v>
      </c>
      <c r="D57" s="1088">
        <f>DART!E51</f>
        <v>16841211719</v>
      </c>
      <c r="E57" s="1088">
        <f>DART!G51</f>
        <v>38969414471</v>
      </c>
      <c r="F57" s="1088">
        <f>DART!I51</f>
        <v>39416497803</v>
      </c>
      <c r="G57" s="1088">
        <f>DART!K51</f>
        <v>65492904072</v>
      </c>
      <c r="H57" s="1088">
        <v>30584002055</v>
      </c>
      <c r="I57" s="1069"/>
      <c r="J57" s="1088">
        <f t="shared" ref="J57:O57" si="44">C57/1000000</f>
        <v>19416.165578</v>
      </c>
      <c r="K57" s="1088">
        <f t="shared" si="44"/>
        <v>16841.211718999999</v>
      </c>
      <c r="L57" s="1088">
        <f t="shared" si="44"/>
        <v>38969.414470999996</v>
      </c>
      <c r="M57" s="1088">
        <f t="shared" si="44"/>
        <v>39416.497802999998</v>
      </c>
      <c r="N57" s="1088">
        <f t="shared" si="44"/>
        <v>65492.904071999998</v>
      </c>
      <c r="O57" s="1088">
        <f t="shared" si="44"/>
        <v>30584.002055000001</v>
      </c>
      <c r="R57" s="1089" t="s">
        <v>1963</v>
      </c>
      <c r="S57" s="1089"/>
      <c r="T57" s="1089"/>
      <c r="U57" s="1089"/>
      <c r="V57" s="1090"/>
    </row>
    <row r="58" spans="2:24" s="1065" customFormat="1" ht="13.5" x14ac:dyDescent="0.3">
      <c r="B58" s="1091" t="s">
        <v>1964</v>
      </c>
      <c r="C58" s="1053">
        <f t="shared" ref="C58:H58" si="45">SUM(C59:C61)</f>
        <v>2542271467</v>
      </c>
      <c r="D58" s="1053">
        <f t="shared" si="45"/>
        <v>2968980353</v>
      </c>
      <c r="E58" s="1053">
        <f t="shared" si="45"/>
        <v>5016602341</v>
      </c>
      <c r="F58" s="1053">
        <f t="shared" si="45"/>
        <v>5354488241</v>
      </c>
      <c r="G58" s="1053">
        <f t="shared" si="45"/>
        <v>4181474556</v>
      </c>
      <c r="H58" s="1053">
        <f t="shared" si="45"/>
        <v>4566510010</v>
      </c>
      <c r="I58" s="1069"/>
      <c r="J58" s="1053">
        <f t="shared" ref="J58:O58" si="46">SUM(J59:J61)</f>
        <v>2542.271467</v>
      </c>
      <c r="K58" s="1053">
        <f t="shared" si="46"/>
        <v>2968.9803529999999</v>
      </c>
      <c r="L58" s="1053">
        <f t="shared" si="46"/>
        <v>5016.6023409999998</v>
      </c>
      <c r="M58" s="1053">
        <f t="shared" si="46"/>
        <v>5354.488241</v>
      </c>
      <c r="N58" s="1053">
        <f t="shared" si="46"/>
        <v>4181.4745560000001</v>
      </c>
      <c r="O58" s="1053">
        <f t="shared" si="46"/>
        <v>4566.51001</v>
      </c>
      <c r="R58" s="1057"/>
      <c r="S58" s="1053"/>
      <c r="T58" s="1057"/>
      <c r="U58" s="1053"/>
      <c r="V58" s="1053"/>
    </row>
    <row r="59" spans="2:24" s="1065" customFormat="1" ht="13.5" x14ac:dyDescent="0.3">
      <c r="B59" s="1076" t="s">
        <v>1965</v>
      </c>
      <c r="C59" s="1053">
        <f>DART!C55</f>
        <v>1393688528</v>
      </c>
      <c r="D59" s="1053">
        <f>DART!E55</f>
        <v>1274599283</v>
      </c>
      <c r="E59" s="1053">
        <f>DART!G55</f>
        <v>3684649310</v>
      </c>
      <c r="F59" s="1053">
        <f>DART!I55</f>
        <v>3403859506</v>
      </c>
      <c r="G59" s="1053">
        <f>DART!K55</f>
        <v>2609745993</v>
      </c>
      <c r="H59" s="1053">
        <v>2714305625</v>
      </c>
      <c r="I59" s="1069"/>
      <c r="J59" s="1053">
        <f t="shared" ref="J59:O60" si="47">C59/1000000</f>
        <v>1393.6885279999999</v>
      </c>
      <c r="K59" s="1053">
        <f t="shared" si="47"/>
        <v>1274.599283</v>
      </c>
      <c r="L59" s="1053">
        <f t="shared" si="47"/>
        <v>3684.6493099999998</v>
      </c>
      <c r="M59" s="1053">
        <f t="shared" si="47"/>
        <v>3403.8595059999998</v>
      </c>
      <c r="N59" s="1053">
        <f t="shared" si="47"/>
        <v>2609.745993</v>
      </c>
      <c r="O59" s="1053">
        <f t="shared" si="47"/>
        <v>2714.305625</v>
      </c>
      <c r="R59" s="1057"/>
      <c r="S59" s="1053"/>
      <c r="T59" s="1057"/>
      <c r="U59" s="1053"/>
      <c r="V59" s="1053"/>
    </row>
    <row r="60" spans="2:24" s="1065" customFormat="1" ht="13.5" x14ac:dyDescent="0.3">
      <c r="B60" s="1076" t="s">
        <v>1996</v>
      </c>
      <c r="C60" s="1053">
        <f>DART!C57</f>
        <v>401123425</v>
      </c>
      <c r="D60" s="1053">
        <f>DART!E57</f>
        <v>395752360</v>
      </c>
      <c r="E60" s="1053">
        <f>DART!G57</f>
        <v>581425190</v>
      </c>
      <c r="F60" s="1053">
        <f>DART!I57</f>
        <v>554989846</v>
      </c>
      <c r="G60" s="1053">
        <f>DART!K57</f>
        <v>612695626</v>
      </c>
      <c r="H60" s="1053">
        <v>196372272</v>
      </c>
      <c r="I60" s="1069"/>
      <c r="J60" s="1053">
        <f t="shared" ref="J60:N63" si="48">C60/1000000</f>
        <v>401.123425</v>
      </c>
      <c r="K60" s="1053">
        <f t="shared" si="48"/>
        <v>395.75236000000001</v>
      </c>
      <c r="L60" s="1053">
        <f t="shared" si="48"/>
        <v>581.42519000000004</v>
      </c>
      <c r="M60" s="1053">
        <f t="shared" si="48"/>
        <v>554.98984599999994</v>
      </c>
      <c r="N60" s="1053">
        <f t="shared" si="48"/>
        <v>612.69562599999995</v>
      </c>
      <c r="O60" s="1053">
        <f t="shared" si="47"/>
        <v>196.37227200000001</v>
      </c>
      <c r="R60" s="1057"/>
      <c r="S60" s="1053"/>
      <c r="T60" s="1057"/>
      <c r="U60" s="1053"/>
      <c r="V60" s="1053"/>
    </row>
    <row r="61" spans="2:24" s="1065" customFormat="1" ht="13.5" x14ac:dyDescent="0.3">
      <c r="B61" s="1076" t="s">
        <v>1997</v>
      </c>
      <c r="C61" s="1053">
        <f>DART!C54</f>
        <v>747459514</v>
      </c>
      <c r="D61" s="1053">
        <f>DART!E54</f>
        <v>1298628710</v>
      </c>
      <c r="E61" s="1053">
        <f>DART!G54</f>
        <v>750527841</v>
      </c>
      <c r="F61" s="1053">
        <f>DART!I54</f>
        <v>1395638889</v>
      </c>
      <c r="G61" s="1053">
        <f>DART!K54</f>
        <v>959032937</v>
      </c>
      <c r="H61" s="1053">
        <v>1655832113</v>
      </c>
      <c r="I61" s="1069"/>
      <c r="J61" s="1053">
        <f t="shared" si="48"/>
        <v>747.45951400000001</v>
      </c>
      <c r="K61" s="1053">
        <f t="shared" si="48"/>
        <v>1298.62871</v>
      </c>
      <c r="L61" s="1053">
        <f t="shared" si="48"/>
        <v>750.52784099999997</v>
      </c>
      <c r="M61" s="1053">
        <f t="shared" si="48"/>
        <v>1395.6388890000001</v>
      </c>
      <c r="N61" s="1053">
        <f t="shared" si="48"/>
        <v>959.03293699999995</v>
      </c>
      <c r="O61" s="1053">
        <f>H61/1000000</f>
        <v>1655.8321129999999</v>
      </c>
      <c r="R61" s="1057"/>
      <c r="S61" s="1053"/>
      <c r="T61" s="1057"/>
      <c r="U61" s="1053"/>
      <c r="V61" s="1053"/>
    </row>
    <row r="62" spans="2:24" s="1066" customFormat="1" ht="13.5" x14ac:dyDescent="0.3">
      <c r="B62" s="1092" t="s">
        <v>1966</v>
      </c>
      <c r="C62" s="1093">
        <f>DART!C52</f>
        <v>0</v>
      </c>
      <c r="D62" s="1093">
        <f>DART!E52</f>
        <v>0</v>
      </c>
      <c r="E62" s="1093">
        <f>DART!G52</f>
        <v>1505787800</v>
      </c>
      <c r="F62" s="1093">
        <f>DART!I52</f>
        <v>0</v>
      </c>
      <c r="G62" s="1093">
        <f>DART!K52</f>
        <v>0</v>
      </c>
      <c r="H62" s="1093">
        <v>0</v>
      </c>
      <c r="I62" s="1069"/>
      <c r="J62" s="1093">
        <f t="shared" si="48"/>
        <v>0</v>
      </c>
      <c r="K62" s="1093">
        <f t="shared" si="48"/>
        <v>0</v>
      </c>
      <c r="L62" s="1093">
        <f t="shared" si="48"/>
        <v>1505.7878000000001</v>
      </c>
      <c r="M62" s="1093">
        <f t="shared" si="48"/>
        <v>0</v>
      </c>
      <c r="N62" s="1093">
        <f t="shared" si="48"/>
        <v>0</v>
      </c>
      <c r="O62" s="1093">
        <f>H62/1000000</f>
        <v>0</v>
      </c>
      <c r="P62" s="1065"/>
      <c r="Q62" s="1065"/>
      <c r="R62" s="1094" t="s">
        <v>2049</v>
      </c>
      <c r="S62" s="1093"/>
      <c r="T62" s="1094"/>
      <c r="U62" s="1093"/>
      <c r="V62" s="1093"/>
      <c r="W62" s="1065"/>
      <c r="X62" s="1065"/>
    </row>
    <row r="63" spans="2:24" s="1065" customFormat="1" ht="13.5" x14ac:dyDescent="0.3">
      <c r="B63" s="1091" t="s">
        <v>1967</v>
      </c>
      <c r="C63" s="1053">
        <f>DART!C53</f>
        <v>1277488819</v>
      </c>
      <c r="D63" s="1053">
        <f>DART!E53</f>
        <v>177841277</v>
      </c>
      <c r="E63" s="1053">
        <f>DART!G53</f>
        <v>1698758286</v>
      </c>
      <c r="F63" s="1053">
        <f>DART!I53</f>
        <v>1613418033</v>
      </c>
      <c r="G63" s="1053">
        <f>DART!K53</f>
        <v>867700729</v>
      </c>
      <c r="H63" s="1053">
        <v>1695000683</v>
      </c>
      <c r="I63" s="1069"/>
      <c r="J63" s="1053">
        <f t="shared" si="48"/>
        <v>1277.4888189999999</v>
      </c>
      <c r="K63" s="1053">
        <f t="shared" si="48"/>
        <v>177.84127699999999</v>
      </c>
      <c r="L63" s="1053">
        <f t="shared" si="48"/>
        <v>1698.758286</v>
      </c>
      <c r="M63" s="1053">
        <f t="shared" si="48"/>
        <v>1613.4180329999999</v>
      </c>
      <c r="N63" s="1053">
        <f t="shared" si="48"/>
        <v>867.70072900000002</v>
      </c>
      <c r="O63" s="1053">
        <f>H63/1000000</f>
        <v>1695.000683</v>
      </c>
      <c r="R63" s="1057"/>
      <c r="S63" s="1053"/>
      <c r="T63" s="1057"/>
      <c r="U63" s="1053"/>
      <c r="V63" s="1053"/>
    </row>
    <row r="64" spans="2:24" s="1065" customFormat="1" ht="13.5" x14ac:dyDescent="0.3">
      <c r="B64" s="1091" t="s">
        <v>1968</v>
      </c>
      <c r="C64" s="1053">
        <f t="shared" ref="C64:H64" si="49">SUM(C65:C67)</f>
        <v>1850201582</v>
      </c>
      <c r="D64" s="1053">
        <f t="shared" si="49"/>
        <v>523354013</v>
      </c>
      <c r="E64" s="1053">
        <f t="shared" si="49"/>
        <v>846557437</v>
      </c>
      <c r="F64" s="1053">
        <f t="shared" si="49"/>
        <v>283353131</v>
      </c>
      <c r="G64" s="1053">
        <f t="shared" si="49"/>
        <v>345669750</v>
      </c>
      <c r="H64" s="1053">
        <f t="shared" si="49"/>
        <v>439332813</v>
      </c>
      <c r="I64" s="1069"/>
      <c r="J64" s="1053">
        <f t="shared" ref="J64:O64" si="50">SUM(J65:J67)</f>
        <v>1850.2015820000001</v>
      </c>
      <c r="K64" s="1053">
        <f t="shared" si="50"/>
        <v>523.35401300000001</v>
      </c>
      <c r="L64" s="1053">
        <f t="shared" si="50"/>
        <v>846.55743699999994</v>
      </c>
      <c r="M64" s="1053">
        <f t="shared" si="50"/>
        <v>283.35313100000002</v>
      </c>
      <c r="N64" s="1053">
        <f t="shared" si="50"/>
        <v>345.66975000000002</v>
      </c>
      <c r="O64" s="1053">
        <f t="shared" si="50"/>
        <v>439.33281299999999</v>
      </c>
      <c r="R64" s="1057"/>
      <c r="S64" s="1051"/>
      <c r="T64" s="1057"/>
      <c r="U64" s="1051"/>
      <c r="V64" s="1051"/>
    </row>
    <row r="65" spans="1:24" s="1108" customFormat="1" ht="13.5" x14ac:dyDescent="0.3">
      <c r="A65" s="1065"/>
      <c r="B65" s="1076" t="s">
        <v>1969</v>
      </c>
      <c r="C65" s="1053">
        <f>DART!C56</f>
        <v>1560782275</v>
      </c>
      <c r="D65" s="1053">
        <f>DART!E56</f>
        <v>413183376</v>
      </c>
      <c r="E65" s="1053">
        <f>DART!G56</f>
        <v>688494430</v>
      </c>
      <c r="F65" s="1053">
        <f>DART!I56</f>
        <v>93991431</v>
      </c>
      <c r="G65" s="1053">
        <f>DART!K56</f>
        <v>72729209</v>
      </c>
      <c r="H65" s="1053">
        <v>272101458</v>
      </c>
      <c r="I65" s="1069"/>
      <c r="J65" s="1053">
        <f t="shared" ref="J65:O67" si="51">C65/1000000</f>
        <v>1560.782275</v>
      </c>
      <c r="K65" s="1053">
        <f t="shared" si="51"/>
        <v>413.18337600000001</v>
      </c>
      <c r="L65" s="1053">
        <f t="shared" si="51"/>
        <v>688.49442999999997</v>
      </c>
      <c r="M65" s="1053">
        <f t="shared" si="51"/>
        <v>93.991431000000006</v>
      </c>
      <c r="N65" s="1053">
        <f t="shared" si="51"/>
        <v>72.729208999999997</v>
      </c>
      <c r="O65" s="1053">
        <f t="shared" si="51"/>
        <v>272.10145799999998</v>
      </c>
      <c r="P65" s="1065"/>
      <c r="Q65" s="1065"/>
      <c r="R65" s="1057"/>
      <c r="S65" s="1057"/>
      <c r="T65" s="1057"/>
      <c r="U65" s="1057"/>
      <c r="V65" s="1051"/>
      <c r="W65" s="1065"/>
      <c r="X65" s="1065"/>
    </row>
    <row r="66" spans="1:24" s="1102" customFormat="1" ht="13.5" x14ac:dyDescent="0.3">
      <c r="A66" s="1065"/>
      <c r="B66" s="1076" t="s">
        <v>1998</v>
      </c>
      <c r="C66" s="1053">
        <f>DART!C58</f>
        <v>97036900</v>
      </c>
      <c r="D66" s="1053">
        <f>DART!E58</f>
        <v>94970637</v>
      </c>
      <c r="E66" s="1053">
        <f>DART!G58</f>
        <v>158063007</v>
      </c>
      <c r="F66" s="1053">
        <f>DART!I58</f>
        <v>180735687</v>
      </c>
      <c r="G66" s="1053">
        <f>DART!K58</f>
        <v>272940541</v>
      </c>
      <c r="H66" s="1053">
        <v>167231355</v>
      </c>
      <c r="I66" s="1069"/>
      <c r="J66" s="1053">
        <f t="shared" si="51"/>
        <v>97.036900000000003</v>
      </c>
      <c r="K66" s="1053">
        <f t="shared" si="51"/>
        <v>94.970636999999996</v>
      </c>
      <c r="L66" s="1053">
        <f t="shared" si="51"/>
        <v>158.063007</v>
      </c>
      <c r="M66" s="1053">
        <f t="shared" si="51"/>
        <v>180.73568700000001</v>
      </c>
      <c r="N66" s="1053">
        <f t="shared" si="51"/>
        <v>272.940541</v>
      </c>
      <c r="O66" s="1053">
        <f t="shared" si="51"/>
        <v>167.23135500000001</v>
      </c>
      <c r="P66" s="1065"/>
      <c r="Q66" s="1065"/>
      <c r="R66" s="1057"/>
      <c r="S66" s="1057"/>
      <c r="T66" s="1057"/>
      <c r="U66" s="1057"/>
      <c r="V66" s="1051"/>
      <c r="W66" s="1065"/>
      <c r="X66" s="1065"/>
    </row>
    <row r="67" spans="1:24" s="1065" customFormat="1" ht="13.5" x14ac:dyDescent="0.3">
      <c r="B67" s="1076" t="s">
        <v>1999</v>
      </c>
      <c r="C67" s="1053">
        <f>DART!C59</f>
        <v>192382407</v>
      </c>
      <c r="D67" s="1053">
        <f>DART!E59</f>
        <v>15200000</v>
      </c>
      <c r="E67" s="1053">
        <f>DART!G59</f>
        <v>0</v>
      </c>
      <c r="F67" s="1053">
        <f>DART!I59</f>
        <v>8626013</v>
      </c>
      <c r="G67" s="1053">
        <f>DART!K59</f>
        <v>0</v>
      </c>
      <c r="H67" s="1053">
        <f>DART!L59</f>
        <v>0</v>
      </c>
      <c r="I67" s="1069"/>
      <c r="J67" s="1053">
        <f t="shared" si="51"/>
        <v>192.382407</v>
      </c>
      <c r="K67" s="1053">
        <f t="shared" si="51"/>
        <v>15.2</v>
      </c>
      <c r="L67" s="1053">
        <f t="shared" si="51"/>
        <v>0</v>
      </c>
      <c r="M67" s="1053">
        <f t="shared" si="51"/>
        <v>8.6260130000000004</v>
      </c>
      <c r="N67" s="1053">
        <f t="shared" si="51"/>
        <v>0</v>
      </c>
      <c r="O67" s="1053">
        <f t="shared" si="51"/>
        <v>0</v>
      </c>
      <c r="R67" s="1057"/>
      <c r="S67" s="1057"/>
      <c r="T67" s="1057"/>
      <c r="U67" s="1057"/>
      <c r="V67" s="1051"/>
    </row>
    <row r="68" spans="1:24" s="1065" customFormat="1" ht="13.5" x14ac:dyDescent="0.3">
      <c r="B68" s="1086" t="s">
        <v>1970</v>
      </c>
      <c r="C68" s="1051">
        <f>C69+C70</f>
        <v>2653063600</v>
      </c>
      <c r="D68" s="1051">
        <f>D69+D70</f>
        <v>298688530</v>
      </c>
      <c r="E68" s="1051">
        <f t="shared" ref="E68:H68" si="52">E69+E70</f>
        <v>662362458</v>
      </c>
      <c r="F68" s="1051">
        <f t="shared" si="52"/>
        <v>1123346576</v>
      </c>
      <c r="G68" s="1051">
        <f t="shared" si="52"/>
        <v>655871088</v>
      </c>
      <c r="H68" s="1051">
        <f t="shared" si="52"/>
        <v>547087609</v>
      </c>
      <c r="I68" s="1069"/>
      <c r="J68" s="1051">
        <f>J69+J70</f>
        <v>2653.0636</v>
      </c>
      <c r="K68" s="1051">
        <f>K69+K70</f>
        <v>298.6885299999999</v>
      </c>
      <c r="L68" s="1051">
        <f t="shared" ref="L68:O68" si="53">L69+L70</f>
        <v>662.36245800000052</v>
      </c>
      <c r="M68" s="1051">
        <f t="shared" si="53"/>
        <v>1123.3465759999999</v>
      </c>
      <c r="N68" s="1051">
        <f t="shared" si="53"/>
        <v>655.87108799999987</v>
      </c>
      <c r="O68" s="1051">
        <f t="shared" si="53"/>
        <v>547.08760900000016</v>
      </c>
      <c r="R68" s="1057"/>
      <c r="S68" s="1051"/>
      <c r="T68" s="1057"/>
      <c r="U68" s="1051"/>
      <c r="V68" s="1051"/>
    </row>
    <row r="69" spans="1:24" s="1065" customFormat="1" ht="13.5" x14ac:dyDescent="0.3">
      <c r="B69" s="1091" t="s">
        <v>2000</v>
      </c>
      <c r="C69" s="1053">
        <f>DART!C61</f>
        <v>2653063600</v>
      </c>
      <c r="D69" s="1053">
        <f>DART!E61</f>
        <v>2699322135</v>
      </c>
      <c r="E69" s="1053">
        <f>DART!G61</f>
        <v>4098115308</v>
      </c>
      <c r="F69" s="1053">
        <f>DART!I61</f>
        <v>5978251568</v>
      </c>
      <c r="G69" s="1053">
        <f>DART!K61</f>
        <v>7576002100</v>
      </c>
      <c r="H69" s="1053">
        <v>9536768500</v>
      </c>
      <c r="I69" s="1069"/>
      <c r="J69" s="1053">
        <f t="shared" ref="J69:O70" si="54">C69/1000000</f>
        <v>2653.0636</v>
      </c>
      <c r="K69" s="1053">
        <f t="shared" si="54"/>
        <v>2699.3221349999999</v>
      </c>
      <c r="L69" s="1053">
        <f t="shared" si="54"/>
        <v>4098.1153080000004</v>
      </c>
      <c r="M69" s="1053">
        <f t="shared" si="54"/>
        <v>5978.2515679999997</v>
      </c>
      <c r="N69" s="1053">
        <f t="shared" si="54"/>
        <v>7576.0020999999997</v>
      </c>
      <c r="O69" s="1053">
        <f t="shared" si="54"/>
        <v>9536.7685000000001</v>
      </c>
      <c r="R69" s="1057"/>
      <c r="S69" s="1051"/>
      <c r="T69" s="1057"/>
      <c r="U69" s="1051"/>
      <c r="V69" s="1051"/>
    </row>
    <row r="70" spans="1:24" s="1065" customFormat="1" ht="13.5" x14ac:dyDescent="0.3">
      <c r="B70" s="1091" t="s">
        <v>2001</v>
      </c>
      <c r="C70" s="1053">
        <f>DART!C62</f>
        <v>0</v>
      </c>
      <c r="D70" s="1053">
        <f>DART!E62</f>
        <v>-2400633605</v>
      </c>
      <c r="E70" s="1053">
        <f>DART!G62</f>
        <v>-3435752850</v>
      </c>
      <c r="F70" s="1053">
        <f>DART!I62</f>
        <v>-4854904992</v>
      </c>
      <c r="G70" s="1053">
        <f>DART!K62</f>
        <v>-6920131012</v>
      </c>
      <c r="H70" s="1053">
        <v>-8989680891</v>
      </c>
      <c r="I70" s="1103"/>
      <c r="J70" s="1053">
        <f t="shared" si="54"/>
        <v>0</v>
      </c>
      <c r="K70" s="1053">
        <f t="shared" si="54"/>
        <v>-2400.633605</v>
      </c>
      <c r="L70" s="1053">
        <f t="shared" si="54"/>
        <v>-3435.7528499999999</v>
      </c>
      <c r="M70" s="1053">
        <f t="shared" si="54"/>
        <v>-4854.9049919999998</v>
      </c>
      <c r="N70" s="1053">
        <f t="shared" si="54"/>
        <v>-6920.1310119999998</v>
      </c>
      <c r="O70" s="1053">
        <f t="shared" si="54"/>
        <v>-8989.680891</v>
      </c>
      <c r="P70" s="1102"/>
      <c r="Q70" s="1102"/>
      <c r="R70" s="1057"/>
      <c r="S70" s="1051"/>
      <c r="T70" s="1057"/>
      <c r="U70" s="1051"/>
      <c r="V70" s="1051"/>
      <c r="W70" s="1102"/>
      <c r="X70" s="1102"/>
    </row>
    <row r="71" spans="1:24" s="1065" customFormat="1" ht="13.5" x14ac:dyDescent="0.3">
      <c r="B71" s="1095" t="s">
        <v>1942</v>
      </c>
      <c r="C71" s="1096">
        <f t="shared" ref="C71:H71" si="55">C56+C68</f>
        <v>27739191046</v>
      </c>
      <c r="D71" s="1096">
        <f t="shared" si="55"/>
        <v>20810075892</v>
      </c>
      <c r="E71" s="1096">
        <f t="shared" si="55"/>
        <v>48699482793</v>
      </c>
      <c r="F71" s="1096">
        <f t="shared" si="55"/>
        <v>47791103784</v>
      </c>
      <c r="G71" s="1096">
        <f t="shared" si="55"/>
        <v>71543620195</v>
      </c>
      <c r="H71" s="1096">
        <f t="shared" si="55"/>
        <v>37831933170</v>
      </c>
      <c r="I71" s="1068"/>
      <c r="J71" s="1096">
        <f t="shared" ref="J71:O71" si="56">J56+J68</f>
        <v>27739.191046</v>
      </c>
      <c r="K71" s="1096">
        <f t="shared" si="56"/>
        <v>20810.075891999997</v>
      </c>
      <c r="L71" s="1096">
        <f t="shared" si="56"/>
        <v>48699.482792999996</v>
      </c>
      <c r="M71" s="1096">
        <f t="shared" si="56"/>
        <v>47791.103784000006</v>
      </c>
      <c r="N71" s="1096">
        <f t="shared" si="56"/>
        <v>71543.620194999996</v>
      </c>
      <c r="O71" s="1096">
        <f t="shared" si="56"/>
        <v>37831.933170000004</v>
      </c>
      <c r="R71" s="1057"/>
      <c r="S71" s="1051"/>
      <c r="T71" s="1057"/>
      <c r="U71" s="1051"/>
      <c r="V71" s="1051"/>
    </row>
    <row r="72" spans="1:24" s="1065" customFormat="1" ht="13.5" x14ac:dyDescent="0.3">
      <c r="B72" s="1097" t="s">
        <v>1943</v>
      </c>
      <c r="C72" s="1097"/>
      <c r="D72" s="1085"/>
      <c r="E72" s="1085"/>
      <c r="F72" s="1085"/>
      <c r="G72" s="1085"/>
      <c r="H72" s="1085"/>
      <c r="I72" s="1068"/>
      <c r="J72" s="1085"/>
      <c r="K72" s="1085"/>
      <c r="L72" s="1085"/>
      <c r="M72" s="1085"/>
      <c r="N72" s="1085"/>
      <c r="O72" s="1085"/>
      <c r="R72" s="1057"/>
      <c r="S72" s="1051"/>
      <c r="T72" s="1057"/>
      <c r="U72" s="1051"/>
      <c r="V72" s="1051"/>
    </row>
    <row r="73" spans="1:24" s="1065" customFormat="1" ht="13.5" x14ac:dyDescent="0.3">
      <c r="B73" s="1086" t="s">
        <v>1944</v>
      </c>
      <c r="C73" s="1051">
        <f>DART!D65</f>
        <v>3000000000</v>
      </c>
      <c r="D73" s="1051">
        <f>DART!F65</f>
        <v>3000000000</v>
      </c>
      <c r="E73" s="1051">
        <f>DART!H65</f>
        <v>3000000000</v>
      </c>
      <c r="F73" s="1051">
        <f>DART!J65</f>
        <v>3000000000</v>
      </c>
      <c r="G73" s="1051">
        <f>DART!L65</f>
        <v>3000000000</v>
      </c>
      <c r="H73" s="1051">
        <v>4500000000</v>
      </c>
      <c r="I73" s="1069"/>
      <c r="J73" s="1051">
        <f t="shared" ref="J73:O73" si="57">C73/1000000</f>
        <v>3000</v>
      </c>
      <c r="K73" s="1051">
        <f t="shared" si="57"/>
        <v>3000</v>
      </c>
      <c r="L73" s="1051">
        <f t="shared" si="57"/>
        <v>3000</v>
      </c>
      <c r="M73" s="1051">
        <f t="shared" si="57"/>
        <v>3000</v>
      </c>
      <c r="N73" s="1051">
        <f t="shared" si="57"/>
        <v>3000</v>
      </c>
      <c r="O73" s="1051">
        <f t="shared" si="57"/>
        <v>4500</v>
      </c>
      <c r="R73" s="1057"/>
      <c r="S73" s="1051"/>
      <c r="T73" s="1057"/>
      <c r="U73" s="1051"/>
      <c r="V73" s="1051"/>
    </row>
    <row r="74" spans="1:24" s="1065" customFormat="1" ht="13.5" x14ac:dyDescent="0.3">
      <c r="B74" s="1086" t="s">
        <v>1971</v>
      </c>
      <c r="C74" s="1051">
        <f t="shared" ref="C74:H74" si="58">SUM(C75:C76)</f>
        <v>13417258951</v>
      </c>
      <c r="D74" s="1051">
        <f t="shared" si="58"/>
        <v>17054810452</v>
      </c>
      <c r="E74" s="1051">
        <f t="shared" si="58"/>
        <v>22255857996</v>
      </c>
      <c r="F74" s="1051">
        <f t="shared" si="58"/>
        <v>27704077051</v>
      </c>
      <c r="G74" s="1051">
        <f t="shared" si="58"/>
        <v>33130879430</v>
      </c>
      <c r="H74" s="1051">
        <f t="shared" si="58"/>
        <v>36843829371</v>
      </c>
      <c r="I74" s="1069"/>
      <c r="J74" s="1051">
        <f t="shared" ref="J74:O74" si="59">SUM(J75:J76)</f>
        <v>13417.258951</v>
      </c>
      <c r="K74" s="1051">
        <f t="shared" si="59"/>
        <v>17054.810451999998</v>
      </c>
      <c r="L74" s="1051">
        <f t="shared" si="59"/>
        <v>22255.857995999999</v>
      </c>
      <c r="M74" s="1051">
        <f t="shared" si="59"/>
        <v>27704.077051</v>
      </c>
      <c r="N74" s="1051">
        <f t="shared" si="59"/>
        <v>33130.879430000001</v>
      </c>
      <c r="O74" s="1051">
        <f t="shared" si="59"/>
        <v>36843.829371</v>
      </c>
      <c r="R74" s="1057"/>
      <c r="S74" s="1051"/>
      <c r="T74" s="1057"/>
      <c r="U74" s="1051"/>
      <c r="V74" s="1051"/>
    </row>
    <row r="75" spans="1:24" s="1065" customFormat="1" ht="13.5" x14ac:dyDescent="0.3">
      <c r="B75" s="1052" t="s">
        <v>1972</v>
      </c>
      <c r="C75" s="1053">
        <f>DART!C68</f>
        <v>270000000</v>
      </c>
      <c r="D75" s="1053">
        <f>DART!E68</f>
        <v>1500000000</v>
      </c>
      <c r="E75" s="1053">
        <f>DART!G68</f>
        <v>1500000000</v>
      </c>
      <c r="F75" s="1053">
        <f>DART!I68</f>
        <v>1500000000</v>
      </c>
      <c r="G75" s="1053">
        <f>DART!K68</f>
        <v>1500000000</v>
      </c>
      <c r="H75" s="1053">
        <v>0</v>
      </c>
      <c r="I75" s="1069"/>
      <c r="J75" s="1053">
        <f t="shared" ref="J75:O76" si="60">C75/1000000</f>
        <v>270</v>
      </c>
      <c r="K75" s="1053">
        <f t="shared" si="60"/>
        <v>1500</v>
      </c>
      <c r="L75" s="1053">
        <f t="shared" si="60"/>
        <v>1500</v>
      </c>
      <c r="M75" s="1053">
        <f t="shared" si="60"/>
        <v>1500</v>
      </c>
      <c r="N75" s="1053">
        <f t="shared" si="60"/>
        <v>1500</v>
      </c>
      <c r="O75" s="1053">
        <f t="shared" si="60"/>
        <v>0</v>
      </c>
      <c r="R75" s="1057"/>
      <c r="S75" s="1051"/>
      <c r="T75" s="1057"/>
      <c r="U75" s="1051"/>
      <c r="V75" s="1051"/>
    </row>
    <row r="76" spans="1:24" s="1065" customFormat="1" x14ac:dyDescent="0.3">
      <c r="B76" s="1052" t="s">
        <v>1973</v>
      </c>
      <c r="C76" s="1053">
        <f>DART!C69</f>
        <v>13147258951</v>
      </c>
      <c r="D76" s="1053">
        <f>DART!E69</f>
        <v>15554810452</v>
      </c>
      <c r="E76" s="1053">
        <f>DART!G69</f>
        <v>20755857996</v>
      </c>
      <c r="F76" s="1053">
        <f>DART!I69</f>
        <v>26204077051</v>
      </c>
      <c r="G76" s="1053">
        <f>DART!K69</f>
        <v>31630879430</v>
      </c>
      <c r="H76" s="1053">
        <v>36843829371</v>
      </c>
      <c r="I76" s="1070"/>
      <c r="J76" s="1053">
        <f t="shared" si="60"/>
        <v>13147.258951</v>
      </c>
      <c r="K76" s="1053">
        <f t="shared" si="60"/>
        <v>15554.810452</v>
      </c>
      <c r="L76" s="1053">
        <f t="shared" si="60"/>
        <v>20755.857995999999</v>
      </c>
      <c r="M76" s="1053">
        <f t="shared" si="60"/>
        <v>26204.077051</v>
      </c>
      <c r="N76" s="1053">
        <f t="shared" si="60"/>
        <v>31630.879430000001</v>
      </c>
      <c r="O76" s="1053">
        <f t="shared" si="60"/>
        <v>36843.829371</v>
      </c>
      <c r="P76" s="1039"/>
      <c r="Q76" s="1039"/>
      <c r="R76" s="1057"/>
      <c r="S76" s="1051"/>
      <c r="T76" s="1057"/>
      <c r="U76" s="1051"/>
      <c r="V76" s="1051"/>
      <c r="W76" s="1039"/>
      <c r="X76" s="1039"/>
    </row>
    <row r="77" spans="1:24" s="1065" customFormat="1" x14ac:dyDescent="0.3">
      <c r="B77" s="1098" t="s">
        <v>1974</v>
      </c>
      <c r="C77" s="1099">
        <f>C74+C73</f>
        <v>16417258951</v>
      </c>
      <c r="D77" s="1099">
        <f>D74+D73</f>
        <v>20054810452</v>
      </c>
      <c r="E77" s="1099">
        <f t="shared" ref="E77:H77" si="61">E74+E73</f>
        <v>25255857996</v>
      </c>
      <c r="F77" s="1099">
        <f t="shared" si="61"/>
        <v>30704077051</v>
      </c>
      <c r="G77" s="1099">
        <f t="shared" si="61"/>
        <v>36130879430</v>
      </c>
      <c r="H77" s="1099">
        <f t="shared" si="61"/>
        <v>41343829371</v>
      </c>
      <c r="I77" s="1070"/>
      <c r="J77" s="1099">
        <f>J74+J73</f>
        <v>16417.258951</v>
      </c>
      <c r="K77" s="1099">
        <f>K74+K73</f>
        <v>20054.810451999998</v>
      </c>
      <c r="L77" s="1099">
        <f t="shared" ref="L77:O77" si="62">L74+L73</f>
        <v>25255.857995999999</v>
      </c>
      <c r="M77" s="1099">
        <f t="shared" si="62"/>
        <v>30704.077051</v>
      </c>
      <c r="N77" s="1099">
        <f t="shared" si="62"/>
        <v>36130.879430000001</v>
      </c>
      <c r="O77" s="1099">
        <f t="shared" si="62"/>
        <v>41343.829371</v>
      </c>
      <c r="P77" s="1039"/>
      <c r="Q77" s="1039"/>
      <c r="R77" s="1057"/>
      <c r="S77" s="1051"/>
      <c r="T77" s="1057"/>
      <c r="U77" s="1051"/>
      <c r="V77" s="1051"/>
      <c r="W77" s="1039"/>
      <c r="X77" s="1039"/>
    </row>
    <row r="78" spans="1:24" s="1065" customFormat="1" ht="15.75" customHeight="1" x14ac:dyDescent="0.3">
      <c r="B78" s="1105"/>
      <c r="C78" s="1106" t="b">
        <f t="shared" ref="C78:H78" si="63">C77+C71=C54</f>
        <v>1</v>
      </c>
      <c r="D78" s="1106" t="b">
        <f t="shared" si="63"/>
        <v>1</v>
      </c>
      <c r="E78" s="1106" t="b">
        <f t="shared" si="63"/>
        <v>1</v>
      </c>
      <c r="F78" s="1106" t="b">
        <f t="shared" si="63"/>
        <v>1</v>
      </c>
      <c r="G78" s="1106" t="b">
        <f t="shared" si="63"/>
        <v>1</v>
      </c>
      <c r="H78" s="1106" t="b">
        <f t="shared" si="63"/>
        <v>1</v>
      </c>
      <c r="I78" s="1070"/>
      <c r="J78" s="1106" t="b">
        <f t="shared" ref="J78:O78" si="64">J77+J71=J54</f>
        <v>1</v>
      </c>
      <c r="K78" s="1106" t="b">
        <f t="shared" si="64"/>
        <v>1</v>
      </c>
      <c r="L78" s="1106" t="b">
        <f t="shared" si="64"/>
        <v>1</v>
      </c>
      <c r="M78" s="1106" t="b">
        <f t="shared" si="64"/>
        <v>1</v>
      </c>
      <c r="N78" s="1106" t="b">
        <f t="shared" si="64"/>
        <v>1</v>
      </c>
      <c r="O78" s="1106" t="b">
        <f t="shared" si="64"/>
        <v>1</v>
      </c>
      <c r="P78" s="1039"/>
      <c r="Q78" s="1039"/>
      <c r="R78" s="1039"/>
      <c r="S78" s="1039"/>
      <c r="T78" s="1039"/>
      <c r="U78" s="1039"/>
      <c r="V78" s="1039"/>
      <c r="W78" s="1039"/>
      <c r="X78" s="1039"/>
    </row>
    <row r="79" spans="1:24" s="1065" customFormat="1" x14ac:dyDescent="0.3">
      <c r="B79" s="1039"/>
      <c r="C79" s="1039"/>
      <c r="D79" s="1070"/>
      <c r="E79" s="1070"/>
      <c r="F79" s="1070"/>
      <c r="G79" s="1070"/>
      <c r="H79" s="1070"/>
      <c r="I79" s="1070"/>
      <c r="J79" s="1070"/>
      <c r="K79" s="1070"/>
      <c r="L79" s="1070"/>
      <c r="M79" s="1070"/>
      <c r="N79" s="1070"/>
      <c r="O79" s="1070"/>
      <c r="P79" s="1039"/>
      <c r="Q79" s="1039"/>
      <c r="R79" s="1039"/>
      <c r="S79" s="1039"/>
      <c r="T79" s="1039"/>
      <c r="U79" s="1039"/>
      <c r="V79" s="1039"/>
      <c r="W79" s="1039"/>
      <c r="X79" s="1039"/>
    </row>
    <row r="80" spans="1:24" s="1065" customFormat="1" x14ac:dyDescent="0.3">
      <c r="B80" s="1086" t="s">
        <v>1975</v>
      </c>
      <c r="C80" s="1051" t="e">
        <f>C9+C10+#REF!+#REF!+#REF!+#REF!+#REF!</f>
        <v>#REF!</v>
      </c>
      <c r="D80" s="1051" t="e">
        <f>D9+D10+#REF!+#REF!+#REF!+#REF!+#REF!</f>
        <v>#REF!</v>
      </c>
      <c r="E80" s="1051" t="e">
        <f>E9+E10+#REF!+#REF!+#REF!+#REF!+#REF!</f>
        <v>#REF!</v>
      </c>
      <c r="F80" s="1051" t="e">
        <f>F9+F10+#REF!+#REF!+#REF!+#REF!+#REF!</f>
        <v>#REF!</v>
      </c>
      <c r="G80" s="1051" t="e">
        <f>G9+G10+#REF!+#REF!+#REF!+#REF!+#REF!</f>
        <v>#REF!</v>
      </c>
      <c r="H80" s="1051" t="e">
        <f>H9+H10+#REF!+#REF!+#REF!+#REF!+#REF!</f>
        <v>#REF!</v>
      </c>
      <c r="I80" s="1039"/>
      <c r="J80" s="1051" t="e">
        <f>J9+J10+#REF!+#REF!+#REF!+#REF!+#REF!</f>
        <v>#REF!</v>
      </c>
      <c r="K80" s="1051" t="e">
        <f>K9+K10+#REF!+#REF!+#REF!+#REF!+#REF!</f>
        <v>#REF!</v>
      </c>
      <c r="L80" s="1051" t="e">
        <f>L9+L10+#REF!+#REF!+#REF!+#REF!+#REF!</f>
        <v>#REF!</v>
      </c>
      <c r="M80" s="1051" t="e">
        <f>M9+M10+#REF!+#REF!+#REF!+#REF!+#REF!</f>
        <v>#REF!</v>
      </c>
      <c r="N80" s="1051" t="e">
        <f>N9+N10+#REF!+#REF!+#REF!+#REF!+#REF!</f>
        <v>#REF!</v>
      </c>
      <c r="O80" s="1051" t="e">
        <f>O9+O10+#REF!+#REF!+#REF!+#REF!+#REF!</f>
        <v>#REF!</v>
      </c>
      <c r="P80" s="1039"/>
      <c r="Q80" s="1039"/>
      <c r="R80" s="1057"/>
      <c r="S80" s="1051"/>
      <c r="T80" s="1057"/>
      <c r="U80" s="1051"/>
      <c r="V80" s="1051"/>
      <c r="W80" s="1039"/>
      <c r="X80" s="1039"/>
    </row>
    <row r="81" spans="1:24" s="1065" customFormat="1" x14ac:dyDescent="0.3">
      <c r="B81" s="1086" t="s">
        <v>1976</v>
      </c>
      <c r="C81" s="1051">
        <f>C62</f>
        <v>0</v>
      </c>
      <c r="D81" s="1051">
        <f>D62</f>
        <v>0</v>
      </c>
      <c r="E81" s="1051">
        <f t="shared" ref="E81:H81" si="65">E62</f>
        <v>1505787800</v>
      </c>
      <c r="F81" s="1051">
        <f t="shared" si="65"/>
        <v>0</v>
      </c>
      <c r="G81" s="1051">
        <f t="shared" si="65"/>
        <v>0</v>
      </c>
      <c r="H81" s="1051">
        <f t="shared" si="65"/>
        <v>0</v>
      </c>
      <c r="I81" s="1039"/>
      <c r="J81" s="1051">
        <f>J62</f>
        <v>0</v>
      </c>
      <c r="K81" s="1051">
        <f>K62</f>
        <v>0</v>
      </c>
      <c r="L81" s="1051">
        <f t="shared" ref="L81:O81" si="66">L62</f>
        <v>1505.7878000000001</v>
      </c>
      <c r="M81" s="1051">
        <f t="shared" si="66"/>
        <v>0</v>
      </c>
      <c r="N81" s="1051">
        <f t="shared" si="66"/>
        <v>0</v>
      </c>
      <c r="O81" s="1051">
        <f t="shared" si="66"/>
        <v>0</v>
      </c>
      <c r="P81" s="1039"/>
      <c r="Q81" s="1039"/>
      <c r="R81" s="1057"/>
      <c r="S81" s="1051"/>
      <c r="T81" s="1057"/>
      <c r="U81" s="1051"/>
      <c r="V81" s="1051"/>
      <c r="W81" s="1039"/>
      <c r="X81" s="1039"/>
    </row>
    <row r="82" spans="1:24" s="1065" customFormat="1" x14ac:dyDescent="0.3">
      <c r="B82" s="1039"/>
      <c r="C82" s="1039"/>
      <c r="D82" s="1039"/>
      <c r="E82" s="1039"/>
      <c r="F82" s="1039"/>
      <c r="G82" s="1039"/>
      <c r="H82" s="1039"/>
      <c r="I82" s="1039"/>
      <c r="J82" s="1039"/>
      <c r="K82" s="1039"/>
      <c r="L82" s="1039"/>
      <c r="M82" s="1039"/>
      <c r="N82" s="1039"/>
      <c r="O82" s="1039"/>
      <c r="P82" s="1039"/>
      <c r="Q82" s="1039"/>
      <c r="R82" s="1039"/>
      <c r="S82" s="1039"/>
      <c r="T82" s="1039"/>
      <c r="U82" s="1039"/>
      <c r="V82" s="1039"/>
      <c r="W82" s="1039"/>
      <c r="X82" s="1039"/>
    </row>
    <row r="83" spans="1:24" s="1065" customFormat="1" x14ac:dyDescent="0.3">
      <c r="B83" s="1039"/>
      <c r="C83" s="1039"/>
      <c r="D83" s="1039"/>
      <c r="E83" s="1039"/>
      <c r="F83" s="1039"/>
      <c r="G83" s="1039"/>
      <c r="H83" s="1039"/>
      <c r="I83" s="1039"/>
      <c r="J83" s="1039"/>
      <c r="K83" s="1039"/>
      <c r="L83" s="1039"/>
      <c r="M83" s="1039"/>
      <c r="N83" s="1039"/>
      <c r="O83" s="1039"/>
      <c r="P83" s="1039"/>
      <c r="Q83" s="1039"/>
      <c r="R83" s="1039"/>
      <c r="S83" s="1039"/>
      <c r="T83" s="1039"/>
      <c r="U83" s="1039"/>
      <c r="V83" s="1039"/>
      <c r="W83" s="1039"/>
      <c r="X83" s="1039"/>
    </row>
    <row r="84" spans="1:24" s="1065" customFormat="1" x14ac:dyDescent="0.3">
      <c r="B84" s="1039"/>
      <c r="C84" s="1039"/>
      <c r="D84" s="1039"/>
      <c r="E84" s="1039"/>
      <c r="F84" s="1039"/>
      <c r="G84" s="1039"/>
      <c r="H84" s="1039"/>
      <c r="I84" s="1039"/>
      <c r="J84" s="1039"/>
      <c r="K84" s="1039"/>
      <c r="L84" s="1039"/>
      <c r="M84" s="1039"/>
      <c r="N84" s="1039"/>
      <c r="O84" s="1039"/>
      <c r="P84" s="1039"/>
      <c r="Q84" s="1039"/>
      <c r="R84" s="1039"/>
      <c r="S84" s="1039"/>
      <c r="T84" s="1039"/>
      <c r="U84" s="1039"/>
      <c r="V84" s="1039"/>
      <c r="W84" s="1039"/>
      <c r="X84" s="1039"/>
    </row>
    <row r="85" spans="1:24" s="1065" customFormat="1" x14ac:dyDescent="0.3">
      <c r="B85" s="1039"/>
      <c r="C85" s="1039"/>
      <c r="D85" s="1039"/>
      <c r="E85" s="1039"/>
      <c r="F85" s="1039"/>
      <c r="G85" s="1039"/>
      <c r="H85" s="1039"/>
      <c r="I85" s="1039"/>
      <c r="J85" s="1039"/>
      <c r="K85" s="1039"/>
      <c r="L85" s="1039"/>
      <c r="M85" s="1039"/>
      <c r="N85" s="1039"/>
      <c r="O85" s="1039"/>
      <c r="P85" s="1039"/>
      <c r="Q85" s="1039"/>
      <c r="R85" s="1039"/>
      <c r="S85" s="1039"/>
      <c r="T85" s="1039"/>
      <c r="U85" s="1039"/>
      <c r="V85" s="1039"/>
      <c r="W85" s="1039"/>
      <c r="X85" s="1039"/>
    </row>
    <row r="86" spans="1:24" s="1065" customFormat="1" x14ac:dyDescent="0.3">
      <c r="B86" s="1039"/>
      <c r="C86" s="1039"/>
      <c r="D86" s="1039"/>
      <c r="E86" s="1039"/>
      <c r="F86" s="1039"/>
      <c r="G86" s="1039"/>
      <c r="H86" s="1039"/>
      <c r="I86" s="1039"/>
      <c r="J86" s="1039"/>
      <c r="K86" s="1039"/>
      <c r="L86" s="1039"/>
      <c r="M86" s="1039"/>
      <c r="N86" s="1039"/>
      <c r="O86" s="1039"/>
      <c r="P86" s="1039"/>
      <c r="Q86" s="1039"/>
      <c r="R86" s="1039"/>
      <c r="S86" s="1039"/>
      <c r="T86" s="1039"/>
      <c r="U86" s="1039"/>
      <c r="V86" s="1039"/>
      <c r="W86" s="1039"/>
      <c r="X86" s="1039"/>
    </row>
    <row r="87" spans="1:24" s="1104" customFormat="1" x14ac:dyDescent="0.3">
      <c r="A87" s="1065"/>
      <c r="B87" s="1039"/>
      <c r="C87" s="1039"/>
      <c r="D87" s="1039"/>
      <c r="E87" s="1039"/>
      <c r="F87" s="1039"/>
      <c r="G87" s="1039"/>
      <c r="H87" s="1039"/>
      <c r="I87" s="1039"/>
      <c r="J87" s="1039"/>
      <c r="K87" s="1039"/>
      <c r="L87" s="1039"/>
      <c r="M87" s="1039"/>
      <c r="N87" s="1039"/>
      <c r="O87" s="1039"/>
      <c r="P87" s="1039"/>
      <c r="Q87" s="1039"/>
      <c r="R87" s="1039"/>
      <c r="S87" s="1039"/>
      <c r="T87" s="1039"/>
      <c r="U87" s="1039"/>
      <c r="V87" s="1039"/>
      <c r="W87" s="1039"/>
      <c r="X87" s="1039"/>
    </row>
    <row r="88" spans="1:24" ht="10.5" customHeight="1" x14ac:dyDescent="0.3"/>
    <row r="92" spans="1:24" ht="13.5" customHeight="1" x14ac:dyDescent="0.3"/>
    <row r="93" spans="1:24" ht="13.5" customHeight="1" x14ac:dyDescent="0.3"/>
    <row r="94" spans="1:24" ht="13.5" customHeight="1" x14ac:dyDescent="0.3"/>
    <row r="95" spans="1:24" ht="13.5" customHeight="1" x14ac:dyDescent="0.3"/>
    <row r="96" spans="1:24"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sheetData>
  <mergeCells count="1">
    <mergeCell ref="B4:B6"/>
  </mergeCells>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76"/>
  <sheetViews>
    <sheetView zoomScale="85" zoomScaleNormal="85" workbookViewId="0">
      <selection activeCell="N12" sqref="N12"/>
    </sheetView>
  </sheetViews>
  <sheetFormatPr defaultRowHeight="16.5" outlineLevelCol="1" x14ac:dyDescent="0.3"/>
  <cols>
    <col min="1" max="1" width="1.25" style="1039" customWidth="1"/>
    <col min="2" max="2" width="28.625" style="1039" customWidth="1"/>
    <col min="3" max="4" width="14.375" style="1039" customWidth="1" outlineLevel="1"/>
    <col min="5" max="5" width="15.75" style="1039" customWidth="1" outlineLevel="1"/>
    <col min="6" max="6" width="14.875" style="1039" customWidth="1" outlineLevel="1"/>
    <col min="7" max="8" width="16.25" style="1039" customWidth="1" outlineLevel="1"/>
    <col min="9" max="9" width="3" style="1039" customWidth="1"/>
    <col min="10" max="15" width="9.75" style="1039" customWidth="1"/>
    <col min="16" max="17" width="1.625" style="1039" customWidth="1"/>
    <col min="18" max="22" width="14.625" style="1039" customWidth="1" outlineLevel="1"/>
    <col min="23" max="23" width="9" style="1039" customWidth="1"/>
    <col min="24" max="24" width="13.5" style="1039" bestFit="1" customWidth="1"/>
    <col min="25" max="16384" width="9" style="1039"/>
  </cols>
  <sheetData>
    <row r="1" spans="1:24" s="1065" customFormat="1" ht="27" customHeight="1" x14ac:dyDescent="0.3">
      <c r="A1" s="1040"/>
      <c r="B1" s="1041" t="str">
        <f>"Project"&amp;" "&amp;Title!L6</f>
        <v>Project IT</v>
      </c>
      <c r="C1" s="1041"/>
      <c r="D1" s="1042"/>
      <c r="E1" s="1042"/>
      <c r="F1" s="1042"/>
      <c r="G1" s="1043"/>
      <c r="H1" s="1043" t="s">
        <v>146</v>
      </c>
      <c r="J1" s="1042"/>
      <c r="K1" s="1042"/>
      <c r="L1" s="1042"/>
      <c r="M1" s="1042"/>
      <c r="N1" s="1043"/>
      <c r="O1" s="1043" t="s">
        <v>146</v>
      </c>
      <c r="R1" s="1043"/>
      <c r="S1" s="1043"/>
      <c r="T1" s="1043"/>
      <c r="U1" s="1043"/>
      <c r="V1" s="1043"/>
    </row>
    <row r="2" spans="1:24" s="1065" customFormat="1" ht="21" customHeight="1" x14ac:dyDescent="0.3">
      <c r="A2" s="1040"/>
      <c r="B2" s="1044" t="s">
        <v>1860</v>
      </c>
      <c r="C2" s="1044"/>
      <c r="D2" s="1044"/>
      <c r="E2" s="1044"/>
      <c r="F2" s="1044"/>
      <c r="G2" s="1044"/>
      <c r="H2" s="1044"/>
      <c r="I2" s="1064"/>
      <c r="J2" s="1044"/>
      <c r="K2" s="1044"/>
      <c r="L2" s="1044"/>
      <c r="M2" s="1044"/>
      <c r="N2" s="1044"/>
      <c r="O2" s="1044"/>
      <c r="R2" s="1044"/>
      <c r="S2" s="1044"/>
      <c r="T2" s="1044"/>
      <c r="U2" s="1044"/>
      <c r="V2" s="1044"/>
    </row>
    <row r="3" spans="1:24" s="1065" customFormat="1" ht="18.75" customHeight="1" x14ac:dyDescent="0.25">
      <c r="A3" s="1059"/>
      <c r="B3" s="1060"/>
      <c r="C3" s="1060"/>
      <c r="D3" s="1061"/>
      <c r="E3" s="1061"/>
      <c r="F3" s="1062"/>
      <c r="G3" s="1063"/>
      <c r="H3" s="1063" t="s">
        <v>1873</v>
      </c>
      <c r="I3" s="1064"/>
      <c r="J3" s="1061"/>
      <c r="K3" s="1061"/>
      <c r="L3" s="1061"/>
      <c r="M3" s="1062"/>
      <c r="N3" s="1063" t="s">
        <v>14</v>
      </c>
      <c r="O3" s="1063" t="s">
        <v>14</v>
      </c>
      <c r="R3" s="1063"/>
      <c r="S3" s="1063"/>
      <c r="T3" s="1063"/>
      <c r="U3" s="1063"/>
      <c r="V3" s="1063"/>
    </row>
    <row r="4" spans="1:24" s="1065" customFormat="1" ht="13.5" x14ac:dyDescent="0.3">
      <c r="A4" s="1040"/>
      <c r="B4" s="2171" t="s">
        <v>1874</v>
      </c>
      <c r="C4" s="1045" t="s">
        <v>2002</v>
      </c>
      <c r="D4" s="1045" t="s">
        <v>1875</v>
      </c>
      <c r="E4" s="1045" t="s">
        <v>1876</v>
      </c>
      <c r="F4" s="1045" t="s">
        <v>1877</v>
      </c>
      <c r="G4" s="1045" t="s">
        <v>1878</v>
      </c>
      <c r="H4" s="1045" t="s">
        <v>4560</v>
      </c>
      <c r="J4" s="1045" t="s">
        <v>2002</v>
      </c>
      <c r="K4" s="1045" t="s">
        <v>1863</v>
      </c>
      <c r="L4" s="1045" t="s">
        <v>1864</v>
      </c>
      <c r="M4" s="1045" t="s">
        <v>1865</v>
      </c>
      <c r="N4" s="1045" t="s">
        <v>1866</v>
      </c>
      <c r="O4" s="1045" t="s">
        <v>4560</v>
      </c>
      <c r="R4" s="1045" t="s">
        <v>1879</v>
      </c>
      <c r="S4" s="1045"/>
      <c r="T4" s="1045"/>
      <c r="U4" s="1045"/>
      <c r="V4" s="1045"/>
    </row>
    <row r="5" spans="1:24" s="1065" customFormat="1" ht="13.5" x14ac:dyDescent="0.3">
      <c r="A5" s="1040"/>
      <c r="B5" s="2172"/>
      <c r="C5" s="1045" t="s">
        <v>1867</v>
      </c>
      <c r="D5" s="1045" t="s">
        <v>1867</v>
      </c>
      <c r="E5" s="1045" t="s">
        <v>1867</v>
      </c>
      <c r="F5" s="1045" t="s">
        <v>1867</v>
      </c>
      <c r="G5" s="1045" t="s">
        <v>1867</v>
      </c>
      <c r="H5" s="1045"/>
      <c r="J5" s="1045" t="s">
        <v>1867</v>
      </c>
      <c r="K5" s="1045" t="s">
        <v>1867</v>
      </c>
      <c r="L5" s="1045" t="s">
        <v>1867</v>
      </c>
      <c r="M5" s="1045" t="s">
        <v>1867</v>
      </c>
      <c r="N5" s="1045" t="s">
        <v>1867</v>
      </c>
      <c r="O5" s="1045"/>
      <c r="R5" s="1046" t="s">
        <v>1880</v>
      </c>
      <c r="S5" s="1046" t="s">
        <v>1881</v>
      </c>
      <c r="T5" s="1046"/>
      <c r="U5" s="1046" t="s">
        <v>1882</v>
      </c>
      <c r="V5" s="1046" t="s">
        <v>706</v>
      </c>
    </row>
    <row r="6" spans="1:24" s="1065" customFormat="1" ht="13.5" x14ac:dyDescent="0.3">
      <c r="A6" s="1040"/>
      <c r="B6" s="2173"/>
      <c r="C6" s="1047" t="s">
        <v>1868</v>
      </c>
      <c r="D6" s="1047" t="s">
        <v>1868</v>
      </c>
      <c r="E6" s="1047" t="s">
        <v>1868</v>
      </c>
      <c r="F6" s="1047" t="s">
        <v>1868</v>
      </c>
      <c r="G6" s="1047" t="s">
        <v>1868</v>
      </c>
      <c r="H6" s="1047" t="s">
        <v>2830</v>
      </c>
      <c r="J6" s="1047" t="s">
        <v>1868</v>
      </c>
      <c r="K6" s="1047" t="s">
        <v>1868</v>
      </c>
      <c r="L6" s="1047" t="s">
        <v>1868</v>
      </c>
      <c r="M6" s="1047" t="s">
        <v>1868</v>
      </c>
      <c r="N6" s="1047" t="s">
        <v>1868</v>
      </c>
      <c r="O6" s="1047" t="s">
        <v>2830</v>
      </c>
      <c r="R6" s="1048"/>
      <c r="S6" s="1048" t="s">
        <v>1883</v>
      </c>
      <c r="T6" s="1048" t="s">
        <v>1884</v>
      </c>
      <c r="U6" s="1048"/>
      <c r="V6" s="1048"/>
    </row>
    <row r="7" spans="1:24" s="1066" customFormat="1" ht="13.5" x14ac:dyDescent="0.3">
      <c r="A7" s="1049"/>
      <c r="B7" s="1050" t="s">
        <v>1869</v>
      </c>
      <c r="C7" s="1051">
        <f>SUM(C8:C10)</f>
        <v>101202828103</v>
      </c>
      <c r="D7" s="1051">
        <f>SUM(D8:D10)</f>
        <v>120090945248</v>
      </c>
      <c r="E7" s="1051">
        <f t="shared" ref="E7:H7" si="0">SUM(E8:E10)</f>
        <v>182279266572</v>
      </c>
      <c r="F7" s="1051">
        <f t="shared" si="0"/>
        <v>211683368597</v>
      </c>
      <c r="G7" s="1051">
        <f t="shared" si="0"/>
        <v>251810747072</v>
      </c>
      <c r="H7" s="1051">
        <f t="shared" si="0"/>
        <v>214888123487</v>
      </c>
      <c r="I7" s="1068"/>
      <c r="J7" s="1051">
        <f t="shared" ref="J7:J45" si="1">C7/1000000</f>
        <v>101202.82810300001</v>
      </c>
      <c r="K7" s="1051">
        <f t="shared" ref="K7:K45" si="2">D7/1000000</f>
        <v>120090.945248</v>
      </c>
      <c r="L7" s="1051">
        <f t="shared" ref="L7:L45" si="3">E7/1000000</f>
        <v>182279.26657199999</v>
      </c>
      <c r="M7" s="1051">
        <f t="shared" ref="M7:M45" si="4">F7/1000000</f>
        <v>211683.36859699999</v>
      </c>
      <c r="N7" s="1051">
        <f t="shared" ref="N7:O45" si="5">G7/1000000</f>
        <v>251810.747072</v>
      </c>
      <c r="O7" s="1051">
        <f t="shared" si="5"/>
        <v>214888.123487</v>
      </c>
      <c r="P7" s="1065"/>
      <c r="R7" s="1051"/>
      <c r="S7" s="1051"/>
      <c r="T7" s="1051"/>
      <c r="U7" s="1051"/>
      <c r="V7" s="1051"/>
    </row>
    <row r="8" spans="1:24" s="1066" customFormat="1" ht="13.5" x14ac:dyDescent="0.3">
      <c r="A8" s="1049"/>
      <c r="B8" s="1052" t="s">
        <v>1885</v>
      </c>
      <c r="C8" s="1053">
        <f>DART!C77</f>
        <v>28667764768</v>
      </c>
      <c r="D8" s="1053">
        <f>DART!E77</f>
        <v>33818960225</v>
      </c>
      <c r="E8" s="1053">
        <f>DART!G77</f>
        <v>72895967909</v>
      </c>
      <c r="F8" s="1053">
        <f>DART!I77</f>
        <v>71774780263</v>
      </c>
      <c r="G8" s="1053">
        <f>DART!K77</f>
        <v>69236768545</v>
      </c>
      <c r="H8" s="1053">
        <v>43311994717</v>
      </c>
      <c r="I8" s="1068"/>
      <c r="J8" s="1053">
        <f t="shared" si="1"/>
        <v>28667.764768000001</v>
      </c>
      <c r="K8" s="1053">
        <f t="shared" si="2"/>
        <v>33818.960225000003</v>
      </c>
      <c r="L8" s="1053">
        <f t="shared" si="3"/>
        <v>72895.967908999999</v>
      </c>
      <c r="M8" s="1053">
        <f t="shared" si="4"/>
        <v>71774.780262999993</v>
      </c>
      <c r="N8" s="1053">
        <f t="shared" si="5"/>
        <v>69236.768544999999</v>
      </c>
      <c r="O8" s="1053">
        <f t="shared" si="5"/>
        <v>43311.994717000001</v>
      </c>
      <c r="P8" s="1065"/>
      <c r="R8" s="1051"/>
      <c r="S8" s="1051"/>
      <c r="T8" s="1051"/>
      <c r="U8" s="1051"/>
      <c r="V8" s="1051"/>
    </row>
    <row r="9" spans="1:24" s="1065" customFormat="1" ht="13.5" x14ac:dyDescent="0.3">
      <c r="A9" s="1040"/>
      <c r="B9" s="1052" t="s">
        <v>1886</v>
      </c>
      <c r="C9" s="1053">
        <f>DART!C78</f>
        <v>32345633294</v>
      </c>
      <c r="D9" s="1053">
        <f>DART!E78</f>
        <v>31656878968</v>
      </c>
      <c r="E9" s="1053">
        <f>DART!G78</f>
        <v>52687668978</v>
      </c>
      <c r="F9" s="1053">
        <f>DART!I78</f>
        <v>60245229019</v>
      </c>
      <c r="G9" s="1053">
        <f>DART!K78</f>
        <v>90980180335</v>
      </c>
      <c r="H9" s="1053">
        <v>76214068413</v>
      </c>
      <c r="I9" s="1069"/>
      <c r="J9" s="1053">
        <f t="shared" si="1"/>
        <v>32345.633293999999</v>
      </c>
      <c r="K9" s="1053">
        <f t="shared" si="2"/>
        <v>31656.878968000001</v>
      </c>
      <c r="L9" s="1053">
        <f t="shared" si="3"/>
        <v>52687.668978000002</v>
      </c>
      <c r="M9" s="1053">
        <f t="shared" si="4"/>
        <v>60245.229018999999</v>
      </c>
      <c r="N9" s="1053">
        <f t="shared" si="5"/>
        <v>90980.180334999997</v>
      </c>
      <c r="O9" s="1053">
        <f t="shared" si="5"/>
        <v>76214.068413000001</v>
      </c>
      <c r="R9" s="1053"/>
      <c r="S9" s="1053"/>
      <c r="T9" s="1053"/>
      <c r="U9" s="1053"/>
      <c r="V9" s="1053"/>
      <c r="X9" s="1067"/>
    </row>
    <row r="10" spans="1:24" s="1065" customFormat="1" ht="13.5" x14ac:dyDescent="0.3">
      <c r="A10" s="1040"/>
      <c r="B10" s="1052" t="s">
        <v>1887</v>
      </c>
      <c r="C10" s="1053">
        <f>DART!C79</f>
        <v>40189430041</v>
      </c>
      <c r="D10" s="1053">
        <f>DART!E79</f>
        <v>54615106055</v>
      </c>
      <c r="E10" s="1053">
        <f>DART!G79</f>
        <v>56695629685</v>
      </c>
      <c r="F10" s="1053">
        <f>DART!I79</f>
        <v>79663359315</v>
      </c>
      <c r="G10" s="1053">
        <f>DART!K79</f>
        <v>91593798192</v>
      </c>
      <c r="H10" s="1053">
        <v>95362060357</v>
      </c>
      <c r="I10" s="1069"/>
      <c r="J10" s="1053">
        <f t="shared" si="1"/>
        <v>40189.430041</v>
      </c>
      <c r="K10" s="1053">
        <f t="shared" si="2"/>
        <v>54615.106054999997</v>
      </c>
      <c r="L10" s="1053">
        <f t="shared" si="3"/>
        <v>56695.629685</v>
      </c>
      <c r="M10" s="1053">
        <f t="shared" si="4"/>
        <v>79663.359314999994</v>
      </c>
      <c r="N10" s="1053">
        <f t="shared" si="5"/>
        <v>91593.798192000002</v>
      </c>
      <c r="O10" s="1053">
        <f t="shared" si="5"/>
        <v>95362.060356999995</v>
      </c>
      <c r="R10" s="1053"/>
      <c r="S10" s="1053"/>
      <c r="T10" s="1053"/>
      <c r="U10" s="1053"/>
      <c r="V10" s="1053"/>
    </row>
    <row r="11" spans="1:24" s="1065" customFormat="1" ht="13.5" x14ac:dyDescent="0.3">
      <c r="A11" s="1040"/>
      <c r="B11" s="1050" t="s">
        <v>1870</v>
      </c>
      <c r="C11" s="1051">
        <f>C12+C16+C17</f>
        <v>86101882786</v>
      </c>
      <c r="D11" s="1051">
        <f>D12+D16+D17</f>
        <v>106369499065</v>
      </c>
      <c r="E11" s="1051">
        <f t="shared" ref="E11:G11" si="6">E12+E16+E17</f>
        <v>165640956782</v>
      </c>
      <c r="F11" s="1051">
        <f t="shared" si="6"/>
        <v>194029190716</v>
      </c>
      <c r="G11" s="1051">
        <f t="shared" si="6"/>
        <v>233681982112</v>
      </c>
      <c r="H11" s="1051">
        <f>H12+H16+H17</f>
        <v>193449014347</v>
      </c>
      <c r="I11" s="1069"/>
      <c r="J11" s="1051">
        <f t="shared" si="1"/>
        <v>86101.882786000002</v>
      </c>
      <c r="K11" s="1051">
        <f t="shared" si="2"/>
        <v>106369.499065</v>
      </c>
      <c r="L11" s="1051">
        <f t="shared" si="3"/>
        <v>165640.95678199999</v>
      </c>
      <c r="M11" s="1051">
        <f t="shared" si="4"/>
        <v>194029.19071600001</v>
      </c>
      <c r="N11" s="1051">
        <f t="shared" si="5"/>
        <v>233681.982112</v>
      </c>
      <c r="O11" s="1051">
        <f t="shared" si="5"/>
        <v>193449.01434699999</v>
      </c>
      <c r="R11" s="1051"/>
      <c r="S11" s="1051"/>
      <c r="T11" s="1051"/>
      <c r="U11" s="1051"/>
      <c r="V11" s="1051"/>
    </row>
    <row r="12" spans="1:24" s="1065" customFormat="1" ht="13.5" x14ac:dyDescent="0.3">
      <c r="A12" s="1040"/>
      <c r="B12" s="1052" t="s">
        <v>1888</v>
      </c>
      <c r="C12" s="1053">
        <f t="shared" ref="C12:H12" si="7">SUM(C13:C15)</f>
        <v>27235239343</v>
      </c>
      <c r="D12" s="1053">
        <f t="shared" si="7"/>
        <v>32097449906</v>
      </c>
      <c r="E12" s="1053">
        <f t="shared" si="7"/>
        <v>69812615934</v>
      </c>
      <c r="F12" s="1053">
        <f t="shared" si="7"/>
        <v>69867514086</v>
      </c>
      <c r="G12" s="1053">
        <f t="shared" si="7"/>
        <v>67227543761</v>
      </c>
      <c r="H12" s="1053">
        <f t="shared" si="7"/>
        <v>41402707941</v>
      </c>
      <c r="I12" s="1069"/>
      <c r="J12" s="1053">
        <f t="shared" si="1"/>
        <v>27235.239343000001</v>
      </c>
      <c r="K12" s="1053">
        <f t="shared" si="2"/>
        <v>32097.449906000002</v>
      </c>
      <c r="L12" s="1053">
        <f t="shared" si="3"/>
        <v>69812.615934000001</v>
      </c>
      <c r="M12" s="1053">
        <f t="shared" si="4"/>
        <v>69867.514085999996</v>
      </c>
      <c r="N12" s="1053">
        <f t="shared" si="5"/>
        <v>67227.543760999994</v>
      </c>
      <c r="O12" s="1053">
        <f t="shared" si="5"/>
        <v>41402.707941000001</v>
      </c>
      <c r="R12" s="1053"/>
      <c r="S12" s="1053"/>
      <c r="T12" s="1053"/>
      <c r="U12" s="1053"/>
      <c r="V12" s="1053"/>
    </row>
    <row r="13" spans="1:24" s="1065" customFormat="1" ht="13.5" x14ac:dyDescent="0.3">
      <c r="A13" s="1040"/>
      <c r="B13" s="1054" t="s">
        <v>1729</v>
      </c>
      <c r="C13" s="1053">
        <f>DART!C82</f>
        <v>30000000</v>
      </c>
      <c r="D13" s="1053">
        <f>DART!E82</f>
        <v>745954900</v>
      </c>
      <c r="E13" s="1053">
        <f>DART!G82</f>
        <v>628930006</v>
      </c>
      <c r="F13" s="1053">
        <f>DART!I82</f>
        <v>2359733012</v>
      </c>
      <c r="G13" s="1053">
        <f>DART!K82</f>
        <v>4021815617</v>
      </c>
      <c r="H13" s="1053">
        <v>2399977506</v>
      </c>
      <c r="I13" s="1069"/>
      <c r="J13" s="1053">
        <f t="shared" si="1"/>
        <v>30</v>
      </c>
      <c r="K13" s="1053">
        <f t="shared" si="2"/>
        <v>745.95489999999995</v>
      </c>
      <c r="L13" s="1053">
        <f t="shared" si="3"/>
        <v>628.93000600000005</v>
      </c>
      <c r="M13" s="1053">
        <f t="shared" si="4"/>
        <v>2359.7330120000001</v>
      </c>
      <c r="N13" s="1053">
        <f t="shared" si="5"/>
        <v>4021.8156170000002</v>
      </c>
      <c r="O13" s="1053">
        <f t="shared" si="5"/>
        <v>2399.9775060000002</v>
      </c>
      <c r="R13" s="1053"/>
      <c r="S13" s="1053"/>
      <c r="T13" s="1053"/>
      <c r="U13" s="1053"/>
      <c r="V13" s="1053"/>
    </row>
    <row r="14" spans="1:24" s="1065" customFormat="1" ht="13.5" x14ac:dyDescent="0.3">
      <c r="A14" s="1040"/>
      <c r="B14" s="1055" t="s">
        <v>1730</v>
      </c>
      <c r="C14" s="1053">
        <f>DART!C83</f>
        <v>27951194243</v>
      </c>
      <c r="D14" s="1053">
        <f>DART!E83</f>
        <v>31980425012</v>
      </c>
      <c r="E14" s="1053">
        <f>DART!G83</f>
        <v>71543418940</v>
      </c>
      <c r="F14" s="1053">
        <f>DART!I83</f>
        <v>71529596691</v>
      </c>
      <c r="G14" s="1053">
        <f>DART!K83</f>
        <v>65605705650</v>
      </c>
      <c r="H14" s="1053">
        <v>39475951407</v>
      </c>
      <c r="I14" s="1069"/>
      <c r="J14" s="1053">
        <f t="shared" si="1"/>
        <v>27951.194243000002</v>
      </c>
      <c r="K14" s="1053">
        <f t="shared" si="2"/>
        <v>31980.425012</v>
      </c>
      <c r="L14" s="1053">
        <f t="shared" si="3"/>
        <v>71543.418940000003</v>
      </c>
      <c r="M14" s="1053">
        <f t="shared" si="4"/>
        <v>71529.596690999999</v>
      </c>
      <c r="N14" s="1053">
        <f t="shared" si="5"/>
        <v>65605.705650000004</v>
      </c>
      <c r="O14" s="1053">
        <f t="shared" si="5"/>
        <v>39475.951407</v>
      </c>
      <c r="R14" s="1053"/>
      <c r="S14" s="1053"/>
      <c r="T14" s="1053"/>
      <c r="U14" s="1053"/>
      <c r="V14" s="1053"/>
    </row>
    <row r="15" spans="1:24" s="1065" customFormat="1" ht="13.5" x14ac:dyDescent="0.3">
      <c r="A15" s="1040"/>
      <c r="B15" s="1054" t="s">
        <v>1732</v>
      </c>
      <c r="C15" s="1053">
        <f>DART!C85</f>
        <v>-745954900</v>
      </c>
      <c r="D15" s="1053">
        <f>DART!E85</f>
        <v>-628930006</v>
      </c>
      <c r="E15" s="1053">
        <f>DART!G85</f>
        <v>-2359733012</v>
      </c>
      <c r="F15" s="1053">
        <f>DART!I85</f>
        <v>-4021815617</v>
      </c>
      <c r="G15" s="1053">
        <f>DART!K85</f>
        <v>-2399977506</v>
      </c>
      <c r="H15" s="1053">
        <v>-473220972</v>
      </c>
      <c r="I15" s="1069"/>
      <c r="J15" s="1053">
        <f t="shared" si="1"/>
        <v>-745.95489999999995</v>
      </c>
      <c r="K15" s="1053">
        <f t="shared" si="2"/>
        <v>-628.93000600000005</v>
      </c>
      <c r="L15" s="1053">
        <f t="shared" si="3"/>
        <v>-2359.7330120000001</v>
      </c>
      <c r="M15" s="1053">
        <f t="shared" si="4"/>
        <v>-4021.8156170000002</v>
      </c>
      <c r="N15" s="1053">
        <f t="shared" si="5"/>
        <v>-2399.9775060000002</v>
      </c>
      <c r="O15" s="1053">
        <f t="shared" si="5"/>
        <v>-473.22097200000002</v>
      </c>
      <c r="R15" s="1053"/>
      <c r="S15" s="1053"/>
      <c r="T15" s="1053"/>
      <c r="U15" s="1053"/>
      <c r="V15" s="1053"/>
      <c r="W15" s="1069"/>
    </row>
    <row r="16" spans="1:24" s="1065" customFormat="1" ht="13.5" x14ac:dyDescent="0.3">
      <c r="A16" s="1040"/>
      <c r="B16" s="1052" t="s">
        <v>1889</v>
      </c>
      <c r="C16" s="1053">
        <f>DART!C86</f>
        <v>29500793292</v>
      </c>
      <c r="D16" s="1053">
        <f>DART!E86</f>
        <v>29493783500</v>
      </c>
      <c r="E16" s="1053">
        <f>DART!G86</f>
        <v>49020706046</v>
      </c>
      <c r="F16" s="1053">
        <f>DART!I86</f>
        <v>56234131072</v>
      </c>
      <c r="G16" s="1053">
        <f>DART!K86</f>
        <v>86626579138</v>
      </c>
      <c r="H16" s="1730">
        <v>71978982562</v>
      </c>
      <c r="I16" s="1069"/>
      <c r="J16" s="1053">
        <f t="shared" si="1"/>
        <v>29500.793291999998</v>
      </c>
      <c r="K16" s="1053">
        <f t="shared" si="2"/>
        <v>29493.783500000001</v>
      </c>
      <c r="L16" s="1053">
        <f t="shared" si="3"/>
        <v>49020.706045999999</v>
      </c>
      <c r="M16" s="1053">
        <f t="shared" si="4"/>
        <v>56234.131071999996</v>
      </c>
      <c r="N16" s="1053">
        <f t="shared" si="5"/>
        <v>86626.579138000001</v>
      </c>
      <c r="O16" s="1053">
        <f t="shared" si="5"/>
        <v>71978.982562000005</v>
      </c>
      <c r="R16" s="1053"/>
      <c r="S16" s="1053"/>
      <c r="T16" s="1053"/>
      <c r="U16" s="1053"/>
      <c r="V16" s="1053"/>
      <c r="W16" s="1069"/>
    </row>
    <row r="17" spans="1:22" s="1065" customFormat="1" ht="13.5" x14ac:dyDescent="0.3">
      <c r="A17" s="1040"/>
      <c r="B17" s="1052" t="s">
        <v>1890</v>
      </c>
      <c r="C17" s="1053">
        <f>DART!C87</f>
        <v>29365850151</v>
      </c>
      <c r="D17" s="1053">
        <f>DART!E87</f>
        <v>44778265659</v>
      </c>
      <c r="E17" s="1053">
        <f>DART!G87</f>
        <v>46807634802</v>
      </c>
      <c r="F17" s="1053">
        <f>DART!I87</f>
        <v>67927545558</v>
      </c>
      <c r="G17" s="1053">
        <f>DART!K87</f>
        <v>79827859213</v>
      </c>
      <c r="H17" s="1053">
        <v>80067323844</v>
      </c>
      <c r="I17" s="1069"/>
      <c r="J17" s="1053">
        <f t="shared" si="1"/>
        <v>29365.850150999999</v>
      </c>
      <c r="K17" s="1053">
        <f t="shared" si="2"/>
        <v>44778.265658999997</v>
      </c>
      <c r="L17" s="1053">
        <f t="shared" si="3"/>
        <v>46807.634802</v>
      </c>
      <c r="M17" s="1053">
        <f t="shared" si="4"/>
        <v>67927.545557999998</v>
      </c>
      <c r="N17" s="1053">
        <f t="shared" si="5"/>
        <v>79827.859213000003</v>
      </c>
      <c r="O17" s="1053">
        <f t="shared" si="5"/>
        <v>80067.323843999999</v>
      </c>
      <c r="R17" s="1053"/>
      <c r="S17" s="1053"/>
      <c r="T17" s="1053"/>
      <c r="U17" s="1053"/>
      <c r="V17" s="1053"/>
    </row>
    <row r="18" spans="1:22" s="1065" customFormat="1" ht="13.5" x14ac:dyDescent="0.3">
      <c r="A18" s="1040"/>
      <c r="B18" s="1050" t="s">
        <v>1871</v>
      </c>
      <c r="C18" s="1051">
        <f t="shared" ref="C18:H18" si="8">C7-C11</f>
        <v>15100945317</v>
      </c>
      <c r="D18" s="1051">
        <f t="shared" si="8"/>
        <v>13721446183</v>
      </c>
      <c r="E18" s="1051">
        <f t="shared" si="8"/>
        <v>16638309790</v>
      </c>
      <c r="F18" s="1051">
        <f t="shared" si="8"/>
        <v>17654177881</v>
      </c>
      <c r="G18" s="1051">
        <f t="shared" si="8"/>
        <v>18128764960</v>
      </c>
      <c r="H18" s="1051">
        <f t="shared" si="8"/>
        <v>21439109140</v>
      </c>
      <c r="I18" s="1069"/>
      <c r="J18" s="1051">
        <f t="shared" si="1"/>
        <v>15100.945317</v>
      </c>
      <c r="K18" s="1051">
        <f t="shared" si="2"/>
        <v>13721.446183</v>
      </c>
      <c r="L18" s="1051">
        <f t="shared" si="3"/>
        <v>16638.309789999999</v>
      </c>
      <c r="M18" s="1051">
        <f t="shared" si="4"/>
        <v>17654.177881</v>
      </c>
      <c r="N18" s="1051">
        <f t="shared" si="5"/>
        <v>18128.76496</v>
      </c>
      <c r="O18" s="1051">
        <f t="shared" si="5"/>
        <v>21439.10914</v>
      </c>
      <c r="R18" s="1051"/>
      <c r="S18" s="1051"/>
      <c r="T18" s="1051"/>
      <c r="U18" s="1051"/>
      <c r="V18" s="1051"/>
    </row>
    <row r="19" spans="1:22" s="1065" customFormat="1" ht="13.5" x14ac:dyDescent="0.3">
      <c r="A19" s="1040"/>
      <c r="B19" s="1050" t="s">
        <v>128</v>
      </c>
      <c r="C19" s="1051">
        <f>SUM(C20:C44)</f>
        <v>8937696171</v>
      </c>
      <c r="D19" s="1051">
        <f t="shared" ref="D19:H19" si="9">SUM(D20:D44)</f>
        <v>7198363684</v>
      </c>
      <c r="E19" s="1051">
        <f t="shared" si="9"/>
        <v>7996366868</v>
      </c>
      <c r="F19" s="1051">
        <f t="shared" si="9"/>
        <v>8441213415</v>
      </c>
      <c r="G19" s="1051">
        <f t="shared" si="9"/>
        <v>8664102469</v>
      </c>
      <c r="H19" s="1051">
        <f t="shared" si="9"/>
        <v>11711818204</v>
      </c>
      <c r="I19" s="1069"/>
      <c r="J19" s="1051">
        <f t="shared" si="1"/>
        <v>8937.6961709999996</v>
      </c>
      <c r="K19" s="1051">
        <f t="shared" si="2"/>
        <v>7198.3636839999999</v>
      </c>
      <c r="L19" s="1051">
        <f t="shared" si="3"/>
        <v>7996.3668680000001</v>
      </c>
      <c r="M19" s="1051">
        <f t="shared" si="4"/>
        <v>8441.2134150000002</v>
      </c>
      <c r="N19" s="1051">
        <f t="shared" si="5"/>
        <v>8664.1024689999995</v>
      </c>
      <c r="O19" s="1051">
        <f t="shared" si="5"/>
        <v>11711.818203999999</v>
      </c>
      <c r="R19" s="1051"/>
      <c r="S19" s="1051"/>
      <c r="T19" s="1051"/>
      <c r="U19" s="1051"/>
      <c r="V19" s="1051"/>
    </row>
    <row r="20" spans="1:22" s="1065" customFormat="1" ht="13.5" x14ac:dyDescent="0.3">
      <c r="A20" s="1040"/>
      <c r="B20" s="1052" t="s">
        <v>3772</v>
      </c>
      <c r="C20" s="1053">
        <v>1854518884</v>
      </c>
      <c r="D20" s="1053">
        <v>2566335182</v>
      </c>
      <c r="E20" s="1053">
        <v>1849182441</v>
      </c>
      <c r="F20" s="1053">
        <v>2054834595</v>
      </c>
      <c r="G20" s="1053">
        <v>2158707998</v>
      </c>
      <c r="H20" s="1053">
        <v>3604204571</v>
      </c>
      <c r="I20" s="1069"/>
      <c r="J20" s="1053">
        <f t="shared" ref="J20" si="10">C20/1000000</f>
        <v>1854.5188840000001</v>
      </c>
      <c r="K20" s="1053">
        <f t="shared" ref="K20" si="11">D20/1000000</f>
        <v>2566.3351819999998</v>
      </c>
      <c r="L20" s="1053">
        <f t="shared" ref="L20" si="12">E20/1000000</f>
        <v>1849.1824409999999</v>
      </c>
      <c r="M20" s="1053">
        <f t="shared" ref="M20" si="13">F20/1000000</f>
        <v>2054.8345949999998</v>
      </c>
      <c r="N20" s="1053">
        <f t="shared" ref="N20" si="14">G20/1000000</f>
        <v>2158.7079979999999</v>
      </c>
      <c r="O20" s="1053">
        <f t="shared" ref="O20" si="15">H20/1000000</f>
        <v>3604.2045710000002</v>
      </c>
      <c r="R20" s="1056" t="s">
        <v>165</v>
      </c>
      <c r="S20" s="1051"/>
      <c r="T20" s="1051"/>
      <c r="U20" s="1051"/>
      <c r="V20" s="1051"/>
    </row>
    <row r="21" spans="1:22" s="1065" customFormat="1" ht="13.5" x14ac:dyDescent="0.3">
      <c r="A21" s="1040"/>
      <c r="B21" s="1052" t="s">
        <v>3773</v>
      </c>
      <c r="C21" s="1053">
        <v>3266412554</v>
      </c>
      <c r="D21" s="1053">
        <v>831542344</v>
      </c>
      <c r="E21" s="1053">
        <v>1924623364</v>
      </c>
      <c r="F21" s="1053">
        <v>1760158649</v>
      </c>
      <c r="G21" s="1053">
        <v>1264999241</v>
      </c>
      <c r="H21" s="1053">
        <v>248089476</v>
      </c>
      <c r="I21" s="1069"/>
      <c r="J21" s="1053">
        <f t="shared" ref="J21:J22" si="16">C21/1000000</f>
        <v>3266.412554</v>
      </c>
      <c r="K21" s="1053">
        <f t="shared" ref="K21:K22" si="17">D21/1000000</f>
        <v>831.54234399999996</v>
      </c>
      <c r="L21" s="1053">
        <f t="shared" ref="L21:L22" si="18">E21/1000000</f>
        <v>1924.623364</v>
      </c>
      <c r="M21" s="1053">
        <f t="shared" ref="M21:M22" si="19">F21/1000000</f>
        <v>1760.158649</v>
      </c>
      <c r="N21" s="1053">
        <f t="shared" ref="N21:N22" si="20">G21/1000000</f>
        <v>1264.999241</v>
      </c>
      <c r="O21" s="1053">
        <f t="shared" ref="O21:O22" si="21">H21/1000000</f>
        <v>248.08947599999999</v>
      </c>
      <c r="R21" s="1056" t="s">
        <v>165</v>
      </c>
      <c r="S21" s="1051"/>
      <c r="T21" s="1051"/>
      <c r="U21" s="1051"/>
      <c r="V21" s="1051"/>
    </row>
    <row r="22" spans="1:22" s="1065" customFormat="1" ht="13.5" x14ac:dyDescent="0.3">
      <c r="A22" s="1040"/>
      <c r="B22" s="1052" t="s">
        <v>3774</v>
      </c>
      <c r="C22" s="1053">
        <v>1858000</v>
      </c>
      <c r="D22" s="1053">
        <v>4400000</v>
      </c>
      <c r="E22" s="1053">
        <v>2600000</v>
      </c>
      <c r="F22" s="1053">
        <v>5816000</v>
      </c>
      <c r="G22" s="1053">
        <v>4200000</v>
      </c>
      <c r="H22" s="1053">
        <v>5770000</v>
      </c>
      <c r="I22" s="1069"/>
      <c r="J22" s="1053">
        <f t="shared" si="16"/>
        <v>1.8580000000000001</v>
      </c>
      <c r="K22" s="1053">
        <f t="shared" si="17"/>
        <v>4.4000000000000004</v>
      </c>
      <c r="L22" s="1053">
        <f t="shared" si="18"/>
        <v>2.6</v>
      </c>
      <c r="M22" s="1053">
        <f t="shared" si="19"/>
        <v>5.8159999999999998</v>
      </c>
      <c r="N22" s="1053">
        <f t="shared" si="20"/>
        <v>4.2</v>
      </c>
      <c r="O22" s="1053">
        <f t="shared" si="21"/>
        <v>5.77</v>
      </c>
      <c r="R22" s="1056" t="s">
        <v>165</v>
      </c>
      <c r="S22" s="1085"/>
      <c r="T22" s="1085"/>
      <c r="U22" s="1085"/>
      <c r="V22" s="1085"/>
    </row>
    <row r="23" spans="1:22" s="1065" customFormat="1" ht="13.5" x14ac:dyDescent="0.3">
      <c r="A23" s="1040"/>
      <c r="B23" s="1052" t="s">
        <v>1893</v>
      </c>
      <c r="C23" s="1053">
        <f>DART!C91</f>
        <v>308381964</v>
      </c>
      <c r="D23" s="1053">
        <f>DART!E91</f>
        <v>325770042</v>
      </c>
      <c r="E23" s="1053">
        <f>DART!G91</f>
        <v>369821988</v>
      </c>
      <c r="F23" s="1053">
        <f>DART!I91</f>
        <v>438708603</v>
      </c>
      <c r="G23" s="1053">
        <f>DART!K91</f>
        <v>402262716</v>
      </c>
      <c r="H23" s="1053">
        <v>794944752</v>
      </c>
      <c r="I23" s="1069"/>
      <c r="J23" s="1053">
        <f t="shared" si="1"/>
        <v>308.38196399999998</v>
      </c>
      <c r="K23" s="1053">
        <f t="shared" si="2"/>
        <v>325.77004199999999</v>
      </c>
      <c r="L23" s="1053">
        <f t="shared" si="3"/>
        <v>369.82198799999998</v>
      </c>
      <c r="M23" s="1053">
        <f t="shared" si="4"/>
        <v>438.70860299999998</v>
      </c>
      <c r="N23" s="1053">
        <f t="shared" si="5"/>
        <v>402.26271600000001</v>
      </c>
      <c r="O23" s="1053">
        <f t="shared" si="5"/>
        <v>794.94475199999999</v>
      </c>
      <c r="R23" s="1056" t="s">
        <v>165</v>
      </c>
      <c r="S23" s="1057"/>
      <c r="T23" s="1057"/>
      <c r="U23" s="1057"/>
      <c r="V23" s="1056" t="s">
        <v>1892</v>
      </c>
    </row>
    <row r="24" spans="1:22" s="1065" customFormat="1" ht="13.5" x14ac:dyDescent="0.3">
      <c r="A24" s="1040"/>
      <c r="B24" s="1052" t="s">
        <v>1894</v>
      </c>
      <c r="C24" s="1053">
        <f>DART!C92</f>
        <v>470793922</v>
      </c>
      <c r="D24" s="1053">
        <f>DART!E92</f>
        <v>609269118</v>
      </c>
      <c r="E24" s="1053">
        <f>DART!G92</f>
        <v>612014530</v>
      </c>
      <c r="F24" s="1053">
        <f>DART!I92</f>
        <v>562549288</v>
      </c>
      <c r="G24" s="1053">
        <f>DART!K92</f>
        <v>647937614</v>
      </c>
      <c r="H24" s="1053">
        <v>624476891</v>
      </c>
      <c r="I24" s="1069"/>
      <c r="J24" s="1053">
        <f t="shared" si="1"/>
        <v>470.79392200000001</v>
      </c>
      <c r="K24" s="1053">
        <f t="shared" si="2"/>
        <v>609.26911800000005</v>
      </c>
      <c r="L24" s="1053">
        <f t="shared" si="3"/>
        <v>612.01453000000004</v>
      </c>
      <c r="M24" s="1053">
        <f t="shared" si="4"/>
        <v>562.54928800000005</v>
      </c>
      <c r="N24" s="1053">
        <f t="shared" si="5"/>
        <v>647.93761400000005</v>
      </c>
      <c r="O24" s="1053">
        <f t="shared" si="5"/>
        <v>624.47689100000002</v>
      </c>
      <c r="R24" s="1056" t="s">
        <v>165</v>
      </c>
      <c r="S24" s="1057"/>
      <c r="T24" s="1057"/>
      <c r="U24" s="1057"/>
      <c r="V24" s="1056" t="s">
        <v>1892</v>
      </c>
    </row>
    <row r="25" spans="1:22" s="1065" customFormat="1" ht="13.5" x14ac:dyDescent="0.3">
      <c r="A25" s="1040"/>
      <c r="B25" s="1052" t="s">
        <v>1902</v>
      </c>
      <c r="C25" s="1053">
        <f>DART!C93</f>
        <v>550747590</v>
      </c>
      <c r="D25" s="1053">
        <f>DART!E93</f>
        <v>571456273</v>
      </c>
      <c r="E25" s="1053">
        <f>DART!G93</f>
        <v>598689800</v>
      </c>
      <c r="F25" s="1053">
        <f>DART!I93</f>
        <v>692177818</v>
      </c>
      <c r="G25" s="1053">
        <f>DART!K93</f>
        <v>677708224</v>
      </c>
      <c r="H25" s="1053">
        <v>672103464</v>
      </c>
      <c r="I25" s="1069"/>
      <c r="J25" s="1053">
        <f t="shared" si="1"/>
        <v>550.74758999999995</v>
      </c>
      <c r="K25" s="1053">
        <f t="shared" si="2"/>
        <v>571.45627300000001</v>
      </c>
      <c r="L25" s="1053">
        <f t="shared" si="3"/>
        <v>598.68979999999999</v>
      </c>
      <c r="M25" s="1053">
        <f t="shared" si="4"/>
        <v>692.177818</v>
      </c>
      <c r="N25" s="1053">
        <f t="shared" si="5"/>
        <v>677.70822399999997</v>
      </c>
      <c r="O25" s="1053">
        <f t="shared" si="5"/>
        <v>672.10346400000003</v>
      </c>
      <c r="R25" s="1056" t="s">
        <v>2018</v>
      </c>
      <c r="S25" s="1057"/>
      <c r="T25" s="1057"/>
      <c r="U25" s="1057"/>
      <c r="V25" s="1056"/>
    </row>
    <row r="26" spans="1:22" s="1065" customFormat="1" ht="13.5" x14ac:dyDescent="0.3">
      <c r="A26" s="1040"/>
      <c r="B26" s="1052" t="s">
        <v>1895</v>
      </c>
      <c r="C26" s="1053">
        <f>DART!C94</f>
        <v>73783390</v>
      </c>
      <c r="D26" s="1053">
        <f>DART!E94</f>
        <v>76838882</v>
      </c>
      <c r="E26" s="1053">
        <f>DART!G94</f>
        <v>42847974</v>
      </c>
      <c r="F26" s="1053">
        <f>DART!I94</f>
        <v>65240137</v>
      </c>
      <c r="G26" s="1053">
        <f>DART!K94</f>
        <v>70333851</v>
      </c>
      <c r="H26" s="1053">
        <v>71079569</v>
      </c>
      <c r="I26" s="1069"/>
      <c r="J26" s="1053">
        <f t="shared" si="1"/>
        <v>73.783389999999997</v>
      </c>
      <c r="K26" s="1053">
        <f t="shared" si="2"/>
        <v>76.838881999999998</v>
      </c>
      <c r="L26" s="1053">
        <f t="shared" si="3"/>
        <v>42.847974000000001</v>
      </c>
      <c r="M26" s="1053">
        <f t="shared" si="4"/>
        <v>65.240137000000004</v>
      </c>
      <c r="N26" s="1053">
        <f t="shared" si="5"/>
        <v>70.333850999999996</v>
      </c>
      <c r="O26" s="1053">
        <f t="shared" si="5"/>
        <v>71.079569000000006</v>
      </c>
      <c r="R26" s="1056" t="s">
        <v>2018</v>
      </c>
      <c r="S26" s="1057"/>
      <c r="T26" s="1057"/>
      <c r="U26" s="1057"/>
      <c r="V26" s="1056" t="s">
        <v>1896</v>
      </c>
    </row>
    <row r="27" spans="1:22" s="1065" customFormat="1" ht="13.5" x14ac:dyDescent="0.3">
      <c r="A27" s="1040"/>
      <c r="B27" s="1052" t="s">
        <v>136</v>
      </c>
      <c r="C27" s="1053">
        <f>DART!C95</f>
        <v>174630433</v>
      </c>
      <c r="D27" s="1053">
        <f>DART!E95</f>
        <v>271817897</v>
      </c>
      <c r="E27" s="1053">
        <f>DART!G95</f>
        <v>262102960</v>
      </c>
      <c r="F27" s="1053">
        <f>DART!I95</f>
        <v>384811169</v>
      </c>
      <c r="G27" s="1053">
        <f>DART!K95</f>
        <v>391215900</v>
      </c>
      <c r="H27" s="1053">
        <v>456475309</v>
      </c>
      <c r="I27" s="1069"/>
      <c r="J27" s="1053">
        <f t="shared" si="1"/>
        <v>174.63043300000001</v>
      </c>
      <c r="K27" s="1053">
        <f t="shared" si="2"/>
        <v>271.81789700000002</v>
      </c>
      <c r="L27" s="1053">
        <f t="shared" si="3"/>
        <v>262.10296</v>
      </c>
      <c r="M27" s="1053">
        <f t="shared" si="4"/>
        <v>384.81116900000001</v>
      </c>
      <c r="N27" s="1053">
        <f t="shared" si="5"/>
        <v>391.21589999999998</v>
      </c>
      <c r="O27" s="1053">
        <f t="shared" si="5"/>
        <v>456.47530899999998</v>
      </c>
      <c r="R27" s="1056" t="s">
        <v>1897</v>
      </c>
      <c r="S27" s="1057"/>
      <c r="T27" s="1057"/>
      <c r="U27" s="1057"/>
      <c r="V27" s="1056"/>
    </row>
    <row r="28" spans="1:22" s="1065" customFormat="1" ht="13.5" x14ac:dyDescent="0.3">
      <c r="A28" s="1040"/>
      <c r="B28" s="1052" t="s">
        <v>1903</v>
      </c>
      <c r="C28" s="1053">
        <f>DART!C96</f>
        <v>180611530</v>
      </c>
      <c r="D28" s="1053">
        <f>DART!E96</f>
        <v>175050711</v>
      </c>
      <c r="E28" s="1053">
        <f>DART!G96</f>
        <v>243050733</v>
      </c>
      <c r="F28" s="1053">
        <f>DART!I96</f>
        <v>202623729</v>
      </c>
      <c r="G28" s="1053">
        <f>DART!K96</f>
        <v>258940810</v>
      </c>
      <c r="H28" s="1053">
        <v>359560509</v>
      </c>
      <c r="I28" s="1069"/>
      <c r="J28" s="1053">
        <f t="shared" si="1"/>
        <v>180.61152999999999</v>
      </c>
      <c r="K28" s="1053">
        <f t="shared" si="2"/>
        <v>175.05071100000001</v>
      </c>
      <c r="L28" s="1053">
        <f t="shared" si="3"/>
        <v>243.05073300000001</v>
      </c>
      <c r="M28" s="1053">
        <f t="shared" si="4"/>
        <v>202.623729</v>
      </c>
      <c r="N28" s="1053">
        <f t="shared" si="5"/>
        <v>258.94081</v>
      </c>
      <c r="O28" s="1053">
        <f t="shared" si="5"/>
        <v>359.56050900000002</v>
      </c>
      <c r="R28" s="1056" t="s">
        <v>154</v>
      </c>
      <c r="S28" s="1057"/>
      <c r="T28" s="1057"/>
      <c r="U28" s="1057"/>
      <c r="V28" s="1056"/>
    </row>
    <row r="29" spans="1:22" s="1065" customFormat="1" ht="13.5" x14ac:dyDescent="0.3">
      <c r="A29" s="1040"/>
      <c r="B29" s="1052" t="s">
        <v>1904</v>
      </c>
      <c r="C29" s="1053">
        <f>DART!C97</f>
        <v>65597645</v>
      </c>
      <c r="D29" s="1053">
        <f>DART!E97</f>
        <v>257384300</v>
      </c>
      <c r="E29" s="1053">
        <f>DART!G97</f>
        <v>371558533</v>
      </c>
      <c r="F29" s="1053">
        <f>DART!I97</f>
        <v>454360704</v>
      </c>
      <c r="G29" s="1053">
        <f>DART!K97</f>
        <v>509712757</v>
      </c>
      <c r="H29" s="1053">
        <v>437297000</v>
      </c>
      <c r="I29" s="1069"/>
      <c r="J29" s="1053">
        <f t="shared" si="1"/>
        <v>65.597645</v>
      </c>
      <c r="K29" s="1053">
        <f t="shared" si="2"/>
        <v>257.3843</v>
      </c>
      <c r="L29" s="1053">
        <f t="shared" si="3"/>
        <v>371.55853300000001</v>
      </c>
      <c r="M29" s="1053">
        <f t="shared" si="4"/>
        <v>454.360704</v>
      </c>
      <c r="N29" s="1053">
        <f t="shared" si="5"/>
        <v>509.71275700000001</v>
      </c>
      <c r="O29" s="1053">
        <f t="shared" si="5"/>
        <v>437.29700000000003</v>
      </c>
      <c r="R29" s="1056" t="s">
        <v>156</v>
      </c>
      <c r="S29" s="1057"/>
      <c r="T29" s="1057"/>
      <c r="U29" s="1057"/>
      <c r="V29" s="1056"/>
    </row>
    <row r="30" spans="1:22" s="1065" customFormat="1" ht="13.5" x14ac:dyDescent="0.3">
      <c r="A30" s="1040"/>
      <c r="B30" s="1052" t="s">
        <v>1905</v>
      </c>
      <c r="C30" s="1053">
        <f>DART!C98</f>
        <v>78357011</v>
      </c>
      <c r="D30" s="1053">
        <f>DART!E98</f>
        <v>22048408</v>
      </c>
      <c r="E30" s="1053">
        <f>DART!G98</f>
        <v>394405055</v>
      </c>
      <c r="F30" s="1053">
        <f>DART!I98</f>
        <v>259735376</v>
      </c>
      <c r="G30" s="1053">
        <f>DART!K98</f>
        <v>448813822</v>
      </c>
      <c r="H30" s="1053">
        <v>2537573469</v>
      </c>
      <c r="I30" s="1069"/>
      <c r="J30" s="1053">
        <f t="shared" si="1"/>
        <v>78.357011</v>
      </c>
      <c r="K30" s="1053">
        <f t="shared" si="2"/>
        <v>22.048407999999998</v>
      </c>
      <c r="L30" s="1053">
        <f t="shared" si="3"/>
        <v>394.405055</v>
      </c>
      <c r="M30" s="1053">
        <f t="shared" si="4"/>
        <v>259.73537599999997</v>
      </c>
      <c r="N30" s="1053">
        <f t="shared" si="5"/>
        <v>448.81382200000002</v>
      </c>
      <c r="O30" s="1053">
        <f t="shared" si="5"/>
        <v>2537.5734689999999</v>
      </c>
      <c r="R30" s="1056" t="s">
        <v>156</v>
      </c>
      <c r="S30" s="1057"/>
      <c r="T30" s="1057"/>
      <c r="U30" s="1057"/>
      <c r="V30" s="1056"/>
    </row>
    <row r="31" spans="1:22" s="1065" customFormat="1" ht="13.5" x14ac:dyDescent="0.3">
      <c r="A31" s="1040"/>
      <c r="B31" s="1052" t="s">
        <v>1906</v>
      </c>
      <c r="C31" s="1053">
        <f>DART!C99</f>
        <v>41243308</v>
      </c>
      <c r="D31" s="1053">
        <f>DART!E99</f>
        <v>66029359</v>
      </c>
      <c r="E31" s="1053">
        <f>DART!G99</f>
        <v>101439272</v>
      </c>
      <c r="F31" s="1053">
        <f>DART!I99</f>
        <v>122528788</v>
      </c>
      <c r="G31" s="1053">
        <f>DART!K99</f>
        <v>113170205</v>
      </c>
      <c r="H31" s="1053">
        <v>124761017</v>
      </c>
      <c r="I31" s="1069"/>
      <c r="J31" s="1053">
        <f t="shared" si="1"/>
        <v>41.243307999999999</v>
      </c>
      <c r="K31" s="1053">
        <f t="shared" si="2"/>
        <v>66.029358999999999</v>
      </c>
      <c r="L31" s="1053">
        <f t="shared" si="3"/>
        <v>101.439272</v>
      </c>
      <c r="M31" s="1053">
        <f t="shared" si="4"/>
        <v>122.52878800000001</v>
      </c>
      <c r="N31" s="1053">
        <f t="shared" si="5"/>
        <v>113.170205</v>
      </c>
      <c r="O31" s="1053">
        <f t="shared" si="5"/>
        <v>124.761017</v>
      </c>
      <c r="R31" s="1056" t="s">
        <v>154</v>
      </c>
      <c r="S31" s="1057"/>
      <c r="T31" s="1057"/>
      <c r="U31" s="1057"/>
      <c r="V31" s="1056"/>
    </row>
    <row r="32" spans="1:22" s="1065" customFormat="1" ht="13.5" x14ac:dyDescent="0.3">
      <c r="A32" s="1040"/>
      <c r="B32" s="1052" t="s">
        <v>1907</v>
      </c>
      <c r="C32" s="1053">
        <f>DART!C100</f>
        <v>264576507</v>
      </c>
      <c r="D32" s="1053">
        <f>DART!E100</f>
        <v>294697287</v>
      </c>
      <c r="E32" s="1053">
        <f>DART!G100</f>
        <v>148493862</v>
      </c>
      <c r="F32" s="1053">
        <f>DART!I100</f>
        <v>157744762</v>
      </c>
      <c r="G32" s="1053">
        <f>DART!K100</f>
        <v>83142655</v>
      </c>
      <c r="H32" s="1053">
        <v>52484068</v>
      </c>
      <c r="I32" s="1069"/>
      <c r="J32" s="1053">
        <f t="shared" si="1"/>
        <v>264.57650699999999</v>
      </c>
      <c r="K32" s="1053">
        <f t="shared" si="2"/>
        <v>294.69728700000002</v>
      </c>
      <c r="L32" s="1053">
        <f t="shared" si="3"/>
        <v>148.49386200000001</v>
      </c>
      <c r="M32" s="1053">
        <f t="shared" si="4"/>
        <v>157.74476200000001</v>
      </c>
      <c r="N32" s="1053">
        <f t="shared" si="5"/>
        <v>83.142655000000005</v>
      </c>
      <c r="O32" s="1053">
        <f t="shared" si="5"/>
        <v>52.484068000000001</v>
      </c>
      <c r="R32" s="1056" t="s">
        <v>154</v>
      </c>
      <c r="S32" s="1057"/>
      <c r="T32" s="1057"/>
      <c r="U32" s="1057"/>
      <c r="V32" s="1056"/>
    </row>
    <row r="33" spans="1:22" s="1065" customFormat="1" ht="13.5" x14ac:dyDescent="0.3">
      <c r="A33" s="1040"/>
      <c r="B33" s="1052" t="s">
        <v>1908</v>
      </c>
      <c r="C33" s="1053">
        <f>DART!C101</f>
        <v>101969015</v>
      </c>
      <c r="D33" s="1053">
        <f>DART!E101</f>
        <v>68909326</v>
      </c>
      <c r="E33" s="1053">
        <f>DART!G101</f>
        <v>61012652</v>
      </c>
      <c r="F33" s="1053">
        <f>DART!I101</f>
        <v>51392932</v>
      </c>
      <c r="G33" s="1053">
        <f>DART!K101</f>
        <v>68484012</v>
      </c>
      <c r="H33" s="1053">
        <v>104108496</v>
      </c>
      <c r="I33" s="1069"/>
      <c r="J33" s="1053">
        <f t="shared" si="1"/>
        <v>101.969015</v>
      </c>
      <c r="K33" s="1053">
        <f t="shared" si="2"/>
        <v>68.909325999999993</v>
      </c>
      <c r="L33" s="1053">
        <f t="shared" si="3"/>
        <v>61.012652000000003</v>
      </c>
      <c r="M33" s="1053">
        <f t="shared" si="4"/>
        <v>51.392932000000002</v>
      </c>
      <c r="N33" s="1053">
        <f t="shared" si="5"/>
        <v>68.484012000000007</v>
      </c>
      <c r="O33" s="1053">
        <f t="shared" si="5"/>
        <v>104.108496</v>
      </c>
      <c r="R33" s="1056" t="s">
        <v>154</v>
      </c>
      <c r="S33" s="1057"/>
      <c r="T33" s="1057"/>
      <c r="U33" s="1057"/>
      <c r="V33" s="1056"/>
    </row>
    <row r="34" spans="1:22" s="1065" customFormat="1" ht="13.5" x14ac:dyDescent="0.3">
      <c r="A34" s="1040"/>
      <c r="B34" s="1052" t="s">
        <v>1909</v>
      </c>
      <c r="C34" s="1053">
        <f>DART!C102</f>
        <v>4869740</v>
      </c>
      <c r="D34" s="1053">
        <f>DART!E102</f>
        <v>5276910</v>
      </c>
      <c r="E34" s="1053">
        <f>DART!G102</f>
        <v>7838358</v>
      </c>
      <c r="F34" s="1053">
        <f>DART!I102</f>
        <v>6978750</v>
      </c>
      <c r="G34" s="1053">
        <f>DART!K102</f>
        <v>8911290</v>
      </c>
      <c r="H34" s="1053">
        <v>7489710</v>
      </c>
      <c r="I34" s="1069"/>
      <c r="J34" s="1053">
        <f t="shared" si="1"/>
        <v>4.8697400000000002</v>
      </c>
      <c r="K34" s="1053">
        <f t="shared" si="2"/>
        <v>5.27691</v>
      </c>
      <c r="L34" s="1053">
        <f t="shared" si="3"/>
        <v>7.8383580000000004</v>
      </c>
      <c r="M34" s="1053">
        <f t="shared" si="4"/>
        <v>6.9787499999999998</v>
      </c>
      <c r="N34" s="1053">
        <f t="shared" si="5"/>
        <v>8.9112899999999993</v>
      </c>
      <c r="O34" s="1053">
        <f t="shared" si="5"/>
        <v>7.4897099999999996</v>
      </c>
      <c r="R34" s="1056" t="s">
        <v>154</v>
      </c>
      <c r="S34" s="1057"/>
      <c r="T34" s="1057"/>
      <c r="U34" s="1057"/>
      <c r="V34" s="1056"/>
    </row>
    <row r="35" spans="1:22" s="1065" customFormat="1" ht="13.5" x14ac:dyDescent="0.3">
      <c r="A35" s="1040"/>
      <c r="B35" s="1052" t="s">
        <v>1910</v>
      </c>
      <c r="C35" s="1053">
        <f>DART!C103</f>
        <v>262334007</v>
      </c>
      <c r="D35" s="1053">
        <f>DART!E103</f>
        <v>387160060</v>
      </c>
      <c r="E35" s="1053">
        <f>DART!G103</f>
        <v>476744255</v>
      </c>
      <c r="F35" s="1053">
        <f>DART!I103</f>
        <v>572094367</v>
      </c>
      <c r="G35" s="1053">
        <f>DART!K103</f>
        <v>823098971</v>
      </c>
      <c r="H35" s="1053">
        <v>814186998</v>
      </c>
      <c r="I35" s="1069"/>
      <c r="J35" s="1053">
        <f t="shared" si="1"/>
        <v>262.33400699999999</v>
      </c>
      <c r="K35" s="1053">
        <f t="shared" si="2"/>
        <v>387.16005999999999</v>
      </c>
      <c r="L35" s="1053">
        <f t="shared" si="3"/>
        <v>476.74425500000001</v>
      </c>
      <c r="M35" s="1053">
        <f t="shared" si="4"/>
        <v>572.09436700000003</v>
      </c>
      <c r="N35" s="1053">
        <f t="shared" si="5"/>
        <v>823.09897100000001</v>
      </c>
      <c r="O35" s="1053">
        <f t="shared" si="5"/>
        <v>814.18699800000002</v>
      </c>
      <c r="R35" s="1056" t="s">
        <v>154</v>
      </c>
      <c r="S35" s="1057"/>
      <c r="T35" s="1057"/>
      <c r="U35" s="1057"/>
      <c r="V35" s="1056" t="s">
        <v>1896</v>
      </c>
    </row>
    <row r="36" spans="1:22" s="1065" customFormat="1" ht="13.5" x14ac:dyDescent="0.3">
      <c r="A36" s="1040"/>
      <c r="B36" s="1052" t="s">
        <v>1911</v>
      </c>
      <c r="C36" s="1053">
        <f>DART!C104</f>
        <v>77461589</v>
      </c>
      <c r="D36" s="1053">
        <f>DART!E104</f>
        <v>119295597</v>
      </c>
      <c r="E36" s="1053">
        <f>DART!G104</f>
        <v>54966967</v>
      </c>
      <c r="F36" s="1053">
        <f>DART!I104</f>
        <v>40220957</v>
      </c>
      <c r="G36" s="1053">
        <f>DART!K104</f>
        <v>52089794</v>
      </c>
      <c r="H36" s="1053">
        <v>93845882</v>
      </c>
      <c r="I36" s="1069"/>
      <c r="J36" s="1053">
        <f t="shared" si="1"/>
        <v>77.461589000000004</v>
      </c>
      <c r="K36" s="1053">
        <f t="shared" si="2"/>
        <v>119.295597</v>
      </c>
      <c r="L36" s="1053">
        <f t="shared" si="3"/>
        <v>54.966966999999997</v>
      </c>
      <c r="M36" s="1053">
        <f t="shared" si="4"/>
        <v>40.220956999999999</v>
      </c>
      <c r="N36" s="1053">
        <f t="shared" si="5"/>
        <v>52.089793999999998</v>
      </c>
      <c r="O36" s="1053">
        <f t="shared" si="5"/>
        <v>93.845882000000003</v>
      </c>
      <c r="R36" s="1056" t="s">
        <v>154</v>
      </c>
      <c r="S36" s="1057"/>
      <c r="T36" s="1057"/>
      <c r="U36" s="1057"/>
      <c r="V36" s="1056"/>
    </row>
    <row r="37" spans="1:22" s="1065" customFormat="1" ht="13.5" x14ac:dyDescent="0.3">
      <c r="A37" s="1040"/>
      <c r="B37" s="1052" t="s">
        <v>1912</v>
      </c>
      <c r="C37" s="1053">
        <f>DART!C105</f>
        <v>66573730</v>
      </c>
      <c r="D37" s="1053">
        <f>DART!E105</f>
        <v>40953180</v>
      </c>
      <c r="E37" s="1053">
        <f>DART!G105</f>
        <v>2706490</v>
      </c>
      <c r="F37" s="1053">
        <f>DART!I105</f>
        <v>2692576</v>
      </c>
      <c r="G37" s="1053">
        <f>DART!K105</f>
        <v>4750500</v>
      </c>
      <c r="H37" s="1053">
        <v>5094760</v>
      </c>
      <c r="I37" s="1069"/>
      <c r="J37" s="1053">
        <f t="shared" si="1"/>
        <v>66.573729999999998</v>
      </c>
      <c r="K37" s="1053">
        <f t="shared" si="2"/>
        <v>40.953180000000003</v>
      </c>
      <c r="L37" s="1053">
        <f t="shared" si="3"/>
        <v>2.7064900000000001</v>
      </c>
      <c r="M37" s="1053">
        <f t="shared" si="4"/>
        <v>2.6925759999999999</v>
      </c>
      <c r="N37" s="1053">
        <f t="shared" si="5"/>
        <v>4.7504999999999997</v>
      </c>
      <c r="O37" s="1053">
        <f t="shared" si="5"/>
        <v>5.09476</v>
      </c>
      <c r="R37" s="1056" t="s">
        <v>154</v>
      </c>
      <c r="S37" s="1057"/>
      <c r="T37" s="1057"/>
      <c r="U37" s="1057"/>
      <c r="V37" s="1056" t="s">
        <v>1896</v>
      </c>
    </row>
    <row r="38" spans="1:22" s="1065" customFormat="1" ht="13.5" x14ac:dyDescent="0.3">
      <c r="A38" s="1040"/>
      <c r="B38" s="1052" t="s">
        <v>1913</v>
      </c>
      <c r="C38" s="1053">
        <f>DART!C106</f>
        <v>51723712</v>
      </c>
      <c r="D38" s="1053">
        <f>DART!E106</f>
        <v>70063489</v>
      </c>
      <c r="E38" s="1053">
        <f>DART!G106</f>
        <v>90152744</v>
      </c>
      <c r="F38" s="1053">
        <f>DART!I106</f>
        <v>112407391</v>
      </c>
      <c r="G38" s="1053">
        <f>DART!K106</f>
        <v>177452853</v>
      </c>
      <c r="H38" s="1053">
        <v>333777641</v>
      </c>
      <c r="I38" s="1069"/>
      <c r="J38" s="1053">
        <f t="shared" si="1"/>
        <v>51.723711999999999</v>
      </c>
      <c r="K38" s="1053">
        <f t="shared" si="2"/>
        <v>70.063489000000004</v>
      </c>
      <c r="L38" s="1053">
        <f t="shared" si="3"/>
        <v>90.152743999999998</v>
      </c>
      <c r="M38" s="1053">
        <f t="shared" si="4"/>
        <v>112.407391</v>
      </c>
      <c r="N38" s="1053">
        <f t="shared" si="5"/>
        <v>177.452853</v>
      </c>
      <c r="O38" s="1053">
        <f t="shared" si="5"/>
        <v>333.77764100000002</v>
      </c>
      <c r="R38" s="1056" t="s">
        <v>154</v>
      </c>
      <c r="S38" s="1057"/>
      <c r="T38" s="1057"/>
      <c r="U38" s="1057"/>
      <c r="V38" s="1056"/>
    </row>
    <row r="39" spans="1:22" s="1065" customFormat="1" ht="13.5" x14ac:dyDescent="0.3">
      <c r="A39" s="1040"/>
      <c r="B39" s="1052" t="s">
        <v>1914</v>
      </c>
      <c r="C39" s="1053">
        <f>DART!C107</f>
        <v>436058618</v>
      </c>
      <c r="D39" s="1053">
        <f>DART!E107</f>
        <v>270727841</v>
      </c>
      <c r="E39" s="1053">
        <f>DART!G107</f>
        <v>93916347</v>
      </c>
      <c r="F39" s="1053">
        <f>DART!I107</f>
        <v>97830175</v>
      </c>
      <c r="G39" s="1053">
        <f>DART!K107</f>
        <v>95235932</v>
      </c>
      <c r="H39" s="1053">
        <v>59143083</v>
      </c>
      <c r="I39" s="1069"/>
      <c r="J39" s="1053">
        <f t="shared" si="1"/>
        <v>436.05861800000002</v>
      </c>
      <c r="K39" s="1053">
        <f t="shared" si="2"/>
        <v>270.72784100000001</v>
      </c>
      <c r="L39" s="1053">
        <f t="shared" si="3"/>
        <v>93.916347000000002</v>
      </c>
      <c r="M39" s="1053">
        <f t="shared" si="4"/>
        <v>97.830174999999997</v>
      </c>
      <c r="N39" s="1053">
        <f t="shared" si="5"/>
        <v>95.235932000000005</v>
      </c>
      <c r="O39" s="1053">
        <f t="shared" si="5"/>
        <v>59.143082999999997</v>
      </c>
      <c r="R39" s="1056" t="s">
        <v>1897</v>
      </c>
      <c r="S39" s="1057"/>
      <c r="T39" s="1057"/>
      <c r="U39" s="1057"/>
      <c r="V39" s="1056"/>
    </row>
    <row r="40" spans="1:22" s="1065" customFormat="1" ht="13.5" x14ac:dyDescent="0.3">
      <c r="A40" s="1040"/>
      <c r="B40" s="1052" t="s">
        <v>1915</v>
      </c>
      <c r="C40" s="1053">
        <f>DART!C108</f>
        <v>583364957</v>
      </c>
      <c r="D40" s="1053">
        <f>DART!E108</f>
        <v>139952634</v>
      </c>
      <c r="E40" s="1053">
        <f>DART!G108</f>
        <v>236485464</v>
      </c>
      <c r="F40" s="1053">
        <f>DART!I108</f>
        <v>368811841</v>
      </c>
      <c r="G40" s="1053">
        <f>DART!K108</f>
        <v>357979655</v>
      </c>
      <c r="H40" s="1053">
        <v>253039603</v>
      </c>
      <c r="I40" s="1069"/>
      <c r="J40" s="1053">
        <f t="shared" si="1"/>
        <v>583.364957</v>
      </c>
      <c r="K40" s="1053">
        <f t="shared" si="2"/>
        <v>139.95263399999999</v>
      </c>
      <c r="L40" s="1053">
        <f t="shared" si="3"/>
        <v>236.48546400000001</v>
      </c>
      <c r="M40" s="1053">
        <f t="shared" si="4"/>
        <v>368.81184100000002</v>
      </c>
      <c r="N40" s="1053">
        <f t="shared" si="5"/>
        <v>357.97965499999998</v>
      </c>
      <c r="O40" s="1053">
        <f t="shared" si="5"/>
        <v>253.039603</v>
      </c>
      <c r="R40" s="1056" t="s">
        <v>154</v>
      </c>
      <c r="S40" s="1057"/>
      <c r="T40" s="1057"/>
      <c r="U40" s="1057"/>
      <c r="V40" s="1056"/>
    </row>
    <row r="41" spans="1:22" s="1065" customFormat="1" ht="13.5" x14ac:dyDescent="0.3">
      <c r="A41" s="1040"/>
      <c r="B41" s="1052" t="s">
        <v>1916</v>
      </c>
      <c r="C41" s="1053">
        <f>DART!C109</f>
        <v>7779917</v>
      </c>
      <c r="D41" s="1053">
        <f>DART!E109</f>
        <v>7439045</v>
      </c>
      <c r="E41" s="1053">
        <f>DART!G109</f>
        <v>8926030</v>
      </c>
      <c r="F41" s="1053">
        <f>DART!I109</f>
        <v>7443288</v>
      </c>
      <c r="G41" s="1053">
        <f>DART!K109</f>
        <v>4537964</v>
      </c>
      <c r="H41" s="1053">
        <v>7234877</v>
      </c>
      <c r="I41" s="1069"/>
      <c r="J41" s="1053">
        <f t="shared" si="1"/>
        <v>7.7799170000000002</v>
      </c>
      <c r="K41" s="1053">
        <f t="shared" si="2"/>
        <v>7.4390450000000001</v>
      </c>
      <c r="L41" s="1053">
        <f t="shared" si="3"/>
        <v>8.9260300000000008</v>
      </c>
      <c r="M41" s="1053">
        <f t="shared" si="4"/>
        <v>7.4432879999999999</v>
      </c>
      <c r="N41" s="1053">
        <f t="shared" si="5"/>
        <v>4.5379639999999997</v>
      </c>
      <c r="O41" s="1053">
        <f t="shared" si="5"/>
        <v>7.234877</v>
      </c>
      <c r="R41" s="1056" t="s">
        <v>154</v>
      </c>
      <c r="S41" s="1057"/>
      <c r="T41" s="1057"/>
      <c r="U41" s="1057"/>
      <c r="V41" s="1056"/>
    </row>
    <row r="42" spans="1:22" s="1065" customFormat="1" ht="13.5" x14ac:dyDescent="0.3">
      <c r="A42" s="1040"/>
      <c r="B42" s="1052" t="s">
        <v>1917</v>
      </c>
      <c r="C42" s="1053">
        <f>DART!C110</f>
        <v>12636178</v>
      </c>
      <c r="D42" s="1053">
        <f>DART!E110</f>
        <v>10646129</v>
      </c>
      <c r="E42" s="1053">
        <f>DART!G110</f>
        <v>8566626</v>
      </c>
      <c r="F42" s="1053">
        <f>DART!I110</f>
        <v>8810588</v>
      </c>
      <c r="G42" s="1053">
        <f>DART!K110</f>
        <v>9254214</v>
      </c>
      <c r="H42" s="1053">
        <v>9637994</v>
      </c>
      <c r="I42" s="1069"/>
      <c r="J42" s="1053">
        <f t="shared" si="1"/>
        <v>12.636177999999999</v>
      </c>
      <c r="K42" s="1053">
        <f t="shared" si="2"/>
        <v>10.646129</v>
      </c>
      <c r="L42" s="1053">
        <f t="shared" si="3"/>
        <v>8.5666259999999994</v>
      </c>
      <c r="M42" s="1053">
        <f t="shared" si="4"/>
        <v>8.8105879999999992</v>
      </c>
      <c r="N42" s="1053">
        <f t="shared" si="5"/>
        <v>9.2542139999999993</v>
      </c>
      <c r="O42" s="1053">
        <f t="shared" si="5"/>
        <v>9.6379940000000008</v>
      </c>
      <c r="R42" s="1056" t="s">
        <v>154</v>
      </c>
      <c r="S42" s="1057"/>
      <c r="T42" s="1057"/>
      <c r="U42" s="1057"/>
      <c r="V42" s="1056"/>
    </row>
    <row r="43" spans="1:22" s="1065" customFormat="1" ht="13.5" x14ac:dyDescent="0.3">
      <c r="A43" s="1040"/>
      <c r="B43" s="1052" t="s">
        <v>1918</v>
      </c>
      <c r="C43" s="1053">
        <f>DART!C111</f>
        <v>0</v>
      </c>
      <c r="D43" s="1053">
        <f>DART!E111</f>
        <v>1850000</v>
      </c>
      <c r="E43" s="1053">
        <f>DART!G111</f>
        <v>23578980</v>
      </c>
      <c r="F43" s="1053">
        <f>DART!I111</f>
        <v>5227840</v>
      </c>
      <c r="G43" s="1053">
        <f>DART!K111</f>
        <v>0</v>
      </c>
      <c r="H43" s="1053">
        <v>0</v>
      </c>
      <c r="I43" s="1069"/>
      <c r="J43" s="1053">
        <f t="shared" si="1"/>
        <v>0</v>
      </c>
      <c r="K43" s="1053">
        <f t="shared" si="2"/>
        <v>1.85</v>
      </c>
      <c r="L43" s="1053">
        <f t="shared" si="3"/>
        <v>23.578980000000001</v>
      </c>
      <c r="M43" s="1053">
        <f t="shared" si="4"/>
        <v>5.2278399999999996</v>
      </c>
      <c r="N43" s="1053">
        <f t="shared" si="5"/>
        <v>0</v>
      </c>
      <c r="O43" s="1053">
        <f t="shared" si="5"/>
        <v>0</v>
      </c>
      <c r="R43" s="1056" t="s">
        <v>154</v>
      </c>
      <c r="S43" s="1057"/>
      <c r="T43" s="1057"/>
      <c r="U43" s="1057"/>
      <c r="V43" s="1056" t="s">
        <v>1896</v>
      </c>
    </row>
    <row r="44" spans="1:22" s="1065" customFormat="1" ht="13.5" x14ac:dyDescent="0.3">
      <c r="A44" s="1040"/>
      <c r="B44" s="1052" t="s">
        <v>1919</v>
      </c>
      <c r="C44" s="1053">
        <f>DART!C112</f>
        <v>1411970</v>
      </c>
      <c r="D44" s="1053">
        <f>DART!E112</f>
        <v>3449670</v>
      </c>
      <c r="E44" s="1053">
        <f>DART!G112</f>
        <v>10641443</v>
      </c>
      <c r="F44" s="1053">
        <f>DART!I112</f>
        <v>6013092</v>
      </c>
      <c r="G44" s="1053">
        <f>DART!K112</f>
        <v>31161491</v>
      </c>
      <c r="H44" s="1053">
        <v>35439065</v>
      </c>
      <c r="I44" s="1069"/>
      <c r="J44" s="1053">
        <f t="shared" si="1"/>
        <v>1.4119699999999999</v>
      </c>
      <c r="K44" s="1053">
        <f t="shared" si="2"/>
        <v>3.4496699999999998</v>
      </c>
      <c r="L44" s="1053">
        <f t="shared" si="3"/>
        <v>10.641443000000001</v>
      </c>
      <c r="M44" s="1053">
        <f t="shared" si="4"/>
        <v>6.0130920000000003</v>
      </c>
      <c r="N44" s="1053">
        <f t="shared" si="5"/>
        <v>31.161491000000002</v>
      </c>
      <c r="O44" s="1053">
        <f t="shared" si="5"/>
        <v>35.439064999999999</v>
      </c>
      <c r="R44" s="1056" t="s">
        <v>154</v>
      </c>
      <c r="S44" s="1057"/>
      <c r="T44" s="1057"/>
      <c r="U44" s="1057"/>
      <c r="V44" s="1056"/>
    </row>
    <row r="45" spans="1:22" s="1065" customFormat="1" ht="13.5" x14ac:dyDescent="0.3">
      <c r="A45" s="1040"/>
      <c r="B45" s="1050" t="s">
        <v>115</v>
      </c>
      <c r="C45" s="1051">
        <f t="shared" ref="C45:H45" si="22">C18-C19</f>
        <v>6163249146</v>
      </c>
      <c r="D45" s="1051">
        <f t="shared" si="22"/>
        <v>6523082499</v>
      </c>
      <c r="E45" s="1051">
        <f t="shared" si="22"/>
        <v>8641942922</v>
      </c>
      <c r="F45" s="1051">
        <f t="shared" si="22"/>
        <v>9212964466</v>
      </c>
      <c r="G45" s="1051">
        <f t="shared" si="22"/>
        <v>9464662491</v>
      </c>
      <c r="H45" s="1051">
        <f t="shared" si="22"/>
        <v>9727290936</v>
      </c>
      <c r="I45" s="1069"/>
      <c r="J45" s="1051">
        <f t="shared" si="1"/>
        <v>6163.2491460000001</v>
      </c>
      <c r="K45" s="1051">
        <f t="shared" si="2"/>
        <v>6523.0824990000001</v>
      </c>
      <c r="L45" s="1051">
        <f t="shared" si="3"/>
        <v>8641.9429220000002</v>
      </c>
      <c r="M45" s="1051">
        <f t="shared" si="4"/>
        <v>9212.9644659999994</v>
      </c>
      <c r="N45" s="1051">
        <f t="shared" si="5"/>
        <v>9464.6624909999991</v>
      </c>
      <c r="O45" s="1051">
        <f t="shared" si="5"/>
        <v>9727.2909359999994</v>
      </c>
      <c r="R45" s="1051"/>
      <c r="S45" s="1051"/>
      <c r="T45" s="1051"/>
      <c r="U45" s="1051"/>
      <c r="V45" s="1051"/>
    </row>
    <row r="46" spans="1:22" s="1065" customFormat="1" ht="13.5" x14ac:dyDescent="0.3">
      <c r="A46" s="1040"/>
      <c r="B46" s="1058" t="s">
        <v>1898</v>
      </c>
      <c r="C46" s="1051">
        <f t="shared" ref="C46:H46" si="23">SUM(C47:C54)</f>
        <v>578067689</v>
      </c>
      <c r="D46" s="1051">
        <f t="shared" si="23"/>
        <v>645345102</v>
      </c>
      <c r="E46" s="1051">
        <f t="shared" si="23"/>
        <v>731059335</v>
      </c>
      <c r="F46" s="1051">
        <f t="shared" si="23"/>
        <v>610819449</v>
      </c>
      <c r="G46" s="1051">
        <f t="shared" si="23"/>
        <v>640574073</v>
      </c>
      <c r="H46" s="1051">
        <f t="shared" si="23"/>
        <v>561239182</v>
      </c>
      <c r="I46" s="1068"/>
      <c r="J46" s="1051">
        <f t="shared" ref="J46:O46" si="24">SUM(J47:J54)</f>
        <v>578.06768899999997</v>
      </c>
      <c r="K46" s="1051">
        <f t="shared" si="24"/>
        <v>645.34510199999988</v>
      </c>
      <c r="L46" s="1051">
        <f t="shared" si="24"/>
        <v>731.05933499999992</v>
      </c>
      <c r="M46" s="1051">
        <f t="shared" si="24"/>
        <v>610.81944899999996</v>
      </c>
      <c r="N46" s="1051">
        <f t="shared" si="24"/>
        <v>640.574073</v>
      </c>
      <c r="O46" s="1051">
        <f t="shared" si="24"/>
        <v>561.23918200000003</v>
      </c>
      <c r="R46" s="1051"/>
      <c r="S46" s="1051"/>
      <c r="T46" s="1051"/>
      <c r="U46" s="1051"/>
      <c r="V46" s="1051"/>
    </row>
    <row r="47" spans="1:22" s="1065" customFormat="1" ht="13.5" x14ac:dyDescent="0.3">
      <c r="A47" s="1040"/>
      <c r="B47" s="1054" t="s">
        <v>1920</v>
      </c>
      <c r="C47" s="1053">
        <f>DART!C115</f>
        <v>511185593</v>
      </c>
      <c r="D47" s="1053">
        <f>DART!E115</f>
        <v>523810578</v>
      </c>
      <c r="E47" s="1053">
        <f>DART!G115</f>
        <v>521604375</v>
      </c>
      <c r="F47" s="1053">
        <f>DART!I115</f>
        <v>356637508</v>
      </c>
      <c r="G47" s="1053">
        <f>DART!K115</f>
        <v>349736090</v>
      </c>
      <c r="H47" s="1053">
        <v>198461996</v>
      </c>
      <c r="I47" s="1069"/>
      <c r="J47" s="1053">
        <f t="shared" ref="J47:O54" si="25">C47/1000000</f>
        <v>511.18559299999998</v>
      </c>
      <c r="K47" s="1053">
        <f t="shared" si="25"/>
        <v>523.81057799999996</v>
      </c>
      <c r="L47" s="1053">
        <f t="shared" si="25"/>
        <v>521.604375</v>
      </c>
      <c r="M47" s="1053">
        <f t="shared" si="25"/>
        <v>356.63750800000003</v>
      </c>
      <c r="N47" s="1053">
        <f t="shared" si="25"/>
        <v>349.73608999999999</v>
      </c>
      <c r="O47" s="1053">
        <f t="shared" si="25"/>
        <v>198.461996</v>
      </c>
      <c r="R47" s="1053"/>
      <c r="S47" s="1053"/>
      <c r="T47" s="1053"/>
      <c r="U47" s="1053"/>
      <c r="V47" s="1053"/>
    </row>
    <row r="48" spans="1:22" s="1065" customFormat="1" ht="13.5" x14ac:dyDescent="0.3">
      <c r="A48" s="1040"/>
      <c r="B48" s="1054" t="s">
        <v>1921</v>
      </c>
      <c r="C48" s="1053">
        <f>DART!C116</f>
        <v>5073524</v>
      </c>
      <c r="D48" s="1053">
        <f>DART!E116</f>
        <v>595604</v>
      </c>
      <c r="E48" s="1053">
        <f>DART!G116</f>
        <v>1280805</v>
      </c>
      <c r="F48" s="1053">
        <f>DART!I116</f>
        <v>13343755</v>
      </c>
      <c r="G48" s="1053">
        <f>DART!K116</f>
        <v>62534717</v>
      </c>
      <c r="H48" s="1053">
        <v>120800102</v>
      </c>
      <c r="I48" s="1069"/>
      <c r="J48" s="1053">
        <f t="shared" si="25"/>
        <v>5.0735239999999999</v>
      </c>
      <c r="K48" s="1053">
        <f t="shared" si="25"/>
        <v>0.59560400000000002</v>
      </c>
      <c r="L48" s="1053">
        <f t="shared" si="25"/>
        <v>1.280805</v>
      </c>
      <c r="M48" s="1053">
        <f t="shared" si="25"/>
        <v>13.343755</v>
      </c>
      <c r="N48" s="1053">
        <f t="shared" si="25"/>
        <v>62.534717000000001</v>
      </c>
      <c r="O48" s="1053">
        <f t="shared" si="25"/>
        <v>120.800102</v>
      </c>
      <c r="R48" s="1053"/>
      <c r="S48" s="1053"/>
      <c r="T48" s="1053"/>
      <c r="U48" s="1053"/>
      <c r="V48" s="1053"/>
    </row>
    <row r="49" spans="1:22" s="1065" customFormat="1" ht="13.5" x14ac:dyDescent="0.3">
      <c r="A49" s="1040"/>
      <c r="B49" s="1054" t="s">
        <v>1922</v>
      </c>
      <c r="C49" s="1053">
        <f>DART!C117</f>
        <v>0</v>
      </c>
      <c r="D49" s="1053">
        <f>DART!E117</f>
        <v>2010465</v>
      </c>
      <c r="E49" s="1053">
        <f>DART!G117</f>
        <v>66485</v>
      </c>
      <c r="F49" s="1053">
        <f>DART!I117</f>
        <v>72236</v>
      </c>
      <c r="G49" s="1053">
        <f>DART!K117</f>
        <v>886937</v>
      </c>
      <c r="H49" s="1053">
        <v>2519803</v>
      </c>
      <c r="I49" s="1069"/>
      <c r="J49" s="1053">
        <f t="shared" si="25"/>
        <v>0</v>
      </c>
      <c r="K49" s="1053">
        <f t="shared" si="25"/>
        <v>2.0104649999999999</v>
      </c>
      <c r="L49" s="1053">
        <f t="shared" si="25"/>
        <v>6.6485000000000002E-2</v>
      </c>
      <c r="M49" s="1053">
        <f t="shared" si="25"/>
        <v>7.2235999999999995E-2</v>
      </c>
      <c r="N49" s="1053">
        <f t="shared" si="25"/>
        <v>0.88693699999999998</v>
      </c>
      <c r="O49" s="1053">
        <f t="shared" si="25"/>
        <v>2.519803</v>
      </c>
      <c r="R49" s="1053"/>
      <c r="S49" s="1053"/>
      <c r="T49" s="1053"/>
      <c r="U49" s="1053"/>
      <c r="V49" s="1053"/>
    </row>
    <row r="50" spans="1:22" s="1065" customFormat="1" ht="13.5" x14ac:dyDescent="0.3">
      <c r="A50" s="1040"/>
      <c r="B50" s="1054" t="s">
        <v>1923</v>
      </c>
      <c r="C50" s="1053">
        <f>DART!C118</f>
        <v>6357857</v>
      </c>
      <c r="D50" s="1053">
        <f>DART!E118</f>
        <v>49000</v>
      </c>
      <c r="E50" s="1053">
        <f>DART!G118</f>
        <v>0</v>
      </c>
      <c r="F50" s="1053">
        <f>DART!I118</f>
        <v>3072302</v>
      </c>
      <c r="G50" s="1053">
        <f>DART!K118</f>
        <v>7971446</v>
      </c>
      <c r="H50" s="1053">
        <v>0</v>
      </c>
      <c r="I50" s="1069"/>
      <c r="J50" s="1053">
        <f t="shared" si="25"/>
        <v>6.3578570000000001</v>
      </c>
      <c r="K50" s="1053">
        <f t="shared" si="25"/>
        <v>4.9000000000000002E-2</v>
      </c>
      <c r="L50" s="1053">
        <f t="shared" si="25"/>
        <v>0</v>
      </c>
      <c r="M50" s="1053">
        <f t="shared" si="25"/>
        <v>3.0723020000000001</v>
      </c>
      <c r="N50" s="1053">
        <f t="shared" si="25"/>
        <v>7.9714460000000003</v>
      </c>
      <c r="O50" s="1053">
        <f t="shared" si="25"/>
        <v>0</v>
      </c>
      <c r="R50" s="1053"/>
      <c r="S50" s="1053"/>
      <c r="T50" s="1053"/>
      <c r="U50" s="1053"/>
      <c r="V50" s="1053"/>
    </row>
    <row r="51" spans="1:22" s="1065" customFormat="1" ht="13.5" x14ac:dyDescent="0.3">
      <c r="A51" s="1040"/>
      <c r="B51" s="1054" t="s">
        <v>1924</v>
      </c>
      <c r="C51" s="1053">
        <f>DART!C119</f>
        <v>0</v>
      </c>
      <c r="D51" s="1053">
        <f>DART!E119</f>
        <v>2066263</v>
      </c>
      <c r="E51" s="1053">
        <f>DART!G119</f>
        <v>0</v>
      </c>
      <c r="F51" s="1053">
        <f>DART!I119</f>
        <v>0</v>
      </c>
      <c r="G51" s="1053">
        <f>DART!K119</f>
        <v>0</v>
      </c>
      <c r="H51" s="1053">
        <v>0</v>
      </c>
      <c r="I51" s="1069"/>
      <c r="J51" s="1053">
        <f t="shared" si="25"/>
        <v>0</v>
      </c>
      <c r="K51" s="1053">
        <f t="shared" si="25"/>
        <v>2.0662630000000002</v>
      </c>
      <c r="L51" s="1053">
        <f t="shared" si="25"/>
        <v>0</v>
      </c>
      <c r="M51" s="1053">
        <f t="shared" si="25"/>
        <v>0</v>
      </c>
      <c r="N51" s="1053">
        <f t="shared" si="25"/>
        <v>0</v>
      </c>
      <c r="O51" s="1053">
        <f t="shared" si="25"/>
        <v>0</v>
      </c>
      <c r="R51" s="1053"/>
      <c r="S51" s="1053"/>
      <c r="T51" s="1053"/>
      <c r="U51" s="1053"/>
      <c r="V51" s="1053"/>
    </row>
    <row r="52" spans="1:22" s="1065" customFormat="1" ht="13.5" x14ac:dyDescent="0.3">
      <c r="A52" s="1040"/>
      <c r="B52" s="1054" t="s">
        <v>1925</v>
      </c>
      <c r="C52" s="1053">
        <f>DART!C120</f>
        <v>55450715</v>
      </c>
      <c r="D52" s="1053">
        <f>DART!E120</f>
        <v>98879587</v>
      </c>
      <c r="E52" s="1053">
        <f>DART!G120</f>
        <v>89466130</v>
      </c>
      <c r="F52" s="1053">
        <f>DART!I120</f>
        <v>111422820</v>
      </c>
      <c r="G52" s="1053">
        <f>DART!K120</f>
        <v>84193618</v>
      </c>
      <c r="H52" s="1053">
        <v>78670476</v>
      </c>
      <c r="I52" s="1069"/>
      <c r="J52" s="1053">
        <f t="shared" si="25"/>
        <v>55.450715000000002</v>
      </c>
      <c r="K52" s="1053">
        <f t="shared" si="25"/>
        <v>98.879587000000001</v>
      </c>
      <c r="L52" s="1053">
        <f t="shared" si="25"/>
        <v>89.466130000000007</v>
      </c>
      <c r="M52" s="1053">
        <f t="shared" si="25"/>
        <v>111.42282</v>
      </c>
      <c r="N52" s="1053">
        <f t="shared" si="25"/>
        <v>84.193618000000001</v>
      </c>
      <c r="O52" s="1053">
        <f t="shared" si="25"/>
        <v>78.670475999999994</v>
      </c>
      <c r="R52" s="1053"/>
      <c r="S52" s="1053"/>
      <c r="T52" s="1053"/>
      <c r="U52" s="1053"/>
      <c r="V52" s="1053"/>
    </row>
    <row r="53" spans="1:22" s="1065" customFormat="1" ht="13.5" x14ac:dyDescent="0.3">
      <c r="A53" s="1040"/>
      <c r="B53" s="1054" t="s">
        <v>1926</v>
      </c>
      <c r="C53" s="1053">
        <f>DART!C121</f>
        <v>0</v>
      </c>
      <c r="D53" s="1053">
        <f>DART!E121</f>
        <v>17300000</v>
      </c>
      <c r="E53" s="1053">
        <f>DART!G121</f>
        <v>0</v>
      </c>
      <c r="F53" s="1053">
        <f>DART!I121</f>
        <v>0</v>
      </c>
      <c r="G53" s="1053">
        <f>DART!K121</f>
        <v>0</v>
      </c>
      <c r="H53" s="1053">
        <v>0</v>
      </c>
      <c r="I53" s="1069"/>
      <c r="J53" s="1053">
        <f t="shared" si="25"/>
        <v>0</v>
      </c>
      <c r="K53" s="1053">
        <f t="shared" si="25"/>
        <v>17.3</v>
      </c>
      <c r="L53" s="1053">
        <f t="shared" si="25"/>
        <v>0</v>
      </c>
      <c r="M53" s="1053">
        <f t="shared" si="25"/>
        <v>0</v>
      </c>
      <c r="N53" s="1053">
        <f t="shared" si="25"/>
        <v>0</v>
      </c>
      <c r="O53" s="1053">
        <f t="shared" si="25"/>
        <v>0</v>
      </c>
      <c r="R53" s="1053"/>
      <c r="S53" s="1053"/>
      <c r="T53" s="1053"/>
      <c r="U53" s="1053"/>
      <c r="V53" s="1053"/>
    </row>
    <row r="54" spans="1:22" s="1065" customFormat="1" ht="13.5" x14ac:dyDescent="0.3">
      <c r="A54" s="1040"/>
      <c r="B54" s="1054" t="s">
        <v>1927</v>
      </c>
      <c r="C54" s="1053">
        <f>DART!C122</f>
        <v>0</v>
      </c>
      <c r="D54" s="1053">
        <f>DART!E122</f>
        <v>633605</v>
      </c>
      <c r="E54" s="1053">
        <f>DART!G122</f>
        <v>118641540</v>
      </c>
      <c r="F54" s="1053">
        <f>DART!I122</f>
        <v>126270828</v>
      </c>
      <c r="G54" s="1053">
        <f>DART!K122</f>
        <v>135251265</v>
      </c>
      <c r="H54" s="1053">
        <v>160786805</v>
      </c>
      <c r="I54" s="1069"/>
      <c r="J54" s="1053">
        <f t="shared" si="25"/>
        <v>0</v>
      </c>
      <c r="K54" s="1053">
        <f t="shared" si="25"/>
        <v>0.63360499999999997</v>
      </c>
      <c r="L54" s="1053">
        <f t="shared" si="25"/>
        <v>118.64154000000001</v>
      </c>
      <c r="M54" s="1053">
        <f t="shared" si="25"/>
        <v>126.27082799999999</v>
      </c>
      <c r="N54" s="1053">
        <f t="shared" si="25"/>
        <v>135.25126499999999</v>
      </c>
      <c r="O54" s="1053">
        <f t="shared" si="25"/>
        <v>160.78680499999999</v>
      </c>
      <c r="R54" s="1053"/>
      <c r="S54" s="1053"/>
      <c r="T54" s="1053"/>
      <c r="U54" s="1053"/>
      <c r="V54" s="1053"/>
    </row>
    <row r="55" spans="1:22" s="1065" customFormat="1" ht="13.5" x14ac:dyDescent="0.3">
      <c r="A55" s="1040"/>
      <c r="B55" s="1058" t="s">
        <v>1899</v>
      </c>
      <c r="C55" s="1051">
        <f t="shared" ref="C55:H55" si="26">SUM(C56:C63)</f>
        <v>19919894</v>
      </c>
      <c r="D55" s="1051">
        <f t="shared" si="26"/>
        <v>52734730</v>
      </c>
      <c r="E55" s="1051">
        <f t="shared" si="26"/>
        <v>395019080</v>
      </c>
      <c r="F55" s="1051">
        <f t="shared" si="26"/>
        <v>239847535</v>
      </c>
      <c r="G55" s="1051">
        <f t="shared" si="26"/>
        <v>358389045</v>
      </c>
      <c r="H55" s="1051">
        <f t="shared" si="26"/>
        <v>496623862</v>
      </c>
      <c r="I55" s="1068"/>
      <c r="J55" s="1051">
        <f t="shared" ref="J55:O55" si="27">SUM(J56:J63)</f>
        <v>19.919893999999999</v>
      </c>
      <c r="K55" s="1051">
        <f t="shared" si="27"/>
        <v>52.734730000000006</v>
      </c>
      <c r="L55" s="1051">
        <f t="shared" si="27"/>
        <v>395.01908000000003</v>
      </c>
      <c r="M55" s="1051">
        <f t="shared" si="27"/>
        <v>239.84753499999999</v>
      </c>
      <c r="N55" s="1051">
        <f t="shared" si="27"/>
        <v>358.38904500000001</v>
      </c>
      <c r="O55" s="1051">
        <f t="shared" si="27"/>
        <v>496.62386199999997</v>
      </c>
      <c r="R55" s="1051"/>
      <c r="S55" s="1051"/>
      <c r="T55" s="1051"/>
      <c r="U55" s="1051"/>
      <c r="V55" s="1051"/>
    </row>
    <row r="56" spans="1:22" s="1065" customFormat="1" ht="13.5" x14ac:dyDescent="0.3">
      <c r="A56" s="1040"/>
      <c r="B56" s="1054" t="s">
        <v>1928</v>
      </c>
      <c r="C56" s="1053">
        <f>DART!C124</f>
        <v>0</v>
      </c>
      <c r="D56" s="1053">
        <f>DART!E124</f>
        <v>0</v>
      </c>
      <c r="E56" s="1053">
        <f>DART!G124</f>
        <v>637395</v>
      </c>
      <c r="F56" s="1053">
        <f>DART!I124</f>
        <v>28415296</v>
      </c>
      <c r="G56" s="1053">
        <f>DART!K124</f>
        <v>2755498</v>
      </c>
      <c r="H56" s="1053">
        <v>9425658</v>
      </c>
      <c r="I56" s="1069"/>
      <c r="J56" s="1053">
        <f t="shared" ref="J56:J68" si="28">C56/1000000</f>
        <v>0</v>
      </c>
      <c r="K56" s="1053">
        <f t="shared" ref="K56:K68" si="29">D56/1000000</f>
        <v>0</v>
      </c>
      <c r="L56" s="1053">
        <f t="shared" ref="L56:L68" si="30">E56/1000000</f>
        <v>0.63739500000000004</v>
      </c>
      <c r="M56" s="1053">
        <f t="shared" ref="M56:M68" si="31">F56/1000000</f>
        <v>28.415296000000001</v>
      </c>
      <c r="N56" s="1053">
        <f t="shared" ref="N56:O68" si="32">G56/1000000</f>
        <v>2.7554979999999998</v>
      </c>
      <c r="O56" s="1053">
        <f t="shared" si="32"/>
        <v>9.4256580000000003</v>
      </c>
      <c r="R56" s="1053"/>
      <c r="S56" s="1053"/>
      <c r="T56" s="1053"/>
      <c r="U56" s="1053"/>
      <c r="V56" s="1053"/>
    </row>
    <row r="57" spans="1:22" s="1065" customFormat="1" ht="13.5" x14ac:dyDescent="0.3">
      <c r="A57" s="1040"/>
      <c r="B57" s="1054" t="s">
        <v>1929</v>
      </c>
      <c r="C57" s="1053">
        <f>DART!C125</f>
        <v>2470</v>
      </c>
      <c r="D57" s="1053">
        <f>DART!E125</f>
        <v>11211737</v>
      </c>
      <c r="E57" s="1053">
        <f>DART!G125</f>
        <v>22837749</v>
      </c>
      <c r="F57" s="1053">
        <f>DART!I125</f>
        <v>46014222</v>
      </c>
      <c r="G57" s="1053">
        <f>DART!K125</f>
        <v>175668353</v>
      </c>
      <c r="H57" s="1053">
        <v>235942497</v>
      </c>
      <c r="I57" s="1069"/>
      <c r="J57" s="1053">
        <f t="shared" si="28"/>
        <v>2.47E-3</v>
      </c>
      <c r="K57" s="1053">
        <f t="shared" si="29"/>
        <v>11.211736999999999</v>
      </c>
      <c r="L57" s="1053">
        <f t="shared" si="30"/>
        <v>22.837748999999999</v>
      </c>
      <c r="M57" s="1053">
        <f t="shared" si="31"/>
        <v>46.014221999999997</v>
      </c>
      <c r="N57" s="1053">
        <f t="shared" si="32"/>
        <v>175.668353</v>
      </c>
      <c r="O57" s="1053">
        <f t="shared" si="32"/>
        <v>235.942497</v>
      </c>
      <c r="R57" s="1053"/>
      <c r="S57" s="1053"/>
      <c r="T57" s="1053"/>
      <c r="U57" s="1053"/>
      <c r="V57" s="1053"/>
    </row>
    <row r="58" spans="1:22" s="1065" customFormat="1" ht="13.5" x14ac:dyDescent="0.3">
      <c r="A58" s="1040"/>
      <c r="B58" s="1054" t="s">
        <v>1930</v>
      </c>
      <c r="C58" s="1053">
        <f>DART!C126</f>
        <v>6871</v>
      </c>
      <c r="D58" s="1053">
        <f>DART!E126</f>
        <v>213084</v>
      </c>
      <c r="E58" s="1053">
        <f>DART!G126</f>
        <v>4301891</v>
      </c>
      <c r="F58" s="1053">
        <f>DART!I126</f>
        <v>3766570</v>
      </c>
      <c r="G58" s="1053">
        <f>DART!K126</f>
        <v>494251</v>
      </c>
      <c r="H58" s="1053">
        <v>15898624</v>
      </c>
      <c r="I58" s="1069"/>
      <c r="J58" s="1053">
        <f t="shared" si="28"/>
        <v>6.8710000000000004E-3</v>
      </c>
      <c r="K58" s="1053">
        <f t="shared" si="29"/>
        <v>0.213084</v>
      </c>
      <c r="L58" s="1053">
        <f t="shared" si="30"/>
        <v>4.3018910000000004</v>
      </c>
      <c r="M58" s="1053">
        <f t="shared" si="31"/>
        <v>3.7665700000000002</v>
      </c>
      <c r="N58" s="1053">
        <f t="shared" si="32"/>
        <v>0.494251</v>
      </c>
      <c r="O58" s="1053">
        <f t="shared" si="32"/>
        <v>15.898624</v>
      </c>
      <c r="R58" s="1053"/>
      <c r="S58" s="1053"/>
      <c r="T58" s="1053"/>
      <c r="U58" s="1053"/>
      <c r="V58" s="1053"/>
    </row>
    <row r="59" spans="1:22" s="1065" customFormat="1" ht="13.5" x14ac:dyDescent="0.3">
      <c r="A59" s="1040"/>
      <c r="B59" s="1054" t="s">
        <v>1931</v>
      </c>
      <c r="C59" s="1053">
        <f>DART!C127</f>
        <v>187374</v>
      </c>
      <c r="D59" s="1053">
        <f>DART!E127</f>
        <v>32987184</v>
      </c>
      <c r="E59" s="1053">
        <f>DART!G127</f>
        <v>949700</v>
      </c>
      <c r="F59" s="1053">
        <f>DART!I127</f>
        <v>311300</v>
      </c>
      <c r="G59" s="1053">
        <f>DART!K127</f>
        <v>0</v>
      </c>
      <c r="H59" s="1053">
        <v>8453531</v>
      </c>
      <c r="I59" s="1069"/>
      <c r="J59" s="1053">
        <f t="shared" si="28"/>
        <v>0.18737400000000001</v>
      </c>
      <c r="K59" s="1053">
        <f t="shared" si="29"/>
        <v>32.987183999999999</v>
      </c>
      <c r="L59" s="1053">
        <f t="shared" si="30"/>
        <v>0.94969999999999999</v>
      </c>
      <c r="M59" s="1053">
        <f t="shared" si="31"/>
        <v>0.31130000000000002</v>
      </c>
      <c r="N59" s="1053">
        <f t="shared" si="32"/>
        <v>0</v>
      </c>
      <c r="O59" s="1053">
        <f t="shared" si="32"/>
        <v>8.4535309999999999</v>
      </c>
      <c r="R59" s="1053"/>
      <c r="S59" s="1053"/>
      <c r="T59" s="1053"/>
      <c r="U59" s="1053"/>
      <c r="V59" s="1053"/>
    </row>
    <row r="60" spans="1:22" s="1065" customFormat="1" ht="13.5" x14ac:dyDescent="0.3">
      <c r="A60" s="1040"/>
      <c r="B60" s="1054" t="s">
        <v>1932</v>
      </c>
      <c r="C60" s="1053">
        <f>DART!C128</f>
        <v>15405000</v>
      </c>
      <c r="D60" s="1053">
        <f>DART!E128</f>
        <v>8085000</v>
      </c>
      <c r="E60" s="1053">
        <f>DART!G128</f>
        <v>7255000</v>
      </c>
      <c r="F60" s="1053">
        <f>DART!I128</f>
        <v>5895000</v>
      </c>
      <c r="G60" s="1053">
        <f>DART!K128</f>
        <v>5080000</v>
      </c>
      <c r="H60" s="1053">
        <v>164200000</v>
      </c>
      <c r="I60" s="1069"/>
      <c r="J60" s="1053">
        <f t="shared" si="28"/>
        <v>15.404999999999999</v>
      </c>
      <c r="K60" s="1053">
        <f t="shared" si="29"/>
        <v>8.0850000000000009</v>
      </c>
      <c r="L60" s="1053">
        <f t="shared" si="30"/>
        <v>7.2549999999999999</v>
      </c>
      <c r="M60" s="1053">
        <f t="shared" si="31"/>
        <v>5.8949999999999996</v>
      </c>
      <c r="N60" s="1053">
        <f t="shared" si="32"/>
        <v>5.08</v>
      </c>
      <c r="O60" s="1053">
        <f t="shared" si="32"/>
        <v>164.2</v>
      </c>
      <c r="R60" s="1053"/>
      <c r="S60" s="1053"/>
      <c r="T60" s="1053"/>
      <c r="U60" s="1053"/>
      <c r="V60" s="1053"/>
    </row>
    <row r="61" spans="1:22" s="1065" customFormat="1" ht="13.5" x14ac:dyDescent="0.3">
      <c r="A61" s="1040"/>
      <c r="B61" s="1054" t="s">
        <v>1933</v>
      </c>
      <c r="C61" s="1053">
        <f>DART!C129</f>
        <v>4318179</v>
      </c>
      <c r="D61" s="1053">
        <f>DART!E129</f>
        <v>213405</v>
      </c>
      <c r="E61" s="1053">
        <f>DART!G129</f>
        <v>8945066</v>
      </c>
      <c r="F61" s="1053">
        <f>DART!I129</f>
        <v>9976656</v>
      </c>
      <c r="G61" s="1053">
        <f>DART!K129</f>
        <v>4075092</v>
      </c>
      <c r="H61" s="1053">
        <v>8203552</v>
      </c>
      <c r="I61" s="1069"/>
      <c r="J61" s="1053">
        <f t="shared" si="28"/>
        <v>4.3181789999999998</v>
      </c>
      <c r="K61" s="1053">
        <f t="shared" si="29"/>
        <v>0.21340500000000001</v>
      </c>
      <c r="L61" s="1053">
        <f t="shared" si="30"/>
        <v>8.9450660000000006</v>
      </c>
      <c r="M61" s="1053">
        <f t="shared" si="31"/>
        <v>9.9766560000000002</v>
      </c>
      <c r="N61" s="1053">
        <f t="shared" si="32"/>
        <v>4.0750919999999997</v>
      </c>
      <c r="O61" s="1053">
        <f t="shared" si="32"/>
        <v>8.2035520000000002</v>
      </c>
      <c r="R61" s="1053"/>
      <c r="S61" s="1053"/>
      <c r="T61" s="1053"/>
      <c r="U61" s="1053"/>
      <c r="V61" s="1053"/>
    </row>
    <row r="62" spans="1:22" s="1065" customFormat="1" ht="13.5" x14ac:dyDescent="0.3">
      <c r="A62" s="1040"/>
      <c r="B62" s="1054" t="s">
        <v>1934</v>
      </c>
      <c r="C62" s="1053">
        <f>DART!C130</f>
        <v>0</v>
      </c>
      <c r="D62" s="1053">
        <f>DART!E130</f>
        <v>24320</v>
      </c>
      <c r="E62" s="1053">
        <f>DART!G130</f>
        <v>0</v>
      </c>
      <c r="F62" s="1053">
        <f>DART!I130</f>
        <v>0</v>
      </c>
      <c r="G62" s="1053">
        <f>DART!K130</f>
        <v>0</v>
      </c>
      <c r="H62" s="1053">
        <v>0</v>
      </c>
      <c r="I62" s="1069"/>
      <c r="J62" s="1053">
        <f t="shared" si="28"/>
        <v>0</v>
      </c>
      <c r="K62" s="1053">
        <f t="shared" si="29"/>
        <v>2.4320000000000001E-2</v>
      </c>
      <c r="L62" s="1053">
        <f t="shared" si="30"/>
        <v>0</v>
      </c>
      <c r="M62" s="1053">
        <f t="shared" si="31"/>
        <v>0</v>
      </c>
      <c r="N62" s="1053">
        <f t="shared" si="32"/>
        <v>0</v>
      </c>
      <c r="O62" s="1053">
        <f t="shared" si="32"/>
        <v>0</v>
      </c>
      <c r="R62" s="1053"/>
      <c r="S62" s="1053"/>
      <c r="T62" s="1053"/>
      <c r="U62" s="1053"/>
      <c r="V62" s="1053"/>
    </row>
    <row r="63" spans="1:22" s="1065" customFormat="1" ht="13.5" x14ac:dyDescent="0.3">
      <c r="A63" s="1040"/>
      <c r="B63" s="1054" t="s">
        <v>1935</v>
      </c>
      <c r="C63" s="1053">
        <f>DART!C131</f>
        <v>0</v>
      </c>
      <c r="D63" s="1053">
        <f>DART!E131</f>
        <v>0</v>
      </c>
      <c r="E63" s="1053">
        <f>DART!G131</f>
        <v>350092279</v>
      </c>
      <c r="F63" s="1053">
        <f>DART!I131</f>
        <v>145468491</v>
      </c>
      <c r="G63" s="1053">
        <f>DART!K131</f>
        <v>170315851</v>
      </c>
      <c r="H63" s="1053">
        <v>54500000</v>
      </c>
      <c r="I63" s="1069"/>
      <c r="J63" s="1053">
        <f t="shared" si="28"/>
        <v>0</v>
      </c>
      <c r="K63" s="1053">
        <f t="shared" si="29"/>
        <v>0</v>
      </c>
      <c r="L63" s="1053">
        <f t="shared" si="30"/>
        <v>350.09227900000002</v>
      </c>
      <c r="M63" s="1053">
        <f t="shared" si="31"/>
        <v>145.468491</v>
      </c>
      <c r="N63" s="1053">
        <f t="shared" si="32"/>
        <v>170.31585100000001</v>
      </c>
      <c r="O63" s="1053">
        <f t="shared" si="32"/>
        <v>54.5</v>
      </c>
      <c r="R63" s="1053"/>
      <c r="S63" s="1053"/>
      <c r="T63" s="1053"/>
      <c r="U63" s="1053"/>
      <c r="V63" s="1053"/>
    </row>
    <row r="64" spans="1:22" s="1065" customFormat="1" ht="13.5" x14ac:dyDescent="0.3">
      <c r="A64" s="1040"/>
      <c r="B64" s="1050" t="s">
        <v>1872</v>
      </c>
      <c r="C64" s="1051">
        <f t="shared" ref="C64:H64" si="33">C45+C46-C55</f>
        <v>6721396941</v>
      </c>
      <c r="D64" s="1051">
        <f t="shared" si="33"/>
        <v>7115692871</v>
      </c>
      <c r="E64" s="1051">
        <f t="shared" si="33"/>
        <v>8977983177</v>
      </c>
      <c r="F64" s="1051">
        <f t="shared" si="33"/>
        <v>9583936380</v>
      </c>
      <c r="G64" s="1051">
        <f t="shared" si="33"/>
        <v>9746847519</v>
      </c>
      <c r="H64" s="1051">
        <f t="shared" si="33"/>
        <v>9791906256</v>
      </c>
      <c r="I64" s="1069"/>
      <c r="J64" s="1051">
        <f t="shared" si="28"/>
        <v>6721.396941</v>
      </c>
      <c r="K64" s="1051">
        <f t="shared" si="29"/>
        <v>7115.6928710000002</v>
      </c>
      <c r="L64" s="1051">
        <f t="shared" si="30"/>
        <v>8977.9831770000001</v>
      </c>
      <c r="M64" s="1051">
        <f t="shared" si="31"/>
        <v>9583.9363799999992</v>
      </c>
      <c r="N64" s="1051">
        <f t="shared" si="32"/>
        <v>9746.8475190000008</v>
      </c>
      <c r="O64" s="1051">
        <f t="shared" si="32"/>
        <v>9791.9062560000002</v>
      </c>
      <c r="R64" s="1051"/>
      <c r="S64" s="1051"/>
      <c r="T64" s="1051"/>
      <c r="U64" s="1051"/>
      <c r="V64" s="1051"/>
    </row>
    <row r="65" spans="1:23" s="1065" customFormat="1" ht="13.5" x14ac:dyDescent="0.3">
      <c r="A65" s="1040"/>
      <c r="B65" s="1050" t="s">
        <v>116</v>
      </c>
      <c r="C65" s="1051">
        <f>DART!D133</f>
        <v>1662603801</v>
      </c>
      <c r="D65" s="1051">
        <f>DART!F133</f>
        <v>1678141370</v>
      </c>
      <c r="E65" s="1051">
        <f>DART!H133</f>
        <v>1976935633</v>
      </c>
      <c r="F65" s="1051">
        <f>DART!J133</f>
        <v>2131717325</v>
      </c>
      <c r="G65" s="1051">
        <f>DART!L133</f>
        <v>2316045140</v>
      </c>
      <c r="H65" s="1051">
        <v>2178956315</v>
      </c>
      <c r="I65" s="1069"/>
      <c r="J65" s="1051">
        <f t="shared" si="28"/>
        <v>1662.603801</v>
      </c>
      <c r="K65" s="1051">
        <f t="shared" si="29"/>
        <v>1678.1413700000001</v>
      </c>
      <c r="L65" s="1051">
        <f t="shared" si="30"/>
        <v>1976.9356330000001</v>
      </c>
      <c r="M65" s="1051">
        <f t="shared" si="31"/>
        <v>2131.7173250000001</v>
      </c>
      <c r="N65" s="1051">
        <f t="shared" si="32"/>
        <v>2316.0451400000002</v>
      </c>
      <c r="O65" s="1051">
        <f t="shared" si="32"/>
        <v>2178.9563149999999</v>
      </c>
      <c r="R65" s="1051"/>
      <c r="S65" s="1051"/>
      <c r="T65" s="1051"/>
      <c r="U65" s="1051"/>
      <c r="V65" s="1051"/>
    </row>
    <row r="66" spans="1:23" s="1065" customFormat="1" x14ac:dyDescent="0.3">
      <c r="A66" s="691"/>
      <c r="B66" s="1050" t="s">
        <v>1900</v>
      </c>
      <c r="C66" s="1051">
        <f t="shared" ref="C66:H66" si="34">C64-C65</f>
        <v>5058793140</v>
      </c>
      <c r="D66" s="1051">
        <f t="shared" si="34"/>
        <v>5437551501</v>
      </c>
      <c r="E66" s="1051">
        <f t="shared" si="34"/>
        <v>7001047544</v>
      </c>
      <c r="F66" s="1051">
        <f t="shared" si="34"/>
        <v>7452219055</v>
      </c>
      <c r="G66" s="1051">
        <f t="shared" si="34"/>
        <v>7430802379</v>
      </c>
      <c r="H66" s="1051">
        <f t="shared" si="34"/>
        <v>7612949941</v>
      </c>
      <c r="I66" s="1069"/>
      <c r="J66" s="1051">
        <f t="shared" si="28"/>
        <v>5058.7931399999998</v>
      </c>
      <c r="K66" s="1051">
        <f t="shared" si="29"/>
        <v>5437.5515009999999</v>
      </c>
      <c r="L66" s="1051">
        <f t="shared" si="30"/>
        <v>7001.047544</v>
      </c>
      <c r="M66" s="1051">
        <f t="shared" si="31"/>
        <v>7452.2190549999996</v>
      </c>
      <c r="N66" s="1051">
        <f t="shared" si="32"/>
        <v>7430.8023789999997</v>
      </c>
      <c r="O66" s="1051">
        <f t="shared" si="32"/>
        <v>7612.9499409999999</v>
      </c>
      <c r="R66" s="1051"/>
      <c r="S66" s="1051"/>
      <c r="T66" s="1051"/>
      <c r="U66" s="1051"/>
      <c r="V66" s="1051"/>
    </row>
    <row r="67" spans="1:23" s="1065" customFormat="1" x14ac:dyDescent="0.3">
      <c r="A67" s="691"/>
      <c r="B67" s="1050" t="s">
        <v>1901</v>
      </c>
      <c r="C67" s="1051">
        <f>DART!C145+DART!C147</f>
        <v>677542609</v>
      </c>
      <c r="D67" s="1051">
        <f>DART!E145+DART!E147</f>
        <v>599581960</v>
      </c>
      <c r="E67" s="1051">
        <f>DART!G145+DART!G147</f>
        <v>554964181</v>
      </c>
      <c r="F67" s="1051">
        <f>DART!I145+DART!I147</f>
        <v>711792340</v>
      </c>
      <c r="G67" s="1051">
        <f>DART!K145+DART!K147</f>
        <v>741122325</v>
      </c>
      <c r="H67" s="1051">
        <v>723820639</v>
      </c>
      <c r="I67" s="1039"/>
      <c r="J67" s="1051">
        <f t="shared" si="28"/>
        <v>677.54260899999997</v>
      </c>
      <c r="K67" s="1051">
        <f t="shared" si="29"/>
        <v>599.58195999999998</v>
      </c>
      <c r="L67" s="1051">
        <f t="shared" si="30"/>
        <v>554.96418100000005</v>
      </c>
      <c r="M67" s="1051">
        <f t="shared" si="31"/>
        <v>711.79233999999997</v>
      </c>
      <c r="N67" s="1051">
        <f t="shared" si="32"/>
        <v>741.12232500000005</v>
      </c>
      <c r="O67" s="1051">
        <f t="shared" si="32"/>
        <v>723.82063900000003</v>
      </c>
      <c r="P67" s="1039"/>
      <c r="Q67" s="1039"/>
      <c r="R67" s="1051"/>
      <c r="S67" s="1051"/>
      <c r="T67" s="1051"/>
      <c r="U67" s="1051"/>
      <c r="V67" s="1051"/>
      <c r="W67" s="1039"/>
    </row>
    <row r="68" spans="1:23" s="1065" customFormat="1" x14ac:dyDescent="0.3">
      <c r="A68" s="691"/>
      <c r="B68" s="1050" t="s">
        <v>137</v>
      </c>
      <c r="C68" s="1051">
        <f>C45+C67</f>
        <v>6840791755</v>
      </c>
      <c r="D68" s="1051">
        <f t="shared" ref="D68:H68" si="35">D45+D67</f>
        <v>7122664459</v>
      </c>
      <c r="E68" s="1051">
        <f t="shared" si="35"/>
        <v>9196907103</v>
      </c>
      <c r="F68" s="1051">
        <f t="shared" si="35"/>
        <v>9924756806</v>
      </c>
      <c r="G68" s="1051">
        <f t="shared" si="35"/>
        <v>10205784816</v>
      </c>
      <c r="H68" s="1051">
        <f t="shared" si="35"/>
        <v>10451111575</v>
      </c>
      <c r="I68" s="1039"/>
      <c r="J68" s="1051">
        <f t="shared" si="28"/>
        <v>6840.7917550000002</v>
      </c>
      <c r="K68" s="1051">
        <f t="shared" si="29"/>
        <v>7122.6644589999996</v>
      </c>
      <c r="L68" s="1051">
        <f t="shared" si="30"/>
        <v>9196.9071029999996</v>
      </c>
      <c r="M68" s="1051">
        <f t="shared" si="31"/>
        <v>9924.7568059999994</v>
      </c>
      <c r="N68" s="1051">
        <f t="shared" si="32"/>
        <v>10205.784815999999</v>
      </c>
      <c r="O68" s="1051">
        <f t="shared" si="32"/>
        <v>10451.111575000001</v>
      </c>
      <c r="P68" s="1039"/>
      <c r="Q68" s="1039"/>
      <c r="R68" s="1051"/>
      <c r="S68" s="1051"/>
      <c r="T68" s="1051"/>
      <c r="U68" s="1051"/>
      <c r="V68" s="1051"/>
      <c r="W68" s="1039"/>
    </row>
    <row r="69" spans="1:23" s="1065" customFormat="1" x14ac:dyDescent="0.3">
      <c r="A69" s="1039"/>
      <c r="B69" s="1039"/>
      <c r="C69" s="1039"/>
      <c r="D69" s="1070"/>
      <c r="E69" s="1039"/>
      <c r="F69" s="1070"/>
      <c r="G69" s="1039"/>
      <c r="H69" s="1039"/>
      <c r="I69" s="1039"/>
      <c r="J69" s="1039"/>
      <c r="K69" s="1039"/>
      <c r="L69" s="1039"/>
      <c r="M69" s="1039"/>
      <c r="N69" s="1039"/>
      <c r="O69" s="1039"/>
      <c r="P69" s="1039"/>
      <c r="Q69" s="1039"/>
      <c r="R69" s="1039"/>
      <c r="S69" s="1039"/>
      <c r="T69" s="1039"/>
      <c r="U69" s="1039"/>
      <c r="V69" s="1039"/>
      <c r="W69" s="1039"/>
    </row>
    <row r="70" spans="1:23" s="1065" customFormat="1" x14ac:dyDescent="0.3">
      <c r="A70" s="1039"/>
      <c r="B70" s="1039"/>
      <c r="C70" s="1039"/>
      <c r="D70" s="1039"/>
      <c r="E70" s="1039"/>
      <c r="F70" s="1039"/>
      <c r="G70" s="1039"/>
      <c r="H70" s="1039"/>
      <c r="I70" s="1039"/>
      <c r="J70" s="1039"/>
      <c r="K70" s="1039"/>
      <c r="L70" s="1039"/>
      <c r="M70" s="1039"/>
      <c r="N70" s="1039"/>
      <c r="O70" s="1039"/>
      <c r="P70" s="1039"/>
      <c r="Q70" s="1039"/>
      <c r="R70" s="1039"/>
      <c r="S70" s="1039"/>
      <c r="T70" s="1039"/>
      <c r="U70" s="1039"/>
      <c r="V70" s="1039"/>
      <c r="W70" s="1039"/>
    </row>
    <row r="71" spans="1:23" s="1065" customFormat="1" x14ac:dyDescent="0.3">
      <c r="A71" s="1039"/>
      <c r="B71" s="1039"/>
      <c r="C71" s="1039"/>
      <c r="D71" s="1039"/>
      <c r="E71" s="1039"/>
      <c r="F71" s="1039"/>
      <c r="G71" s="1039"/>
      <c r="H71" s="1039"/>
      <c r="I71" s="1039"/>
      <c r="J71" s="1039"/>
      <c r="K71" s="1039"/>
      <c r="L71" s="1039"/>
      <c r="M71" s="1039"/>
      <c r="N71" s="1039"/>
      <c r="O71" s="1039"/>
      <c r="P71" s="1039"/>
      <c r="Q71" s="1039"/>
      <c r="R71" s="1039"/>
      <c r="S71" s="1039"/>
      <c r="T71" s="1039"/>
      <c r="U71" s="1039"/>
      <c r="V71" s="1039"/>
      <c r="W71" s="1039"/>
    </row>
    <row r="72" spans="1:23" s="1065" customFormat="1" x14ac:dyDescent="0.3">
      <c r="A72" s="1039"/>
      <c r="B72" s="1039"/>
      <c r="C72" s="1039"/>
      <c r="D72" s="1039"/>
      <c r="E72" s="1039"/>
      <c r="F72" s="1039"/>
      <c r="G72" s="1039"/>
      <c r="H72" s="1039"/>
      <c r="I72" s="1039"/>
      <c r="J72" s="1039"/>
      <c r="K72" s="1039"/>
      <c r="L72" s="1039"/>
      <c r="M72" s="1039"/>
      <c r="N72" s="1039"/>
      <c r="O72" s="1039"/>
      <c r="P72" s="1039"/>
      <c r="Q72" s="1039"/>
      <c r="R72" s="1039"/>
      <c r="S72" s="1039"/>
      <c r="T72" s="1039"/>
      <c r="U72" s="1039"/>
      <c r="V72" s="1039"/>
      <c r="W72" s="1039"/>
    </row>
    <row r="73" spans="1:23" s="1065" customFormat="1" x14ac:dyDescent="0.3">
      <c r="A73" s="1039"/>
      <c r="B73" s="1039"/>
      <c r="C73" s="1039"/>
      <c r="D73" s="1039"/>
      <c r="E73" s="1039"/>
      <c r="F73" s="1039"/>
      <c r="G73" s="1039">
        <v>209594755</v>
      </c>
      <c r="H73" s="1039"/>
      <c r="I73" s="1039"/>
      <c r="J73" s="1039"/>
      <c r="K73" s="1039"/>
      <c r="L73" s="1039"/>
      <c r="M73" s="1039"/>
      <c r="N73" s="1039"/>
      <c r="O73" s="1039"/>
      <c r="P73" s="1039"/>
      <c r="Q73" s="1039"/>
      <c r="R73" s="1039"/>
      <c r="S73" s="1039"/>
      <c r="T73" s="1039"/>
      <c r="U73" s="1039"/>
      <c r="V73" s="1039"/>
      <c r="W73" s="1039"/>
    </row>
    <row r="74" spans="1:23" s="1065" customFormat="1" x14ac:dyDescent="0.3">
      <c r="A74" s="1039"/>
      <c r="B74" s="1039"/>
      <c r="C74" s="1039"/>
      <c r="D74" s="1039"/>
      <c r="E74" s="1039"/>
      <c r="F74" s="1039"/>
      <c r="G74" s="1039"/>
      <c r="H74" s="1039"/>
      <c r="I74" s="1039"/>
      <c r="J74" s="1039"/>
      <c r="K74" s="1039"/>
      <c r="L74" s="1039"/>
      <c r="M74" s="1039"/>
      <c r="N74" s="1039"/>
      <c r="O74" s="1039"/>
      <c r="P74" s="1039"/>
      <c r="Q74" s="1039"/>
      <c r="R74" s="1039"/>
      <c r="S74" s="1039"/>
      <c r="T74" s="1039"/>
      <c r="U74" s="1039"/>
      <c r="V74" s="1039"/>
      <c r="W74" s="1039"/>
    </row>
    <row r="75" spans="1:23" s="1065" customFormat="1" x14ac:dyDescent="0.3">
      <c r="A75" s="1039"/>
      <c r="B75" s="1039"/>
      <c r="C75" s="1039"/>
      <c r="D75" s="1039"/>
      <c r="E75" s="1039"/>
      <c r="F75" s="1039"/>
      <c r="G75" s="1070">
        <f>G73+G27</f>
        <v>600810655</v>
      </c>
      <c r="H75" s="1039"/>
      <c r="I75" s="1039"/>
      <c r="J75" s="1039"/>
      <c r="K75" s="1039"/>
      <c r="L75" s="1039"/>
      <c r="M75" s="1039"/>
      <c r="N75" s="1039"/>
      <c r="O75" s="1039"/>
      <c r="P75" s="1039"/>
      <c r="Q75" s="1039"/>
      <c r="R75" s="1039"/>
      <c r="S75" s="1039"/>
      <c r="T75" s="1039"/>
      <c r="U75" s="1039"/>
      <c r="V75" s="1039"/>
      <c r="W75" s="1039"/>
    </row>
    <row r="76" spans="1:23" s="1065" customFormat="1" x14ac:dyDescent="0.3">
      <c r="A76" s="1039"/>
      <c r="B76" s="1039"/>
      <c r="C76" s="1039"/>
      <c r="D76" s="1039"/>
      <c r="E76" s="1039"/>
      <c r="F76" s="1039"/>
      <c r="G76" s="1039"/>
      <c r="H76" s="1039"/>
      <c r="I76" s="1039"/>
      <c r="J76" s="1039"/>
      <c r="K76" s="1039"/>
      <c r="L76" s="1039"/>
      <c r="M76" s="1039"/>
      <c r="N76" s="1039"/>
      <c r="O76" s="1039"/>
      <c r="P76" s="1039"/>
      <c r="Q76" s="1039"/>
      <c r="R76" s="1039"/>
      <c r="S76" s="1039"/>
      <c r="T76" s="1039"/>
      <c r="U76" s="1039"/>
      <c r="V76" s="1039"/>
      <c r="W76" s="1039"/>
    </row>
  </sheetData>
  <mergeCells count="1">
    <mergeCell ref="B4:B6"/>
  </mergeCells>
  <phoneticPr fontId="1" type="noConversion"/>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7"/>
  <sheetViews>
    <sheetView zoomScaleNormal="100" workbookViewId="0">
      <selection activeCell="E1" sqref="E1"/>
    </sheetView>
  </sheetViews>
  <sheetFormatPr defaultRowHeight="16.5" outlineLevelCol="1" x14ac:dyDescent="0.3"/>
  <cols>
    <col min="1" max="1" width="1.25" style="1039" customWidth="1"/>
    <col min="2" max="2" width="34.125" style="1039" customWidth="1"/>
    <col min="3" max="3" width="14.5" style="1039" customWidth="1" outlineLevel="1"/>
    <col min="4" max="4" width="14" style="1039" customWidth="1" outlineLevel="1"/>
    <col min="5" max="5" width="14.25" style="1039" customWidth="1" outlineLevel="1"/>
    <col min="6" max="6" width="14.125" style="1039" customWidth="1" outlineLevel="1"/>
    <col min="7" max="8" width="14.375" style="1039" customWidth="1" outlineLevel="1"/>
    <col min="9" max="9" width="2.625" style="1039" customWidth="1"/>
    <col min="10" max="15" width="9.875" style="1039" customWidth="1"/>
    <col min="16" max="17" width="1.625" style="1039" customWidth="1"/>
    <col min="18" max="16384" width="9" style="1039"/>
  </cols>
  <sheetData>
    <row r="1" spans="1:16" s="1065" customFormat="1" ht="27" customHeight="1" x14ac:dyDescent="0.3">
      <c r="A1" s="1100"/>
      <c r="B1" s="1041" t="str">
        <f>"Project"&amp;" "&amp;Title!L6</f>
        <v>Project IT</v>
      </c>
      <c r="C1" s="1041"/>
      <c r="D1" s="1042"/>
      <c r="E1" s="1042"/>
      <c r="F1" s="1042"/>
      <c r="G1" s="1043"/>
      <c r="H1" s="1043" t="str">
        <f>[114]Des!$C$12</f>
        <v>DRAFT - For Discussion Purposes Only</v>
      </c>
      <c r="J1" s="1042"/>
      <c r="K1" s="1042"/>
      <c r="L1" s="1042"/>
      <c r="M1" s="1042"/>
      <c r="N1" s="1043"/>
      <c r="O1" s="1043" t="str">
        <f>[114]Des!$C$12</f>
        <v>DRAFT - For Discussion Purposes Only</v>
      </c>
    </row>
    <row r="2" spans="1:16" s="1065" customFormat="1" ht="21" customHeight="1" x14ac:dyDescent="0.3">
      <c r="A2" s="1101"/>
      <c r="B2" s="1044" t="s">
        <v>1861</v>
      </c>
      <c r="C2" s="1044"/>
      <c r="D2" s="1044"/>
      <c r="E2" s="1044"/>
      <c r="F2" s="1044"/>
      <c r="G2" s="1044"/>
      <c r="H2" s="1044"/>
      <c r="J2" s="1044"/>
      <c r="K2" s="1044"/>
      <c r="L2" s="1044"/>
      <c r="M2" s="1044"/>
      <c r="N2" s="1044"/>
      <c r="O2" s="1044"/>
    </row>
    <row r="3" spans="1:16" s="1065" customFormat="1" ht="18.75" customHeight="1" x14ac:dyDescent="0.25">
      <c r="A3" s="1059"/>
      <c r="B3" s="1060"/>
      <c r="C3" s="1060"/>
      <c r="D3" s="1059"/>
      <c r="E3" s="1059"/>
      <c r="F3" s="1061"/>
      <c r="G3" s="1063"/>
      <c r="H3" s="1063" t="s">
        <v>1873</v>
      </c>
      <c r="J3" s="1059"/>
      <c r="K3" s="1059"/>
      <c r="L3" s="1059"/>
      <c r="M3" s="1061"/>
      <c r="N3" s="1063"/>
      <c r="O3" s="1063" t="str">
        <f>unit</f>
        <v>KRW Millions</v>
      </c>
    </row>
    <row r="4" spans="1:16" s="1065" customFormat="1" ht="13.5" x14ac:dyDescent="0.3">
      <c r="B4" s="2169" t="s">
        <v>1874</v>
      </c>
      <c r="C4" s="1045" t="s">
        <v>2002</v>
      </c>
      <c r="D4" s="1045" t="s">
        <v>1863</v>
      </c>
      <c r="E4" s="1045" t="s">
        <v>1864</v>
      </c>
      <c r="F4" s="1045" t="s">
        <v>1865</v>
      </c>
      <c r="G4" s="1045" t="s">
        <v>1866</v>
      </c>
      <c r="H4" s="1114"/>
      <c r="I4" s="1102"/>
      <c r="J4" s="1115" t="s">
        <v>2002</v>
      </c>
      <c r="K4" s="1115" t="s">
        <v>1863</v>
      </c>
      <c r="L4" s="1115" t="s">
        <v>1864</v>
      </c>
      <c r="M4" s="1115" t="s">
        <v>1865</v>
      </c>
      <c r="N4" s="1115" t="s">
        <v>1866</v>
      </c>
      <c r="O4" s="1116"/>
      <c r="P4" s="1102"/>
    </row>
    <row r="5" spans="1:16" s="1065" customFormat="1" ht="13.5" x14ac:dyDescent="0.3">
      <c r="B5" s="2170"/>
      <c r="C5" s="1045" t="s">
        <v>1867</v>
      </c>
      <c r="D5" s="1045" t="s">
        <v>1867</v>
      </c>
      <c r="E5" s="1045" t="s">
        <v>1867</v>
      </c>
      <c r="F5" s="1045" t="s">
        <v>1867</v>
      </c>
      <c r="G5" s="1045" t="s">
        <v>1867</v>
      </c>
      <c r="H5" s="1114" t="s">
        <v>1867</v>
      </c>
      <c r="I5" s="1102"/>
      <c r="J5" s="1115" t="s">
        <v>1867</v>
      </c>
      <c r="K5" s="1115" t="s">
        <v>1867</v>
      </c>
      <c r="L5" s="1115" t="s">
        <v>1867</v>
      </c>
      <c r="M5" s="1115" t="s">
        <v>1867</v>
      </c>
      <c r="N5" s="1115" t="s">
        <v>1867</v>
      </c>
      <c r="O5" s="1116" t="s">
        <v>1867</v>
      </c>
      <c r="P5" s="1102"/>
    </row>
    <row r="6" spans="1:16" s="1065" customFormat="1" ht="13.5" x14ac:dyDescent="0.3">
      <c r="B6" s="2170"/>
      <c r="C6" s="1047" t="s">
        <v>1936</v>
      </c>
      <c r="D6" s="1047" t="s">
        <v>1936</v>
      </c>
      <c r="E6" s="1047" t="s">
        <v>1936</v>
      </c>
      <c r="F6" s="1047" t="s">
        <v>1936</v>
      </c>
      <c r="G6" s="1047" t="s">
        <v>1868</v>
      </c>
      <c r="H6" s="1047" t="s">
        <v>1868</v>
      </c>
      <c r="I6" s="1102"/>
      <c r="J6" s="1047" t="s">
        <v>1868</v>
      </c>
      <c r="K6" s="1047" t="s">
        <v>1868</v>
      </c>
      <c r="L6" s="1047" t="s">
        <v>1868</v>
      </c>
      <c r="M6" s="1047" t="s">
        <v>1868</v>
      </c>
      <c r="N6" s="1047" t="s">
        <v>1868</v>
      </c>
      <c r="O6" s="1047" t="s">
        <v>1868</v>
      </c>
      <c r="P6" s="1102"/>
    </row>
    <row r="7" spans="1:16" s="1065" customFormat="1" ht="13.5" x14ac:dyDescent="0.3">
      <c r="B7" s="1297" t="s">
        <v>2175</v>
      </c>
      <c r="C7" s="1051">
        <f>C8</f>
        <v>10520313840</v>
      </c>
      <c r="D7" s="1051">
        <f t="shared" ref="D7:H7" si="0">D8</f>
        <v>-4067768131</v>
      </c>
      <c r="E7" s="1051">
        <f t="shared" si="0"/>
        <v>2761374086</v>
      </c>
      <c r="F7" s="1051">
        <f t="shared" si="0"/>
        <v>12781087151</v>
      </c>
      <c r="G7" s="1051">
        <f t="shared" si="0"/>
        <v>7746575122</v>
      </c>
      <c r="H7" s="1051">
        <f t="shared" si="0"/>
        <v>0</v>
      </c>
      <c r="I7" s="1069"/>
      <c r="J7" s="1051">
        <f t="shared" ref="J7:N7" si="1">J8</f>
        <v>10675.48704</v>
      </c>
      <c r="K7" s="1051">
        <f t="shared" si="1"/>
        <v>-3793.7700020000002</v>
      </c>
      <c r="L7" s="1051">
        <f t="shared" si="1"/>
        <v>2869.3134180000052</v>
      </c>
      <c r="M7" s="1051">
        <f t="shared" si="1"/>
        <v>13204.176321000001</v>
      </c>
      <c r="N7" s="1051">
        <f t="shared" si="1"/>
        <v>7663.6565830000036</v>
      </c>
      <c r="O7" s="1051"/>
    </row>
    <row r="8" spans="1:16" s="1065" customFormat="1" ht="13.5" x14ac:dyDescent="0.3">
      <c r="B8" s="1298" t="s">
        <v>2176</v>
      </c>
      <c r="C8" s="1113">
        <f>C9+C10+C21+C26</f>
        <v>10520313840</v>
      </c>
      <c r="D8" s="1113">
        <f t="shared" ref="D8:H8" si="2">D9+D10+D21+D26</f>
        <v>-4067768131</v>
      </c>
      <c r="E8" s="1113">
        <f t="shared" si="2"/>
        <v>2761374086</v>
      </c>
      <c r="F8" s="1113">
        <f t="shared" si="2"/>
        <v>12781087151</v>
      </c>
      <c r="G8" s="1113">
        <f t="shared" si="2"/>
        <v>7746575122</v>
      </c>
      <c r="H8" s="1113">
        <f t="shared" si="2"/>
        <v>0</v>
      </c>
      <c r="I8" s="1068"/>
      <c r="J8" s="1113">
        <f t="shared" ref="J8:N8" si="3">J9+J10+J21+J26</f>
        <v>10675.48704</v>
      </c>
      <c r="K8" s="1113">
        <f t="shared" si="3"/>
        <v>-3793.7700020000002</v>
      </c>
      <c r="L8" s="1113">
        <f t="shared" si="3"/>
        <v>2869.3134180000052</v>
      </c>
      <c r="M8" s="1113">
        <f t="shared" si="3"/>
        <v>13204.176321000001</v>
      </c>
      <c r="N8" s="1113">
        <f t="shared" si="3"/>
        <v>7663.6565830000036</v>
      </c>
      <c r="O8" s="1113"/>
    </row>
    <row r="9" spans="1:16" s="1065" customFormat="1" ht="13.5" x14ac:dyDescent="0.3">
      <c r="B9" s="1299" t="s">
        <v>2177</v>
      </c>
      <c r="C9" s="1113">
        <f>DART!C142</f>
        <v>5058793140</v>
      </c>
      <c r="D9" s="1113">
        <f>DART!E142</f>
        <v>5437551501</v>
      </c>
      <c r="E9" s="1113">
        <f>DART!G142</f>
        <v>7001047544</v>
      </c>
      <c r="F9" s="1113">
        <f>DART!I142</f>
        <v>7452219055</v>
      </c>
      <c r="G9" s="1113">
        <f>DART!K142</f>
        <v>7430802379</v>
      </c>
      <c r="H9" s="1113"/>
      <c r="I9" s="1068"/>
      <c r="J9" s="1113">
        <f t="shared" ref="J9:N9" si="4">C9/1000000</f>
        <v>5058.7931399999998</v>
      </c>
      <c r="K9" s="1113">
        <f t="shared" si="4"/>
        <v>5437.5515009999999</v>
      </c>
      <c r="L9" s="1113">
        <f t="shared" si="4"/>
        <v>7001.047544</v>
      </c>
      <c r="M9" s="1113">
        <f t="shared" si="4"/>
        <v>7452.2190549999996</v>
      </c>
      <c r="N9" s="1113">
        <f t="shared" si="4"/>
        <v>7430.8023789999997</v>
      </c>
      <c r="O9" s="1113"/>
    </row>
    <row r="10" spans="1:16" s="1065" customFormat="1" ht="13.5" x14ac:dyDescent="0.3">
      <c r="B10" s="1299" t="s">
        <v>2178</v>
      </c>
      <c r="C10" s="1296">
        <f t="shared" ref="C10:H10" si="5">SUM(C11:C20)</f>
        <v>2153971654</v>
      </c>
      <c r="D10" s="1296">
        <f t="shared" si="5"/>
        <v>2145826433</v>
      </c>
      <c r="E10" s="1296">
        <f t="shared" si="5"/>
        <v>3203995030</v>
      </c>
      <c r="F10" s="1296">
        <f t="shared" si="5"/>
        <v>3893547936</v>
      </c>
      <c r="G10" s="1296">
        <f t="shared" si="5"/>
        <v>4055533780</v>
      </c>
      <c r="H10" s="1296">
        <f t="shared" si="5"/>
        <v>0</v>
      </c>
      <c r="I10" s="1069"/>
      <c r="J10" s="1296">
        <f t="shared" ref="J10:N10" si="6">SUM(J11:J20)</f>
        <v>2309.1448540000001</v>
      </c>
      <c r="K10" s="1296">
        <f t="shared" si="6"/>
        <v>2419.7665009999996</v>
      </c>
      <c r="L10" s="1296">
        <f t="shared" si="6"/>
        <v>3327.2008470000005</v>
      </c>
      <c r="M10" s="1296">
        <f t="shared" si="6"/>
        <v>4316.6677659999996</v>
      </c>
      <c r="N10" s="1296">
        <f t="shared" si="6"/>
        <v>3973.5021779999997</v>
      </c>
      <c r="O10" s="1113"/>
    </row>
    <row r="11" spans="1:16" s="1065" customFormat="1" ht="13.5" x14ac:dyDescent="0.3">
      <c r="B11" s="1300" t="s">
        <v>1787</v>
      </c>
      <c r="C11" s="1296">
        <f>DART!C144</f>
        <v>1112441357</v>
      </c>
      <c r="D11" s="1296">
        <f>DART!E144</f>
        <v>1475795797</v>
      </c>
      <c r="E11" s="1296">
        <f>DART!G144</f>
        <v>1836189554</v>
      </c>
      <c r="F11" s="1296">
        <f>DART!I144</f>
        <v>2321045160</v>
      </c>
      <c r="G11" s="1296">
        <f>DART!K144</f>
        <v>2611303371</v>
      </c>
      <c r="H11" s="1296"/>
      <c r="I11" s="1069"/>
      <c r="J11" s="1296">
        <f t="shared" ref="J11:N12" si="7">C11/1000000</f>
        <v>1112.4413569999999</v>
      </c>
      <c r="K11" s="1296">
        <f t="shared" si="7"/>
        <v>1475.795797</v>
      </c>
      <c r="L11" s="1296">
        <f t="shared" si="7"/>
        <v>1836.189554</v>
      </c>
      <c r="M11" s="1296">
        <f t="shared" si="7"/>
        <v>2321.0451600000001</v>
      </c>
      <c r="N11" s="1296">
        <f t="shared" si="7"/>
        <v>2611.303371</v>
      </c>
      <c r="O11" s="1296"/>
    </row>
    <row r="12" spans="1:16" s="1065" customFormat="1" ht="13.5" x14ac:dyDescent="0.3">
      <c r="B12" s="1300" t="s">
        <v>1788</v>
      </c>
      <c r="C12" s="1296">
        <f>DART!C145</f>
        <v>230156779</v>
      </c>
      <c r="D12" s="1296">
        <f>DART!E145</f>
        <v>321593752</v>
      </c>
      <c r="E12" s="1296">
        <f>DART!G145</f>
        <v>455789549</v>
      </c>
      <c r="F12" s="1296">
        <f>DART!I145</f>
        <v>612660168</v>
      </c>
      <c r="G12" s="1296">
        <f>DART!K145</f>
        <v>645886393</v>
      </c>
      <c r="H12" s="1296"/>
      <c r="I12" s="1069"/>
      <c r="J12" s="1296">
        <f t="shared" si="7"/>
        <v>230.156779</v>
      </c>
      <c r="K12" s="1296">
        <f t="shared" si="7"/>
        <v>321.59375199999999</v>
      </c>
      <c r="L12" s="1296">
        <f t="shared" si="7"/>
        <v>455.78954900000002</v>
      </c>
      <c r="M12" s="1296">
        <f t="shared" si="7"/>
        <v>612.660168</v>
      </c>
      <c r="N12" s="1296">
        <f t="shared" si="7"/>
        <v>645.886393</v>
      </c>
      <c r="O12" s="1296"/>
    </row>
    <row r="13" spans="1:16" s="1065" customFormat="1" ht="13.5" x14ac:dyDescent="0.3">
      <c r="B13" s="1300" t="s">
        <v>1789</v>
      </c>
      <c r="C13" s="1296">
        <f>DART!C146</f>
        <v>78357011</v>
      </c>
      <c r="D13" s="1296">
        <f>DART!E146</f>
        <v>22048408</v>
      </c>
      <c r="E13" s="1296">
        <f>DART!G146</f>
        <v>394405055</v>
      </c>
      <c r="F13" s="1296">
        <f>DART!I146</f>
        <v>259735376</v>
      </c>
      <c r="G13" s="1296">
        <f>DART!K146</f>
        <v>448813822</v>
      </c>
      <c r="H13" s="1296"/>
      <c r="I13" s="1069"/>
      <c r="J13" s="1296">
        <f>SUM(J14:J17)</f>
        <v>483.27335899999997</v>
      </c>
      <c r="K13" s="1296">
        <f>SUM(K14:K17)</f>
        <v>310.975392</v>
      </c>
      <c r="L13" s="1296">
        <f>SUM(L14:L17)</f>
        <v>163.216702</v>
      </c>
      <c r="M13" s="1296">
        <f>SUM(M14:M17)</f>
        <v>542.24615800000004</v>
      </c>
      <c r="N13" s="1296">
        <f>SUM(N14:N17)</f>
        <v>187.440786</v>
      </c>
      <c r="O13" s="1113"/>
    </row>
    <row r="14" spans="1:16" s="1065" customFormat="1" ht="13.5" x14ac:dyDescent="0.3">
      <c r="B14" s="1300" t="s">
        <v>1790</v>
      </c>
      <c r="C14" s="1296">
        <f>DART!C147</f>
        <v>447385830</v>
      </c>
      <c r="D14" s="1296">
        <f>DART!E147</f>
        <v>277988208</v>
      </c>
      <c r="E14" s="1296">
        <f>DART!G147</f>
        <v>99174632</v>
      </c>
      <c r="F14" s="1296">
        <f>DART!I147</f>
        <v>99132172</v>
      </c>
      <c r="G14" s="1296">
        <f>DART!K147</f>
        <v>95235932</v>
      </c>
      <c r="H14" s="1296"/>
      <c r="I14" s="1069"/>
      <c r="J14" s="1296">
        <f t="shared" ref="J14:N17" si="8">C14/1000000</f>
        <v>447.38583</v>
      </c>
      <c r="K14" s="1296">
        <f t="shared" si="8"/>
        <v>277.98820799999999</v>
      </c>
      <c r="L14" s="1296">
        <f t="shared" si="8"/>
        <v>99.174632000000003</v>
      </c>
      <c r="M14" s="1296">
        <f t="shared" si="8"/>
        <v>99.132171999999997</v>
      </c>
      <c r="N14" s="1296">
        <f t="shared" si="8"/>
        <v>95.235932000000005</v>
      </c>
      <c r="O14" s="1296"/>
    </row>
    <row r="15" spans="1:16" s="1065" customFormat="1" ht="13.5" x14ac:dyDescent="0.3">
      <c r="B15" s="1300" t="s">
        <v>1791</v>
      </c>
      <c r="C15" s="1296">
        <f>DART!C148</f>
        <v>187374</v>
      </c>
      <c r="D15" s="1296">
        <f>DART!E148</f>
        <v>32987184</v>
      </c>
      <c r="E15" s="1296">
        <f>DART!G148</f>
        <v>949700</v>
      </c>
      <c r="F15" s="1296">
        <f>DART!I148</f>
        <v>311300</v>
      </c>
      <c r="G15" s="1296">
        <f>DART!K148</f>
        <v>0</v>
      </c>
      <c r="H15" s="1296"/>
      <c r="I15" s="1069"/>
      <c r="J15" s="1296">
        <f t="shared" si="8"/>
        <v>0.18737400000000001</v>
      </c>
      <c r="K15" s="1296">
        <f t="shared" si="8"/>
        <v>32.987183999999999</v>
      </c>
      <c r="L15" s="1296">
        <f t="shared" si="8"/>
        <v>0.94969999999999999</v>
      </c>
      <c r="M15" s="1296">
        <f t="shared" si="8"/>
        <v>0.31130000000000002</v>
      </c>
      <c r="N15" s="1296">
        <f t="shared" si="8"/>
        <v>0</v>
      </c>
      <c r="O15" s="1296"/>
    </row>
    <row r="16" spans="1:16" s="1065" customFormat="1" ht="13.5" x14ac:dyDescent="0.3">
      <c r="B16" s="1300" t="s">
        <v>1792</v>
      </c>
      <c r="C16" s="1296">
        <f>DART!C149</f>
        <v>0</v>
      </c>
      <c r="D16" s="1296">
        <f>DART!E149</f>
        <v>0</v>
      </c>
      <c r="E16" s="1296">
        <f>DART!G149</f>
        <v>0</v>
      </c>
      <c r="F16" s="1296">
        <f>DART!I149</f>
        <v>420130006</v>
      </c>
      <c r="G16" s="1296">
        <f>DART!K149</f>
        <v>0</v>
      </c>
      <c r="H16" s="1296"/>
      <c r="I16" s="1069"/>
      <c r="J16" s="1296">
        <f t="shared" si="8"/>
        <v>0</v>
      </c>
      <c r="K16" s="1296">
        <f t="shared" si="8"/>
        <v>0</v>
      </c>
      <c r="L16" s="1296">
        <f t="shared" si="8"/>
        <v>0</v>
      </c>
      <c r="M16" s="1296">
        <f t="shared" si="8"/>
        <v>420.13000599999998</v>
      </c>
      <c r="N16" s="1296">
        <f t="shared" si="8"/>
        <v>0</v>
      </c>
      <c r="O16" s="1296"/>
    </row>
    <row r="17" spans="2:17" s="1065" customFormat="1" ht="13.5" x14ac:dyDescent="0.3">
      <c r="B17" s="1300" t="s">
        <v>1793</v>
      </c>
      <c r="C17" s="1296">
        <f>DART!C150</f>
        <v>35700155</v>
      </c>
      <c r="D17" s="1296">
        <f>DART!E150</f>
        <v>0</v>
      </c>
      <c r="E17" s="1296">
        <f>DART!G150</f>
        <v>63092370</v>
      </c>
      <c r="F17" s="1296">
        <f>DART!I150</f>
        <v>22672680</v>
      </c>
      <c r="G17" s="1296">
        <f>DART!K150</f>
        <v>92204854</v>
      </c>
      <c r="H17" s="1296"/>
      <c r="I17" s="1069"/>
      <c r="J17" s="1296">
        <f t="shared" si="8"/>
        <v>35.700155000000002</v>
      </c>
      <c r="K17" s="1296">
        <f t="shared" si="8"/>
        <v>0</v>
      </c>
      <c r="L17" s="1296">
        <f t="shared" si="8"/>
        <v>63.092370000000003</v>
      </c>
      <c r="M17" s="1296">
        <f t="shared" si="8"/>
        <v>22.67268</v>
      </c>
      <c r="N17" s="1296">
        <f t="shared" si="8"/>
        <v>92.204853999999997</v>
      </c>
      <c r="O17" s="1296"/>
    </row>
    <row r="18" spans="2:17" s="1065" customFormat="1" ht="13.5" x14ac:dyDescent="0.3">
      <c r="B18" s="1300" t="s">
        <v>1794</v>
      </c>
      <c r="C18" s="1296">
        <f>DART!C151</f>
        <v>249743148</v>
      </c>
      <c r="D18" s="1296">
        <f>DART!E151</f>
        <v>15200000</v>
      </c>
      <c r="E18" s="1296">
        <f>DART!G151</f>
        <v>0</v>
      </c>
      <c r="F18" s="1296">
        <f>DART!I151</f>
        <v>8626013</v>
      </c>
      <c r="G18" s="1296">
        <f>DART!K151</f>
        <v>-8626013</v>
      </c>
      <c r="H18" s="1296"/>
      <c r="I18" s="1069"/>
      <c r="J18" s="1296">
        <f>SUM(J19:J20)</f>
        <v>0</v>
      </c>
      <c r="K18" s="1296">
        <f>SUM(K19:K20)</f>
        <v>0.213084</v>
      </c>
      <c r="L18" s="1296">
        <f>SUM(L19:L20)</f>
        <v>354.39417000000003</v>
      </c>
      <c r="M18" s="1296">
        <f>SUM(M19:M20)</f>
        <v>149.235061</v>
      </c>
      <c r="N18" s="1296">
        <f>SUM(N19:N20)</f>
        <v>170.71542100000002</v>
      </c>
      <c r="O18" s="1113"/>
    </row>
    <row r="19" spans="2:17" s="1065" customFormat="1" ht="13.5" x14ac:dyDescent="0.3">
      <c r="B19" s="1300" t="s">
        <v>1795</v>
      </c>
      <c r="C19" s="1296">
        <f>DART!C152</f>
        <v>0</v>
      </c>
      <c r="D19" s="1296">
        <f>DART!E152</f>
        <v>213084</v>
      </c>
      <c r="E19" s="1296">
        <f>DART!G152</f>
        <v>4301891</v>
      </c>
      <c r="F19" s="1296">
        <f>DART!I152</f>
        <v>3766570</v>
      </c>
      <c r="G19" s="1296">
        <f>DART!K152</f>
        <v>399570</v>
      </c>
      <c r="H19" s="1296"/>
      <c r="I19" s="1069"/>
      <c r="J19" s="1296">
        <f t="shared" ref="J19:N20" si="9">C19/1000000</f>
        <v>0</v>
      </c>
      <c r="K19" s="1296">
        <f t="shared" si="9"/>
        <v>0.213084</v>
      </c>
      <c r="L19" s="1296">
        <f t="shared" si="9"/>
        <v>4.3018910000000004</v>
      </c>
      <c r="M19" s="1296">
        <f t="shared" si="9"/>
        <v>3.7665700000000002</v>
      </c>
      <c r="N19" s="1296">
        <f t="shared" si="9"/>
        <v>0.39956999999999998</v>
      </c>
      <c r="O19" s="1296"/>
    </row>
    <row r="20" spans="2:17" s="1065" customFormat="1" ht="13.5" x14ac:dyDescent="0.3">
      <c r="B20" s="1300" t="s">
        <v>1796</v>
      </c>
      <c r="C20" s="1296">
        <f>DART!C153</f>
        <v>0</v>
      </c>
      <c r="D20" s="1296">
        <f>DART!E153</f>
        <v>0</v>
      </c>
      <c r="E20" s="1296">
        <f>DART!G153</f>
        <v>350092279</v>
      </c>
      <c r="F20" s="1296">
        <f>DART!I153</f>
        <v>145468491</v>
      </c>
      <c r="G20" s="1296">
        <f>DART!K153</f>
        <v>170315851</v>
      </c>
      <c r="H20" s="1296"/>
      <c r="I20" s="1069"/>
      <c r="J20" s="1296">
        <f t="shared" si="9"/>
        <v>0</v>
      </c>
      <c r="K20" s="1296">
        <f t="shared" si="9"/>
        <v>0</v>
      </c>
      <c r="L20" s="1296">
        <f t="shared" si="9"/>
        <v>350.09227900000002</v>
      </c>
      <c r="M20" s="1296">
        <f t="shared" si="9"/>
        <v>145.468491</v>
      </c>
      <c r="N20" s="1296">
        <f t="shared" si="9"/>
        <v>170.31585100000001</v>
      </c>
      <c r="O20" s="1296"/>
    </row>
    <row r="21" spans="2:17" s="1065" customFormat="1" ht="13.5" x14ac:dyDescent="0.3">
      <c r="B21" s="1299" t="s">
        <v>2179</v>
      </c>
      <c r="C21" s="1296">
        <f>-SUM(C22:C25)</f>
        <v>-6357857</v>
      </c>
      <c r="D21" s="1296">
        <f t="shared" ref="D21:H21" si="10">-SUM(D22:D25)</f>
        <v>-4123465</v>
      </c>
      <c r="E21" s="1296">
        <f t="shared" si="10"/>
        <v>-15266485</v>
      </c>
      <c r="F21" s="1296">
        <f t="shared" si="10"/>
        <v>-3102962</v>
      </c>
      <c r="G21" s="1296">
        <f t="shared" si="10"/>
        <v>-8858383</v>
      </c>
      <c r="H21" s="1296">
        <f t="shared" si="10"/>
        <v>0</v>
      </c>
      <c r="I21" s="1069"/>
      <c r="J21" s="1296">
        <f t="shared" ref="J21:N21" si="11">-SUM(J22:J25)</f>
        <v>-6.3578570000000001</v>
      </c>
      <c r="K21" s="1296">
        <f t="shared" si="11"/>
        <v>-4.0654039999999991</v>
      </c>
      <c r="L21" s="1296">
        <f t="shared" si="11"/>
        <v>-30.532969999999999</v>
      </c>
      <c r="M21" s="1296">
        <f t="shared" si="11"/>
        <v>-3.1336220000000004</v>
      </c>
      <c r="N21" s="1296">
        <f t="shared" si="11"/>
        <v>-9.7453199999999995</v>
      </c>
      <c r="O21" s="1296"/>
    </row>
    <row r="22" spans="2:17" s="1065" customFormat="1" ht="13.5" x14ac:dyDescent="0.3">
      <c r="B22" s="1300" t="s">
        <v>1798</v>
      </c>
      <c r="C22" s="1296">
        <f>DART!C155</f>
        <v>6357857</v>
      </c>
      <c r="D22" s="1296">
        <f>DART!E155</f>
        <v>49000</v>
      </c>
      <c r="E22" s="1296">
        <f>DART!G155</f>
        <v>0</v>
      </c>
      <c r="F22" s="1296">
        <f>DART!I155</f>
        <v>3072302</v>
      </c>
      <c r="G22" s="1296">
        <f>DART!K155</f>
        <v>7971446</v>
      </c>
      <c r="H22" s="1296"/>
      <c r="I22" s="1069"/>
      <c r="J22" s="1296">
        <f t="shared" ref="J22" si="12">C22/1000000</f>
        <v>6.3578570000000001</v>
      </c>
      <c r="K22" s="1296">
        <f t="shared" ref="K22" si="13">D22/1000000</f>
        <v>4.9000000000000002E-2</v>
      </c>
      <c r="L22" s="1296">
        <f t="shared" ref="L22" si="14">E22/1000000</f>
        <v>0</v>
      </c>
      <c r="M22" s="1296">
        <f t="shared" ref="M22" si="15">F22/1000000</f>
        <v>3.0723020000000001</v>
      </c>
      <c r="N22" s="1296">
        <f t="shared" ref="N22" si="16">G22/1000000</f>
        <v>7.9714460000000003</v>
      </c>
      <c r="O22" s="1113"/>
      <c r="P22" s="1066"/>
      <c r="Q22" s="1066"/>
    </row>
    <row r="23" spans="2:17" s="1065" customFormat="1" ht="13.5" x14ac:dyDescent="0.3">
      <c r="B23" s="1300" t="s">
        <v>1799</v>
      </c>
      <c r="C23" s="1296">
        <f>DART!C156</f>
        <v>0</v>
      </c>
      <c r="D23" s="1296">
        <f>DART!E156</f>
        <v>2066263</v>
      </c>
      <c r="E23" s="1296">
        <f>DART!G156</f>
        <v>0</v>
      </c>
      <c r="F23" s="1296">
        <f>DART!I156</f>
        <v>0</v>
      </c>
      <c r="G23" s="1296">
        <f>DART!K156</f>
        <v>0</v>
      </c>
      <c r="H23" s="1113"/>
      <c r="I23" s="1068"/>
      <c r="J23" s="1296">
        <f>SUM(J24:J25)</f>
        <v>0</v>
      </c>
      <c r="K23" s="1296">
        <f>SUM(K24:K25)</f>
        <v>2.0082019999999998</v>
      </c>
      <c r="L23" s="1296">
        <f>SUM(L24:L25)</f>
        <v>15.266484999999999</v>
      </c>
      <c r="M23" s="1296">
        <f>SUM(M24:M25)</f>
        <v>3.066E-2</v>
      </c>
      <c r="N23" s="1296">
        <f>SUM(N24:N25)</f>
        <v>0.88693699999999998</v>
      </c>
      <c r="O23" s="1113"/>
    </row>
    <row r="24" spans="2:17" s="1065" customFormat="1" ht="13.5" x14ac:dyDescent="0.3">
      <c r="B24" s="1300" t="s">
        <v>1800</v>
      </c>
      <c r="C24" s="1296">
        <f>DART!C157</f>
        <v>0</v>
      </c>
      <c r="D24" s="1296">
        <f>DART!E157</f>
        <v>0</v>
      </c>
      <c r="E24" s="1296">
        <f>DART!G157</f>
        <v>15200000</v>
      </c>
      <c r="F24" s="1296">
        <f>DART!I157</f>
        <v>0</v>
      </c>
      <c r="G24" s="1296">
        <f>DART!K157</f>
        <v>0</v>
      </c>
      <c r="H24" s="1296"/>
      <c r="I24" s="1069"/>
      <c r="J24" s="1296">
        <f t="shared" ref="J24:N25" si="17">C24/1000000</f>
        <v>0</v>
      </c>
      <c r="K24" s="1296">
        <f t="shared" si="17"/>
        <v>0</v>
      </c>
      <c r="L24" s="1296">
        <f t="shared" si="17"/>
        <v>15.2</v>
      </c>
      <c r="M24" s="1296">
        <f t="shared" si="17"/>
        <v>0</v>
      </c>
      <c r="N24" s="1296">
        <f t="shared" si="17"/>
        <v>0</v>
      </c>
      <c r="O24" s="1296"/>
    </row>
    <row r="25" spans="2:17" s="1065" customFormat="1" ht="13.5" x14ac:dyDescent="0.3">
      <c r="B25" s="1300" t="s">
        <v>1801</v>
      </c>
      <c r="C25" s="1296">
        <f>DART!C158</f>
        <v>0</v>
      </c>
      <c r="D25" s="1296">
        <f>DART!E158</f>
        <v>2008202</v>
      </c>
      <c r="E25" s="1296">
        <f>DART!G158</f>
        <v>66485</v>
      </c>
      <c r="F25" s="1296">
        <f>DART!I158</f>
        <v>30660</v>
      </c>
      <c r="G25" s="1296">
        <f>DART!K158</f>
        <v>886937</v>
      </c>
      <c r="H25" s="1296"/>
      <c r="I25" s="1069"/>
      <c r="J25" s="1296">
        <f t="shared" si="17"/>
        <v>0</v>
      </c>
      <c r="K25" s="1296">
        <f t="shared" si="17"/>
        <v>2.0082019999999998</v>
      </c>
      <c r="L25" s="1296">
        <f t="shared" si="17"/>
        <v>6.6485000000000002E-2</v>
      </c>
      <c r="M25" s="1296">
        <f t="shared" si="17"/>
        <v>3.066E-2</v>
      </c>
      <c r="N25" s="1296">
        <f t="shared" si="17"/>
        <v>0.88693699999999998</v>
      </c>
      <c r="O25" s="1296"/>
    </row>
    <row r="26" spans="2:17" s="1065" customFormat="1" ht="13.5" x14ac:dyDescent="0.3">
      <c r="B26" s="1299" t="s">
        <v>2180</v>
      </c>
      <c r="C26" s="1296">
        <f>SUM(C27:C45)</f>
        <v>3313906903</v>
      </c>
      <c r="D26" s="1296">
        <f t="shared" ref="D26:H26" si="18">SUM(D27:D45)</f>
        <v>-11647022600</v>
      </c>
      <c r="E26" s="1296">
        <f t="shared" si="18"/>
        <v>-7428402003</v>
      </c>
      <c r="F26" s="1296">
        <f t="shared" si="18"/>
        <v>1438423122</v>
      </c>
      <c r="G26" s="1296">
        <f t="shared" si="18"/>
        <v>-3730902654</v>
      </c>
      <c r="H26" s="1296">
        <f t="shared" si="18"/>
        <v>0</v>
      </c>
      <c r="I26" s="1069"/>
      <c r="J26" s="1296">
        <f t="shared" ref="J26:N26" si="19">SUM(J27:J45)</f>
        <v>3313.9069029999996</v>
      </c>
      <c r="K26" s="1296">
        <f t="shared" si="19"/>
        <v>-11647.0226</v>
      </c>
      <c r="L26" s="1296">
        <f t="shared" si="19"/>
        <v>-7428.4020029999956</v>
      </c>
      <c r="M26" s="1296">
        <f t="shared" si="19"/>
        <v>1438.4231220000001</v>
      </c>
      <c r="N26" s="1296">
        <f t="shared" si="19"/>
        <v>-3730.9026539999959</v>
      </c>
      <c r="O26" s="1113"/>
    </row>
    <row r="27" spans="2:17" s="1065" customFormat="1" ht="13.5" customHeight="1" x14ac:dyDescent="0.3">
      <c r="B27" s="1300" t="s">
        <v>1803</v>
      </c>
      <c r="C27" s="1296">
        <f>DART!C160</f>
        <v>-4552906994</v>
      </c>
      <c r="D27" s="1296">
        <f>DART!E160</f>
        <v>-3272238466</v>
      </c>
      <c r="E27" s="1296">
        <f>DART!G160</f>
        <v>-30265544416</v>
      </c>
      <c r="F27" s="1296">
        <f>DART!I160</f>
        <v>6313357552</v>
      </c>
      <c r="G27" s="1296">
        <f>DART!K160</f>
        <v>-27393196405</v>
      </c>
      <c r="H27" s="1296"/>
      <c r="I27" s="1069"/>
      <c r="J27" s="1296">
        <f t="shared" ref="J27" si="20">C27/1000000</f>
        <v>-4552.9069939999999</v>
      </c>
      <c r="K27" s="1296">
        <f t="shared" ref="K27:K45" si="21">D27/1000000</f>
        <v>-3272.2384659999998</v>
      </c>
      <c r="L27" s="1296">
        <f t="shared" ref="L27:L45" si="22">E27/1000000</f>
        <v>-30265.544416000001</v>
      </c>
      <c r="M27" s="1296">
        <f t="shared" ref="M27:M45" si="23">F27/1000000</f>
        <v>6313.3575520000004</v>
      </c>
      <c r="N27" s="1296">
        <f t="shared" ref="N27:N45" si="24">G27/1000000</f>
        <v>-27393.196404999999</v>
      </c>
      <c r="O27" s="1296"/>
    </row>
    <row r="28" spans="2:17" s="1065" customFormat="1" ht="13.5" customHeight="1" x14ac:dyDescent="0.3">
      <c r="B28" s="1300" t="s">
        <v>1804</v>
      </c>
      <c r="C28" s="1296">
        <f>DART!C161</f>
        <v>21484449</v>
      </c>
      <c r="D28" s="1296">
        <f>DART!E161</f>
        <v>-65453452</v>
      </c>
      <c r="E28" s="1296">
        <f>DART!G161</f>
        <v>31300420</v>
      </c>
      <c r="F28" s="1296">
        <f>DART!I161</f>
        <v>-457301992</v>
      </c>
      <c r="G28" s="1296">
        <f>DART!K161</f>
        <v>440540243</v>
      </c>
      <c r="H28" s="1296"/>
      <c r="I28" s="1069"/>
      <c r="J28" s="1296">
        <f t="shared" ref="J28:J45" si="25">C28/1000000</f>
        <v>21.484449000000001</v>
      </c>
      <c r="K28" s="1296">
        <f t="shared" si="21"/>
        <v>-65.453451999999999</v>
      </c>
      <c r="L28" s="1296">
        <f t="shared" si="22"/>
        <v>31.300419999999999</v>
      </c>
      <c r="M28" s="1296">
        <f t="shared" si="23"/>
        <v>-457.30199199999998</v>
      </c>
      <c r="N28" s="1296">
        <f t="shared" si="24"/>
        <v>440.54024299999998</v>
      </c>
      <c r="O28" s="1296"/>
    </row>
    <row r="29" spans="2:17" s="1065" customFormat="1" ht="13.5" customHeight="1" x14ac:dyDescent="0.3">
      <c r="B29" s="1300" t="s">
        <v>1805</v>
      </c>
      <c r="C29" s="1296">
        <f>DART!C162</f>
        <v>-10738476</v>
      </c>
      <c r="D29" s="1296">
        <f>DART!E162</f>
        <v>16965446</v>
      </c>
      <c r="E29" s="1296">
        <f>DART!G162</f>
        <v>-6768384</v>
      </c>
      <c r="F29" s="1296">
        <f>DART!I162</f>
        <v>121973287</v>
      </c>
      <c r="G29" s="1296">
        <f>DART!K162</f>
        <v>-15078250</v>
      </c>
      <c r="H29" s="1296"/>
      <c r="I29" s="1069"/>
      <c r="J29" s="1296">
        <f t="shared" si="25"/>
        <v>-10.738476</v>
      </c>
      <c r="K29" s="1296">
        <f t="shared" si="21"/>
        <v>16.965446</v>
      </c>
      <c r="L29" s="1296">
        <f t="shared" si="22"/>
        <v>-6.7683840000000002</v>
      </c>
      <c r="M29" s="1296">
        <f t="shared" si="23"/>
        <v>121.973287</v>
      </c>
      <c r="N29" s="1296">
        <f t="shared" si="24"/>
        <v>-15.078250000000001</v>
      </c>
      <c r="O29" s="1296"/>
    </row>
    <row r="30" spans="2:17" s="1065" customFormat="1" ht="13.5" customHeight="1" x14ac:dyDescent="0.3">
      <c r="B30" s="1300" t="s">
        <v>1806</v>
      </c>
      <c r="C30" s="1296">
        <f>DART!C163</f>
        <v>-134766024</v>
      </c>
      <c r="D30" s="1296">
        <f>DART!E163</f>
        <v>-582013086</v>
      </c>
      <c r="E30" s="1296">
        <f>DART!G163</f>
        <v>294587079</v>
      </c>
      <c r="F30" s="1296">
        <f>DART!I163</f>
        <v>-209277619</v>
      </c>
      <c r="G30" s="1296">
        <f>DART!K163</f>
        <v>536128935</v>
      </c>
      <c r="H30" s="1296"/>
      <c r="I30" s="1069"/>
      <c r="J30" s="1296">
        <f t="shared" si="25"/>
        <v>-134.76602399999999</v>
      </c>
      <c r="K30" s="1296">
        <f t="shared" si="21"/>
        <v>-582.01308600000004</v>
      </c>
      <c r="L30" s="1296">
        <f t="shared" si="22"/>
        <v>294.58707900000002</v>
      </c>
      <c r="M30" s="1296">
        <f t="shared" si="23"/>
        <v>-209.27761899999999</v>
      </c>
      <c r="N30" s="1296">
        <f t="shared" si="24"/>
        <v>536.12893499999996</v>
      </c>
      <c r="O30" s="1296"/>
    </row>
    <row r="31" spans="2:17" s="1065" customFormat="1" ht="13.5" customHeight="1" x14ac:dyDescent="0.3">
      <c r="B31" s="1300" t="s">
        <v>1807</v>
      </c>
      <c r="C31" s="1296">
        <f>DART!C164</f>
        <v>-206776221</v>
      </c>
      <c r="D31" s="1296">
        <f>DART!E164</f>
        <v>106625995</v>
      </c>
      <c r="E31" s="1296">
        <f>DART!G164</f>
        <v>-209474862</v>
      </c>
      <c r="F31" s="1296">
        <f>DART!I164</f>
        <v>-347104427</v>
      </c>
      <c r="G31" s="1296">
        <f>DART!K164</f>
        <v>68797974</v>
      </c>
      <c r="H31" s="1296"/>
      <c r="I31" s="1069"/>
      <c r="J31" s="1296">
        <f t="shared" si="25"/>
        <v>-206.77622099999999</v>
      </c>
      <c r="K31" s="1296">
        <f t="shared" si="21"/>
        <v>106.625995</v>
      </c>
      <c r="L31" s="1296">
        <f t="shared" si="22"/>
        <v>-209.474862</v>
      </c>
      <c r="M31" s="1296">
        <f t="shared" si="23"/>
        <v>-347.10442699999999</v>
      </c>
      <c r="N31" s="1296">
        <f t="shared" si="24"/>
        <v>68.797973999999996</v>
      </c>
      <c r="O31" s="1296"/>
    </row>
    <row r="32" spans="2:17" s="1065" customFormat="1" ht="13.5" customHeight="1" x14ac:dyDescent="0.3">
      <c r="B32" s="1300" t="s">
        <v>1808</v>
      </c>
      <c r="C32" s="1296">
        <f>DART!C165</f>
        <v>5546399</v>
      </c>
      <c r="D32" s="1296">
        <f>DART!E165</f>
        <v>-985389</v>
      </c>
      <c r="E32" s="1296">
        <f>DART!G165</f>
        <v>-33498467</v>
      </c>
      <c r="F32" s="1296">
        <f>DART!I165</f>
        <v>19703882</v>
      </c>
      <c r="G32" s="1296">
        <f>DART!K165</f>
        <v>-56929935</v>
      </c>
      <c r="H32" s="1296"/>
      <c r="I32" s="1069"/>
      <c r="J32" s="1296">
        <f t="shared" si="25"/>
        <v>5.5463990000000001</v>
      </c>
      <c r="K32" s="1296">
        <f t="shared" si="21"/>
        <v>-0.98538899999999996</v>
      </c>
      <c r="L32" s="1296">
        <f t="shared" si="22"/>
        <v>-33.498466999999998</v>
      </c>
      <c r="M32" s="1296">
        <f t="shared" si="23"/>
        <v>19.703882</v>
      </c>
      <c r="N32" s="1296">
        <f t="shared" si="24"/>
        <v>-56.929935</v>
      </c>
      <c r="O32" s="1296"/>
    </row>
    <row r="33" spans="2:15" s="1065" customFormat="1" ht="13.5" customHeight="1" x14ac:dyDescent="0.3">
      <c r="B33" s="1300" t="s">
        <v>1809</v>
      </c>
      <c r="C33" s="1296">
        <f>DART!C166</f>
        <v>-715954900</v>
      </c>
      <c r="D33" s="1296">
        <f>DART!E166</f>
        <v>117024894</v>
      </c>
      <c r="E33" s="1296">
        <f>DART!G166</f>
        <v>-1730803006</v>
      </c>
      <c r="F33" s="1296">
        <f>DART!I166</f>
        <v>-2082212611</v>
      </c>
      <c r="G33" s="1296">
        <f>DART!K166</f>
        <v>1621838111</v>
      </c>
      <c r="H33" s="1296"/>
      <c r="I33" s="1069"/>
      <c r="J33" s="1296">
        <f t="shared" si="25"/>
        <v>-715.95489999999995</v>
      </c>
      <c r="K33" s="1296">
        <f t="shared" si="21"/>
        <v>117.024894</v>
      </c>
      <c r="L33" s="1296">
        <f t="shared" si="22"/>
        <v>-1730.8030060000001</v>
      </c>
      <c r="M33" s="1296">
        <f t="shared" si="23"/>
        <v>-2082.2126109999999</v>
      </c>
      <c r="N33" s="1296">
        <f t="shared" si="24"/>
        <v>1621.838111</v>
      </c>
      <c r="O33" s="1296"/>
    </row>
    <row r="34" spans="2:15" s="1065" customFormat="1" ht="13.5" customHeight="1" x14ac:dyDescent="0.3">
      <c r="B34" s="1300" t="s">
        <v>1810</v>
      </c>
      <c r="C34" s="1296">
        <f>DART!C167</f>
        <v>-110168017</v>
      </c>
      <c r="D34" s="1296">
        <f>DART!E167</f>
        <v>451167746</v>
      </c>
      <c r="E34" s="1296">
        <f>DART!G167</f>
        <v>-7804029</v>
      </c>
      <c r="F34" s="1296">
        <f>DART!I167</f>
        <v>-165707027</v>
      </c>
      <c r="G34" s="1296">
        <f>DART!K167</f>
        <v>19718444</v>
      </c>
      <c r="H34" s="1296"/>
      <c r="I34" s="1069"/>
      <c r="J34" s="1296">
        <f t="shared" si="25"/>
        <v>-110.16801700000001</v>
      </c>
      <c r="K34" s="1296">
        <f t="shared" si="21"/>
        <v>451.16774600000002</v>
      </c>
      <c r="L34" s="1296">
        <f t="shared" si="22"/>
        <v>-7.8040289999999999</v>
      </c>
      <c r="M34" s="1296">
        <f t="shared" si="23"/>
        <v>-165.70702700000001</v>
      </c>
      <c r="N34" s="1296">
        <f t="shared" si="24"/>
        <v>19.718444000000002</v>
      </c>
      <c r="O34" s="1296"/>
    </row>
    <row r="35" spans="2:15" s="1065" customFormat="1" ht="13.5" customHeight="1" x14ac:dyDescent="0.3">
      <c r="B35" s="1300" t="s">
        <v>1811</v>
      </c>
      <c r="C35" s="1296">
        <f>DART!C168</f>
        <v>7472043401</v>
      </c>
      <c r="D35" s="1296">
        <f>DART!E168</f>
        <v>-2575025459</v>
      </c>
      <c r="E35" s="1296">
        <f>DART!G168</f>
        <v>22128269237</v>
      </c>
      <c r="F35" s="1296">
        <f>DART!I168</f>
        <v>447010471</v>
      </c>
      <c r="G35" s="1296">
        <f>DART!K168</f>
        <v>26076006699</v>
      </c>
      <c r="H35" s="1296"/>
      <c r="I35" s="1069"/>
      <c r="J35" s="1296">
        <f t="shared" si="25"/>
        <v>7472.0434009999999</v>
      </c>
      <c r="K35" s="1296">
        <f t="shared" si="21"/>
        <v>-2575.025459</v>
      </c>
      <c r="L35" s="1296">
        <f t="shared" si="22"/>
        <v>22128.269237</v>
      </c>
      <c r="M35" s="1296">
        <f t="shared" si="23"/>
        <v>447.010471</v>
      </c>
      <c r="N35" s="1296">
        <f t="shared" si="24"/>
        <v>26076.006699000001</v>
      </c>
      <c r="O35" s="1296"/>
    </row>
    <row r="36" spans="2:15" s="1065" customFormat="1" ht="13.5" customHeight="1" x14ac:dyDescent="0.3">
      <c r="B36" s="1300" t="s">
        <v>1812</v>
      </c>
      <c r="C36" s="1296">
        <f>DART!C169</f>
        <v>429567168</v>
      </c>
      <c r="D36" s="1296">
        <f>DART!E169</f>
        <v>-1099647542</v>
      </c>
      <c r="E36" s="1296">
        <f>DART!G169</f>
        <v>1520917009</v>
      </c>
      <c r="F36" s="1296">
        <f>DART!I169</f>
        <v>-85340253</v>
      </c>
      <c r="G36" s="1296">
        <f>DART!K169</f>
        <v>-745717304</v>
      </c>
      <c r="H36" s="1296"/>
      <c r="I36" s="1069"/>
      <c r="J36" s="1296">
        <f t="shared" si="25"/>
        <v>429.56716799999998</v>
      </c>
      <c r="K36" s="1296">
        <f t="shared" si="21"/>
        <v>-1099.6475419999999</v>
      </c>
      <c r="L36" s="1296">
        <f t="shared" si="22"/>
        <v>1520.917009</v>
      </c>
      <c r="M36" s="1296">
        <f t="shared" si="23"/>
        <v>-85.340253000000004</v>
      </c>
      <c r="N36" s="1296">
        <f t="shared" si="24"/>
        <v>-745.71730400000001</v>
      </c>
      <c r="O36" s="1296"/>
    </row>
    <row r="37" spans="2:15" s="1065" customFormat="1" ht="13.5" customHeight="1" x14ac:dyDescent="0.3">
      <c r="B37" s="1300" t="s">
        <v>1813</v>
      </c>
      <c r="C37" s="1296">
        <f>DART!C170</f>
        <v>-328680402</v>
      </c>
      <c r="D37" s="1296">
        <f>DART!E170</f>
        <v>551169196</v>
      </c>
      <c r="E37" s="1296">
        <f>DART!G170</f>
        <v>-548100869</v>
      </c>
      <c r="F37" s="1296">
        <f>DART!I170</f>
        <v>645111048</v>
      </c>
      <c r="G37" s="1296">
        <f>DART!K170</f>
        <v>-436605952</v>
      </c>
      <c r="H37" s="1296"/>
      <c r="I37" s="1069"/>
      <c r="J37" s="1296">
        <f t="shared" si="25"/>
        <v>-328.68040200000002</v>
      </c>
      <c r="K37" s="1296">
        <f t="shared" si="21"/>
        <v>551.16919600000006</v>
      </c>
      <c r="L37" s="1296">
        <f t="shared" si="22"/>
        <v>-548.10086899999999</v>
      </c>
      <c r="M37" s="1296">
        <f t="shared" si="23"/>
        <v>645.11104799999998</v>
      </c>
      <c r="N37" s="1296">
        <f t="shared" si="24"/>
        <v>-436.605952</v>
      </c>
      <c r="O37" s="1296"/>
    </row>
    <row r="38" spans="2:15" s="1065" customFormat="1" ht="13.5" customHeight="1" x14ac:dyDescent="0.3">
      <c r="B38" s="1300" t="s">
        <v>1814</v>
      </c>
      <c r="C38" s="1296">
        <f>DART!C171</f>
        <v>777919134</v>
      </c>
      <c r="D38" s="1296">
        <f>DART!E171</f>
        <v>-119089245</v>
      </c>
      <c r="E38" s="1296">
        <f>DART!G171</f>
        <v>2410050027</v>
      </c>
      <c r="F38" s="1296">
        <f>DART!I171</f>
        <v>-280789804</v>
      </c>
      <c r="G38" s="1296">
        <f>DART!K171</f>
        <v>-794113513</v>
      </c>
      <c r="H38" s="1296"/>
      <c r="I38" s="1069"/>
      <c r="J38" s="1296">
        <f t="shared" si="25"/>
        <v>777.91913399999999</v>
      </c>
      <c r="K38" s="1296">
        <f t="shared" si="21"/>
        <v>-119.08924500000001</v>
      </c>
      <c r="L38" s="1296">
        <f t="shared" si="22"/>
        <v>2410.0500269999998</v>
      </c>
      <c r="M38" s="1296">
        <f t="shared" si="23"/>
        <v>-280.789804</v>
      </c>
      <c r="N38" s="1296">
        <f t="shared" si="24"/>
        <v>-794.11351300000001</v>
      </c>
      <c r="O38" s="1296"/>
    </row>
    <row r="39" spans="2:15" s="1065" customFormat="1" ht="13.5" customHeight="1" x14ac:dyDescent="0.3">
      <c r="B39" s="1300" t="s">
        <v>1815</v>
      </c>
      <c r="C39" s="1296">
        <f>DART!C172</f>
        <v>1312809665</v>
      </c>
      <c r="D39" s="1296">
        <f>DART!E172</f>
        <v>-1147598899</v>
      </c>
      <c r="E39" s="1296">
        <f>DART!G172</f>
        <v>275311054</v>
      </c>
      <c r="F39" s="1296">
        <f>DART!I172</f>
        <v>-594502999</v>
      </c>
      <c r="G39" s="1296">
        <f>DART!K172</f>
        <v>-21262222</v>
      </c>
      <c r="H39" s="1296"/>
      <c r="I39" s="1069"/>
      <c r="J39" s="1296">
        <f t="shared" si="25"/>
        <v>1312.809665</v>
      </c>
      <c r="K39" s="1296">
        <f t="shared" si="21"/>
        <v>-1147.5988990000001</v>
      </c>
      <c r="L39" s="1296">
        <f t="shared" si="22"/>
        <v>275.31105400000001</v>
      </c>
      <c r="M39" s="1296">
        <f t="shared" si="23"/>
        <v>-594.50299900000005</v>
      </c>
      <c r="N39" s="1296">
        <f t="shared" si="24"/>
        <v>-21.262222000000001</v>
      </c>
      <c r="O39" s="1296"/>
    </row>
    <row r="40" spans="2:15" s="1065" customFormat="1" ht="13.5" customHeight="1" x14ac:dyDescent="0.3">
      <c r="B40" s="1300" t="s">
        <v>1816</v>
      </c>
      <c r="C40" s="1296">
        <f>DART!C173</f>
        <v>-17995300</v>
      </c>
      <c r="D40" s="1296">
        <f>DART!E173</f>
        <v>-5371065</v>
      </c>
      <c r="E40" s="1296">
        <f>DART!G173</f>
        <v>185672830</v>
      </c>
      <c r="F40" s="1296">
        <f>DART!I173</f>
        <v>-26435344</v>
      </c>
      <c r="G40" s="1296">
        <f>DART!K173</f>
        <v>57705780</v>
      </c>
      <c r="H40" s="1113"/>
      <c r="I40" s="1069"/>
      <c r="J40" s="1296">
        <f t="shared" si="25"/>
        <v>-17.9953</v>
      </c>
      <c r="K40" s="1296">
        <f t="shared" si="21"/>
        <v>-5.3710649999999998</v>
      </c>
      <c r="L40" s="1296">
        <f t="shared" si="22"/>
        <v>185.67283</v>
      </c>
      <c r="M40" s="1296">
        <f t="shared" si="23"/>
        <v>-26.435344000000001</v>
      </c>
      <c r="N40" s="1296">
        <f t="shared" si="24"/>
        <v>57.705779999999997</v>
      </c>
      <c r="O40" s="1113"/>
    </row>
    <row r="41" spans="2:15" s="1065" customFormat="1" ht="13.5" customHeight="1" x14ac:dyDescent="0.3">
      <c r="B41" s="1300" t="s">
        <v>2007</v>
      </c>
      <c r="C41" s="1296">
        <f>DART!C174</f>
        <v>-5637433</v>
      </c>
      <c r="D41" s="1296">
        <f>DART!E174</f>
        <v>0</v>
      </c>
      <c r="E41" s="1296">
        <f>DART!G174</f>
        <v>0</v>
      </c>
      <c r="F41" s="1296">
        <f>DART!I174</f>
        <v>0</v>
      </c>
      <c r="G41" s="1296">
        <f>DART!K174</f>
        <v>0</v>
      </c>
      <c r="H41" s="1296"/>
      <c r="I41" s="1069"/>
      <c r="J41" s="1296">
        <f t="shared" si="25"/>
        <v>-5.6374329999999997</v>
      </c>
      <c r="K41" s="1296">
        <f t="shared" si="21"/>
        <v>0</v>
      </c>
      <c r="L41" s="1296">
        <f t="shared" si="22"/>
        <v>0</v>
      </c>
      <c r="M41" s="1296">
        <f t="shared" si="23"/>
        <v>0</v>
      </c>
      <c r="N41" s="1296">
        <f t="shared" si="24"/>
        <v>0</v>
      </c>
      <c r="O41" s="1296"/>
    </row>
    <row r="42" spans="2:15" s="1065" customFormat="1" ht="13.5" customHeight="1" x14ac:dyDescent="0.3">
      <c r="B42" s="1300" t="s">
        <v>1817</v>
      </c>
      <c r="C42" s="1296">
        <f>DART!C175</f>
        <v>-443396815</v>
      </c>
      <c r="D42" s="1296">
        <f>DART!E175</f>
        <v>-1429537262</v>
      </c>
      <c r="E42" s="1296">
        <f>DART!G175</f>
        <v>-437396381</v>
      </c>
      <c r="F42" s="1296">
        <f>DART!I175</f>
        <v>-440908900</v>
      </c>
      <c r="G42" s="1296">
        <f>DART!K175</f>
        <v>-1023509239</v>
      </c>
      <c r="H42" s="1296"/>
      <c r="I42" s="1069"/>
      <c r="J42" s="1296">
        <f t="shared" si="25"/>
        <v>-443.396815</v>
      </c>
      <c r="K42" s="1296">
        <f t="shared" si="21"/>
        <v>-1429.5372620000001</v>
      </c>
      <c r="L42" s="1296">
        <f t="shared" si="22"/>
        <v>-437.39638100000002</v>
      </c>
      <c r="M42" s="1296">
        <f t="shared" si="23"/>
        <v>-440.90890000000002</v>
      </c>
      <c r="N42" s="1296">
        <f t="shared" si="24"/>
        <v>-1023.509239</v>
      </c>
      <c r="O42" s="1296"/>
    </row>
    <row r="43" spans="2:15" s="1065" customFormat="1" ht="13.5" customHeight="1" x14ac:dyDescent="0.3">
      <c r="B43" s="1300" t="s">
        <v>2008</v>
      </c>
      <c r="C43" s="1296">
        <f>DART!C176</f>
        <v>-18000000</v>
      </c>
      <c r="D43" s="1296">
        <f>DART!E176</f>
        <v>0</v>
      </c>
      <c r="E43" s="1296">
        <f>DART!G176</f>
        <v>0</v>
      </c>
      <c r="F43" s="1296">
        <f>DART!I176</f>
        <v>0</v>
      </c>
      <c r="G43" s="1296">
        <f>DART!K176</f>
        <v>0</v>
      </c>
      <c r="H43" s="1296"/>
      <c r="I43" s="1069"/>
      <c r="J43" s="1296">
        <f t="shared" si="25"/>
        <v>-18</v>
      </c>
      <c r="K43" s="1296">
        <f t="shared" si="21"/>
        <v>0</v>
      </c>
      <c r="L43" s="1296">
        <f t="shared" si="22"/>
        <v>0</v>
      </c>
      <c r="M43" s="1296">
        <f t="shared" si="23"/>
        <v>0</v>
      </c>
      <c r="N43" s="1296">
        <f t="shared" si="24"/>
        <v>0</v>
      </c>
      <c r="O43" s="1296"/>
    </row>
    <row r="44" spans="2:15" s="1065" customFormat="1" ht="13.5" customHeight="1" x14ac:dyDescent="0.3">
      <c r="B44" s="1300" t="s">
        <v>1818</v>
      </c>
      <c r="C44" s="1296">
        <f>DART!C177</f>
        <v>-160442731</v>
      </c>
      <c r="D44" s="1296">
        <f>DART!E177</f>
        <v>-192382407</v>
      </c>
      <c r="E44" s="1296">
        <f>DART!G177</f>
        <v>0</v>
      </c>
      <c r="F44" s="1296">
        <f>DART!I177</f>
        <v>0</v>
      </c>
      <c r="G44" s="1296">
        <f>DART!K177</f>
        <v>0</v>
      </c>
      <c r="H44" s="1296"/>
      <c r="I44" s="1069"/>
      <c r="J44" s="1296">
        <f t="shared" si="25"/>
        <v>-160.44273100000001</v>
      </c>
      <c r="K44" s="1296">
        <f t="shared" si="21"/>
        <v>-192.382407</v>
      </c>
      <c r="L44" s="1296">
        <f t="shared" si="22"/>
        <v>0</v>
      </c>
      <c r="M44" s="1296">
        <f t="shared" si="23"/>
        <v>0</v>
      </c>
      <c r="N44" s="1296">
        <f t="shared" si="24"/>
        <v>0</v>
      </c>
      <c r="O44" s="1296"/>
    </row>
    <row r="45" spans="2:15" s="1065" customFormat="1" ht="13.5" customHeight="1" x14ac:dyDescent="0.3">
      <c r="B45" s="1300" t="s">
        <v>1819</v>
      </c>
      <c r="C45" s="1296">
        <f>DART!C178</f>
        <v>0</v>
      </c>
      <c r="D45" s="1296">
        <f>DART!E178</f>
        <v>-2400633605</v>
      </c>
      <c r="E45" s="1296">
        <f>DART!G178</f>
        <v>-1035119245</v>
      </c>
      <c r="F45" s="1296">
        <f>DART!I178</f>
        <v>-1419152142</v>
      </c>
      <c r="G45" s="1296">
        <f>DART!K178</f>
        <v>-2065226020</v>
      </c>
      <c r="H45" s="1113"/>
      <c r="I45" s="1068"/>
      <c r="J45" s="1296">
        <f t="shared" si="25"/>
        <v>0</v>
      </c>
      <c r="K45" s="1296">
        <f t="shared" si="21"/>
        <v>-2400.633605</v>
      </c>
      <c r="L45" s="1296">
        <f t="shared" si="22"/>
        <v>-1035.1192450000001</v>
      </c>
      <c r="M45" s="1296">
        <f t="shared" si="23"/>
        <v>-1419.1521419999999</v>
      </c>
      <c r="N45" s="1296">
        <f t="shared" si="24"/>
        <v>-2065.2260200000001</v>
      </c>
      <c r="O45" s="1113"/>
    </row>
    <row r="46" spans="2:15" s="1065" customFormat="1" ht="13.5" x14ac:dyDescent="0.3">
      <c r="B46" s="1298" t="s">
        <v>2181</v>
      </c>
      <c r="C46" s="1113">
        <f>C47+C54</f>
        <v>-2810592931</v>
      </c>
      <c r="D46" s="1113">
        <f t="shared" ref="D46:H46" si="26">D47+D54</f>
        <v>330799544</v>
      </c>
      <c r="E46" s="1113">
        <f t="shared" si="26"/>
        <v>-3430815392</v>
      </c>
      <c r="F46" s="1113">
        <f t="shared" si="26"/>
        <v>-2939767659</v>
      </c>
      <c r="G46" s="1113">
        <f t="shared" si="26"/>
        <v>-4958156298</v>
      </c>
      <c r="H46" s="1113">
        <f t="shared" si="26"/>
        <v>0</v>
      </c>
      <c r="I46" s="1069"/>
      <c r="J46" s="1113">
        <f t="shared" ref="J46:O46" si="27">J47+J54</f>
        <v>-2810.5929309999974</v>
      </c>
      <c r="K46" s="1113">
        <f t="shared" si="27"/>
        <v>330.79954399999951</v>
      </c>
      <c r="L46" s="1113">
        <f t="shared" si="27"/>
        <v>-3430.815392</v>
      </c>
      <c r="M46" s="1113">
        <f t="shared" si="27"/>
        <v>-2939.7676589999974</v>
      </c>
      <c r="N46" s="1113">
        <f t="shared" si="27"/>
        <v>-4958.1562980000008</v>
      </c>
      <c r="O46" s="1113">
        <f t="shared" si="27"/>
        <v>0</v>
      </c>
    </row>
    <row r="47" spans="2:15" s="1065" customFormat="1" ht="13.5" x14ac:dyDescent="0.3">
      <c r="B47" s="1299" t="s">
        <v>2182</v>
      </c>
      <c r="C47" s="1296">
        <f>SUM(C48:C53)</f>
        <v>11423418481</v>
      </c>
      <c r="D47" s="1296">
        <f t="shared" ref="D47:G47" si="28">SUM(D48:D53)</f>
        <v>13395456621</v>
      </c>
      <c r="E47" s="1296">
        <f t="shared" si="28"/>
        <v>910143748</v>
      </c>
      <c r="F47" s="1296">
        <f t="shared" si="28"/>
        <v>12382986882</v>
      </c>
      <c r="G47" s="1296">
        <f t="shared" si="28"/>
        <v>7022909090</v>
      </c>
      <c r="H47" s="1296"/>
      <c r="I47" s="1069"/>
      <c r="J47" s="1296">
        <f t="shared" ref="J47:O47" si="29">SUM(J48:J53)</f>
        <v>11423.418481000001</v>
      </c>
      <c r="K47" s="1296">
        <f t="shared" si="29"/>
        <v>13395.456620999999</v>
      </c>
      <c r="L47" s="1296">
        <f t="shared" si="29"/>
        <v>910.14374799999996</v>
      </c>
      <c r="M47" s="1296">
        <f t="shared" si="29"/>
        <v>12382.986882000001</v>
      </c>
      <c r="N47" s="1296">
        <f t="shared" si="29"/>
        <v>7022.9090900000001</v>
      </c>
      <c r="O47" s="1296">
        <f t="shared" si="29"/>
        <v>0</v>
      </c>
    </row>
    <row r="48" spans="2:15" s="1065" customFormat="1" ht="13.5" x14ac:dyDescent="0.3">
      <c r="B48" s="1300" t="s">
        <v>1822</v>
      </c>
      <c r="C48" s="1296">
        <f>DART!C181</f>
        <v>11191218481</v>
      </c>
      <c r="D48" s="1296">
        <f>DART!E181</f>
        <v>13380728799</v>
      </c>
      <c r="E48" s="1296">
        <f>DART!G181</f>
        <v>0</v>
      </c>
      <c r="F48" s="1296">
        <f>DART!I181</f>
        <v>12030000000</v>
      </c>
      <c r="G48" s="1296">
        <f>DART!K181</f>
        <v>7000000000</v>
      </c>
      <c r="H48" s="1296"/>
      <c r="I48" s="1069"/>
      <c r="J48" s="1296">
        <f t="shared" ref="J48" si="30">C48/1000000</f>
        <v>11191.218481</v>
      </c>
      <c r="K48" s="1296">
        <f t="shared" ref="K48:K53" si="31">D48/1000000</f>
        <v>13380.728799</v>
      </c>
      <c r="L48" s="1296">
        <f t="shared" ref="L48:L53" si="32">E48/1000000</f>
        <v>0</v>
      </c>
      <c r="M48" s="1296">
        <f t="shared" ref="M48:M53" si="33">F48/1000000</f>
        <v>12030</v>
      </c>
      <c r="N48" s="1296">
        <f t="shared" ref="N48:N53" si="34">G48/1000000</f>
        <v>7000</v>
      </c>
      <c r="O48" s="1296">
        <f t="shared" ref="O48:O53" si="35">H48/1000000</f>
        <v>0</v>
      </c>
    </row>
    <row r="49" spans="1:17" s="1065" customFormat="1" ht="13.5" x14ac:dyDescent="0.3">
      <c r="B49" s="1300" t="s">
        <v>1823</v>
      </c>
      <c r="C49" s="1296">
        <f>DART!C182</f>
        <v>3200000</v>
      </c>
      <c r="D49" s="1296">
        <f>DART!E182</f>
        <v>2767822</v>
      </c>
      <c r="E49" s="1296">
        <f>DART!G182</f>
        <v>4159781</v>
      </c>
      <c r="F49" s="1296">
        <f>DART!I182</f>
        <v>4000000</v>
      </c>
      <c r="G49" s="1296">
        <f>DART!K182</f>
        <v>0</v>
      </c>
      <c r="H49" s="1296"/>
      <c r="I49" s="1069"/>
      <c r="J49" s="1296">
        <f t="shared" ref="J49" si="36">C49/1000000</f>
        <v>3.2</v>
      </c>
      <c r="K49" s="1296">
        <f t="shared" si="31"/>
        <v>2.7678219999999998</v>
      </c>
      <c r="L49" s="1296">
        <f t="shared" si="32"/>
        <v>4.1597809999999997</v>
      </c>
      <c r="M49" s="1296">
        <f t="shared" si="33"/>
        <v>4</v>
      </c>
      <c r="N49" s="1296">
        <f t="shared" si="34"/>
        <v>0</v>
      </c>
      <c r="O49" s="1296">
        <f t="shared" si="35"/>
        <v>0</v>
      </c>
    </row>
    <row r="50" spans="1:17" s="1065" customFormat="1" ht="13.5" x14ac:dyDescent="0.3">
      <c r="B50" s="1300" t="s">
        <v>1824</v>
      </c>
      <c r="C50" s="1296">
        <f>DART!C183</f>
        <v>38000000</v>
      </c>
      <c r="D50" s="1296">
        <f>DART!E183</f>
        <v>1160000</v>
      </c>
      <c r="E50" s="1296">
        <f>DART!G183</f>
        <v>0</v>
      </c>
      <c r="F50" s="1296">
        <f>DART!I183</f>
        <v>25000000</v>
      </c>
      <c r="G50" s="1296">
        <f>DART!K183</f>
        <v>20909090</v>
      </c>
      <c r="H50" s="1296"/>
      <c r="I50" s="1069"/>
      <c r="J50" s="1296">
        <f t="shared" ref="J50:J53" si="37">C50/1000000</f>
        <v>38</v>
      </c>
      <c r="K50" s="1296">
        <f t="shared" si="31"/>
        <v>1.1599999999999999</v>
      </c>
      <c r="L50" s="1296">
        <f t="shared" si="32"/>
        <v>0</v>
      </c>
      <c r="M50" s="1296">
        <f t="shared" si="33"/>
        <v>25</v>
      </c>
      <c r="N50" s="1296">
        <f t="shared" si="34"/>
        <v>20.909089999999999</v>
      </c>
      <c r="O50" s="1296">
        <f t="shared" si="35"/>
        <v>0</v>
      </c>
    </row>
    <row r="51" spans="1:17" s="1065" customFormat="1" ht="13.5" x14ac:dyDescent="0.3">
      <c r="B51" s="1300" t="s">
        <v>1825</v>
      </c>
      <c r="C51" s="1296">
        <f>DART!C184</f>
        <v>0</v>
      </c>
      <c r="D51" s="1296">
        <f>DART!E184</f>
        <v>0</v>
      </c>
      <c r="E51" s="1296">
        <f>DART!G184</f>
        <v>683967</v>
      </c>
      <c r="F51" s="1296">
        <f>DART!I184</f>
        <v>938182</v>
      </c>
      <c r="G51" s="1296">
        <f>DART!K184</f>
        <v>0</v>
      </c>
      <c r="H51" s="1296"/>
      <c r="I51" s="1069"/>
      <c r="J51" s="1296">
        <f t="shared" si="37"/>
        <v>0</v>
      </c>
      <c r="K51" s="1296">
        <f t="shared" si="31"/>
        <v>0</v>
      </c>
      <c r="L51" s="1296">
        <f t="shared" si="32"/>
        <v>0.68396699999999999</v>
      </c>
      <c r="M51" s="1296">
        <f t="shared" si="33"/>
        <v>0.93818199999999996</v>
      </c>
      <c r="N51" s="1296">
        <f t="shared" si="34"/>
        <v>0</v>
      </c>
      <c r="O51" s="1296">
        <f t="shared" si="35"/>
        <v>0</v>
      </c>
    </row>
    <row r="52" spans="1:17" s="1066" customFormat="1" ht="13.5" x14ac:dyDescent="0.3">
      <c r="B52" s="1300" t="s">
        <v>1826</v>
      </c>
      <c r="C52" s="1296">
        <f>DART!C185</f>
        <v>0</v>
      </c>
      <c r="D52" s="1296">
        <f>DART!E185</f>
        <v>0</v>
      </c>
      <c r="E52" s="1296">
        <f>DART!G185</f>
        <v>0</v>
      </c>
      <c r="F52" s="1296">
        <f>DART!I185</f>
        <v>43188700</v>
      </c>
      <c r="G52" s="1296">
        <f>DART!K185</f>
        <v>0</v>
      </c>
      <c r="H52" s="1296"/>
      <c r="I52" s="1069"/>
      <c r="J52" s="1296">
        <f t="shared" si="37"/>
        <v>0</v>
      </c>
      <c r="K52" s="1296">
        <f t="shared" si="31"/>
        <v>0</v>
      </c>
      <c r="L52" s="1296">
        <f t="shared" si="32"/>
        <v>0</v>
      </c>
      <c r="M52" s="1296">
        <f t="shared" si="33"/>
        <v>43.188699999999997</v>
      </c>
      <c r="N52" s="1296">
        <f t="shared" si="34"/>
        <v>0</v>
      </c>
      <c r="O52" s="1296">
        <f t="shared" si="35"/>
        <v>0</v>
      </c>
      <c r="P52" s="1065"/>
      <c r="Q52" s="1065"/>
    </row>
    <row r="53" spans="1:17" s="1065" customFormat="1" ht="13.5" x14ac:dyDescent="0.3">
      <c r="B53" s="1300" t="s">
        <v>1827</v>
      </c>
      <c r="C53" s="1296">
        <f>DART!C186</f>
        <v>191000000</v>
      </c>
      <c r="D53" s="1296">
        <f>DART!E186</f>
        <v>10800000</v>
      </c>
      <c r="E53" s="1296">
        <f>DART!G186</f>
        <v>905300000</v>
      </c>
      <c r="F53" s="1296">
        <f>DART!I186</f>
        <v>279860000</v>
      </c>
      <c r="G53" s="1296">
        <f>DART!K186</f>
        <v>2000000</v>
      </c>
      <c r="H53" s="1296"/>
      <c r="I53" s="1069"/>
      <c r="J53" s="1296">
        <f t="shared" si="37"/>
        <v>191</v>
      </c>
      <c r="K53" s="1296">
        <f t="shared" si="31"/>
        <v>10.8</v>
      </c>
      <c r="L53" s="1296">
        <f t="shared" si="32"/>
        <v>905.3</v>
      </c>
      <c r="M53" s="1296">
        <f t="shared" si="33"/>
        <v>279.86</v>
      </c>
      <c r="N53" s="1296">
        <f t="shared" si="34"/>
        <v>2</v>
      </c>
      <c r="O53" s="1296">
        <f t="shared" si="35"/>
        <v>0</v>
      </c>
    </row>
    <row r="54" spans="1:17" s="1102" customFormat="1" ht="13.5" x14ac:dyDescent="0.3">
      <c r="A54" s="1065"/>
      <c r="B54" s="1299" t="s">
        <v>2183</v>
      </c>
      <c r="C54" s="1296">
        <f>-SUM(C55:C68)</f>
        <v>-14234011412</v>
      </c>
      <c r="D54" s="1296">
        <f t="shared" ref="D54:G54" si="38">-SUM(D55:D68)</f>
        <v>-13064657077</v>
      </c>
      <c r="E54" s="1296">
        <f t="shared" si="38"/>
        <v>-4340959140</v>
      </c>
      <c r="F54" s="1296">
        <f t="shared" si="38"/>
        <v>-15322754541</v>
      </c>
      <c r="G54" s="1296">
        <f t="shared" si="38"/>
        <v>-11981065388</v>
      </c>
      <c r="H54" s="1296">
        <f>-SUM(H55:H68)</f>
        <v>0</v>
      </c>
      <c r="I54" s="1069"/>
      <c r="J54" s="1296">
        <f t="shared" ref="J54:O54" si="39">-SUM(J55:J68)</f>
        <v>-14234.011411999998</v>
      </c>
      <c r="K54" s="1296">
        <f t="shared" si="39"/>
        <v>-13064.657077</v>
      </c>
      <c r="L54" s="1296">
        <f t="shared" si="39"/>
        <v>-4340.9591399999999</v>
      </c>
      <c r="M54" s="1296">
        <f t="shared" si="39"/>
        <v>-15322.754540999998</v>
      </c>
      <c r="N54" s="1296">
        <f t="shared" si="39"/>
        <v>-11981.065388000001</v>
      </c>
      <c r="O54" s="1296">
        <f t="shared" si="39"/>
        <v>0</v>
      </c>
      <c r="P54" s="1065"/>
      <c r="Q54" s="1065"/>
    </row>
    <row r="55" spans="1:17" s="1065" customFormat="1" ht="13.5" customHeight="1" x14ac:dyDescent="0.3">
      <c r="B55" s="1300" t="s">
        <v>1829</v>
      </c>
      <c r="C55" s="1296">
        <f>DART!C188</f>
        <v>13191218481</v>
      </c>
      <c r="D55" s="1296">
        <f>DART!E188</f>
        <v>11410728799</v>
      </c>
      <c r="E55" s="1296">
        <f>DART!G188</f>
        <v>2000000000</v>
      </c>
      <c r="F55" s="1296">
        <f>DART!I188</f>
        <v>7030000000</v>
      </c>
      <c r="G55" s="1296">
        <f>DART!K188</f>
        <v>10000000000</v>
      </c>
      <c r="H55" s="1296"/>
      <c r="I55" s="1069"/>
      <c r="J55" s="1296">
        <f t="shared" ref="J55" si="40">C55/1000000</f>
        <v>13191.218481</v>
      </c>
      <c r="K55" s="1296">
        <f t="shared" ref="K55:K68" si="41">D55/1000000</f>
        <v>11410.728799</v>
      </c>
      <c r="L55" s="1296">
        <f t="shared" ref="L55:L68" si="42">E55/1000000</f>
        <v>2000</v>
      </c>
      <c r="M55" s="1296">
        <f t="shared" ref="M55:M68" si="43">F55/1000000</f>
        <v>7030</v>
      </c>
      <c r="N55" s="1296">
        <f t="shared" ref="N55:N68" si="44">G55/1000000</f>
        <v>10000</v>
      </c>
      <c r="O55" s="1296">
        <f t="shared" ref="O55:O68" si="45">H55/1000000</f>
        <v>0</v>
      </c>
    </row>
    <row r="56" spans="1:17" s="1065" customFormat="1" ht="13.5" customHeight="1" x14ac:dyDescent="0.3">
      <c r="B56" s="1300" t="s">
        <v>1830</v>
      </c>
      <c r="C56" s="1296">
        <f>DART!C189</f>
        <v>60533000</v>
      </c>
      <c r="D56" s="1296">
        <f>DART!E189</f>
        <v>144694720</v>
      </c>
      <c r="E56" s="1296">
        <f>DART!G189</f>
        <v>100000000</v>
      </c>
      <c r="F56" s="1296">
        <f>DART!I189</f>
        <v>0</v>
      </c>
      <c r="G56" s="1296">
        <f>DART!K189</f>
        <v>499999500</v>
      </c>
      <c r="H56" s="1113"/>
      <c r="I56" s="1069"/>
      <c r="J56" s="1296">
        <f t="shared" ref="J56:J68" si="46">C56/1000000</f>
        <v>60.533000000000001</v>
      </c>
      <c r="K56" s="1296">
        <f t="shared" si="41"/>
        <v>144.69471999999999</v>
      </c>
      <c r="L56" s="1296">
        <f t="shared" si="42"/>
        <v>100</v>
      </c>
      <c r="M56" s="1296">
        <f t="shared" si="43"/>
        <v>0</v>
      </c>
      <c r="N56" s="1296">
        <f t="shared" si="44"/>
        <v>499.99950000000001</v>
      </c>
      <c r="O56" s="1296">
        <f t="shared" si="45"/>
        <v>0</v>
      </c>
    </row>
    <row r="57" spans="1:17" s="1065" customFormat="1" ht="13.5" customHeight="1" x14ac:dyDescent="0.3">
      <c r="B57" s="1300" t="s">
        <v>1831</v>
      </c>
      <c r="C57" s="1296">
        <f>DART!C190</f>
        <v>0</v>
      </c>
      <c r="D57" s="1296">
        <f>DART!E190</f>
        <v>0</v>
      </c>
      <c r="E57" s="1296">
        <f>DART!G190</f>
        <v>0</v>
      </c>
      <c r="F57" s="1296">
        <f>DART!I190</f>
        <v>0</v>
      </c>
      <c r="G57" s="1296">
        <f>DART!K190</f>
        <v>183000000</v>
      </c>
      <c r="H57" s="1296"/>
      <c r="I57" s="1069"/>
      <c r="J57" s="1296">
        <f t="shared" si="46"/>
        <v>0</v>
      </c>
      <c r="K57" s="1296">
        <f t="shared" si="41"/>
        <v>0</v>
      </c>
      <c r="L57" s="1296">
        <f t="shared" si="42"/>
        <v>0</v>
      </c>
      <c r="M57" s="1296">
        <f t="shared" si="43"/>
        <v>0</v>
      </c>
      <c r="N57" s="1296">
        <f t="shared" si="44"/>
        <v>183</v>
      </c>
      <c r="O57" s="1296">
        <f t="shared" si="45"/>
        <v>0</v>
      </c>
    </row>
    <row r="58" spans="1:17" s="1065" customFormat="1" ht="13.5" customHeight="1" x14ac:dyDescent="0.3">
      <c r="B58" s="1300" t="s">
        <v>1832</v>
      </c>
      <c r="C58" s="1296">
        <f>DART!C191</f>
        <v>0</v>
      </c>
      <c r="D58" s="1296">
        <f>DART!E191</f>
        <v>0</v>
      </c>
      <c r="E58" s="1296">
        <f>DART!G191</f>
        <v>0</v>
      </c>
      <c r="F58" s="1296">
        <f>DART!I191</f>
        <v>0</v>
      </c>
      <c r="G58" s="1296">
        <f>DART!K191</f>
        <v>1570402</v>
      </c>
      <c r="H58" s="1296"/>
      <c r="I58" s="1103"/>
      <c r="J58" s="1296">
        <f t="shared" si="46"/>
        <v>0</v>
      </c>
      <c r="K58" s="1296">
        <f t="shared" si="41"/>
        <v>0</v>
      </c>
      <c r="L58" s="1296">
        <f t="shared" si="42"/>
        <v>0</v>
      </c>
      <c r="M58" s="1296">
        <f t="shared" si="43"/>
        <v>0</v>
      </c>
      <c r="N58" s="1296">
        <f t="shared" si="44"/>
        <v>1.5704020000000001</v>
      </c>
      <c r="O58" s="1296">
        <f t="shared" si="45"/>
        <v>0</v>
      </c>
      <c r="P58" s="1102"/>
      <c r="Q58" s="1102"/>
    </row>
    <row r="59" spans="1:17" s="1065" customFormat="1" ht="13.5" customHeight="1" x14ac:dyDescent="0.3">
      <c r="B59" s="1300" t="s">
        <v>1833</v>
      </c>
      <c r="C59" s="1296">
        <f>DART!C192</f>
        <v>0</v>
      </c>
      <c r="D59" s="1296">
        <f>DART!E192</f>
        <v>0</v>
      </c>
      <c r="E59" s="1296">
        <f>DART!G192</f>
        <v>0</v>
      </c>
      <c r="F59" s="1296">
        <f>DART!I192</f>
        <v>6695646780</v>
      </c>
      <c r="G59" s="1296">
        <f>DART!K192</f>
        <v>310939400</v>
      </c>
      <c r="H59" s="1113"/>
      <c r="I59" s="1068"/>
      <c r="J59" s="1296">
        <f t="shared" si="46"/>
        <v>0</v>
      </c>
      <c r="K59" s="1296">
        <f t="shared" si="41"/>
        <v>0</v>
      </c>
      <c r="L59" s="1296">
        <f t="shared" si="42"/>
        <v>0</v>
      </c>
      <c r="M59" s="1296">
        <f t="shared" si="43"/>
        <v>6695.64678</v>
      </c>
      <c r="N59" s="1296">
        <f t="shared" si="44"/>
        <v>310.93939999999998</v>
      </c>
      <c r="O59" s="1296">
        <f t="shared" si="45"/>
        <v>0</v>
      </c>
    </row>
    <row r="60" spans="1:17" s="1065" customFormat="1" ht="13.5" customHeight="1" x14ac:dyDescent="0.3">
      <c r="B60" s="1300" t="s">
        <v>1834</v>
      </c>
      <c r="C60" s="1296">
        <f>DART!C193</f>
        <v>49670000</v>
      </c>
      <c r="D60" s="1296">
        <f>DART!E193</f>
        <v>556220000</v>
      </c>
      <c r="E60" s="1296">
        <f>DART!G193</f>
        <v>123000000</v>
      </c>
      <c r="F60" s="1296">
        <f>DART!I193</f>
        <v>19700000</v>
      </c>
      <c r="G60" s="1296">
        <f>DART!K193</f>
        <v>34056000</v>
      </c>
      <c r="H60" s="1113"/>
      <c r="I60" s="1068"/>
      <c r="J60" s="1296">
        <f t="shared" si="46"/>
        <v>49.67</v>
      </c>
      <c r="K60" s="1296">
        <f t="shared" si="41"/>
        <v>556.22</v>
      </c>
      <c r="L60" s="1296">
        <f t="shared" si="42"/>
        <v>123</v>
      </c>
      <c r="M60" s="1296">
        <f t="shared" si="43"/>
        <v>19.7</v>
      </c>
      <c r="N60" s="1296">
        <f t="shared" si="44"/>
        <v>34.055999999999997</v>
      </c>
      <c r="O60" s="1296">
        <f t="shared" si="45"/>
        <v>0</v>
      </c>
    </row>
    <row r="61" spans="1:17" s="1065" customFormat="1" ht="13.5" customHeight="1" x14ac:dyDescent="0.3">
      <c r="B61" s="1300" t="s">
        <v>1835</v>
      </c>
      <c r="C61" s="1296">
        <f>DART!C194</f>
        <v>184293370</v>
      </c>
      <c r="D61" s="1296">
        <f>DART!E194</f>
        <v>0</v>
      </c>
      <c r="E61" s="1296">
        <f>DART!G194</f>
        <v>0</v>
      </c>
      <c r="F61" s="1296">
        <f>DART!I194</f>
        <v>231118470</v>
      </c>
      <c r="G61" s="1296">
        <f>DART!K194</f>
        <v>70139800</v>
      </c>
      <c r="H61" s="1113"/>
      <c r="I61" s="1069"/>
      <c r="J61" s="1296">
        <f t="shared" si="46"/>
        <v>184.29337000000001</v>
      </c>
      <c r="K61" s="1296">
        <f t="shared" si="41"/>
        <v>0</v>
      </c>
      <c r="L61" s="1296">
        <f t="shared" si="42"/>
        <v>0</v>
      </c>
      <c r="M61" s="1296">
        <f t="shared" si="43"/>
        <v>231.11847</v>
      </c>
      <c r="N61" s="1296">
        <f t="shared" si="44"/>
        <v>70.139799999999994</v>
      </c>
      <c r="O61" s="1296">
        <f t="shared" si="45"/>
        <v>0</v>
      </c>
    </row>
    <row r="62" spans="1:17" s="1065" customFormat="1" ht="13.5" customHeight="1" x14ac:dyDescent="0.3">
      <c r="B62" s="1300" t="s">
        <v>1836</v>
      </c>
      <c r="C62" s="1296">
        <f>DART!C195</f>
        <v>118482471</v>
      </c>
      <c r="D62" s="1296">
        <f>DART!E195</f>
        <v>366841828</v>
      </c>
      <c r="E62" s="1296">
        <f>DART!G195</f>
        <v>173267000</v>
      </c>
      <c r="F62" s="1296">
        <f>DART!I195</f>
        <v>211332000</v>
      </c>
      <c r="G62" s="1296">
        <f>DART!K195</f>
        <v>142773364</v>
      </c>
      <c r="H62" s="1113"/>
      <c r="I62" s="1069"/>
      <c r="J62" s="1296">
        <f t="shared" si="46"/>
        <v>118.482471</v>
      </c>
      <c r="K62" s="1296">
        <f t="shared" si="41"/>
        <v>366.84182800000002</v>
      </c>
      <c r="L62" s="1296">
        <f t="shared" si="42"/>
        <v>173.267</v>
      </c>
      <c r="M62" s="1296">
        <f t="shared" si="43"/>
        <v>211.33199999999999</v>
      </c>
      <c r="N62" s="1296">
        <f t="shared" si="44"/>
        <v>142.77336399999999</v>
      </c>
      <c r="O62" s="1296">
        <f t="shared" si="45"/>
        <v>0</v>
      </c>
    </row>
    <row r="63" spans="1:17" s="1065" customFormat="1" ht="13.5" customHeight="1" x14ac:dyDescent="0.3">
      <c r="B63" s="1300" t="s">
        <v>1837</v>
      </c>
      <c r="C63" s="1296">
        <f>DART!C196</f>
        <v>1500000</v>
      </c>
      <c r="D63" s="1296">
        <f>DART!E196</f>
        <v>24211510</v>
      </c>
      <c r="E63" s="1296">
        <f>DART!G196</f>
        <v>24892500</v>
      </c>
      <c r="F63" s="1296">
        <f>DART!I196</f>
        <v>418801491</v>
      </c>
      <c r="G63" s="1296">
        <f>DART!K196</f>
        <v>23874300</v>
      </c>
      <c r="H63" s="1296"/>
      <c r="I63" s="1069"/>
      <c r="J63" s="1296">
        <f t="shared" si="46"/>
        <v>1.5</v>
      </c>
      <c r="K63" s="1296">
        <f t="shared" si="41"/>
        <v>24.211510000000001</v>
      </c>
      <c r="L63" s="1296">
        <f t="shared" si="42"/>
        <v>24.892499999999998</v>
      </c>
      <c r="M63" s="1296">
        <f t="shared" si="43"/>
        <v>418.801491</v>
      </c>
      <c r="N63" s="1296">
        <f t="shared" si="44"/>
        <v>23.874300000000002</v>
      </c>
      <c r="O63" s="1296">
        <f t="shared" si="45"/>
        <v>0</v>
      </c>
    </row>
    <row r="64" spans="1:17" s="1065" customFormat="1" ht="13.5" customHeight="1" x14ac:dyDescent="0.3">
      <c r="B64" s="1300" t="s">
        <v>1838</v>
      </c>
      <c r="C64" s="1296">
        <f>DART!C197</f>
        <v>0</v>
      </c>
      <c r="D64" s="1296">
        <f>DART!E197</f>
        <v>0</v>
      </c>
      <c r="E64" s="1296">
        <f>DART!G197</f>
        <v>129097000</v>
      </c>
      <c r="F64" s="1296">
        <f>DART!I197</f>
        <v>142683000</v>
      </c>
      <c r="G64" s="1296">
        <f>DART!K197</f>
        <v>12754000</v>
      </c>
      <c r="H64" s="1296"/>
      <c r="I64" s="1070"/>
      <c r="J64" s="1296">
        <f t="shared" si="46"/>
        <v>0</v>
      </c>
      <c r="K64" s="1296">
        <f t="shared" si="41"/>
        <v>0</v>
      </c>
      <c r="L64" s="1296">
        <f t="shared" si="42"/>
        <v>129.09700000000001</v>
      </c>
      <c r="M64" s="1296">
        <f t="shared" si="43"/>
        <v>142.68299999999999</v>
      </c>
      <c r="N64" s="1296">
        <f t="shared" si="44"/>
        <v>12.754</v>
      </c>
      <c r="O64" s="1296">
        <f t="shared" si="45"/>
        <v>0</v>
      </c>
      <c r="P64" s="1039"/>
      <c r="Q64" s="1039"/>
    </row>
    <row r="65" spans="1:17" s="1065" customFormat="1" ht="13.5" customHeight="1" x14ac:dyDescent="0.3">
      <c r="B65" s="1300" t="s">
        <v>1839</v>
      </c>
      <c r="C65" s="1296">
        <f>DART!C198</f>
        <v>368741000</v>
      </c>
      <c r="D65" s="1296">
        <f>DART!E198</f>
        <v>218762220</v>
      </c>
      <c r="E65" s="1296">
        <f>DART!G198</f>
        <v>0</v>
      </c>
      <c r="F65" s="1296">
        <f>DART!I198</f>
        <v>0</v>
      </c>
      <c r="G65" s="1296">
        <f>DART!K198</f>
        <v>520730491</v>
      </c>
      <c r="H65" s="1113"/>
      <c r="I65" s="1070"/>
      <c r="J65" s="1296">
        <f t="shared" si="46"/>
        <v>368.74099999999999</v>
      </c>
      <c r="K65" s="1296">
        <f t="shared" si="41"/>
        <v>218.76222000000001</v>
      </c>
      <c r="L65" s="1296">
        <f t="shared" si="42"/>
        <v>0</v>
      </c>
      <c r="M65" s="1296">
        <f t="shared" si="43"/>
        <v>0</v>
      </c>
      <c r="N65" s="1296">
        <f t="shared" si="44"/>
        <v>520.73049100000003</v>
      </c>
      <c r="O65" s="1296">
        <f t="shared" si="45"/>
        <v>0</v>
      </c>
      <c r="P65" s="1039"/>
      <c r="Q65" s="1039"/>
    </row>
    <row r="66" spans="1:17" s="1065" customFormat="1" ht="13.5" customHeight="1" x14ac:dyDescent="0.3">
      <c r="B66" s="1300" t="s">
        <v>1840</v>
      </c>
      <c r="C66" s="1296">
        <f>DART!C199</f>
        <v>17404000</v>
      </c>
      <c r="D66" s="1296">
        <f>DART!E199</f>
        <v>34400000</v>
      </c>
      <c r="E66" s="1296">
        <f>DART!G199</f>
        <v>147910000</v>
      </c>
      <c r="F66" s="1296">
        <f>DART!I199</f>
        <v>37390000</v>
      </c>
      <c r="G66" s="1296">
        <f>DART!K199</f>
        <v>7386131</v>
      </c>
      <c r="H66" s="1296"/>
      <c r="I66" s="1070"/>
      <c r="J66" s="1296">
        <f t="shared" si="46"/>
        <v>17.404</v>
      </c>
      <c r="K66" s="1296">
        <f t="shared" si="41"/>
        <v>34.4</v>
      </c>
      <c r="L66" s="1296">
        <f t="shared" si="42"/>
        <v>147.91</v>
      </c>
      <c r="M66" s="1296">
        <f t="shared" si="43"/>
        <v>37.39</v>
      </c>
      <c r="N66" s="1296">
        <f t="shared" si="44"/>
        <v>7.3861309999999998</v>
      </c>
      <c r="O66" s="1296">
        <f t="shared" si="45"/>
        <v>0</v>
      </c>
      <c r="P66" s="1039"/>
      <c r="Q66" s="1039"/>
    </row>
    <row r="67" spans="1:17" s="1065" customFormat="1" ht="13.5" customHeight="1" x14ac:dyDescent="0.3">
      <c r="B67" s="1300" t="s">
        <v>1841</v>
      </c>
      <c r="C67" s="1296">
        <f>DART!C200</f>
        <v>2091290</v>
      </c>
      <c r="D67" s="1296">
        <f>DART!E200</f>
        <v>0</v>
      </c>
      <c r="E67" s="1296">
        <f>DART!G200</f>
        <v>622520640</v>
      </c>
      <c r="F67" s="1296">
        <f>DART!I200</f>
        <v>374639800</v>
      </c>
      <c r="G67" s="1296">
        <f>DART!K200</f>
        <v>57000000</v>
      </c>
      <c r="H67" s="1296"/>
      <c r="I67" s="1070"/>
      <c r="J67" s="1296">
        <f t="shared" si="46"/>
        <v>2.0912899999999999</v>
      </c>
      <c r="K67" s="1296">
        <f t="shared" si="41"/>
        <v>0</v>
      </c>
      <c r="L67" s="1296">
        <f t="shared" si="42"/>
        <v>622.52063999999996</v>
      </c>
      <c r="M67" s="1296">
        <f t="shared" si="43"/>
        <v>374.63979999999998</v>
      </c>
      <c r="N67" s="1296">
        <f t="shared" si="44"/>
        <v>57</v>
      </c>
      <c r="O67" s="1296">
        <f t="shared" si="45"/>
        <v>0</v>
      </c>
      <c r="P67" s="1039"/>
      <c r="Q67" s="1039"/>
    </row>
    <row r="68" spans="1:17" s="1065" customFormat="1" ht="13.5" customHeight="1" x14ac:dyDescent="0.3">
      <c r="B68" s="1300" t="s">
        <v>1842</v>
      </c>
      <c r="C68" s="1296">
        <f>DART!C201</f>
        <v>240077800</v>
      </c>
      <c r="D68" s="1296">
        <f>DART!E201</f>
        <v>308798000</v>
      </c>
      <c r="E68" s="1296">
        <f>DART!G201</f>
        <v>1020272000</v>
      </c>
      <c r="F68" s="1296">
        <f>DART!I201</f>
        <v>161443000</v>
      </c>
      <c r="G68" s="1296">
        <f>DART!K201</f>
        <v>116842000</v>
      </c>
      <c r="H68" s="1296"/>
      <c r="I68" s="1039"/>
      <c r="J68" s="1296">
        <f t="shared" si="46"/>
        <v>240.0778</v>
      </c>
      <c r="K68" s="1296">
        <f t="shared" si="41"/>
        <v>308.798</v>
      </c>
      <c r="L68" s="1296">
        <f t="shared" si="42"/>
        <v>1020.272</v>
      </c>
      <c r="M68" s="1296">
        <f t="shared" si="43"/>
        <v>161.44300000000001</v>
      </c>
      <c r="N68" s="1296">
        <f t="shared" si="44"/>
        <v>116.842</v>
      </c>
      <c r="O68" s="1296">
        <f t="shared" si="45"/>
        <v>0</v>
      </c>
      <c r="P68" s="1039"/>
      <c r="Q68" s="1039"/>
    </row>
    <row r="69" spans="1:17" s="1065" customFormat="1" ht="13.5" customHeight="1" x14ac:dyDescent="0.3">
      <c r="B69" s="1298" t="s">
        <v>2174</v>
      </c>
      <c r="C69" s="1113">
        <f>C70+C72</f>
        <v>-1500000000</v>
      </c>
      <c r="D69" s="1113">
        <f t="shared" ref="D69:H69" si="47">D70+D72</f>
        <v>-1800000000</v>
      </c>
      <c r="E69" s="1113">
        <f t="shared" si="47"/>
        <v>-294212200</v>
      </c>
      <c r="F69" s="1113">
        <f t="shared" si="47"/>
        <v>-3509787800</v>
      </c>
      <c r="G69" s="1113">
        <f t="shared" si="47"/>
        <v>-2004000000</v>
      </c>
      <c r="H69" s="1113">
        <f t="shared" si="47"/>
        <v>0</v>
      </c>
      <c r="I69" s="1039"/>
      <c r="J69" s="1113">
        <f t="shared" ref="J69" si="48">J70+J72</f>
        <v>-1500</v>
      </c>
      <c r="K69" s="1113">
        <f t="shared" ref="K69" si="49">K70+K72</f>
        <v>-1800</v>
      </c>
      <c r="L69" s="1113">
        <f t="shared" ref="L69" si="50">L70+L72</f>
        <v>-294.21219999999994</v>
      </c>
      <c r="M69" s="1113">
        <f t="shared" ref="M69" si="51">M70+M72</f>
        <v>-3509.7878000000001</v>
      </c>
      <c r="N69" s="1113">
        <f t="shared" ref="N69" si="52">N70+N72</f>
        <v>-2004</v>
      </c>
      <c r="O69" s="1113">
        <f t="shared" ref="O69" si="53">O70+O72</f>
        <v>0</v>
      </c>
      <c r="P69" s="1039"/>
      <c r="Q69" s="1039"/>
    </row>
    <row r="70" spans="1:17" s="1065" customFormat="1" ht="13.5" customHeight="1" x14ac:dyDescent="0.3">
      <c r="B70" s="1299" t="s">
        <v>2184</v>
      </c>
      <c r="C70" s="1296">
        <f>SUM(C71)</f>
        <v>0</v>
      </c>
      <c r="D70" s="1296">
        <f t="shared" ref="D70:J70" si="54">SUM(D71)</f>
        <v>0</v>
      </c>
      <c r="E70" s="1296">
        <f t="shared" si="54"/>
        <v>1505787800</v>
      </c>
      <c r="F70" s="1296">
        <f t="shared" si="54"/>
        <v>0</v>
      </c>
      <c r="G70" s="1296">
        <f t="shared" si="54"/>
        <v>0</v>
      </c>
      <c r="H70" s="1296">
        <f t="shared" si="54"/>
        <v>0</v>
      </c>
      <c r="I70" s="1039"/>
      <c r="J70" s="1296">
        <f t="shared" si="54"/>
        <v>0</v>
      </c>
      <c r="K70" s="1296">
        <f t="shared" ref="K70" si="55">SUM(K71)</f>
        <v>0</v>
      </c>
      <c r="L70" s="1296">
        <f t="shared" ref="L70" si="56">SUM(L71)</f>
        <v>1505.7878000000001</v>
      </c>
      <c r="M70" s="1296">
        <f t="shared" ref="M70" si="57">SUM(M71)</f>
        <v>0</v>
      </c>
      <c r="N70" s="1296">
        <f t="shared" ref="N70" si="58">SUM(N71)</f>
        <v>0</v>
      </c>
      <c r="O70" s="1296">
        <f t="shared" ref="O70" si="59">SUM(O71)</f>
        <v>0</v>
      </c>
      <c r="P70" s="1039"/>
      <c r="Q70" s="1039"/>
    </row>
    <row r="71" spans="1:17" s="1065" customFormat="1" ht="13.5" customHeight="1" x14ac:dyDescent="0.3">
      <c r="B71" s="1300" t="s">
        <v>2185</v>
      </c>
      <c r="C71" s="1296">
        <f>DART!C204</f>
        <v>0</v>
      </c>
      <c r="D71" s="1296">
        <f>DART!E204</f>
        <v>0</v>
      </c>
      <c r="E71" s="1296">
        <f>DART!G204</f>
        <v>1505787800</v>
      </c>
      <c r="F71" s="1296">
        <f>DART!I204</f>
        <v>0</v>
      </c>
      <c r="G71" s="1296">
        <f>DART!K204</f>
        <v>0</v>
      </c>
      <c r="H71" s="1296"/>
      <c r="I71" s="1039"/>
      <c r="J71" s="1296">
        <f t="shared" ref="J71" si="60">C71/1000000</f>
        <v>0</v>
      </c>
      <c r="K71" s="1296">
        <f t="shared" ref="K71" si="61">D71/1000000</f>
        <v>0</v>
      </c>
      <c r="L71" s="1296">
        <f t="shared" ref="L71" si="62">E71/1000000</f>
        <v>1505.7878000000001</v>
      </c>
      <c r="M71" s="1296">
        <f t="shared" ref="M71" si="63">F71/1000000</f>
        <v>0</v>
      </c>
      <c r="N71" s="1296">
        <f t="shared" ref="N71" si="64">G71/1000000</f>
        <v>0</v>
      </c>
      <c r="O71" s="1296">
        <f t="shared" ref="O71" si="65">H71/1000000</f>
        <v>0</v>
      </c>
      <c r="P71" s="1039"/>
      <c r="Q71" s="1039"/>
    </row>
    <row r="72" spans="1:17" s="1065" customFormat="1" ht="13.5" customHeight="1" x14ac:dyDescent="0.3">
      <c r="B72" s="1299" t="s">
        <v>2186</v>
      </c>
      <c r="C72" s="1296">
        <f>-SUM(C73:C74)</f>
        <v>-1500000000</v>
      </c>
      <c r="D72" s="1296">
        <f t="shared" ref="D72:G72" si="66">-SUM(D73:D74)</f>
        <v>-1800000000</v>
      </c>
      <c r="E72" s="1296">
        <f t="shared" si="66"/>
        <v>-1800000000</v>
      </c>
      <c r="F72" s="1296">
        <f t="shared" si="66"/>
        <v>-3509787800</v>
      </c>
      <c r="G72" s="1296">
        <f t="shared" si="66"/>
        <v>-2004000000</v>
      </c>
      <c r="H72" s="1296">
        <f>-SUM(H73:H74)</f>
        <v>0</v>
      </c>
      <c r="I72" s="1039"/>
      <c r="J72" s="1296">
        <f t="shared" ref="J72" si="67">-SUM(J73:J74)</f>
        <v>-1500</v>
      </c>
      <c r="K72" s="1296">
        <f t="shared" ref="K72" si="68">-SUM(K73:K74)</f>
        <v>-1800</v>
      </c>
      <c r="L72" s="1296">
        <f t="shared" ref="L72" si="69">-SUM(L73:L74)</f>
        <v>-1800</v>
      </c>
      <c r="M72" s="1296">
        <f t="shared" ref="M72" si="70">-SUM(M73:M74)</f>
        <v>-3509.7878000000001</v>
      </c>
      <c r="N72" s="1296">
        <f t="shared" ref="N72" si="71">-SUM(N73:N74)</f>
        <v>-2004</v>
      </c>
      <c r="O72" s="1296">
        <f t="shared" ref="O72" si="72">-SUM(O73:O74)</f>
        <v>0</v>
      </c>
      <c r="P72" s="1039"/>
      <c r="Q72" s="1039"/>
    </row>
    <row r="73" spans="1:17" s="1104" customFormat="1" ht="13.5" customHeight="1" x14ac:dyDescent="0.3">
      <c r="A73" s="1065"/>
      <c r="B73" s="1300" t="s">
        <v>2187</v>
      </c>
      <c r="C73" s="1296">
        <f>DART!C206</f>
        <v>0</v>
      </c>
      <c r="D73" s="1296">
        <f>DART!E206</f>
        <v>0</v>
      </c>
      <c r="E73" s="1296">
        <f>DART!G206</f>
        <v>0</v>
      </c>
      <c r="F73" s="1296">
        <f>DART!I206</f>
        <v>1505787800</v>
      </c>
      <c r="G73" s="1296">
        <f>DART!K206</f>
        <v>0</v>
      </c>
      <c r="H73" s="1296"/>
      <c r="I73" s="1039"/>
      <c r="J73" s="1296">
        <f t="shared" ref="J73:J74" si="73">C73/1000000</f>
        <v>0</v>
      </c>
      <c r="K73" s="1296">
        <f t="shared" ref="K73:K74" si="74">D73/1000000</f>
        <v>0</v>
      </c>
      <c r="L73" s="1296">
        <f t="shared" ref="L73:L74" si="75">E73/1000000</f>
        <v>0</v>
      </c>
      <c r="M73" s="1296">
        <f t="shared" ref="M73:M74" si="76">F73/1000000</f>
        <v>1505.7878000000001</v>
      </c>
      <c r="N73" s="1296">
        <f t="shared" ref="N73:N74" si="77">G73/1000000</f>
        <v>0</v>
      </c>
      <c r="O73" s="1296">
        <f t="shared" ref="O73:O74" si="78">H73/1000000</f>
        <v>0</v>
      </c>
      <c r="P73" s="1039"/>
      <c r="Q73" s="1039"/>
    </row>
    <row r="74" spans="1:17" ht="13.5" customHeight="1" x14ac:dyDescent="0.3">
      <c r="B74" s="1300" t="s">
        <v>2188</v>
      </c>
      <c r="C74" s="1296">
        <f>DART!C207</f>
        <v>1500000000</v>
      </c>
      <c r="D74" s="1296">
        <f>DART!E207</f>
        <v>1800000000</v>
      </c>
      <c r="E74" s="1296">
        <f>DART!G207</f>
        <v>1800000000</v>
      </c>
      <c r="F74" s="1296">
        <f>DART!I207</f>
        <v>2004000000</v>
      </c>
      <c r="G74" s="1296">
        <f>DART!K207</f>
        <v>2004000000</v>
      </c>
      <c r="H74" s="1296"/>
      <c r="J74" s="1296">
        <f t="shared" si="73"/>
        <v>1500</v>
      </c>
      <c r="K74" s="1296">
        <f t="shared" si="74"/>
        <v>1800</v>
      </c>
      <c r="L74" s="1296">
        <f t="shared" si="75"/>
        <v>1800</v>
      </c>
      <c r="M74" s="1296">
        <f t="shared" si="76"/>
        <v>2004</v>
      </c>
      <c r="N74" s="1296">
        <f t="shared" si="77"/>
        <v>2004</v>
      </c>
      <c r="O74" s="1296">
        <f t="shared" si="78"/>
        <v>0</v>
      </c>
    </row>
    <row r="75" spans="1:17" ht="13.5" customHeight="1" x14ac:dyDescent="0.3">
      <c r="B75" s="1298" t="s">
        <v>2189</v>
      </c>
      <c r="C75" s="1296">
        <f>C7+C46+C69</f>
        <v>6209720909</v>
      </c>
      <c r="D75" s="1296">
        <f t="shared" ref="D75:G75" si="79">D7+D46+D69</f>
        <v>-5536968587</v>
      </c>
      <c r="E75" s="1296">
        <f t="shared" si="79"/>
        <v>-963653506</v>
      </c>
      <c r="F75" s="1296">
        <f t="shared" si="79"/>
        <v>6331531692</v>
      </c>
      <c r="G75" s="1296">
        <f t="shared" si="79"/>
        <v>784418824</v>
      </c>
      <c r="H75" s="1296"/>
      <c r="J75" s="1296">
        <f t="shared" ref="J75:O75" si="80">J7+J46+J69</f>
        <v>6364.8941090000026</v>
      </c>
      <c r="K75" s="1296">
        <f t="shared" si="80"/>
        <v>-5262.9704580000007</v>
      </c>
      <c r="L75" s="1296">
        <f t="shared" si="80"/>
        <v>-855.71417399999473</v>
      </c>
      <c r="M75" s="1296">
        <f t="shared" si="80"/>
        <v>6754.6208620000034</v>
      </c>
      <c r="N75" s="1296">
        <f t="shared" si="80"/>
        <v>701.5002850000028</v>
      </c>
      <c r="O75" s="1296">
        <f t="shared" si="80"/>
        <v>0</v>
      </c>
    </row>
    <row r="76" spans="1:17" ht="13.5" customHeight="1" x14ac:dyDescent="0.3">
      <c r="B76" s="1298" t="s">
        <v>2190</v>
      </c>
      <c r="C76" s="1296">
        <f>DART!D209</f>
        <v>3611322220</v>
      </c>
      <c r="D76" s="1296">
        <f>DART!F209</f>
        <v>9821043129</v>
      </c>
      <c r="E76" s="1296">
        <f>DART!H209</f>
        <v>4284074542</v>
      </c>
      <c r="F76" s="1296">
        <f>DART!J209</f>
        <v>3320421036</v>
      </c>
      <c r="G76" s="1296">
        <f>DART!L209</f>
        <v>9651952728</v>
      </c>
      <c r="H76" s="1296"/>
      <c r="J76" s="1296">
        <f t="shared" ref="J76" si="81">C76/1000000</f>
        <v>3611.32222</v>
      </c>
      <c r="K76" s="1296">
        <f t="shared" ref="K76" si="82">D76/1000000</f>
        <v>9821.0431289999997</v>
      </c>
      <c r="L76" s="1296">
        <f t="shared" ref="L76" si="83">E76/1000000</f>
        <v>4284.0745420000003</v>
      </c>
      <c r="M76" s="1296">
        <f t="shared" ref="M76" si="84">F76/1000000</f>
        <v>3320.4210360000002</v>
      </c>
      <c r="N76" s="1296">
        <f t="shared" ref="N76" si="85">G76/1000000</f>
        <v>9651.9527280000002</v>
      </c>
      <c r="O76" s="1296">
        <f t="shared" ref="O76" si="86">H76/1000000</f>
        <v>0</v>
      </c>
    </row>
    <row r="77" spans="1:17" ht="13.5" customHeight="1" x14ac:dyDescent="0.3">
      <c r="B77" s="1298" t="s">
        <v>2191</v>
      </c>
      <c r="C77" s="1296">
        <f>C75+C76</f>
        <v>9821043129</v>
      </c>
      <c r="D77" s="1296">
        <f t="shared" ref="D77:G77" si="87">D75+D76</f>
        <v>4284074542</v>
      </c>
      <c r="E77" s="1296">
        <f t="shared" si="87"/>
        <v>3320421036</v>
      </c>
      <c r="F77" s="1296">
        <f t="shared" si="87"/>
        <v>9651952728</v>
      </c>
      <c r="G77" s="1296">
        <f t="shared" si="87"/>
        <v>10436371552</v>
      </c>
      <c r="H77" s="1296"/>
      <c r="J77" s="1296">
        <f t="shared" ref="J77:O77" si="88">J75+J76</f>
        <v>9976.2163290000026</v>
      </c>
      <c r="K77" s="1296">
        <f t="shared" si="88"/>
        <v>4558.072670999999</v>
      </c>
      <c r="L77" s="1296">
        <f t="shared" si="88"/>
        <v>3428.3603680000056</v>
      </c>
      <c r="M77" s="1296">
        <f t="shared" si="88"/>
        <v>10075.041898000003</v>
      </c>
      <c r="N77" s="1296">
        <f t="shared" si="88"/>
        <v>10353.453013000002</v>
      </c>
      <c r="O77" s="1296">
        <f t="shared" si="88"/>
        <v>0</v>
      </c>
    </row>
  </sheetData>
  <mergeCells count="1">
    <mergeCell ref="B4:B6"/>
  </mergeCells>
  <phoneticPr fontId="1" type="noConversion"/>
  <pageMargins left="0.7" right="0.7" top="0.75" bottom="0.75" header="0.3" footer="0.3"/>
  <ignoredErrors>
    <ignoredError sqref="J10:N26" formula="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10"/>
  <sheetViews>
    <sheetView topLeftCell="A19" zoomScale="85" zoomScaleNormal="85" workbookViewId="0">
      <selection activeCell="C90" sqref="C90"/>
    </sheetView>
  </sheetViews>
  <sheetFormatPr defaultRowHeight="16.5" x14ac:dyDescent="0.3"/>
  <cols>
    <col min="1" max="1" width="1.625" style="691" customWidth="1"/>
    <col min="2" max="2" width="39" style="691" customWidth="1"/>
    <col min="3" max="4" width="15.5" style="691" customWidth="1"/>
    <col min="5" max="8" width="15.5" style="691" bestFit="1" customWidth="1"/>
    <col min="9" max="12" width="14.875" style="691" customWidth="1"/>
    <col min="13" max="16384" width="9" style="691"/>
  </cols>
  <sheetData>
    <row r="2" spans="2:12" x14ac:dyDescent="0.3">
      <c r="B2" s="208" t="s">
        <v>1851</v>
      </c>
      <c r="C2" s="208"/>
      <c r="D2" s="208"/>
    </row>
    <row r="3" spans="2:12" ht="16.5" customHeight="1" x14ac:dyDescent="0.3">
      <c r="B3" s="1033" t="s">
        <v>1670</v>
      </c>
      <c r="C3" s="2175">
        <v>2010</v>
      </c>
      <c r="D3" s="2176"/>
      <c r="E3" s="2174">
        <v>2011</v>
      </c>
      <c r="F3" s="2174"/>
      <c r="G3" s="2174">
        <v>2012</v>
      </c>
      <c r="H3" s="2174"/>
      <c r="I3" s="2174">
        <v>2013</v>
      </c>
      <c r="J3" s="2174"/>
      <c r="K3" s="2174">
        <v>2014</v>
      </c>
      <c r="L3" s="2174"/>
    </row>
    <row r="4" spans="2:12" x14ac:dyDescent="0.3">
      <c r="B4" s="1034" t="s">
        <v>1671</v>
      </c>
      <c r="C4" s="1119"/>
      <c r="D4" s="1119"/>
      <c r="E4" s="1035"/>
      <c r="F4" s="1035"/>
      <c r="G4" s="1035"/>
      <c r="H4" s="1035"/>
      <c r="I4" s="1035"/>
      <c r="J4" s="1035"/>
      <c r="K4" s="1035"/>
      <c r="L4" s="1035"/>
    </row>
    <row r="5" spans="2:12" x14ac:dyDescent="0.3">
      <c r="B5" s="1034" t="s">
        <v>1672</v>
      </c>
      <c r="C5" s="1036"/>
      <c r="D5" s="1036">
        <v>40937203365</v>
      </c>
      <c r="E5" s="1036"/>
      <c r="F5" s="1036">
        <v>37087359324</v>
      </c>
      <c r="G5" s="1036"/>
      <c r="H5" s="1036">
        <v>69641040727</v>
      </c>
      <c r="I5" s="1036"/>
      <c r="J5" s="1036">
        <v>66925905916</v>
      </c>
      <c r="K5" s="1036"/>
      <c r="L5" s="1036">
        <v>95061867584</v>
      </c>
    </row>
    <row r="6" spans="2:12" x14ac:dyDescent="0.3">
      <c r="B6" s="1037" t="s">
        <v>1673</v>
      </c>
      <c r="C6" s="1036"/>
      <c r="D6" s="1036">
        <v>40191248465</v>
      </c>
      <c r="E6" s="1036"/>
      <c r="F6" s="1036">
        <v>36458429318</v>
      </c>
      <c r="G6" s="1036"/>
      <c r="H6" s="1036">
        <v>67281307715</v>
      </c>
      <c r="I6" s="1036"/>
      <c r="J6" s="1036">
        <v>62904090299</v>
      </c>
      <c r="K6" s="1036"/>
      <c r="L6" s="1036">
        <v>92661890078</v>
      </c>
    </row>
    <row r="7" spans="2:12" x14ac:dyDescent="0.3">
      <c r="B7" s="1038" t="s">
        <v>1674</v>
      </c>
      <c r="C7" s="1036">
        <v>9821043129</v>
      </c>
      <c r="D7" s="1036"/>
      <c r="E7" s="1036">
        <v>4284074542</v>
      </c>
      <c r="F7" s="1036"/>
      <c r="G7" s="1036">
        <v>3320421036</v>
      </c>
      <c r="H7" s="1036"/>
      <c r="I7" s="1036">
        <v>9651952728</v>
      </c>
      <c r="J7" s="1036"/>
      <c r="K7" s="1036">
        <v>10436371552</v>
      </c>
      <c r="L7" s="1036"/>
    </row>
    <row r="8" spans="2:12" x14ac:dyDescent="0.3">
      <c r="B8" s="1038" t="s">
        <v>1675</v>
      </c>
      <c r="C8" s="1036">
        <v>12000000000</v>
      </c>
      <c r="D8" s="1036"/>
      <c r="E8" s="1036">
        <v>10030000000</v>
      </c>
      <c r="F8" s="1036"/>
      <c r="G8" s="1036">
        <v>12030000000</v>
      </c>
      <c r="H8" s="1036"/>
      <c r="I8" s="1036">
        <v>7030000000</v>
      </c>
      <c r="J8" s="1036"/>
      <c r="K8" s="1036">
        <v>10030000000</v>
      </c>
      <c r="L8" s="1036"/>
    </row>
    <row r="9" spans="2:12" x14ac:dyDescent="0.3">
      <c r="B9" s="1038" t="s">
        <v>1676</v>
      </c>
      <c r="C9" s="1036">
        <v>17997574732</v>
      </c>
      <c r="D9" s="1036"/>
      <c r="E9" s="1036">
        <v>21271679916</v>
      </c>
      <c r="F9" s="1036"/>
      <c r="G9" s="1036">
        <v>51542899890</v>
      </c>
      <c r="H9" s="1036"/>
      <c r="I9" s="1036">
        <v>45208136971</v>
      </c>
      <c r="J9" s="1036"/>
      <c r="K9" s="1036">
        <v>72602220313</v>
      </c>
      <c r="L9" s="1036"/>
    </row>
    <row r="10" spans="2:12" x14ac:dyDescent="0.3">
      <c r="B10" s="1038" t="s">
        <v>1677</v>
      </c>
      <c r="C10" s="1036">
        <v>-224118349</v>
      </c>
      <c r="D10" s="1036"/>
      <c r="E10" s="1036">
        <v>-240346626</v>
      </c>
      <c r="F10" s="1036"/>
      <c r="G10" s="1036">
        <v>-637797326</v>
      </c>
      <c r="H10" s="1036"/>
      <c r="I10" s="1036">
        <v>-873372568</v>
      </c>
      <c r="J10" s="1036"/>
      <c r="K10" s="1036">
        <v>-1323553773</v>
      </c>
      <c r="L10" s="1036"/>
    </row>
    <row r="11" spans="2:12" x14ac:dyDescent="0.3">
      <c r="B11" s="1038" t="s">
        <v>1678</v>
      </c>
      <c r="C11" s="1036">
        <v>17831636</v>
      </c>
      <c r="D11" s="1036"/>
      <c r="E11" s="1036">
        <v>15063814</v>
      </c>
      <c r="F11" s="1036"/>
      <c r="G11" s="1036">
        <v>10904033</v>
      </c>
      <c r="H11" s="1036"/>
      <c r="I11" s="1036">
        <v>6904033</v>
      </c>
      <c r="J11" s="1036"/>
      <c r="K11" s="1036">
        <v>8474435</v>
      </c>
      <c r="L11" s="1036"/>
    </row>
    <row r="12" spans="2:12" x14ac:dyDescent="0.3">
      <c r="B12" s="1038" t="s">
        <v>1679</v>
      </c>
      <c r="C12" s="1036">
        <v>1128578</v>
      </c>
      <c r="D12" s="1036"/>
      <c r="E12" s="1036">
        <v>66582030</v>
      </c>
      <c r="F12" s="1036"/>
      <c r="G12" s="1036">
        <v>35281610</v>
      </c>
      <c r="H12" s="1036"/>
      <c r="I12" s="1036">
        <v>490632936</v>
      </c>
      <c r="J12" s="1036"/>
      <c r="K12" s="1036">
        <v>50092693</v>
      </c>
      <c r="L12" s="1036"/>
    </row>
    <row r="13" spans="2:12" x14ac:dyDescent="0.3">
      <c r="B13" s="1038" t="s">
        <v>1680</v>
      </c>
      <c r="C13" s="1036">
        <v>0</v>
      </c>
      <c r="D13" s="1036"/>
      <c r="E13" s="1036">
        <v>0</v>
      </c>
      <c r="F13" s="1036"/>
      <c r="G13" s="1036">
        <v>0</v>
      </c>
      <c r="H13" s="1036"/>
      <c r="I13" s="1036">
        <v>-8586589</v>
      </c>
      <c r="J13" s="1036"/>
      <c r="K13" s="1036">
        <v>-6368280</v>
      </c>
      <c r="L13" s="1036"/>
    </row>
    <row r="14" spans="2:12" x14ac:dyDescent="0.3">
      <c r="B14" s="1038" t="s">
        <v>1681</v>
      </c>
      <c r="C14" s="1036">
        <v>229114713</v>
      </c>
      <c r="D14" s="1036"/>
      <c r="E14" s="1036">
        <v>212149267</v>
      </c>
      <c r="F14" s="1036"/>
      <c r="G14" s="1036">
        <v>218917651</v>
      </c>
      <c r="H14" s="1036"/>
      <c r="I14" s="1036">
        <v>96944364</v>
      </c>
      <c r="J14" s="1036"/>
      <c r="K14" s="1036">
        <v>112022614</v>
      </c>
      <c r="L14" s="1036"/>
    </row>
    <row r="15" spans="2:12" x14ac:dyDescent="0.3">
      <c r="B15" s="1038" t="s">
        <v>1682</v>
      </c>
      <c r="C15" s="1036">
        <v>135931824</v>
      </c>
      <c r="D15" s="1036"/>
      <c r="E15" s="1036">
        <v>717944910</v>
      </c>
      <c r="F15" s="1036"/>
      <c r="G15" s="1036">
        <v>413380382</v>
      </c>
      <c r="H15" s="1036"/>
      <c r="I15" s="1036">
        <v>622658001</v>
      </c>
      <c r="J15" s="1036"/>
      <c r="K15" s="1036">
        <v>86529066</v>
      </c>
      <c r="L15" s="1036"/>
    </row>
    <row r="16" spans="2:12" x14ac:dyDescent="0.3">
      <c r="B16" s="1038" t="s">
        <v>1677</v>
      </c>
      <c r="C16" s="1036">
        <v>-1359318</v>
      </c>
      <c r="D16" s="1036"/>
      <c r="E16" s="1036">
        <v>-7179449</v>
      </c>
      <c r="F16" s="1036"/>
      <c r="G16" s="1036">
        <v>-4133804</v>
      </c>
      <c r="H16" s="1036"/>
      <c r="I16" s="1036">
        <v>-14365</v>
      </c>
      <c r="J16" s="1036"/>
      <c r="K16" s="1036">
        <v>-865291</v>
      </c>
      <c r="L16" s="1036"/>
    </row>
    <row r="17" spans="2:12" x14ac:dyDescent="0.3">
      <c r="B17" s="1038" t="s">
        <v>1683</v>
      </c>
      <c r="C17" s="1036">
        <v>7325299</v>
      </c>
      <c r="D17" s="1036"/>
      <c r="E17" s="1036">
        <v>8310688</v>
      </c>
      <c r="F17" s="1036"/>
      <c r="G17" s="1036">
        <v>41809155</v>
      </c>
      <c r="H17" s="1036"/>
      <c r="I17" s="1036">
        <v>22105273</v>
      </c>
      <c r="J17" s="1036"/>
      <c r="K17" s="1036">
        <v>79035208</v>
      </c>
      <c r="L17" s="1036"/>
    </row>
    <row r="18" spans="2:12" x14ac:dyDescent="0.3">
      <c r="B18" s="1038" t="s">
        <v>1684</v>
      </c>
      <c r="C18" s="1036">
        <v>206776221</v>
      </c>
      <c r="D18" s="1036"/>
      <c r="E18" s="1036">
        <v>100150226</v>
      </c>
      <c r="F18" s="1036"/>
      <c r="G18" s="1036">
        <v>309625088</v>
      </c>
      <c r="H18" s="1036"/>
      <c r="I18" s="1036">
        <v>656729515</v>
      </c>
      <c r="J18" s="1036"/>
      <c r="K18" s="1036">
        <v>587931541</v>
      </c>
      <c r="L18" s="1036"/>
    </row>
    <row r="19" spans="2:12" x14ac:dyDescent="0.3">
      <c r="B19" s="1037" t="s">
        <v>1685</v>
      </c>
      <c r="C19" s="1036"/>
      <c r="D19" s="1036">
        <v>745954900</v>
      </c>
      <c r="E19" s="1036"/>
      <c r="F19" s="1036">
        <v>628930006</v>
      </c>
      <c r="G19" s="1036"/>
      <c r="H19" s="1036">
        <v>2359733012</v>
      </c>
      <c r="I19" s="1036"/>
      <c r="J19" s="1036">
        <v>4021815617</v>
      </c>
      <c r="K19" s="1036"/>
      <c r="L19" s="1036">
        <v>2399977506</v>
      </c>
    </row>
    <row r="20" spans="2:12" x14ac:dyDescent="0.3">
      <c r="B20" s="1038" t="s">
        <v>1686</v>
      </c>
      <c r="C20" s="1036">
        <v>745954900</v>
      </c>
      <c r="D20" s="1036"/>
      <c r="E20" s="1036">
        <v>628930006</v>
      </c>
      <c r="F20" s="1036"/>
      <c r="G20" s="1036">
        <v>2359733012</v>
      </c>
      <c r="H20" s="1036"/>
      <c r="I20" s="1036">
        <v>4441945623</v>
      </c>
      <c r="J20" s="1036"/>
      <c r="K20" s="1036">
        <v>2820107512</v>
      </c>
      <c r="L20" s="1036"/>
    </row>
    <row r="21" spans="2:12" x14ac:dyDescent="0.3">
      <c r="B21" s="1038" t="s">
        <v>1687</v>
      </c>
      <c r="C21" s="1036">
        <v>0</v>
      </c>
      <c r="D21" s="1036"/>
      <c r="E21" s="1036">
        <v>0</v>
      </c>
      <c r="F21" s="1036"/>
      <c r="G21" s="1036">
        <v>0</v>
      </c>
      <c r="H21" s="1036"/>
      <c r="I21" s="1036">
        <v>-420130006</v>
      </c>
      <c r="J21" s="1036"/>
      <c r="K21" s="1036">
        <v>-420130006</v>
      </c>
      <c r="L21" s="1036"/>
    </row>
    <row r="22" spans="2:12" x14ac:dyDescent="0.3">
      <c r="B22" s="1034" t="s">
        <v>1688</v>
      </c>
      <c r="C22" s="1036"/>
      <c r="D22" s="1036">
        <v>3219246632</v>
      </c>
      <c r="E22" s="1036"/>
      <c r="F22" s="1036">
        <v>3777527020</v>
      </c>
      <c r="G22" s="1036"/>
      <c r="H22" s="1036">
        <v>4314300062</v>
      </c>
      <c r="I22" s="1036"/>
      <c r="J22" s="1036">
        <v>11569274919</v>
      </c>
      <c r="K22" s="1036"/>
      <c r="L22" s="1036">
        <v>12612632041</v>
      </c>
    </row>
    <row r="23" spans="2:12" x14ac:dyDescent="0.3">
      <c r="B23" s="1037" t="s">
        <v>1689</v>
      </c>
      <c r="C23" s="1036"/>
      <c r="D23" s="1036">
        <v>126935650</v>
      </c>
      <c r="E23" s="1036"/>
      <c r="F23" s="1036">
        <v>271630370</v>
      </c>
      <c r="G23" s="1036"/>
      <c r="H23" s="1036">
        <v>371630370</v>
      </c>
      <c r="I23" s="1036"/>
      <c r="J23" s="1036">
        <v>371630370</v>
      </c>
      <c r="K23" s="1036"/>
      <c r="L23" s="1036">
        <v>1054629870</v>
      </c>
    </row>
    <row r="24" spans="2:12" x14ac:dyDescent="0.3">
      <c r="B24" s="1038" t="s">
        <v>1690</v>
      </c>
      <c r="C24" s="1036">
        <v>126935650</v>
      </c>
      <c r="D24" s="1036"/>
      <c r="E24" s="1036">
        <v>271630370</v>
      </c>
      <c r="F24" s="1036"/>
      <c r="G24" s="1036">
        <v>371630370</v>
      </c>
      <c r="H24" s="1036"/>
      <c r="I24" s="1036">
        <v>371630370</v>
      </c>
      <c r="J24" s="1036"/>
      <c r="K24" s="1036">
        <v>871629870</v>
      </c>
      <c r="L24" s="1036"/>
    </row>
    <row r="25" spans="2:12" x14ac:dyDescent="0.3">
      <c r="B25" s="1038" t="s">
        <v>1691</v>
      </c>
      <c r="C25" s="1036">
        <v>0</v>
      </c>
      <c r="D25" s="1036"/>
      <c r="E25" s="1036">
        <v>0</v>
      </c>
      <c r="F25" s="1036"/>
      <c r="G25" s="1036">
        <v>0</v>
      </c>
      <c r="H25" s="1036"/>
      <c r="I25" s="1036">
        <v>0</v>
      </c>
      <c r="J25" s="1036"/>
      <c r="K25" s="1036">
        <v>183000000</v>
      </c>
      <c r="L25" s="1036"/>
    </row>
    <row r="26" spans="2:12" x14ac:dyDescent="0.3">
      <c r="B26" s="1037" t="s">
        <v>1692</v>
      </c>
      <c r="C26" s="1036"/>
      <c r="D26" s="1036">
        <v>919570347</v>
      </c>
      <c r="E26" s="1036"/>
      <c r="F26" s="1036">
        <v>1577517969</v>
      </c>
      <c r="G26" s="1036"/>
      <c r="H26" s="1036">
        <v>1570351253</v>
      </c>
      <c r="I26" s="1036"/>
      <c r="J26" s="1036">
        <v>8610606946</v>
      </c>
      <c r="K26" s="1036"/>
      <c r="L26" s="1036">
        <v>9077006664</v>
      </c>
    </row>
    <row r="27" spans="2:12" x14ac:dyDescent="0.3">
      <c r="B27" s="1038" t="s">
        <v>1852</v>
      </c>
      <c r="C27" s="1036">
        <v>0</v>
      </c>
      <c r="D27" s="1036"/>
      <c r="E27" s="1036"/>
      <c r="F27" s="1036"/>
      <c r="G27" s="1036">
        <v>0</v>
      </c>
      <c r="H27" s="1036"/>
      <c r="I27" s="1036">
        <v>6695646780</v>
      </c>
      <c r="J27" s="1036"/>
      <c r="K27" s="1036">
        <v>7006586180</v>
      </c>
      <c r="L27" s="1036"/>
    </row>
    <row r="28" spans="2:12" x14ac:dyDescent="0.3">
      <c r="B28" s="1038" t="s">
        <v>1853</v>
      </c>
      <c r="C28" s="1036">
        <v>636607226</v>
      </c>
      <c r="D28" s="1036"/>
      <c r="E28" s="1036">
        <v>1106106783</v>
      </c>
      <c r="F28" s="1036"/>
      <c r="G28" s="1036">
        <v>1329916783</v>
      </c>
      <c r="H28" s="1036"/>
      <c r="I28" s="1036">
        <v>1349616783</v>
      </c>
      <c r="J28" s="1036"/>
      <c r="K28" s="1036">
        <v>1383672783</v>
      </c>
      <c r="L28" s="1036"/>
    </row>
    <row r="29" spans="2:12" x14ac:dyDescent="0.3">
      <c r="B29" s="1038" t="s">
        <v>1693</v>
      </c>
      <c r="C29" s="1036">
        <v>-291056076</v>
      </c>
      <c r="D29" s="1036"/>
      <c r="E29" s="1036">
        <v>-389277686</v>
      </c>
      <c r="F29" s="1036"/>
      <c r="G29" s="1036">
        <v>-604941324</v>
      </c>
      <c r="H29" s="1036"/>
      <c r="I29" s="1036">
        <v>-835473361</v>
      </c>
      <c r="J29" s="1036"/>
      <c r="K29" s="1036">
        <v>-1060601839</v>
      </c>
      <c r="L29" s="1036"/>
    </row>
    <row r="30" spans="2:12" x14ac:dyDescent="0.3">
      <c r="B30" s="1038" t="s">
        <v>1854</v>
      </c>
      <c r="C30" s="1036">
        <v>184293370</v>
      </c>
      <c r="D30" s="1036"/>
      <c r="E30" s="1036">
        <v>184293370</v>
      </c>
      <c r="F30" s="1036"/>
      <c r="G30" s="1036">
        <v>184293370</v>
      </c>
      <c r="H30" s="1036"/>
      <c r="I30" s="1036">
        <v>301687440</v>
      </c>
      <c r="J30" s="1036"/>
      <c r="K30" s="1036">
        <v>301258270</v>
      </c>
      <c r="L30" s="1036"/>
    </row>
    <row r="31" spans="2:12" x14ac:dyDescent="0.3">
      <c r="B31" s="1038" t="s">
        <v>1693</v>
      </c>
      <c r="C31" s="1036">
        <v>-33330226</v>
      </c>
      <c r="D31" s="1036"/>
      <c r="E31" s="1036">
        <v>-70188900</v>
      </c>
      <c r="F31" s="1036"/>
      <c r="G31" s="1036">
        <v>-107047574</v>
      </c>
      <c r="H31" s="1036"/>
      <c r="I31" s="1036">
        <v>-77300126</v>
      </c>
      <c r="J31" s="1036"/>
      <c r="K31" s="1036">
        <v>-82287059</v>
      </c>
      <c r="L31" s="1036"/>
    </row>
    <row r="32" spans="2:12" x14ac:dyDescent="0.3">
      <c r="B32" s="1038" t="s">
        <v>1855</v>
      </c>
      <c r="C32" s="1036">
        <v>403495066</v>
      </c>
      <c r="D32" s="1036"/>
      <c r="E32" s="1036">
        <v>791412794</v>
      </c>
      <c r="F32" s="1036"/>
      <c r="G32" s="1036">
        <v>963259794</v>
      </c>
      <c r="H32" s="1036"/>
      <c r="I32" s="1036">
        <v>931845289</v>
      </c>
      <c r="J32" s="1036"/>
      <c r="K32" s="1036">
        <v>1074618653</v>
      </c>
      <c r="L32" s="1036"/>
    </row>
    <row r="33" spans="2:12" x14ac:dyDescent="0.3">
      <c r="B33" s="1038" t="s">
        <v>1693</v>
      </c>
      <c r="C33" s="1036">
        <v>-187797167</v>
      </c>
      <c r="D33" s="1036"/>
      <c r="E33" s="1036">
        <v>-290301594</v>
      </c>
      <c r="F33" s="1036"/>
      <c r="G33" s="1036">
        <v>-449684541</v>
      </c>
      <c r="H33" s="1036"/>
      <c r="I33" s="1036">
        <v>-389332358</v>
      </c>
      <c r="J33" s="1036"/>
      <c r="K33" s="1036">
        <v>-587617405</v>
      </c>
      <c r="L33" s="1036"/>
    </row>
    <row r="34" spans="2:12" x14ac:dyDescent="0.3">
      <c r="B34" s="1038" t="s">
        <v>1856</v>
      </c>
      <c r="C34" s="1036">
        <v>160014940</v>
      </c>
      <c r="D34" s="1036"/>
      <c r="E34" s="1036">
        <v>219009352</v>
      </c>
      <c r="F34" s="1036"/>
      <c r="G34" s="1036">
        <v>242401852</v>
      </c>
      <c r="H34" s="1036"/>
      <c r="I34" s="1036">
        <v>661203343</v>
      </c>
      <c r="J34" s="1036"/>
      <c r="K34" s="1036">
        <v>685077643</v>
      </c>
      <c r="L34" s="1036"/>
    </row>
    <row r="35" spans="2:12" x14ac:dyDescent="0.3">
      <c r="B35" s="1038" t="s">
        <v>1693</v>
      </c>
      <c r="C35" s="1036">
        <v>-130972786</v>
      </c>
      <c r="D35" s="1036"/>
      <c r="E35" s="1036">
        <v>-101706150</v>
      </c>
      <c r="F35" s="1036"/>
      <c r="G35" s="1036">
        <v>-133025675</v>
      </c>
      <c r="H35" s="1036"/>
      <c r="I35" s="1036">
        <v>-226841145</v>
      </c>
      <c r="J35" s="1036"/>
      <c r="K35" s="1036">
        <v>-341620016</v>
      </c>
      <c r="L35" s="1036"/>
    </row>
    <row r="36" spans="2:12" x14ac:dyDescent="0.3">
      <c r="B36" s="1038" t="s">
        <v>1857</v>
      </c>
      <c r="C36" s="1036">
        <v>0</v>
      </c>
      <c r="D36" s="1036"/>
      <c r="E36" s="1036">
        <v>0</v>
      </c>
      <c r="F36" s="1036"/>
      <c r="G36" s="1036">
        <v>129097000</v>
      </c>
      <c r="H36" s="1036"/>
      <c r="I36" s="1036">
        <v>214030000</v>
      </c>
      <c r="J36" s="1036"/>
      <c r="K36" s="1036">
        <v>226784000</v>
      </c>
      <c r="L36" s="1036"/>
    </row>
    <row r="37" spans="2:12" x14ac:dyDescent="0.3">
      <c r="B37" s="1038" t="s">
        <v>1693</v>
      </c>
      <c r="C37" s="1036">
        <v>0</v>
      </c>
      <c r="D37" s="1036"/>
      <c r="E37" s="1036">
        <v>0</v>
      </c>
      <c r="F37" s="1036"/>
      <c r="G37" s="1036">
        <v>-11278432</v>
      </c>
      <c r="H37" s="1036"/>
      <c r="I37" s="1036">
        <v>-41835699</v>
      </c>
      <c r="J37" s="1036"/>
      <c r="K37" s="1036">
        <v>-86911437</v>
      </c>
      <c r="L37" s="1036"/>
    </row>
    <row r="38" spans="2:12" x14ac:dyDescent="0.3">
      <c r="B38" s="1038" t="s">
        <v>1858</v>
      </c>
      <c r="C38" s="1036">
        <v>27360000</v>
      </c>
      <c r="D38" s="1036"/>
      <c r="E38" s="1036">
        <v>27360000</v>
      </c>
      <c r="F38" s="1036"/>
      <c r="G38" s="1036">
        <v>27360000</v>
      </c>
      <c r="H38" s="1036"/>
      <c r="I38" s="1036">
        <v>27360000</v>
      </c>
      <c r="J38" s="1036"/>
      <c r="K38" s="1036">
        <v>27360000</v>
      </c>
      <c r="L38" s="1036"/>
    </row>
    <row r="39" spans="2:12" x14ac:dyDescent="0.3">
      <c r="B39" s="1038" t="s">
        <v>1859</v>
      </c>
      <c r="C39" s="1036">
        <v>150956000</v>
      </c>
      <c r="D39" s="1036"/>
      <c r="E39" s="1036">
        <v>100810000</v>
      </c>
      <c r="F39" s="1036"/>
      <c r="G39" s="1036">
        <v>0</v>
      </c>
      <c r="H39" s="1036"/>
      <c r="I39" s="1036">
        <v>0</v>
      </c>
      <c r="J39" s="1036"/>
      <c r="K39" s="1036">
        <v>530686891</v>
      </c>
      <c r="L39" s="1036"/>
    </row>
    <row r="40" spans="2:12" x14ac:dyDescent="0.3">
      <c r="B40" s="1037" t="s">
        <v>1694</v>
      </c>
      <c r="C40" s="1036"/>
      <c r="D40" s="1036">
        <v>270156578</v>
      </c>
      <c r="E40" s="1036"/>
      <c r="F40" s="1036">
        <v>178964370</v>
      </c>
      <c r="G40" s="1036"/>
      <c r="H40" s="1036">
        <v>227699738</v>
      </c>
      <c r="I40" s="1036"/>
      <c r="J40" s="1036">
        <v>165957566</v>
      </c>
      <c r="K40" s="1036"/>
      <c r="L40" s="1036">
        <v>78107765</v>
      </c>
    </row>
    <row r="41" spans="2:12" x14ac:dyDescent="0.3">
      <c r="B41" s="1038" t="s">
        <v>2003</v>
      </c>
      <c r="C41" s="1036">
        <v>201152472</v>
      </c>
      <c r="D41" s="1036"/>
      <c r="E41" s="1036">
        <v>0</v>
      </c>
      <c r="F41" s="1036"/>
      <c r="G41" s="1036">
        <v>0</v>
      </c>
      <c r="H41" s="1036"/>
      <c r="I41" s="1036">
        <v>0</v>
      </c>
      <c r="J41" s="1036"/>
      <c r="K41" s="1036">
        <v>0</v>
      </c>
      <c r="L41" s="1036"/>
    </row>
    <row r="42" spans="2:12" x14ac:dyDescent="0.3">
      <c r="B42" s="1038" t="s">
        <v>2004</v>
      </c>
      <c r="C42" s="1036">
        <v>263188</v>
      </c>
      <c r="D42" s="1036"/>
      <c r="E42" s="1036">
        <v>3853464</v>
      </c>
      <c r="F42" s="1036"/>
      <c r="G42" s="1036">
        <v>3346700</v>
      </c>
      <c r="H42" s="1036"/>
      <c r="I42" s="1036">
        <v>2936900</v>
      </c>
      <c r="J42" s="1036"/>
      <c r="K42" s="1036">
        <v>2527100</v>
      </c>
      <c r="L42" s="1036"/>
    </row>
    <row r="43" spans="2:12" x14ac:dyDescent="0.3">
      <c r="B43" s="1038" t="s">
        <v>2005</v>
      </c>
      <c r="C43" s="1036">
        <v>68740918</v>
      </c>
      <c r="D43" s="1036"/>
      <c r="E43" s="1036">
        <v>175110906</v>
      </c>
      <c r="F43" s="1036"/>
      <c r="G43" s="1036">
        <v>224353038</v>
      </c>
      <c r="H43" s="1036"/>
      <c r="I43" s="1036">
        <v>163020666</v>
      </c>
      <c r="J43" s="1036"/>
      <c r="K43" s="1036">
        <v>75580665</v>
      </c>
      <c r="L43" s="1036"/>
    </row>
    <row r="44" spans="2:12" x14ac:dyDescent="0.3">
      <c r="B44" s="1037" t="s">
        <v>1695</v>
      </c>
      <c r="C44" s="1036"/>
      <c r="D44" s="1036">
        <v>1902584057</v>
      </c>
      <c r="E44" s="1036"/>
      <c r="F44" s="1036">
        <v>1749414311</v>
      </c>
      <c r="G44" s="1036"/>
      <c r="H44" s="1036">
        <v>2144618701</v>
      </c>
      <c r="I44" s="1036"/>
      <c r="J44" s="1036">
        <v>2421080037</v>
      </c>
      <c r="K44" s="1036"/>
      <c r="L44" s="1036">
        <v>2402887742</v>
      </c>
    </row>
    <row r="45" spans="2:12" x14ac:dyDescent="0.3">
      <c r="B45" s="1038" t="s">
        <v>1696</v>
      </c>
      <c r="C45" s="1036">
        <v>980736821</v>
      </c>
      <c r="D45" s="1036"/>
      <c r="E45" s="1036">
        <v>980736821</v>
      </c>
      <c r="F45" s="1036"/>
      <c r="G45" s="1036">
        <v>1253165182</v>
      </c>
      <c r="H45" s="1036"/>
      <c r="I45" s="1036">
        <v>1482336491</v>
      </c>
      <c r="J45" s="1036"/>
      <c r="K45" s="1036">
        <v>1369020640</v>
      </c>
      <c r="L45" s="1036"/>
    </row>
    <row r="46" spans="2:12" x14ac:dyDescent="0.3">
      <c r="B46" s="1038" t="s">
        <v>1697</v>
      </c>
      <c r="C46" s="1036">
        <v>464306000</v>
      </c>
      <c r="D46" s="1036"/>
      <c r="E46" s="1036">
        <v>762304000</v>
      </c>
      <c r="F46" s="1036"/>
      <c r="G46" s="1036">
        <v>877276000</v>
      </c>
      <c r="H46" s="1036"/>
      <c r="I46" s="1036">
        <v>758859000</v>
      </c>
      <c r="J46" s="1036"/>
      <c r="K46" s="1036">
        <v>873701000</v>
      </c>
      <c r="L46" s="1036"/>
    </row>
    <row r="47" spans="2:12" x14ac:dyDescent="0.3">
      <c r="B47" s="1038" t="s">
        <v>1698</v>
      </c>
      <c r="C47" s="1036">
        <v>457541236</v>
      </c>
      <c r="D47" s="1036"/>
      <c r="E47" s="1036">
        <v>6373490</v>
      </c>
      <c r="F47" s="1036"/>
      <c r="G47" s="1036">
        <v>14177519</v>
      </c>
      <c r="H47" s="1036"/>
      <c r="I47" s="1036">
        <v>179884546</v>
      </c>
      <c r="J47" s="1036"/>
      <c r="K47" s="1036">
        <v>160166102</v>
      </c>
      <c r="L47" s="1036"/>
    </row>
    <row r="48" spans="2:12" x14ac:dyDescent="0.3">
      <c r="B48" s="1034" t="s">
        <v>1699</v>
      </c>
      <c r="C48" s="1036"/>
      <c r="D48" s="1036">
        <v>44156449997</v>
      </c>
      <c r="E48" s="1036"/>
      <c r="F48" s="1036">
        <v>40864886344</v>
      </c>
      <c r="G48" s="1036"/>
      <c r="H48" s="1036">
        <v>73955340789</v>
      </c>
      <c r="I48" s="1036"/>
      <c r="J48" s="1036">
        <v>78495180835</v>
      </c>
      <c r="K48" s="1036"/>
      <c r="L48" s="1036">
        <v>107674499625</v>
      </c>
    </row>
    <row r="49" spans="2:12" x14ac:dyDescent="0.3">
      <c r="B49" s="1034" t="s">
        <v>1700</v>
      </c>
      <c r="C49" s="1036"/>
      <c r="D49" s="1036"/>
      <c r="E49" s="1036"/>
      <c r="F49" s="1036"/>
      <c r="G49" s="1036"/>
      <c r="H49" s="1036"/>
      <c r="I49" s="1036"/>
      <c r="J49" s="1036"/>
      <c r="K49" s="1036"/>
      <c r="L49" s="1036"/>
    </row>
    <row r="50" spans="2:12" x14ac:dyDescent="0.3">
      <c r="B50" s="1034" t="s">
        <v>1701</v>
      </c>
      <c r="C50" s="1036"/>
      <c r="D50" s="1036">
        <v>25086127446</v>
      </c>
      <c r="E50" s="1036"/>
      <c r="F50" s="1036">
        <v>20511387362</v>
      </c>
      <c r="G50" s="1036"/>
      <c r="H50" s="1036">
        <v>48037120335</v>
      </c>
      <c r="I50" s="1036"/>
      <c r="J50" s="1036">
        <v>46667757208</v>
      </c>
      <c r="K50" s="1036"/>
      <c r="L50" s="1036">
        <v>70887749107</v>
      </c>
    </row>
    <row r="51" spans="2:12" x14ac:dyDescent="0.3">
      <c r="B51" s="1038" t="s">
        <v>1702</v>
      </c>
      <c r="C51" s="1036">
        <v>19416165578</v>
      </c>
      <c r="D51" s="1036"/>
      <c r="E51" s="1036">
        <v>16841211719</v>
      </c>
      <c r="F51" s="1036"/>
      <c r="G51" s="1036">
        <v>38969414471</v>
      </c>
      <c r="H51" s="1036"/>
      <c r="I51" s="1036">
        <v>39416497803</v>
      </c>
      <c r="J51" s="1036"/>
      <c r="K51" s="1036">
        <v>65492904072</v>
      </c>
      <c r="L51" s="1036"/>
    </row>
    <row r="52" spans="2:12" x14ac:dyDescent="0.3">
      <c r="B52" s="1038" t="s">
        <v>1703</v>
      </c>
      <c r="C52" s="1036">
        <v>0</v>
      </c>
      <c r="D52" s="1036"/>
      <c r="E52" s="1036">
        <v>0</v>
      </c>
      <c r="F52" s="1036"/>
      <c r="G52" s="1036">
        <v>1505787800</v>
      </c>
      <c r="H52" s="1036"/>
      <c r="I52" s="1036">
        <v>0</v>
      </c>
      <c r="J52" s="1036"/>
      <c r="K52" s="1036">
        <v>0</v>
      </c>
      <c r="L52" s="1036"/>
    </row>
    <row r="53" spans="2:12" x14ac:dyDescent="0.3">
      <c r="B53" s="1038" t="s">
        <v>1704</v>
      </c>
      <c r="C53" s="1036">
        <v>1277488819</v>
      </c>
      <c r="D53" s="1036"/>
      <c r="E53" s="1036">
        <v>177841277</v>
      </c>
      <c r="F53" s="1036"/>
      <c r="G53" s="1036">
        <v>1698758286</v>
      </c>
      <c r="H53" s="1036"/>
      <c r="I53" s="1036">
        <v>1613418033</v>
      </c>
      <c r="J53" s="1036"/>
      <c r="K53" s="1036">
        <v>867700729</v>
      </c>
      <c r="L53" s="1036"/>
    </row>
    <row r="54" spans="2:12" x14ac:dyDescent="0.3">
      <c r="B54" s="1038" t="s">
        <v>1705</v>
      </c>
      <c r="C54" s="1036">
        <v>747459514</v>
      </c>
      <c r="D54" s="1036"/>
      <c r="E54" s="1036">
        <v>1298628710</v>
      </c>
      <c r="F54" s="1036"/>
      <c r="G54" s="1036">
        <v>750527841</v>
      </c>
      <c r="H54" s="1036"/>
      <c r="I54" s="1036">
        <v>1395638889</v>
      </c>
      <c r="J54" s="1036"/>
      <c r="K54" s="1036">
        <v>959032937</v>
      </c>
      <c r="L54" s="1036"/>
    </row>
    <row r="55" spans="2:12" x14ac:dyDescent="0.3">
      <c r="B55" s="1038" t="s">
        <v>1706</v>
      </c>
      <c r="C55" s="1036">
        <v>1393688528</v>
      </c>
      <c r="D55" s="1036"/>
      <c r="E55" s="1036">
        <v>1274599283</v>
      </c>
      <c r="F55" s="1036"/>
      <c r="G55" s="1036">
        <v>3684649310</v>
      </c>
      <c r="H55" s="1036"/>
      <c r="I55" s="1036">
        <v>3403859506</v>
      </c>
      <c r="J55" s="1036"/>
      <c r="K55" s="1036">
        <v>2609745993</v>
      </c>
      <c r="L55" s="1036"/>
    </row>
    <row r="56" spans="2:12" x14ac:dyDescent="0.3">
      <c r="B56" s="1038" t="s">
        <v>1707</v>
      </c>
      <c r="C56" s="1036">
        <v>1560782275</v>
      </c>
      <c r="D56" s="1036"/>
      <c r="E56" s="1036">
        <v>413183376</v>
      </c>
      <c r="F56" s="1036"/>
      <c r="G56" s="1036">
        <v>688494430</v>
      </c>
      <c r="H56" s="1036"/>
      <c r="I56" s="1036">
        <v>93991431</v>
      </c>
      <c r="J56" s="1036"/>
      <c r="K56" s="1036">
        <v>72729209</v>
      </c>
      <c r="L56" s="1036"/>
    </row>
    <row r="57" spans="2:12" x14ac:dyDescent="0.3">
      <c r="B57" s="1038" t="s">
        <v>1708</v>
      </c>
      <c r="C57" s="1036">
        <v>401123425</v>
      </c>
      <c r="D57" s="1036"/>
      <c r="E57" s="1036">
        <v>395752360</v>
      </c>
      <c r="F57" s="1036"/>
      <c r="G57" s="1036">
        <v>581425190</v>
      </c>
      <c r="H57" s="1036"/>
      <c r="I57" s="1036">
        <v>554989846</v>
      </c>
      <c r="J57" s="1036"/>
      <c r="K57" s="1036">
        <v>612695626</v>
      </c>
      <c r="L57" s="1036"/>
    </row>
    <row r="58" spans="2:12" x14ac:dyDescent="0.3">
      <c r="B58" s="1038" t="s">
        <v>1709</v>
      </c>
      <c r="C58" s="1036">
        <v>97036900</v>
      </c>
      <c r="D58" s="1036"/>
      <c r="E58" s="1036">
        <v>94970637</v>
      </c>
      <c r="F58" s="1036"/>
      <c r="G58" s="1036">
        <v>158063007</v>
      </c>
      <c r="H58" s="1036"/>
      <c r="I58" s="1036">
        <v>180735687</v>
      </c>
      <c r="J58" s="1036"/>
      <c r="K58" s="1036">
        <v>272940541</v>
      </c>
      <c r="L58" s="1036"/>
    </row>
    <row r="59" spans="2:12" x14ac:dyDescent="0.3">
      <c r="B59" s="1038" t="s">
        <v>1710</v>
      </c>
      <c r="C59" s="1036">
        <v>192382407</v>
      </c>
      <c r="D59" s="1036"/>
      <c r="E59" s="1036">
        <v>15200000</v>
      </c>
      <c r="F59" s="1036"/>
      <c r="G59" s="1036">
        <v>0</v>
      </c>
      <c r="H59" s="1036"/>
      <c r="I59" s="1036">
        <v>8626013</v>
      </c>
      <c r="J59" s="1036"/>
      <c r="K59" s="1036">
        <v>0</v>
      </c>
      <c r="L59" s="1036"/>
    </row>
    <row r="60" spans="2:12" x14ac:dyDescent="0.3">
      <c r="B60" s="1034" t="s">
        <v>1711</v>
      </c>
      <c r="C60" s="1036"/>
      <c r="D60" s="1036">
        <v>2653063600</v>
      </c>
      <c r="E60" s="1036"/>
      <c r="F60" s="1036">
        <v>298688530</v>
      </c>
      <c r="G60" s="1036"/>
      <c r="H60" s="1036">
        <v>662362458</v>
      </c>
      <c r="I60" s="1036"/>
      <c r="J60" s="1036">
        <v>1123346576</v>
      </c>
      <c r="K60" s="1036"/>
      <c r="L60" s="1036">
        <v>655871088</v>
      </c>
    </row>
    <row r="61" spans="2:12" x14ac:dyDescent="0.3">
      <c r="B61" s="1038" t="s">
        <v>1712</v>
      </c>
      <c r="C61" s="1036">
        <v>2653063600</v>
      </c>
      <c r="D61" s="1036"/>
      <c r="E61" s="1036">
        <v>2699322135</v>
      </c>
      <c r="F61" s="1036"/>
      <c r="G61" s="1036">
        <v>4098115308</v>
      </c>
      <c r="H61" s="1036"/>
      <c r="I61" s="1036">
        <v>5978251568</v>
      </c>
      <c r="J61" s="1036"/>
      <c r="K61" s="1036">
        <v>7576002100</v>
      </c>
      <c r="L61" s="1036"/>
    </row>
    <row r="62" spans="2:12" x14ac:dyDescent="0.3">
      <c r="B62" s="1038" t="s">
        <v>1713</v>
      </c>
      <c r="C62" s="1036">
        <v>0</v>
      </c>
      <c r="D62" s="1036"/>
      <c r="E62" s="1036">
        <v>-2400633605</v>
      </c>
      <c r="F62" s="1036"/>
      <c r="G62" s="1036">
        <v>-3435752850</v>
      </c>
      <c r="H62" s="1036"/>
      <c r="I62" s="1036">
        <v>-4854904992</v>
      </c>
      <c r="J62" s="1036"/>
      <c r="K62" s="1036">
        <v>-6920131012</v>
      </c>
      <c r="L62" s="1036"/>
    </row>
    <row r="63" spans="2:12" x14ac:dyDescent="0.3">
      <c r="B63" s="1034" t="s">
        <v>1714</v>
      </c>
      <c r="C63" s="1036"/>
      <c r="D63" s="1036">
        <v>27739191046</v>
      </c>
      <c r="E63" s="1036"/>
      <c r="F63" s="1036">
        <v>20810075892</v>
      </c>
      <c r="G63" s="1036"/>
      <c r="H63" s="1036">
        <v>48699482793</v>
      </c>
      <c r="I63" s="1036"/>
      <c r="J63" s="1036">
        <v>47791103784</v>
      </c>
      <c r="K63" s="1036"/>
      <c r="L63" s="1036">
        <v>71543620195</v>
      </c>
    </row>
    <row r="64" spans="2:12" x14ac:dyDescent="0.3">
      <c r="B64" s="1034" t="s">
        <v>1715</v>
      </c>
      <c r="C64" s="1036"/>
      <c r="D64" s="1036"/>
      <c r="E64" s="1036"/>
      <c r="F64" s="1036"/>
      <c r="G64" s="1036"/>
      <c r="H64" s="1036"/>
      <c r="I64" s="1036"/>
      <c r="J64" s="1036"/>
      <c r="K64" s="1036"/>
      <c r="L64" s="1036"/>
    </row>
    <row r="65" spans="2:12" x14ac:dyDescent="0.3">
      <c r="B65" s="1034" t="s">
        <v>1716</v>
      </c>
      <c r="C65" s="1036"/>
      <c r="D65" s="1036">
        <v>3000000000</v>
      </c>
      <c r="E65" s="1036"/>
      <c r="F65" s="1036">
        <v>3000000000</v>
      </c>
      <c r="G65" s="1036"/>
      <c r="H65" s="1036">
        <v>3000000000</v>
      </c>
      <c r="I65" s="1036"/>
      <c r="J65" s="1036">
        <v>3000000000</v>
      </c>
      <c r="K65" s="1036"/>
      <c r="L65" s="1036">
        <v>3000000000</v>
      </c>
    </row>
    <row r="66" spans="2:12" x14ac:dyDescent="0.3">
      <c r="B66" s="1038" t="s">
        <v>1717</v>
      </c>
      <c r="C66" s="1036">
        <v>3000000000</v>
      </c>
      <c r="D66" s="1036"/>
      <c r="E66" s="1036">
        <v>3000000000</v>
      </c>
      <c r="F66" s="1036"/>
      <c r="G66" s="1036">
        <v>3000000000</v>
      </c>
      <c r="H66" s="1036"/>
      <c r="I66" s="1036">
        <v>3000000000</v>
      </c>
      <c r="J66" s="1036"/>
      <c r="K66" s="1036">
        <v>3000000000</v>
      </c>
      <c r="L66" s="1036"/>
    </row>
    <row r="67" spans="2:12" x14ac:dyDescent="0.3">
      <c r="B67" s="1034" t="s">
        <v>1718</v>
      </c>
      <c r="C67" s="1036"/>
      <c r="D67" s="1036">
        <v>13417258951</v>
      </c>
      <c r="E67" s="1036"/>
      <c r="F67" s="1036">
        <v>17054810452</v>
      </c>
      <c r="G67" s="1036"/>
      <c r="H67" s="1036">
        <v>22255857996</v>
      </c>
      <c r="I67" s="1036"/>
      <c r="J67" s="1036">
        <v>27704077051</v>
      </c>
      <c r="K67" s="1036"/>
      <c r="L67" s="1036">
        <v>33130879430</v>
      </c>
    </row>
    <row r="68" spans="2:12" x14ac:dyDescent="0.3">
      <c r="B68" s="1038" t="s">
        <v>1719</v>
      </c>
      <c r="C68" s="1036">
        <v>270000000</v>
      </c>
      <c r="D68" s="1036"/>
      <c r="E68" s="1036">
        <v>1500000000</v>
      </c>
      <c r="F68" s="1036"/>
      <c r="G68" s="1036">
        <v>1500000000</v>
      </c>
      <c r="H68" s="1036"/>
      <c r="I68" s="1036">
        <v>1500000000</v>
      </c>
      <c r="J68" s="1036"/>
      <c r="K68" s="1036">
        <v>1500000000</v>
      </c>
      <c r="L68" s="1036"/>
    </row>
    <row r="69" spans="2:12" x14ac:dyDescent="0.3">
      <c r="B69" s="1038" t="s">
        <v>1720</v>
      </c>
      <c r="C69" s="1036">
        <v>13147258951</v>
      </c>
      <c r="D69" s="1036"/>
      <c r="E69" s="1036">
        <v>15554810452</v>
      </c>
      <c r="F69" s="1036"/>
      <c r="G69" s="1036">
        <v>20755857996</v>
      </c>
      <c r="H69" s="1036"/>
      <c r="I69" s="1036">
        <v>26204077051</v>
      </c>
      <c r="J69" s="1036"/>
      <c r="K69" s="1036">
        <v>31630879430</v>
      </c>
      <c r="L69" s="1036"/>
    </row>
    <row r="70" spans="2:12" x14ac:dyDescent="0.3">
      <c r="B70" s="1034" t="s">
        <v>1721</v>
      </c>
      <c r="C70" s="1036"/>
      <c r="D70" s="1036">
        <v>16417258951</v>
      </c>
      <c r="E70" s="1036"/>
      <c r="F70" s="1036">
        <v>20054810452</v>
      </c>
      <c r="G70" s="1036"/>
      <c r="H70" s="1036">
        <v>25255857996</v>
      </c>
      <c r="I70" s="1036"/>
      <c r="J70" s="1036">
        <v>30704077051</v>
      </c>
      <c r="K70" s="1036"/>
      <c r="L70" s="1036">
        <v>36130879430</v>
      </c>
    </row>
    <row r="71" spans="2:12" x14ac:dyDescent="0.3">
      <c r="B71" s="1034" t="s">
        <v>1722</v>
      </c>
      <c r="C71" s="1036"/>
      <c r="D71" s="1036">
        <v>44156449997</v>
      </c>
      <c r="E71" s="1036"/>
      <c r="F71" s="1036">
        <v>40864886344</v>
      </c>
      <c r="G71" s="1036"/>
      <c r="H71" s="1036">
        <v>73955340789</v>
      </c>
      <c r="I71" s="1036"/>
      <c r="J71" s="1036">
        <v>78495180835</v>
      </c>
      <c r="K71" s="1036"/>
      <c r="L71" s="1036">
        <v>107674499625</v>
      </c>
    </row>
    <row r="74" spans="2:12" x14ac:dyDescent="0.3">
      <c r="B74" s="208" t="s">
        <v>1860</v>
      </c>
      <c r="C74" s="208"/>
      <c r="D74" s="208"/>
    </row>
    <row r="75" spans="2:12" ht="16.5" customHeight="1" x14ac:dyDescent="0.3">
      <c r="B75" s="1033" t="s">
        <v>1670</v>
      </c>
      <c r="C75" s="2174">
        <v>2010</v>
      </c>
      <c r="D75" s="2174"/>
      <c r="E75" s="2174">
        <v>2011</v>
      </c>
      <c r="F75" s="2174"/>
      <c r="G75" s="2174">
        <v>2012</v>
      </c>
      <c r="H75" s="2174"/>
      <c r="I75" s="2174">
        <v>2013</v>
      </c>
      <c r="J75" s="2174"/>
      <c r="K75" s="2174">
        <v>2014</v>
      </c>
      <c r="L75" s="2174"/>
    </row>
    <row r="76" spans="2:12" x14ac:dyDescent="0.3">
      <c r="B76" s="1034" t="s">
        <v>1723</v>
      </c>
      <c r="C76" s="1036"/>
      <c r="D76" s="1036">
        <v>101202828103</v>
      </c>
      <c r="E76" s="1036"/>
      <c r="F76" s="1036">
        <v>120090945248</v>
      </c>
      <c r="G76" s="1036"/>
      <c r="H76" s="1036">
        <v>182279266572</v>
      </c>
      <c r="I76" s="1036"/>
      <c r="J76" s="1036">
        <v>211683368597</v>
      </c>
      <c r="K76" s="1036"/>
      <c r="L76" s="1036">
        <v>251810747072</v>
      </c>
    </row>
    <row r="77" spans="2:12" x14ac:dyDescent="0.3">
      <c r="B77" s="1037" t="s">
        <v>1724</v>
      </c>
      <c r="C77" s="1036">
        <v>28667764768</v>
      </c>
      <c r="D77" s="1036"/>
      <c r="E77" s="1036">
        <v>33818960225</v>
      </c>
      <c r="F77" s="1036"/>
      <c r="G77" s="1036">
        <v>72895967909</v>
      </c>
      <c r="H77" s="1036"/>
      <c r="I77" s="1036">
        <v>71774780263</v>
      </c>
      <c r="J77" s="1036"/>
      <c r="K77" s="1036">
        <v>69236768545</v>
      </c>
      <c r="L77" s="1036"/>
    </row>
    <row r="78" spans="2:12" x14ac:dyDescent="0.3">
      <c r="B78" s="1037" t="s">
        <v>1725</v>
      </c>
      <c r="C78" s="1036">
        <v>32345633294</v>
      </c>
      <c r="D78" s="1036"/>
      <c r="E78" s="1036">
        <v>31656878968</v>
      </c>
      <c r="F78" s="1036"/>
      <c r="G78" s="1036">
        <v>52687668978</v>
      </c>
      <c r="H78" s="1036"/>
      <c r="I78" s="1036">
        <v>60245229019</v>
      </c>
      <c r="J78" s="1036"/>
      <c r="K78" s="1036">
        <v>90980180335</v>
      </c>
      <c r="L78" s="1036"/>
    </row>
    <row r="79" spans="2:12" x14ac:dyDescent="0.3">
      <c r="B79" s="1037" t="s">
        <v>1726</v>
      </c>
      <c r="C79" s="1036">
        <v>40189430041</v>
      </c>
      <c r="D79" s="1036"/>
      <c r="E79" s="1036">
        <v>54615106055</v>
      </c>
      <c r="F79" s="1036"/>
      <c r="G79" s="1036">
        <v>56695629685</v>
      </c>
      <c r="H79" s="1036"/>
      <c r="I79" s="1036">
        <v>79663359315</v>
      </c>
      <c r="J79" s="1036"/>
      <c r="K79" s="1036">
        <v>91593798192</v>
      </c>
      <c r="L79" s="1036"/>
    </row>
    <row r="80" spans="2:12" x14ac:dyDescent="0.3">
      <c r="B80" s="1034" t="s">
        <v>1727</v>
      </c>
      <c r="C80" s="1036"/>
      <c r="D80" s="1036">
        <v>86101882786</v>
      </c>
      <c r="E80" s="1036"/>
      <c r="F80" s="1036">
        <v>106369499065</v>
      </c>
      <c r="G80" s="1036"/>
      <c r="H80" s="1036">
        <v>165640956782</v>
      </c>
      <c r="I80" s="1036"/>
      <c r="J80" s="1036">
        <v>194029190716</v>
      </c>
      <c r="K80" s="1036"/>
      <c r="L80" s="1036">
        <v>233681982112</v>
      </c>
    </row>
    <row r="81" spans="2:12" x14ac:dyDescent="0.3">
      <c r="B81" s="1037" t="s">
        <v>1728</v>
      </c>
      <c r="C81" s="1036">
        <v>27235239343</v>
      </c>
      <c r="D81" s="1036"/>
      <c r="E81" s="1036">
        <v>32097449906</v>
      </c>
      <c r="F81" s="1036"/>
      <c r="G81" s="1036">
        <v>69812615934</v>
      </c>
      <c r="H81" s="1036"/>
      <c r="I81" s="1036">
        <v>69867514086</v>
      </c>
      <c r="J81" s="1036"/>
      <c r="K81" s="1036">
        <v>67227543761</v>
      </c>
      <c r="L81" s="1036"/>
    </row>
    <row r="82" spans="2:12" x14ac:dyDescent="0.3">
      <c r="B82" s="1038" t="s">
        <v>1729</v>
      </c>
      <c r="C82" s="1036">
        <v>30000000</v>
      </c>
      <c r="D82" s="1036"/>
      <c r="E82" s="1036">
        <v>745954900</v>
      </c>
      <c r="F82" s="1036"/>
      <c r="G82" s="1036">
        <v>628930006</v>
      </c>
      <c r="H82" s="1036"/>
      <c r="I82" s="1036">
        <v>2359733012</v>
      </c>
      <c r="J82" s="1036"/>
      <c r="K82" s="1036">
        <v>4021815617</v>
      </c>
      <c r="L82" s="1036"/>
    </row>
    <row r="83" spans="2:12" x14ac:dyDescent="0.3">
      <c r="B83" s="1038" t="s">
        <v>1730</v>
      </c>
      <c r="C83" s="1036">
        <v>27951194243</v>
      </c>
      <c r="D83" s="1036"/>
      <c r="E83" s="1036">
        <v>31980425012</v>
      </c>
      <c r="F83" s="1036"/>
      <c r="G83" s="1036">
        <v>71543418940</v>
      </c>
      <c r="H83" s="1036"/>
      <c r="I83" s="1036">
        <v>71529596691</v>
      </c>
      <c r="J83" s="1036"/>
      <c r="K83" s="1036">
        <v>65605705650</v>
      </c>
      <c r="L83" s="1036"/>
    </row>
    <row r="84" spans="2:12" x14ac:dyDescent="0.3">
      <c r="B84" s="1038" t="s">
        <v>1731</v>
      </c>
      <c r="C84" s="1036">
        <v>27981194243</v>
      </c>
      <c r="D84" s="1036"/>
      <c r="E84" s="1036">
        <v>32726379912</v>
      </c>
      <c r="F84" s="1036"/>
      <c r="G84" s="1036">
        <v>72172348946</v>
      </c>
      <c r="H84" s="1036"/>
      <c r="I84" s="1036">
        <v>73889329703</v>
      </c>
      <c r="J84" s="1036"/>
      <c r="K84" s="1036">
        <v>69627521267</v>
      </c>
      <c r="L84" s="1036"/>
    </row>
    <row r="85" spans="2:12" x14ac:dyDescent="0.3">
      <c r="B85" s="1038" t="s">
        <v>1732</v>
      </c>
      <c r="C85" s="1036">
        <v>-745954900</v>
      </c>
      <c r="D85" s="1036"/>
      <c r="E85" s="1036">
        <v>-628930006</v>
      </c>
      <c r="F85" s="1036"/>
      <c r="G85" s="1036">
        <v>-2359733012</v>
      </c>
      <c r="H85" s="1036"/>
      <c r="I85" s="1036">
        <v>-4021815617</v>
      </c>
      <c r="J85" s="1036"/>
      <c r="K85" s="1036">
        <v>-2399977506</v>
      </c>
      <c r="L85" s="1036"/>
    </row>
    <row r="86" spans="2:12" x14ac:dyDescent="0.3">
      <c r="B86" s="1037" t="s">
        <v>1733</v>
      </c>
      <c r="C86" s="1036">
        <v>29500793292</v>
      </c>
      <c r="D86" s="1036"/>
      <c r="E86" s="1036">
        <v>29493783500</v>
      </c>
      <c r="F86" s="1036"/>
      <c r="G86" s="1036">
        <v>49020706046</v>
      </c>
      <c r="H86" s="1036"/>
      <c r="I86" s="1036">
        <v>56234131072</v>
      </c>
      <c r="J86" s="1036"/>
      <c r="K86" s="1036">
        <v>86626579138</v>
      </c>
      <c r="L86" s="1036"/>
    </row>
    <row r="87" spans="2:12" x14ac:dyDescent="0.3">
      <c r="B87" s="1037" t="s">
        <v>1734</v>
      </c>
      <c r="C87" s="1036">
        <v>29365850151</v>
      </c>
      <c r="D87" s="1036"/>
      <c r="E87" s="1036">
        <v>44778265659</v>
      </c>
      <c r="F87" s="1036"/>
      <c r="G87" s="1036">
        <v>46807634802</v>
      </c>
      <c r="H87" s="1036"/>
      <c r="I87" s="1036">
        <v>67927545558</v>
      </c>
      <c r="J87" s="1036"/>
      <c r="K87" s="1036">
        <v>79827859213</v>
      </c>
      <c r="L87" s="1036"/>
    </row>
    <row r="88" spans="2:12" x14ac:dyDescent="0.3">
      <c r="B88" s="1034" t="s">
        <v>1735</v>
      </c>
      <c r="C88" s="1036"/>
      <c r="D88" s="1036">
        <v>15100945317</v>
      </c>
      <c r="E88" s="1036"/>
      <c r="F88" s="1036">
        <v>13721446183</v>
      </c>
      <c r="G88" s="1036"/>
      <c r="H88" s="1036">
        <v>16638309790</v>
      </c>
      <c r="I88" s="1036"/>
      <c r="J88" s="1036">
        <v>17654177881</v>
      </c>
      <c r="K88" s="1036"/>
      <c r="L88" s="1036">
        <v>18128764960</v>
      </c>
    </row>
    <row r="89" spans="2:12" x14ac:dyDescent="0.3">
      <c r="B89" s="1034" t="s">
        <v>1736</v>
      </c>
      <c r="C89" s="1036"/>
      <c r="D89" s="1036">
        <v>8937696171</v>
      </c>
      <c r="E89" s="1036"/>
      <c r="F89" s="1036">
        <v>7198363684</v>
      </c>
      <c r="G89" s="1036"/>
      <c r="H89" s="1036">
        <v>7996366868</v>
      </c>
      <c r="I89" s="1036"/>
      <c r="J89" s="1036">
        <v>8441213415</v>
      </c>
      <c r="K89" s="1036"/>
      <c r="L89" s="1036">
        <v>8664102469</v>
      </c>
    </row>
    <row r="90" spans="2:12" x14ac:dyDescent="0.3">
      <c r="B90" s="1037" t="s">
        <v>1737</v>
      </c>
      <c r="C90" s="1036">
        <v>5122789438</v>
      </c>
      <c r="D90" s="1036"/>
      <c r="E90" s="1036">
        <v>3402277526</v>
      </c>
      <c r="F90" s="1036"/>
      <c r="G90" s="1036">
        <v>3776405805</v>
      </c>
      <c r="H90" s="1036"/>
      <c r="I90" s="1036">
        <v>3820809244</v>
      </c>
      <c r="J90" s="1036"/>
      <c r="K90" s="1036">
        <v>3427907239</v>
      </c>
      <c r="L90" s="1036"/>
    </row>
    <row r="91" spans="2:12" x14ac:dyDescent="0.3">
      <c r="B91" s="1037" t="s">
        <v>1738</v>
      </c>
      <c r="C91" s="1036">
        <v>308381964</v>
      </c>
      <c r="D91" s="1036"/>
      <c r="E91" s="1036">
        <v>325770042</v>
      </c>
      <c r="F91" s="1036"/>
      <c r="G91" s="1036">
        <v>369821988</v>
      </c>
      <c r="H91" s="1036"/>
      <c r="I91" s="1036">
        <v>438708603</v>
      </c>
      <c r="J91" s="1036"/>
      <c r="K91" s="1036">
        <v>402262716</v>
      </c>
      <c r="L91" s="1036"/>
    </row>
    <row r="92" spans="2:12" x14ac:dyDescent="0.3">
      <c r="B92" s="1037" t="s">
        <v>1739</v>
      </c>
      <c r="C92" s="1036">
        <v>470793922</v>
      </c>
      <c r="D92" s="1036"/>
      <c r="E92" s="1036">
        <v>609269118</v>
      </c>
      <c r="F92" s="1036"/>
      <c r="G92" s="1036">
        <v>612014530</v>
      </c>
      <c r="H92" s="1036"/>
      <c r="I92" s="1036">
        <v>562549288</v>
      </c>
      <c r="J92" s="1036"/>
      <c r="K92" s="1036">
        <v>647937614</v>
      </c>
      <c r="L92" s="1036"/>
    </row>
    <row r="93" spans="2:12" x14ac:dyDescent="0.3">
      <c r="B93" s="1037" t="s">
        <v>1740</v>
      </c>
      <c r="C93" s="1036">
        <v>550747590</v>
      </c>
      <c r="D93" s="1036"/>
      <c r="E93" s="1036">
        <v>571456273</v>
      </c>
      <c r="F93" s="1036"/>
      <c r="G93" s="1036">
        <v>598689800</v>
      </c>
      <c r="H93" s="1036"/>
      <c r="I93" s="1036">
        <v>692177818</v>
      </c>
      <c r="J93" s="1036"/>
      <c r="K93" s="1036">
        <v>677708224</v>
      </c>
      <c r="L93" s="1036"/>
    </row>
    <row r="94" spans="2:12" x14ac:dyDescent="0.3">
      <c r="B94" s="1037" t="s">
        <v>1741</v>
      </c>
      <c r="C94" s="1036">
        <v>73783390</v>
      </c>
      <c r="D94" s="1036"/>
      <c r="E94" s="1036">
        <v>76838882</v>
      </c>
      <c r="F94" s="1036"/>
      <c r="G94" s="1036">
        <v>42847974</v>
      </c>
      <c r="H94" s="1036"/>
      <c r="I94" s="1036">
        <v>65240137</v>
      </c>
      <c r="J94" s="1036"/>
      <c r="K94" s="1036">
        <v>70333851</v>
      </c>
      <c r="L94" s="1036"/>
    </row>
    <row r="95" spans="2:12" x14ac:dyDescent="0.3">
      <c r="B95" s="1037" t="s">
        <v>1742</v>
      </c>
      <c r="C95" s="1036">
        <v>174630433</v>
      </c>
      <c r="D95" s="1036"/>
      <c r="E95" s="1036">
        <v>271817897</v>
      </c>
      <c r="F95" s="1036"/>
      <c r="G95" s="1036">
        <v>262102960</v>
      </c>
      <c r="H95" s="1036"/>
      <c r="I95" s="1036">
        <v>384811169</v>
      </c>
      <c r="J95" s="1036"/>
      <c r="K95" s="1036">
        <v>391215900</v>
      </c>
      <c r="L95" s="1036"/>
    </row>
    <row r="96" spans="2:12" x14ac:dyDescent="0.3">
      <c r="B96" s="1037" t="s">
        <v>1743</v>
      </c>
      <c r="C96" s="1036">
        <v>180611530</v>
      </c>
      <c r="D96" s="1036"/>
      <c r="E96" s="1036">
        <v>175050711</v>
      </c>
      <c r="F96" s="1036"/>
      <c r="G96" s="1036">
        <v>243050733</v>
      </c>
      <c r="H96" s="1036"/>
      <c r="I96" s="1036">
        <v>202623729</v>
      </c>
      <c r="J96" s="1036"/>
      <c r="K96" s="1036">
        <v>258940810</v>
      </c>
      <c r="L96" s="1036"/>
    </row>
    <row r="97" spans="2:12" x14ac:dyDescent="0.3">
      <c r="B97" s="1037" t="s">
        <v>1744</v>
      </c>
      <c r="C97" s="1036">
        <v>65597645</v>
      </c>
      <c r="D97" s="1036"/>
      <c r="E97" s="1036">
        <v>257384300</v>
      </c>
      <c r="F97" s="1036"/>
      <c r="G97" s="1036">
        <v>371558533</v>
      </c>
      <c r="H97" s="1036"/>
      <c r="I97" s="1036">
        <v>454360704</v>
      </c>
      <c r="J97" s="1036"/>
      <c r="K97" s="1036">
        <v>509712757</v>
      </c>
      <c r="L97" s="1036"/>
    </row>
    <row r="98" spans="2:12" x14ac:dyDescent="0.3">
      <c r="B98" s="1037" t="s">
        <v>1745</v>
      </c>
      <c r="C98" s="1036">
        <v>78357011</v>
      </c>
      <c r="D98" s="1036"/>
      <c r="E98" s="1036">
        <v>22048408</v>
      </c>
      <c r="F98" s="1036"/>
      <c r="G98" s="1036">
        <v>394405055</v>
      </c>
      <c r="H98" s="1036"/>
      <c r="I98" s="1036">
        <v>259735376</v>
      </c>
      <c r="J98" s="1036"/>
      <c r="K98" s="1036">
        <v>448813822</v>
      </c>
      <c r="L98" s="1036"/>
    </row>
    <row r="99" spans="2:12" x14ac:dyDescent="0.3">
      <c r="B99" s="1037" t="s">
        <v>1746</v>
      </c>
      <c r="C99" s="1036">
        <v>41243308</v>
      </c>
      <c r="D99" s="1036"/>
      <c r="E99" s="1036">
        <v>66029359</v>
      </c>
      <c r="F99" s="1036"/>
      <c r="G99" s="1036">
        <v>101439272</v>
      </c>
      <c r="H99" s="1036"/>
      <c r="I99" s="1036">
        <v>122528788</v>
      </c>
      <c r="J99" s="1036"/>
      <c r="K99" s="1036">
        <v>113170205</v>
      </c>
      <c r="L99" s="1036"/>
    </row>
    <row r="100" spans="2:12" x14ac:dyDescent="0.3">
      <c r="B100" s="1037" t="s">
        <v>1747</v>
      </c>
      <c r="C100" s="1036">
        <v>264576507</v>
      </c>
      <c r="D100" s="1036"/>
      <c r="E100" s="1036">
        <v>294697287</v>
      </c>
      <c r="F100" s="1036"/>
      <c r="G100" s="1036">
        <v>148493862</v>
      </c>
      <c r="H100" s="1036"/>
      <c r="I100" s="1036">
        <v>157744762</v>
      </c>
      <c r="J100" s="1036"/>
      <c r="K100" s="1036">
        <v>83142655</v>
      </c>
      <c r="L100" s="1036"/>
    </row>
    <row r="101" spans="2:12" x14ac:dyDescent="0.3">
      <c r="B101" s="1037" t="s">
        <v>1748</v>
      </c>
      <c r="C101" s="1036">
        <v>101969015</v>
      </c>
      <c r="D101" s="1036"/>
      <c r="E101" s="1036">
        <v>68909326</v>
      </c>
      <c r="F101" s="1036"/>
      <c r="G101" s="1036">
        <v>61012652</v>
      </c>
      <c r="H101" s="1036"/>
      <c r="I101" s="1036">
        <v>51392932</v>
      </c>
      <c r="J101" s="1036"/>
      <c r="K101" s="1036">
        <v>68484012</v>
      </c>
      <c r="L101" s="1036"/>
    </row>
    <row r="102" spans="2:12" x14ac:dyDescent="0.3">
      <c r="B102" s="1037" t="s">
        <v>1749</v>
      </c>
      <c r="C102" s="1036">
        <v>4869740</v>
      </c>
      <c r="D102" s="1036"/>
      <c r="E102" s="1036">
        <v>5276910</v>
      </c>
      <c r="F102" s="1036"/>
      <c r="G102" s="1036">
        <v>7838358</v>
      </c>
      <c r="H102" s="1036"/>
      <c r="I102" s="1036">
        <v>6978750</v>
      </c>
      <c r="J102" s="1036"/>
      <c r="K102" s="1036">
        <v>8911290</v>
      </c>
      <c r="L102" s="1036"/>
    </row>
    <row r="103" spans="2:12" x14ac:dyDescent="0.3">
      <c r="B103" s="1037" t="s">
        <v>1750</v>
      </c>
      <c r="C103" s="1036">
        <v>262334007</v>
      </c>
      <c r="D103" s="1036"/>
      <c r="E103" s="1036">
        <v>387160060</v>
      </c>
      <c r="F103" s="1036"/>
      <c r="G103" s="1036">
        <v>476744255</v>
      </c>
      <c r="H103" s="1036"/>
      <c r="I103" s="1036">
        <v>572094367</v>
      </c>
      <c r="J103" s="1036"/>
      <c r="K103" s="1036">
        <v>823098971</v>
      </c>
      <c r="L103" s="1036"/>
    </row>
    <row r="104" spans="2:12" x14ac:dyDescent="0.3">
      <c r="B104" s="1037" t="s">
        <v>1751</v>
      </c>
      <c r="C104" s="1036">
        <v>77461589</v>
      </c>
      <c r="D104" s="1036"/>
      <c r="E104" s="1036">
        <v>119295597</v>
      </c>
      <c r="F104" s="1036"/>
      <c r="G104" s="1036">
        <v>54966967</v>
      </c>
      <c r="H104" s="1036"/>
      <c r="I104" s="1036">
        <v>40220957</v>
      </c>
      <c r="J104" s="1036"/>
      <c r="K104" s="1036">
        <v>52089794</v>
      </c>
      <c r="L104" s="1036"/>
    </row>
    <row r="105" spans="2:12" x14ac:dyDescent="0.3">
      <c r="B105" s="1037" t="s">
        <v>1752</v>
      </c>
      <c r="C105" s="1036">
        <v>66573730</v>
      </c>
      <c r="D105" s="1036"/>
      <c r="E105" s="1036">
        <v>40953180</v>
      </c>
      <c r="F105" s="1036"/>
      <c r="G105" s="1036">
        <v>2706490</v>
      </c>
      <c r="H105" s="1036"/>
      <c r="I105" s="1036">
        <v>2692576</v>
      </c>
      <c r="J105" s="1036"/>
      <c r="K105" s="1036">
        <v>4750500</v>
      </c>
      <c r="L105" s="1036"/>
    </row>
    <row r="106" spans="2:12" x14ac:dyDescent="0.3">
      <c r="B106" s="1037" t="s">
        <v>1753</v>
      </c>
      <c r="C106" s="1036">
        <v>51723712</v>
      </c>
      <c r="D106" s="1036"/>
      <c r="E106" s="1036">
        <v>70063489</v>
      </c>
      <c r="F106" s="1036"/>
      <c r="G106" s="1036">
        <v>90152744</v>
      </c>
      <c r="H106" s="1036"/>
      <c r="I106" s="1036">
        <v>112407391</v>
      </c>
      <c r="J106" s="1036"/>
      <c r="K106" s="1036">
        <v>177452853</v>
      </c>
      <c r="L106" s="1036"/>
    </row>
    <row r="107" spans="2:12" x14ac:dyDescent="0.3">
      <c r="B107" s="1037" t="s">
        <v>1754</v>
      </c>
      <c r="C107" s="1036">
        <v>436058618</v>
      </c>
      <c r="D107" s="1036"/>
      <c r="E107" s="1036">
        <v>270727841</v>
      </c>
      <c r="F107" s="1036"/>
      <c r="G107" s="1036">
        <v>93916347</v>
      </c>
      <c r="H107" s="1036"/>
      <c r="I107" s="1036">
        <v>97830175</v>
      </c>
      <c r="J107" s="1036"/>
      <c r="K107" s="1036">
        <v>95235932</v>
      </c>
      <c r="L107" s="1036"/>
    </row>
    <row r="108" spans="2:12" x14ac:dyDescent="0.3">
      <c r="B108" s="1037" t="s">
        <v>1755</v>
      </c>
      <c r="C108" s="1036">
        <v>583364957</v>
      </c>
      <c r="D108" s="1036"/>
      <c r="E108" s="1036">
        <v>139952634</v>
      </c>
      <c r="F108" s="1036"/>
      <c r="G108" s="1036">
        <v>236485464</v>
      </c>
      <c r="H108" s="1036"/>
      <c r="I108" s="1036">
        <v>368811841</v>
      </c>
      <c r="J108" s="1036"/>
      <c r="K108" s="1036">
        <v>357979655</v>
      </c>
      <c r="L108" s="1036"/>
    </row>
    <row r="109" spans="2:12" x14ac:dyDescent="0.3">
      <c r="B109" s="1037" t="s">
        <v>1756</v>
      </c>
      <c r="C109" s="1036">
        <v>7779917</v>
      </c>
      <c r="D109" s="1036"/>
      <c r="E109" s="1036">
        <v>7439045</v>
      </c>
      <c r="F109" s="1036"/>
      <c r="G109" s="1036">
        <v>8926030</v>
      </c>
      <c r="H109" s="1036"/>
      <c r="I109" s="1036">
        <v>7443288</v>
      </c>
      <c r="J109" s="1036"/>
      <c r="K109" s="1036">
        <v>4537964</v>
      </c>
      <c r="L109" s="1036"/>
    </row>
    <row r="110" spans="2:12" x14ac:dyDescent="0.3">
      <c r="B110" s="1037" t="s">
        <v>1757</v>
      </c>
      <c r="C110" s="1036">
        <v>12636178</v>
      </c>
      <c r="D110" s="1036"/>
      <c r="E110" s="1036">
        <v>10646129</v>
      </c>
      <c r="F110" s="1036"/>
      <c r="G110" s="1036">
        <v>8566626</v>
      </c>
      <c r="H110" s="1036"/>
      <c r="I110" s="1036">
        <v>8810588</v>
      </c>
      <c r="J110" s="1036"/>
      <c r="K110" s="1036">
        <v>9254214</v>
      </c>
      <c r="L110" s="1036"/>
    </row>
    <row r="111" spans="2:12" x14ac:dyDescent="0.3">
      <c r="B111" s="1037" t="s">
        <v>1758</v>
      </c>
      <c r="C111" s="1036">
        <v>0</v>
      </c>
      <c r="D111" s="1036"/>
      <c r="E111" s="1036">
        <v>1850000</v>
      </c>
      <c r="F111" s="1036"/>
      <c r="G111" s="1036">
        <v>23578980</v>
      </c>
      <c r="H111" s="1036"/>
      <c r="I111" s="1036">
        <v>5227840</v>
      </c>
      <c r="J111" s="1036"/>
      <c r="K111" s="1036">
        <v>0</v>
      </c>
      <c r="L111" s="1036"/>
    </row>
    <row r="112" spans="2:12" x14ac:dyDescent="0.3">
      <c r="B112" s="1037" t="s">
        <v>1759</v>
      </c>
      <c r="C112" s="1036">
        <v>1411970</v>
      </c>
      <c r="D112" s="1036"/>
      <c r="E112" s="1036">
        <v>3449670</v>
      </c>
      <c r="F112" s="1036"/>
      <c r="G112" s="1036">
        <v>10641443</v>
      </c>
      <c r="H112" s="1036"/>
      <c r="I112" s="1036">
        <v>6013092</v>
      </c>
      <c r="J112" s="1036"/>
      <c r="K112" s="1036">
        <v>31161491</v>
      </c>
      <c r="L112" s="1036"/>
    </row>
    <row r="113" spans="2:12" x14ac:dyDescent="0.3">
      <c r="B113" s="1034" t="s">
        <v>1760</v>
      </c>
      <c r="C113" s="1036"/>
      <c r="D113" s="1036">
        <v>6163249146</v>
      </c>
      <c r="E113" s="1036"/>
      <c r="F113" s="1036">
        <v>6523082499</v>
      </c>
      <c r="G113" s="1036"/>
      <c r="H113" s="1036">
        <v>8641942922</v>
      </c>
      <c r="I113" s="1036"/>
      <c r="J113" s="1036">
        <v>9212964466</v>
      </c>
      <c r="K113" s="1036"/>
      <c r="L113" s="1036">
        <v>9464662491</v>
      </c>
    </row>
    <row r="114" spans="2:12" x14ac:dyDescent="0.3">
      <c r="B114" s="1034" t="s">
        <v>1761</v>
      </c>
      <c r="C114" s="1036"/>
      <c r="D114" s="1036">
        <v>578067689</v>
      </c>
      <c r="E114" s="1036"/>
      <c r="F114" s="1036">
        <v>645345102</v>
      </c>
      <c r="G114" s="1036"/>
      <c r="H114" s="1036">
        <v>731059335</v>
      </c>
      <c r="I114" s="1036"/>
      <c r="J114" s="1036">
        <v>610819449</v>
      </c>
      <c r="K114" s="1036"/>
      <c r="L114" s="1036">
        <v>640574073</v>
      </c>
    </row>
    <row r="115" spans="2:12" x14ac:dyDescent="0.3">
      <c r="B115" s="1037" t="s">
        <v>1762</v>
      </c>
      <c r="C115" s="1036">
        <v>511185593</v>
      </c>
      <c r="D115" s="1036"/>
      <c r="E115" s="1036">
        <v>523810578</v>
      </c>
      <c r="F115" s="1036"/>
      <c r="G115" s="1036">
        <v>521604375</v>
      </c>
      <c r="H115" s="1036"/>
      <c r="I115" s="1036">
        <v>356637508</v>
      </c>
      <c r="J115" s="1036"/>
      <c r="K115" s="1036">
        <v>349736090</v>
      </c>
      <c r="L115" s="1036"/>
    </row>
    <row r="116" spans="2:12" x14ac:dyDescent="0.3">
      <c r="B116" s="1037" t="s">
        <v>1763</v>
      </c>
      <c r="C116" s="1036">
        <v>5073524</v>
      </c>
      <c r="D116" s="1036"/>
      <c r="E116" s="1036">
        <v>595604</v>
      </c>
      <c r="F116" s="1036"/>
      <c r="G116" s="1036">
        <v>1280805</v>
      </c>
      <c r="H116" s="1036"/>
      <c r="I116" s="1036">
        <v>13343755</v>
      </c>
      <c r="J116" s="1036"/>
      <c r="K116" s="1036">
        <v>62534717</v>
      </c>
      <c r="L116" s="1036"/>
    </row>
    <row r="117" spans="2:12" x14ac:dyDescent="0.3">
      <c r="B117" s="1037" t="s">
        <v>1764</v>
      </c>
      <c r="C117" s="1036">
        <v>0</v>
      </c>
      <c r="D117" s="1036"/>
      <c r="E117" s="1036">
        <v>2010465</v>
      </c>
      <c r="F117" s="1036"/>
      <c r="G117" s="1036">
        <v>66485</v>
      </c>
      <c r="H117" s="1036"/>
      <c r="I117" s="1036">
        <v>72236</v>
      </c>
      <c r="J117" s="1036"/>
      <c r="K117" s="1036">
        <v>886937</v>
      </c>
      <c r="L117" s="1036"/>
    </row>
    <row r="118" spans="2:12" x14ac:dyDescent="0.3">
      <c r="B118" s="1037" t="s">
        <v>1765</v>
      </c>
      <c r="C118" s="1036">
        <v>6357857</v>
      </c>
      <c r="D118" s="1036"/>
      <c r="E118" s="1036">
        <v>49000</v>
      </c>
      <c r="F118" s="1036"/>
      <c r="G118" s="1036">
        <v>0</v>
      </c>
      <c r="H118" s="1036"/>
      <c r="I118" s="1036">
        <v>3072302</v>
      </c>
      <c r="J118" s="1036"/>
      <c r="K118" s="1036">
        <v>7971446</v>
      </c>
      <c r="L118" s="1036"/>
    </row>
    <row r="119" spans="2:12" x14ac:dyDescent="0.3">
      <c r="B119" s="1037" t="s">
        <v>1766</v>
      </c>
      <c r="C119" s="1036">
        <v>0</v>
      </c>
      <c r="D119" s="1036"/>
      <c r="E119" s="1036">
        <v>2066263</v>
      </c>
      <c r="F119" s="1036"/>
      <c r="G119" s="1036">
        <v>0</v>
      </c>
      <c r="H119" s="1036"/>
      <c r="I119" s="1036">
        <v>0</v>
      </c>
      <c r="J119" s="1036"/>
      <c r="K119" s="1036">
        <v>0</v>
      </c>
      <c r="L119" s="1036"/>
    </row>
    <row r="120" spans="2:12" x14ac:dyDescent="0.3">
      <c r="B120" s="1037" t="s">
        <v>1767</v>
      </c>
      <c r="C120" s="1036">
        <v>55450715</v>
      </c>
      <c r="D120" s="1036"/>
      <c r="E120" s="1036">
        <v>98879587</v>
      </c>
      <c r="F120" s="1036"/>
      <c r="G120" s="1036">
        <v>89466130</v>
      </c>
      <c r="H120" s="1036"/>
      <c r="I120" s="1036">
        <v>111422820</v>
      </c>
      <c r="J120" s="1036"/>
      <c r="K120" s="1036">
        <v>84193618</v>
      </c>
      <c r="L120" s="1036"/>
    </row>
    <row r="121" spans="2:12" x14ac:dyDescent="0.3">
      <c r="B121" s="1037" t="s">
        <v>1768</v>
      </c>
      <c r="C121" s="1036">
        <v>0</v>
      </c>
      <c r="D121" s="1036"/>
      <c r="E121" s="1036">
        <v>17300000</v>
      </c>
      <c r="F121" s="1036"/>
      <c r="G121" s="1036">
        <v>0</v>
      </c>
      <c r="H121" s="1036"/>
      <c r="I121" s="1036">
        <v>0</v>
      </c>
      <c r="J121" s="1036"/>
      <c r="K121" s="1036">
        <v>0</v>
      </c>
      <c r="L121" s="1036"/>
    </row>
    <row r="122" spans="2:12" x14ac:dyDescent="0.3">
      <c r="B122" s="1037" t="s">
        <v>1769</v>
      </c>
      <c r="C122" s="1036">
        <v>0</v>
      </c>
      <c r="D122" s="1036"/>
      <c r="E122" s="1036">
        <v>633605</v>
      </c>
      <c r="F122" s="1036"/>
      <c r="G122" s="1036">
        <v>118641540</v>
      </c>
      <c r="H122" s="1036"/>
      <c r="I122" s="1036">
        <v>126270828</v>
      </c>
      <c r="J122" s="1036"/>
      <c r="K122" s="1036">
        <v>135251265</v>
      </c>
      <c r="L122" s="1036"/>
    </row>
    <row r="123" spans="2:12" x14ac:dyDescent="0.3">
      <c r="B123" s="1034" t="s">
        <v>1770</v>
      </c>
      <c r="C123" s="1036"/>
      <c r="D123" s="1036">
        <v>19919894</v>
      </c>
      <c r="E123" s="1036"/>
      <c r="F123" s="1036">
        <v>52734730</v>
      </c>
      <c r="G123" s="1036"/>
      <c r="H123" s="1036">
        <v>395019080</v>
      </c>
      <c r="I123" s="1036"/>
      <c r="J123" s="1036">
        <v>239847535</v>
      </c>
      <c r="K123" s="1036"/>
      <c r="L123" s="1036">
        <v>358389045</v>
      </c>
    </row>
    <row r="124" spans="2:12" x14ac:dyDescent="0.3">
      <c r="B124" s="1037" t="s">
        <v>1771</v>
      </c>
      <c r="C124" s="1036">
        <v>0</v>
      </c>
      <c r="D124" s="1036"/>
      <c r="E124" s="1036">
        <v>0</v>
      </c>
      <c r="F124" s="1036"/>
      <c r="G124" s="1036">
        <v>637395</v>
      </c>
      <c r="H124" s="1036"/>
      <c r="I124" s="1036">
        <v>28415296</v>
      </c>
      <c r="J124" s="1036"/>
      <c r="K124" s="1036">
        <v>2755498</v>
      </c>
      <c r="L124" s="1036"/>
    </row>
    <row r="125" spans="2:12" x14ac:dyDescent="0.3">
      <c r="B125" s="1037" t="s">
        <v>1772</v>
      </c>
      <c r="C125" s="1036">
        <v>2470</v>
      </c>
      <c r="D125" s="1036"/>
      <c r="E125" s="1036">
        <v>11211737</v>
      </c>
      <c r="F125" s="1036"/>
      <c r="G125" s="1036">
        <v>22837749</v>
      </c>
      <c r="H125" s="1036"/>
      <c r="I125" s="1036">
        <v>46014222</v>
      </c>
      <c r="J125" s="1036"/>
      <c r="K125" s="1036">
        <v>175668353</v>
      </c>
      <c r="L125" s="1036"/>
    </row>
    <row r="126" spans="2:12" x14ac:dyDescent="0.3">
      <c r="B126" s="1037" t="s">
        <v>1773</v>
      </c>
      <c r="C126" s="1036">
        <v>6871</v>
      </c>
      <c r="D126" s="1036"/>
      <c r="E126" s="1036">
        <v>213084</v>
      </c>
      <c r="F126" s="1036"/>
      <c r="G126" s="1036">
        <v>4301891</v>
      </c>
      <c r="H126" s="1036"/>
      <c r="I126" s="1036">
        <v>3766570</v>
      </c>
      <c r="J126" s="1036"/>
      <c r="K126" s="1036">
        <v>494251</v>
      </c>
      <c r="L126" s="1036"/>
    </row>
    <row r="127" spans="2:12" x14ac:dyDescent="0.3">
      <c r="B127" s="1037" t="s">
        <v>1774</v>
      </c>
      <c r="C127" s="1036">
        <v>187374</v>
      </c>
      <c r="D127" s="1036"/>
      <c r="E127" s="1036">
        <v>32987184</v>
      </c>
      <c r="F127" s="1036"/>
      <c r="G127" s="1036">
        <v>949700</v>
      </c>
      <c r="H127" s="1036"/>
      <c r="I127" s="1036">
        <v>311300</v>
      </c>
      <c r="J127" s="1036"/>
      <c r="K127" s="1036">
        <v>0</v>
      </c>
      <c r="L127" s="1036"/>
    </row>
    <row r="128" spans="2:12" x14ac:dyDescent="0.3">
      <c r="B128" s="1037" t="s">
        <v>1775</v>
      </c>
      <c r="C128" s="1036">
        <v>15405000</v>
      </c>
      <c r="D128" s="1036"/>
      <c r="E128" s="1036">
        <v>8085000</v>
      </c>
      <c r="F128" s="1036"/>
      <c r="G128" s="1036">
        <v>7255000</v>
      </c>
      <c r="H128" s="1036"/>
      <c r="I128" s="1036">
        <v>5895000</v>
      </c>
      <c r="J128" s="1036"/>
      <c r="K128" s="1036">
        <v>5080000</v>
      </c>
      <c r="L128" s="1036"/>
    </row>
    <row r="129" spans="2:12" x14ac:dyDescent="0.3">
      <c r="B129" s="1037" t="s">
        <v>1776</v>
      </c>
      <c r="C129" s="1036">
        <v>4318179</v>
      </c>
      <c r="D129" s="1036"/>
      <c r="E129" s="1036">
        <v>213405</v>
      </c>
      <c r="F129" s="1036"/>
      <c r="G129" s="1036">
        <v>8945066</v>
      </c>
      <c r="H129" s="1036"/>
      <c r="I129" s="1036">
        <v>9976656</v>
      </c>
      <c r="J129" s="1036"/>
      <c r="K129" s="1036">
        <v>4075092</v>
      </c>
      <c r="L129" s="1036"/>
    </row>
    <row r="130" spans="2:12" x14ac:dyDescent="0.3">
      <c r="B130" s="1037" t="s">
        <v>1777</v>
      </c>
      <c r="C130" s="1036">
        <v>0</v>
      </c>
      <c r="D130" s="1036"/>
      <c r="E130" s="1036">
        <v>24320</v>
      </c>
      <c r="F130" s="1036"/>
      <c r="G130" s="1036">
        <v>0</v>
      </c>
      <c r="H130" s="1036"/>
      <c r="I130" s="1036">
        <v>0</v>
      </c>
      <c r="J130" s="1036"/>
      <c r="K130" s="1036">
        <v>0</v>
      </c>
      <c r="L130" s="1036"/>
    </row>
    <row r="131" spans="2:12" x14ac:dyDescent="0.3">
      <c r="B131" s="1037" t="s">
        <v>1778</v>
      </c>
      <c r="C131" s="1036">
        <v>0</v>
      </c>
      <c r="D131" s="1036"/>
      <c r="E131" s="1036">
        <v>0</v>
      </c>
      <c r="F131" s="1036"/>
      <c r="G131" s="1036">
        <v>350092279</v>
      </c>
      <c r="H131" s="1036"/>
      <c r="I131" s="1036">
        <v>145468491</v>
      </c>
      <c r="J131" s="1036"/>
      <c r="K131" s="1036">
        <v>170315851</v>
      </c>
      <c r="L131" s="1036"/>
    </row>
    <row r="132" spans="2:12" x14ac:dyDescent="0.3">
      <c r="B132" s="1034" t="s">
        <v>1779</v>
      </c>
      <c r="C132" s="1036"/>
      <c r="D132" s="1036">
        <v>6721396941</v>
      </c>
      <c r="E132" s="1036"/>
      <c r="F132" s="1036">
        <v>7115692871</v>
      </c>
      <c r="G132" s="1036"/>
      <c r="H132" s="1036">
        <v>8977983177</v>
      </c>
      <c r="I132" s="1036"/>
      <c r="J132" s="1036">
        <v>9583936380</v>
      </c>
      <c r="K132" s="1036"/>
      <c r="L132" s="1036">
        <v>9746847519</v>
      </c>
    </row>
    <row r="133" spans="2:12" x14ac:dyDescent="0.3">
      <c r="B133" s="1034" t="s">
        <v>1780</v>
      </c>
      <c r="C133" s="1036"/>
      <c r="D133" s="1036">
        <v>1662603801</v>
      </c>
      <c r="E133" s="1036"/>
      <c r="F133" s="1036">
        <v>1678141370</v>
      </c>
      <c r="G133" s="1036"/>
      <c r="H133" s="1036">
        <v>1976935633</v>
      </c>
      <c r="I133" s="1036"/>
      <c r="J133" s="1036">
        <v>2131717325</v>
      </c>
      <c r="K133" s="1036"/>
      <c r="L133" s="1036">
        <v>2316045140</v>
      </c>
    </row>
    <row r="134" spans="2:12" x14ac:dyDescent="0.3">
      <c r="B134" s="1034" t="s">
        <v>1781</v>
      </c>
      <c r="C134" s="1036"/>
      <c r="D134" s="1036">
        <v>5058793140</v>
      </c>
      <c r="E134" s="1036"/>
      <c r="F134" s="1036">
        <v>5437551501</v>
      </c>
      <c r="G134" s="1036"/>
      <c r="H134" s="1036">
        <v>7001047544</v>
      </c>
      <c r="I134" s="1036"/>
      <c r="J134" s="1036">
        <v>7452219055</v>
      </c>
      <c r="K134" s="1036"/>
      <c r="L134" s="1036">
        <v>7430802379</v>
      </c>
    </row>
    <row r="135" spans="2:12" x14ac:dyDescent="0.3">
      <c r="B135" s="1034" t="s">
        <v>1782</v>
      </c>
      <c r="C135" s="1036"/>
      <c r="D135" s="1036"/>
      <c r="E135" s="1036"/>
      <c r="F135" s="1036"/>
      <c r="G135" s="1036"/>
      <c r="H135" s="1036"/>
      <c r="I135" s="1036"/>
      <c r="J135" s="1036"/>
      <c r="K135" s="1036"/>
      <c r="L135" s="1036"/>
    </row>
    <row r="136" spans="2:12" x14ac:dyDescent="0.3">
      <c r="B136" s="1037" t="s">
        <v>1783</v>
      </c>
      <c r="C136" s="1036"/>
      <c r="D136" s="1036">
        <v>8431</v>
      </c>
      <c r="E136" s="1036"/>
      <c r="F136" s="1036">
        <v>9063</v>
      </c>
      <c r="G136" s="1036"/>
      <c r="H136" s="1036">
        <v>11668</v>
      </c>
      <c r="I136" s="1036"/>
      <c r="J136" s="1036">
        <v>12420</v>
      </c>
      <c r="K136" s="1036"/>
      <c r="L136" s="1036">
        <v>12385</v>
      </c>
    </row>
    <row r="139" spans="2:12" x14ac:dyDescent="0.3">
      <c r="B139" s="208" t="s">
        <v>1861</v>
      </c>
      <c r="C139" s="208"/>
      <c r="D139" s="208"/>
    </row>
    <row r="140" spans="2:12" ht="16.5" customHeight="1" x14ac:dyDescent="0.3">
      <c r="B140" s="1033" t="s">
        <v>1670</v>
      </c>
      <c r="C140" s="2174">
        <v>2010</v>
      </c>
      <c r="D140" s="2174"/>
      <c r="E140" s="2174">
        <v>2011</v>
      </c>
      <c r="F140" s="2174"/>
      <c r="G140" s="2174">
        <v>2012</v>
      </c>
      <c r="H140" s="2174"/>
      <c r="I140" s="2174">
        <v>2013</v>
      </c>
      <c r="J140" s="2174"/>
      <c r="K140" s="2174">
        <v>2014</v>
      </c>
      <c r="L140" s="2174"/>
    </row>
    <row r="141" spans="2:12" x14ac:dyDescent="0.3">
      <c r="B141" s="1034" t="s">
        <v>1784</v>
      </c>
      <c r="C141" s="1036"/>
      <c r="D141" s="1036">
        <v>10520313840</v>
      </c>
      <c r="E141" s="1036"/>
      <c r="F141" s="1036">
        <v>-4067768131</v>
      </c>
      <c r="G141" s="1036"/>
      <c r="H141" s="1036">
        <v>2761374086</v>
      </c>
      <c r="I141" s="1036"/>
      <c r="J141" s="1036">
        <v>12781087151</v>
      </c>
      <c r="K141" s="1036"/>
      <c r="L141" s="1036">
        <v>7746575122</v>
      </c>
    </row>
    <row r="142" spans="2:12" x14ac:dyDescent="0.3">
      <c r="B142" s="1037" t="s">
        <v>1785</v>
      </c>
      <c r="C142" s="1036">
        <v>5058793140</v>
      </c>
      <c r="D142" s="1036"/>
      <c r="E142" s="1036">
        <v>5437551501</v>
      </c>
      <c r="F142" s="1036"/>
      <c r="G142" s="1036">
        <v>7001047544</v>
      </c>
      <c r="H142" s="1036"/>
      <c r="I142" s="1036">
        <v>7452219055</v>
      </c>
      <c r="J142" s="1036"/>
      <c r="K142" s="1036">
        <v>7430802379</v>
      </c>
      <c r="L142" s="1036"/>
    </row>
    <row r="143" spans="2:12" x14ac:dyDescent="0.3">
      <c r="B143" s="1037" t="s">
        <v>1786</v>
      </c>
      <c r="C143" s="1036">
        <v>2153971654</v>
      </c>
      <c r="D143" s="1036"/>
      <c r="E143" s="1036">
        <v>2145826433</v>
      </c>
      <c r="F143" s="1036"/>
      <c r="G143" s="1036">
        <v>3203995030</v>
      </c>
      <c r="H143" s="1036"/>
      <c r="I143" s="1036">
        <v>3893547936</v>
      </c>
      <c r="J143" s="1036"/>
      <c r="K143" s="1036">
        <v>4055533780</v>
      </c>
      <c r="L143" s="1036"/>
    </row>
    <row r="144" spans="2:12" x14ac:dyDescent="0.3">
      <c r="B144" s="1038" t="s">
        <v>1787</v>
      </c>
      <c r="C144" s="1036">
        <v>1112441357</v>
      </c>
      <c r="D144" s="1036"/>
      <c r="E144" s="1036">
        <v>1475795797</v>
      </c>
      <c r="F144" s="1036"/>
      <c r="G144" s="1036">
        <v>1836189554</v>
      </c>
      <c r="H144" s="1036"/>
      <c r="I144" s="1036">
        <v>2321045160</v>
      </c>
      <c r="J144" s="1036"/>
      <c r="K144" s="1036">
        <v>2611303371</v>
      </c>
      <c r="L144" s="1036"/>
    </row>
    <row r="145" spans="2:12" x14ac:dyDescent="0.3">
      <c r="B145" s="1038" t="s">
        <v>1788</v>
      </c>
      <c r="C145" s="1036">
        <v>230156779</v>
      </c>
      <c r="D145" s="1036"/>
      <c r="E145" s="1036">
        <v>321593752</v>
      </c>
      <c r="F145" s="1036"/>
      <c r="G145" s="1036">
        <v>455789549</v>
      </c>
      <c r="H145" s="1036"/>
      <c r="I145" s="1036">
        <v>612660168</v>
      </c>
      <c r="J145" s="1036"/>
      <c r="K145" s="1036">
        <v>645886393</v>
      </c>
      <c r="L145" s="1036"/>
    </row>
    <row r="146" spans="2:12" x14ac:dyDescent="0.3">
      <c r="B146" s="1038" t="s">
        <v>1789</v>
      </c>
      <c r="C146" s="1036">
        <v>78357011</v>
      </c>
      <c r="D146" s="1036"/>
      <c r="E146" s="1036">
        <v>22048408</v>
      </c>
      <c r="F146" s="1036"/>
      <c r="G146" s="1036">
        <v>394405055</v>
      </c>
      <c r="H146" s="1036"/>
      <c r="I146" s="1036">
        <v>259735376</v>
      </c>
      <c r="J146" s="1036"/>
      <c r="K146" s="1036">
        <v>448813822</v>
      </c>
      <c r="L146" s="1036"/>
    </row>
    <row r="147" spans="2:12" x14ac:dyDescent="0.3">
      <c r="B147" s="1038" t="s">
        <v>1790</v>
      </c>
      <c r="C147" s="1036">
        <v>447385830</v>
      </c>
      <c r="D147" s="1036"/>
      <c r="E147" s="1036">
        <v>277988208</v>
      </c>
      <c r="F147" s="1036"/>
      <c r="G147" s="1036">
        <v>99174632</v>
      </c>
      <c r="H147" s="1036"/>
      <c r="I147" s="1036">
        <v>99132172</v>
      </c>
      <c r="J147" s="1036"/>
      <c r="K147" s="1036">
        <v>95235932</v>
      </c>
      <c r="L147" s="1036"/>
    </row>
    <row r="148" spans="2:12" x14ac:dyDescent="0.3">
      <c r="B148" s="1038" t="s">
        <v>1791</v>
      </c>
      <c r="C148" s="1036">
        <v>187374</v>
      </c>
      <c r="D148" s="1036"/>
      <c r="E148" s="1036">
        <v>32987184</v>
      </c>
      <c r="F148" s="1036"/>
      <c r="G148" s="1036">
        <v>949700</v>
      </c>
      <c r="H148" s="1036"/>
      <c r="I148" s="1036">
        <v>311300</v>
      </c>
      <c r="J148" s="1036"/>
      <c r="K148" s="1036">
        <v>0</v>
      </c>
      <c r="L148" s="1036"/>
    </row>
    <row r="149" spans="2:12" x14ac:dyDescent="0.3">
      <c r="B149" s="1038" t="s">
        <v>1792</v>
      </c>
      <c r="C149" s="1036">
        <v>0</v>
      </c>
      <c r="D149" s="1036"/>
      <c r="E149" s="1036">
        <v>0</v>
      </c>
      <c r="F149" s="1036"/>
      <c r="G149" s="1036">
        <v>0</v>
      </c>
      <c r="H149" s="1036"/>
      <c r="I149" s="1036">
        <v>420130006</v>
      </c>
      <c r="J149" s="1036"/>
      <c r="K149" s="1036">
        <v>0</v>
      </c>
      <c r="L149" s="1036"/>
    </row>
    <row r="150" spans="2:12" x14ac:dyDescent="0.3">
      <c r="B150" s="1038" t="s">
        <v>1793</v>
      </c>
      <c r="C150" s="1036">
        <v>35700155</v>
      </c>
      <c r="D150" s="1036"/>
      <c r="E150" s="1036">
        <v>0</v>
      </c>
      <c r="F150" s="1036"/>
      <c r="G150" s="1036">
        <v>63092370</v>
      </c>
      <c r="H150" s="1036"/>
      <c r="I150" s="1036">
        <v>22672680</v>
      </c>
      <c r="J150" s="1036"/>
      <c r="K150" s="1036">
        <v>92204854</v>
      </c>
      <c r="L150" s="1036"/>
    </row>
    <row r="151" spans="2:12" x14ac:dyDescent="0.3">
      <c r="B151" s="1038" t="s">
        <v>1794</v>
      </c>
      <c r="C151" s="1036">
        <v>249743148</v>
      </c>
      <c r="D151" s="1036"/>
      <c r="E151" s="1036">
        <v>15200000</v>
      </c>
      <c r="F151" s="1036"/>
      <c r="G151" s="1036">
        <v>0</v>
      </c>
      <c r="H151" s="1036"/>
      <c r="I151" s="1036">
        <v>8626013</v>
      </c>
      <c r="J151" s="1036"/>
      <c r="K151" s="1036">
        <v>-8626013</v>
      </c>
      <c r="L151" s="1036"/>
    </row>
    <row r="152" spans="2:12" x14ac:dyDescent="0.3">
      <c r="B152" s="1038" t="s">
        <v>1795</v>
      </c>
      <c r="C152" s="1036">
        <v>0</v>
      </c>
      <c r="D152" s="1036"/>
      <c r="E152" s="1036">
        <v>213084</v>
      </c>
      <c r="F152" s="1036"/>
      <c r="G152" s="1036">
        <v>4301891</v>
      </c>
      <c r="H152" s="1036"/>
      <c r="I152" s="1036">
        <v>3766570</v>
      </c>
      <c r="J152" s="1036"/>
      <c r="K152" s="1036">
        <v>399570</v>
      </c>
      <c r="L152" s="1036"/>
    </row>
    <row r="153" spans="2:12" x14ac:dyDescent="0.3">
      <c r="B153" s="1038" t="s">
        <v>1796</v>
      </c>
      <c r="C153" s="1036">
        <v>0</v>
      </c>
      <c r="D153" s="1036"/>
      <c r="E153" s="1036">
        <v>0</v>
      </c>
      <c r="F153" s="1036"/>
      <c r="G153" s="1036">
        <v>350092279</v>
      </c>
      <c r="H153" s="1036"/>
      <c r="I153" s="1036">
        <v>145468491</v>
      </c>
      <c r="J153" s="1036"/>
      <c r="K153" s="1036">
        <v>170315851</v>
      </c>
      <c r="L153" s="1036"/>
    </row>
    <row r="154" spans="2:12" x14ac:dyDescent="0.3">
      <c r="B154" s="1037" t="s">
        <v>1797</v>
      </c>
      <c r="C154" s="1036">
        <v>-6357857</v>
      </c>
      <c r="D154" s="1036"/>
      <c r="E154" s="1036">
        <v>-4123465</v>
      </c>
      <c r="F154" s="1036"/>
      <c r="G154" s="1036">
        <v>-15266485</v>
      </c>
      <c r="H154" s="1036"/>
      <c r="I154" s="1036">
        <v>-3102962</v>
      </c>
      <c r="J154" s="1036"/>
      <c r="K154" s="1036">
        <v>-8858383</v>
      </c>
      <c r="L154" s="1036"/>
    </row>
    <row r="155" spans="2:12" x14ac:dyDescent="0.3">
      <c r="B155" s="1038" t="s">
        <v>1798</v>
      </c>
      <c r="C155" s="1036">
        <v>6357857</v>
      </c>
      <c r="D155" s="1036"/>
      <c r="E155" s="1036">
        <v>49000</v>
      </c>
      <c r="F155" s="1036"/>
      <c r="G155" s="1036">
        <v>0</v>
      </c>
      <c r="H155" s="1036"/>
      <c r="I155" s="1036">
        <v>3072302</v>
      </c>
      <c r="J155" s="1036"/>
      <c r="K155" s="1036">
        <v>7971446</v>
      </c>
      <c r="L155" s="1036"/>
    </row>
    <row r="156" spans="2:12" x14ac:dyDescent="0.3">
      <c r="B156" s="1038" t="s">
        <v>1799</v>
      </c>
      <c r="C156" s="1036">
        <v>0</v>
      </c>
      <c r="D156" s="1036"/>
      <c r="E156" s="1036">
        <v>2066263</v>
      </c>
      <c r="F156" s="1036"/>
      <c r="G156" s="1036">
        <v>0</v>
      </c>
      <c r="H156" s="1036"/>
      <c r="I156" s="1036">
        <v>0</v>
      </c>
      <c r="J156" s="1036"/>
      <c r="K156" s="1036">
        <v>0</v>
      </c>
      <c r="L156" s="1036"/>
    </row>
    <row r="157" spans="2:12" x14ac:dyDescent="0.3">
      <c r="B157" s="1038" t="s">
        <v>1800</v>
      </c>
      <c r="C157" s="1036">
        <v>0</v>
      </c>
      <c r="D157" s="1036"/>
      <c r="E157" s="1036">
        <v>0</v>
      </c>
      <c r="F157" s="1036"/>
      <c r="G157" s="1036">
        <v>15200000</v>
      </c>
      <c r="H157" s="1036"/>
      <c r="I157" s="1036">
        <v>0</v>
      </c>
      <c r="J157" s="1036"/>
      <c r="K157" s="1036">
        <v>0</v>
      </c>
      <c r="L157" s="1036"/>
    </row>
    <row r="158" spans="2:12" x14ac:dyDescent="0.3">
      <c r="B158" s="1038" t="s">
        <v>1801</v>
      </c>
      <c r="C158" s="1036">
        <v>0</v>
      </c>
      <c r="D158" s="1036"/>
      <c r="E158" s="1036">
        <v>2008202</v>
      </c>
      <c r="F158" s="1036"/>
      <c r="G158" s="1036">
        <v>66485</v>
      </c>
      <c r="H158" s="1036"/>
      <c r="I158" s="1036">
        <v>30660</v>
      </c>
      <c r="J158" s="1036"/>
      <c r="K158" s="1036">
        <v>886937</v>
      </c>
      <c r="L158" s="1036"/>
    </row>
    <row r="159" spans="2:12" x14ac:dyDescent="0.3">
      <c r="B159" s="1037" t="s">
        <v>1802</v>
      </c>
      <c r="C159" s="1036">
        <v>3313906903</v>
      </c>
      <c r="D159" s="1036"/>
      <c r="E159" s="1036">
        <v>-11647022600</v>
      </c>
      <c r="F159" s="1036"/>
      <c r="G159" s="1036">
        <v>-7428402003</v>
      </c>
      <c r="H159" s="1036"/>
      <c r="I159" s="1036">
        <v>1438423122</v>
      </c>
      <c r="J159" s="1036"/>
      <c r="K159" s="1036">
        <v>-3730902654</v>
      </c>
      <c r="L159" s="1036"/>
    </row>
    <row r="160" spans="2:12" x14ac:dyDescent="0.3">
      <c r="B160" s="1038" t="s">
        <v>1803</v>
      </c>
      <c r="C160" s="1036">
        <v>-4552906994</v>
      </c>
      <c r="D160" s="1036"/>
      <c r="E160" s="1036">
        <v>-3272238466</v>
      </c>
      <c r="F160" s="1036"/>
      <c r="G160" s="1036">
        <v>-30265544416</v>
      </c>
      <c r="H160" s="1036"/>
      <c r="I160" s="1036">
        <v>6313357552</v>
      </c>
      <c r="J160" s="1036"/>
      <c r="K160" s="1036">
        <v>-27393196405</v>
      </c>
      <c r="L160" s="1036"/>
    </row>
    <row r="161" spans="2:12" x14ac:dyDescent="0.3">
      <c r="B161" s="1038" t="s">
        <v>1804</v>
      </c>
      <c r="C161" s="1036">
        <v>21484449</v>
      </c>
      <c r="D161" s="1036"/>
      <c r="E161" s="1036">
        <v>-65453452</v>
      </c>
      <c r="F161" s="1036"/>
      <c r="G161" s="1036">
        <v>31300420</v>
      </c>
      <c r="H161" s="1036"/>
      <c r="I161" s="1036">
        <v>-457301992</v>
      </c>
      <c r="J161" s="1036"/>
      <c r="K161" s="1036">
        <v>440540243</v>
      </c>
      <c r="L161" s="1036"/>
    </row>
    <row r="162" spans="2:12" x14ac:dyDescent="0.3">
      <c r="B162" s="1038" t="s">
        <v>1805</v>
      </c>
      <c r="C162" s="1036">
        <v>-10738476</v>
      </c>
      <c r="D162" s="1036"/>
      <c r="E162" s="1036">
        <v>16965446</v>
      </c>
      <c r="F162" s="1036"/>
      <c r="G162" s="1036">
        <v>-6768384</v>
      </c>
      <c r="H162" s="1036"/>
      <c r="I162" s="1036">
        <v>121973287</v>
      </c>
      <c r="J162" s="1036"/>
      <c r="K162" s="1036">
        <v>-15078250</v>
      </c>
      <c r="L162" s="1036"/>
    </row>
    <row r="163" spans="2:12" x14ac:dyDescent="0.3">
      <c r="B163" s="1038" t="s">
        <v>1806</v>
      </c>
      <c r="C163" s="1036">
        <v>-134766024</v>
      </c>
      <c r="D163" s="1036"/>
      <c r="E163" s="1036">
        <v>-582013086</v>
      </c>
      <c r="F163" s="1036"/>
      <c r="G163" s="1036">
        <v>294587079</v>
      </c>
      <c r="H163" s="1036"/>
      <c r="I163" s="1036">
        <v>-209277619</v>
      </c>
      <c r="J163" s="1036"/>
      <c r="K163" s="1036">
        <v>536128935</v>
      </c>
      <c r="L163" s="1036"/>
    </row>
    <row r="164" spans="2:12" x14ac:dyDescent="0.3">
      <c r="B164" s="1038" t="s">
        <v>1807</v>
      </c>
      <c r="C164" s="1036">
        <v>-206776221</v>
      </c>
      <c r="D164" s="1036"/>
      <c r="E164" s="1036">
        <v>106625995</v>
      </c>
      <c r="F164" s="1036"/>
      <c r="G164" s="1036">
        <v>-209474862</v>
      </c>
      <c r="H164" s="1036"/>
      <c r="I164" s="1036">
        <v>-347104427</v>
      </c>
      <c r="J164" s="1036"/>
      <c r="K164" s="1036">
        <v>68797974</v>
      </c>
      <c r="L164" s="1036"/>
    </row>
    <row r="165" spans="2:12" x14ac:dyDescent="0.3">
      <c r="B165" s="1038" t="s">
        <v>1808</v>
      </c>
      <c r="C165" s="1036">
        <v>5546399</v>
      </c>
      <c r="D165" s="1036"/>
      <c r="E165" s="1036">
        <v>-985389</v>
      </c>
      <c r="F165" s="1036"/>
      <c r="G165" s="1036">
        <v>-33498467</v>
      </c>
      <c r="H165" s="1036"/>
      <c r="I165" s="1036">
        <v>19703882</v>
      </c>
      <c r="J165" s="1036"/>
      <c r="K165" s="1036">
        <v>-56929935</v>
      </c>
      <c r="L165" s="1036"/>
    </row>
    <row r="166" spans="2:12" x14ac:dyDescent="0.3">
      <c r="B166" s="1038" t="s">
        <v>1809</v>
      </c>
      <c r="C166" s="1036">
        <v>-715954900</v>
      </c>
      <c r="D166" s="1036"/>
      <c r="E166" s="1036">
        <v>117024894</v>
      </c>
      <c r="F166" s="1036"/>
      <c r="G166" s="1036">
        <v>-1730803006</v>
      </c>
      <c r="H166" s="1036"/>
      <c r="I166" s="1036">
        <v>-2082212611</v>
      </c>
      <c r="J166" s="1036"/>
      <c r="K166" s="1036">
        <v>1621838111</v>
      </c>
      <c r="L166" s="1036"/>
    </row>
    <row r="167" spans="2:12" x14ac:dyDescent="0.3">
      <c r="B167" s="1038" t="s">
        <v>1810</v>
      </c>
      <c r="C167" s="1036">
        <v>-110168017</v>
      </c>
      <c r="D167" s="1036"/>
      <c r="E167" s="1036">
        <v>451167746</v>
      </c>
      <c r="F167" s="1036"/>
      <c r="G167" s="1036">
        <v>-7804029</v>
      </c>
      <c r="H167" s="1036"/>
      <c r="I167" s="1036">
        <v>-165707027</v>
      </c>
      <c r="J167" s="1036"/>
      <c r="K167" s="1036">
        <v>19718444</v>
      </c>
      <c r="L167" s="1036"/>
    </row>
    <row r="168" spans="2:12" x14ac:dyDescent="0.3">
      <c r="B168" s="1038" t="s">
        <v>1811</v>
      </c>
      <c r="C168" s="1036">
        <v>7472043401</v>
      </c>
      <c r="D168" s="1036"/>
      <c r="E168" s="1036">
        <v>-2575025459</v>
      </c>
      <c r="F168" s="1036"/>
      <c r="G168" s="1036">
        <v>22128269237</v>
      </c>
      <c r="H168" s="1036"/>
      <c r="I168" s="1036">
        <v>447010471</v>
      </c>
      <c r="J168" s="1036"/>
      <c r="K168" s="1036">
        <v>26076006699</v>
      </c>
      <c r="L168" s="1036"/>
    </row>
    <row r="169" spans="2:12" x14ac:dyDescent="0.3">
      <c r="B169" s="1038" t="s">
        <v>1812</v>
      </c>
      <c r="C169" s="1036">
        <v>429567168</v>
      </c>
      <c r="D169" s="1036"/>
      <c r="E169" s="1036">
        <v>-1099647542</v>
      </c>
      <c r="F169" s="1036"/>
      <c r="G169" s="1036">
        <v>1520917009</v>
      </c>
      <c r="H169" s="1036"/>
      <c r="I169" s="1036">
        <v>-85340253</v>
      </c>
      <c r="J169" s="1036"/>
      <c r="K169" s="1036">
        <v>-745717304</v>
      </c>
      <c r="L169" s="1036"/>
    </row>
    <row r="170" spans="2:12" x14ac:dyDescent="0.3">
      <c r="B170" s="1038" t="s">
        <v>1813</v>
      </c>
      <c r="C170" s="1036">
        <v>-328680402</v>
      </c>
      <c r="D170" s="1036"/>
      <c r="E170" s="1036">
        <v>551169196</v>
      </c>
      <c r="F170" s="1036"/>
      <c r="G170" s="1036">
        <v>-548100869</v>
      </c>
      <c r="H170" s="1036"/>
      <c r="I170" s="1036">
        <v>645111048</v>
      </c>
      <c r="J170" s="1036"/>
      <c r="K170" s="1036">
        <v>-436605952</v>
      </c>
      <c r="L170" s="1036"/>
    </row>
    <row r="171" spans="2:12" x14ac:dyDescent="0.3">
      <c r="B171" s="1038" t="s">
        <v>1814</v>
      </c>
      <c r="C171" s="1036">
        <v>777919134</v>
      </c>
      <c r="D171" s="1036"/>
      <c r="E171" s="1036">
        <v>-119089245</v>
      </c>
      <c r="F171" s="1036"/>
      <c r="G171" s="1036">
        <v>2410050027</v>
      </c>
      <c r="H171" s="1036"/>
      <c r="I171" s="1036">
        <v>-280789804</v>
      </c>
      <c r="J171" s="1036"/>
      <c r="K171" s="1036">
        <v>-794113513</v>
      </c>
      <c r="L171" s="1036"/>
    </row>
    <row r="172" spans="2:12" x14ac:dyDescent="0.3">
      <c r="B172" s="1038" t="s">
        <v>1815</v>
      </c>
      <c r="C172" s="1036">
        <v>1312809665</v>
      </c>
      <c r="D172" s="1036"/>
      <c r="E172" s="1036">
        <v>-1147598899</v>
      </c>
      <c r="F172" s="1036"/>
      <c r="G172" s="1036">
        <v>275311054</v>
      </c>
      <c r="H172" s="1036"/>
      <c r="I172" s="1036">
        <v>-594502999</v>
      </c>
      <c r="J172" s="1036"/>
      <c r="K172" s="1036">
        <v>-21262222</v>
      </c>
      <c r="L172" s="1036"/>
    </row>
    <row r="173" spans="2:12" x14ac:dyDescent="0.3">
      <c r="B173" s="1038" t="s">
        <v>1816</v>
      </c>
      <c r="C173" s="1036">
        <v>-17995300</v>
      </c>
      <c r="D173" s="1036"/>
      <c r="E173" s="1036">
        <v>-5371065</v>
      </c>
      <c r="F173" s="1036"/>
      <c r="G173" s="1036">
        <v>185672830</v>
      </c>
      <c r="H173" s="1036"/>
      <c r="I173" s="1036">
        <v>-26435344</v>
      </c>
      <c r="J173" s="1036"/>
      <c r="K173" s="1036">
        <v>57705780</v>
      </c>
      <c r="L173" s="1036"/>
    </row>
    <row r="174" spans="2:12" x14ac:dyDescent="0.3">
      <c r="B174" s="1038" t="s">
        <v>2007</v>
      </c>
      <c r="C174" s="1036">
        <v>-5637433</v>
      </c>
      <c r="D174" s="1036"/>
      <c r="E174" s="1036">
        <v>0</v>
      </c>
      <c r="F174" s="1036"/>
      <c r="G174" s="1036">
        <v>0</v>
      </c>
      <c r="H174" s="1036"/>
      <c r="I174" s="1036">
        <v>0</v>
      </c>
      <c r="J174" s="1036"/>
      <c r="K174" s="1036">
        <v>0</v>
      </c>
      <c r="L174" s="1036"/>
    </row>
    <row r="175" spans="2:12" x14ac:dyDescent="0.3">
      <c r="B175" s="1038" t="s">
        <v>1817</v>
      </c>
      <c r="C175" s="1036">
        <v>-443396815</v>
      </c>
      <c r="D175" s="1036"/>
      <c r="E175" s="1036">
        <v>-1429537262</v>
      </c>
      <c r="F175" s="1036"/>
      <c r="G175" s="1036">
        <v>-437396381</v>
      </c>
      <c r="H175" s="1036"/>
      <c r="I175" s="1036">
        <v>-440908900</v>
      </c>
      <c r="J175" s="1036"/>
      <c r="K175" s="1036">
        <v>-1023509239</v>
      </c>
      <c r="L175" s="1036"/>
    </row>
    <row r="176" spans="2:12" x14ac:dyDescent="0.3">
      <c r="B176" s="1038" t="s">
        <v>2008</v>
      </c>
      <c r="C176" s="1036">
        <v>-18000000</v>
      </c>
      <c r="D176" s="1036"/>
      <c r="E176" s="1036">
        <v>0</v>
      </c>
      <c r="F176" s="1036"/>
      <c r="G176" s="1036">
        <v>0</v>
      </c>
      <c r="H176" s="1036"/>
      <c r="I176" s="1036">
        <v>0</v>
      </c>
      <c r="J176" s="1036"/>
      <c r="K176" s="1036">
        <v>0</v>
      </c>
      <c r="L176" s="1036"/>
    </row>
    <row r="177" spans="2:12" x14ac:dyDescent="0.3">
      <c r="B177" s="1038" t="s">
        <v>1818</v>
      </c>
      <c r="C177" s="1036">
        <v>-160442731</v>
      </c>
      <c r="D177" s="1036"/>
      <c r="E177" s="1036">
        <v>-192382407</v>
      </c>
      <c r="F177" s="1036"/>
      <c r="G177" s="1036">
        <v>0</v>
      </c>
      <c r="H177" s="1036"/>
      <c r="I177" s="1036">
        <v>0</v>
      </c>
      <c r="J177" s="1036"/>
      <c r="K177" s="1036">
        <v>0</v>
      </c>
      <c r="L177" s="1036"/>
    </row>
    <row r="178" spans="2:12" x14ac:dyDescent="0.3">
      <c r="B178" s="1038" t="s">
        <v>1819</v>
      </c>
      <c r="C178" s="1036">
        <v>0</v>
      </c>
      <c r="D178" s="1036"/>
      <c r="E178" s="1036">
        <v>-2400633605</v>
      </c>
      <c r="F178" s="1036"/>
      <c r="G178" s="1036">
        <v>-1035119245</v>
      </c>
      <c r="H178" s="1036"/>
      <c r="I178" s="1036">
        <v>-1419152142</v>
      </c>
      <c r="J178" s="1036"/>
      <c r="K178" s="1036">
        <v>-2065226020</v>
      </c>
      <c r="L178" s="1036"/>
    </row>
    <row r="179" spans="2:12" x14ac:dyDescent="0.3">
      <c r="B179" s="1034" t="s">
        <v>1820</v>
      </c>
      <c r="C179" s="1036"/>
      <c r="D179" s="1036">
        <v>-2810592931</v>
      </c>
      <c r="E179" s="1036"/>
      <c r="F179" s="1036">
        <v>330799544</v>
      </c>
      <c r="G179" s="1036"/>
      <c r="H179" s="1036">
        <v>-3430815392</v>
      </c>
      <c r="I179" s="1036"/>
      <c r="J179" s="1036">
        <v>-2939767659</v>
      </c>
      <c r="K179" s="1036"/>
      <c r="L179" s="1036">
        <v>-4958156298</v>
      </c>
    </row>
    <row r="180" spans="2:12" x14ac:dyDescent="0.3">
      <c r="B180" s="1037" t="s">
        <v>1821</v>
      </c>
      <c r="C180" s="1036">
        <v>11423418481</v>
      </c>
      <c r="D180" s="1036"/>
      <c r="E180" s="1036">
        <v>13395456621</v>
      </c>
      <c r="F180" s="1036"/>
      <c r="G180" s="1036">
        <v>910143748</v>
      </c>
      <c r="H180" s="1036"/>
      <c r="I180" s="1036">
        <v>12382986882</v>
      </c>
      <c r="J180" s="1036"/>
      <c r="K180" s="1036">
        <v>7022909090</v>
      </c>
      <c r="L180" s="1036"/>
    </row>
    <row r="181" spans="2:12" x14ac:dyDescent="0.3">
      <c r="B181" s="1038" t="s">
        <v>1822</v>
      </c>
      <c r="C181" s="1036">
        <v>11191218481</v>
      </c>
      <c r="D181" s="1036"/>
      <c r="E181" s="1036">
        <v>13380728799</v>
      </c>
      <c r="F181" s="1036"/>
      <c r="G181" s="1036">
        <v>0</v>
      </c>
      <c r="H181" s="1036"/>
      <c r="I181" s="1036">
        <v>12030000000</v>
      </c>
      <c r="J181" s="1036"/>
      <c r="K181" s="1036">
        <v>7000000000</v>
      </c>
      <c r="L181" s="1036"/>
    </row>
    <row r="182" spans="2:12" x14ac:dyDescent="0.3">
      <c r="B182" s="1038" t="s">
        <v>1823</v>
      </c>
      <c r="C182" s="1036">
        <v>3200000</v>
      </c>
      <c r="D182" s="1036"/>
      <c r="E182" s="1036">
        <v>2767822</v>
      </c>
      <c r="F182" s="1036"/>
      <c r="G182" s="1036">
        <v>4159781</v>
      </c>
      <c r="H182" s="1036"/>
      <c r="I182" s="1036">
        <v>4000000</v>
      </c>
      <c r="J182" s="1036"/>
      <c r="K182" s="1036">
        <v>0</v>
      </c>
      <c r="L182" s="1036"/>
    </row>
    <row r="183" spans="2:12" x14ac:dyDescent="0.3">
      <c r="B183" s="1038" t="s">
        <v>1824</v>
      </c>
      <c r="C183" s="1036">
        <v>38000000</v>
      </c>
      <c r="D183" s="1036"/>
      <c r="E183" s="1036">
        <v>1160000</v>
      </c>
      <c r="F183" s="1036"/>
      <c r="G183" s="1036">
        <v>0</v>
      </c>
      <c r="H183" s="1036"/>
      <c r="I183" s="1036">
        <v>25000000</v>
      </c>
      <c r="J183" s="1036"/>
      <c r="K183" s="1036">
        <v>20909090</v>
      </c>
      <c r="L183" s="1036"/>
    </row>
    <row r="184" spans="2:12" x14ac:dyDescent="0.3">
      <c r="B184" s="1038" t="s">
        <v>1825</v>
      </c>
      <c r="C184" s="1036">
        <v>0</v>
      </c>
      <c r="D184" s="1036"/>
      <c r="E184" s="1036">
        <v>0</v>
      </c>
      <c r="F184" s="1036"/>
      <c r="G184" s="1036">
        <v>683967</v>
      </c>
      <c r="H184" s="1036"/>
      <c r="I184" s="1036">
        <v>938182</v>
      </c>
      <c r="J184" s="1036"/>
      <c r="K184" s="1036">
        <v>0</v>
      </c>
      <c r="L184" s="1036"/>
    </row>
    <row r="185" spans="2:12" x14ac:dyDescent="0.3">
      <c r="B185" s="1038" t="s">
        <v>1826</v>
      </c>
      <c r="C185" s="1036">
        <v>0</v>
      </c>
      <c r="D185" s="1036"/>
      <c r="E185" s="1036">
        <v>0</v>
      </c>
      <c r="F185" s="1036"/>
      <c r="G185" s="1036">
        <v>0</v>
      </c>
      <c r="H185" s="1036"/>
      <c r="I185" s="1036">
        <v>43188700</v>
      </c>
      <c r="J185" s="1036"/>
      <c r="K185" s="1036">
        <v>0</v>
      </c>
      <c r="L185" s="1036"/>
    </row>
    <row r="186" spans="2:12" x14ac:dyDescent="0.3">
      <c r="B186" s="1038" t="s">
        <v>1827</v>
      </c>
      <c r="C186" s="1036">
        <v>191000000</v>
      </c>
      <c r="D186" s="1036"/>
      <c r="E186" s="1036">
        <v>10800000</v>
      </c>
      <c r="F186" s="1036"/>
      <c r="G186" s="1036">
        <v>905300000</v>
      </c>
      <c r="H186" s="1036"/>
      <c r="I186" s="1036">
        <v>279860000</v>
      </c>
      <c r="J186" s="1036"/>
      <c r="K186" s="1036">
        <v>2000000</v>
      </c>
      <c r="L186" s="1036"/>
    </row>
    <row r="187" spans="2:12" x14ac:dyDescent="0.3">
      <c r="B187" s="1037" t="s">
        <v>1828</v>
      </c>
      <c r="C187" s="1036">
        <v>-14234011412</v>
      </c>
      <c r="D187" s="1036"/>
      <c r="E187" s="1036">
        <v>-13064657077</v>
      </c>
      <c r="F187" s="1036"/>
      <c r="G187" s="1036">
        <v>-4340959140</v>
      </c>
      <c r="H187" s="1036"/>
      <c r="I187" s="1036">
        <v>-15322754541</v>
      </c>
      <c r="J187" s="1036"/>
      <c r="K187" s="1036">
        <v>-11981065388</v>
      </c>
      <c r="L187" s="1036"/>
    </row>
    <row r="188" spans="2:12" x14ac:dyDescent="0.3">
      <c r="B188" s="1038" t="s">
        <v>1829</v>
      </c>
      <c r="C188" s="1036">
        <v>13191218481</v>
      </c>
      <c r="D188" s="1036"/>
      <c r="E188" s="1036">
        <v>11410728799</v>
      </c>
      <c r="F188" s="1036"/>
      <c r="G188" s="1036">
        <v>2000000000</v>
      </c>
      <c r="H188" s="1036"/>
      <c r="I188" s="1036">
        <v>7030000000</v>
      </c>
      <c r="J188" s="1036"/>
      <c r="K188" s="1036">
        <v>10000000000</v>
      </c>
      <c r="L188" s="1036"/>
    </row>
    <row r="189" spans="2:12" x14ac:dyDescent="0.3">
      <c r="B189" s="1038" t="s">
        <v>1830</v>
      </c>
      <c r="C189" s="1036">
        <v>60533000</v>
      </c>
      <c r="D189" s="1036"/>
      <c r="E189" s="1036">
        <v>144694720</v>
      </c>
      <c r="F189" s="1036"/>
      <c r="G189" s="1036">
        <v>100000000</v>
      </c>
      <c r="H189" s="1036"/>
      <c r="I189" s="1036">
        <v>0</v>
      </c>
      <c r="J189" s="1036"/>
      <c r="K189" s="1036">
        <v>499999500</v>
      </c>
      <c r="L189" s="1036"/>
    </row>
    <row r="190" spans="2:12" x14ac:dyDescent="0.3">
      <c r="B190" s="1038" t="s">
        <v>1831</v>
      </c>
      <c r="C190" s="1036">
        <v>0</v>
      </c>
      <c r="D190" s="1036"/>
      <c r="E190" s="1036">
        <v>0</v>
      </c>
      <c r="F190" s="1036"/>
      <c r="G190" s="1036">
        <v>0</v>
      </c>
      <c r="H190" s="1036"/>
      <c r="I190" s="1036">
        <v>0</v>
      </c>
      <c r="J190" s="1036"/>
      <c r="K190" s="1036">
        <v>183000000</v>
      </c>
      <c r="L190" s="1036"/>
    </row>
    <row r="191" spans="2:12" x14ac:dyDescent="0.3">
      <c r="B191" s="1038" t="s">
        <v>1832</v>
      </c>
      <c r="C191" s="1036">
        <v>0</v>
      </c>
      <c r="D191" s="1036"/>
      <c r="E191" s="1036">
        <v>0</v>
      </c>
      <c r="F191" s="1036"/>
      <c r="G191" s="1036">
        <v>0</v>
      </c>
      <c r="H191" s="1036"/>
      <c r="I191" s="1036">
        <v>0</v>
      </c>
      <c r="J191" s="1036"/>
      <c r="K191" s="1036">
        <v>1570402</v>
      </c>
      <c r="L191" s="1036"/>
    </row>
    <row r="192" spans="2:12" x14ac:dyDescent="0.3">
      <c r="B192" s="1038" t="s">
        <v>1833</v>
      </c>
      <c r="C192" s="1036">
        <v>0</v>
      </c>
      <c r="D192" s="1036"/>
      <c r="E192" s="1036">
        <v>0</v>
      </c>
      <c r="F192" s="1036"/>
      <c r="G192" s="1036">
        <v>0</v>
      </c>
      <c r="H192" s="1036"/>
      <c r="I192" s="1036">
        <v>6695646780</v>
      </c>
      <c r="J192" s="1036"/>
      <c r="K192" s="1036">
        <v>310939400</v>
      </c>
      <c r="L192" s="1036"/>
    </row>
    <row r="193" spans="2:12" x14ac:dyDescent="0.3">
      <c r="B193" s="1038" t="s">
        <v>1834</v>
      </c>
      <c r="C193" s="1036">
        <v>49670000</v>
      </c>
      <c r="D193" s="1036"/>
      <c r="E193" s="1036">
        <v>556220000</v>
      </c>
      <c r="F193" s="1036"/>
      <c r="G193" s="1036">
        <v>123000000</v>
      </c>
      <c r="H193" s="1036"/>
      <c r="I193" s="1036">
        <v>19700000</v>
      </c>
      <c r="J193" s="1036"/>
      <c r="K193" s="1036">
        <v>34056000</v>
      </c>
      <c r="L193" s="1036"/>
    </row>
    <row r="194" spans="2:12" x14ac:dyDescent="0.3">
      <c r="B194" s="1038" t="s">
        <v>1835</v>
      </c>
      <c r="C194" s="1036">
        <v>184293370</v>
      </c>
      <c r="D194" s="1036"/>
      <c r="E194" s="1036">
        <v>0</v>
      </c>
      <c r="F194" s="1036"/>
      <c r="G194" s="1036">
        <v>0</v>
      </c>
      <c r="H194" s="1036"/>
      <c r="I194" s="1036">
        <v>231118470</v>
      </c>
      <c r="J194" s="1036"/>
      <c r="K194" s="1036">
        <v>70139800</v>
      </c>
      <c r="L194" s="1036"/>
    </row>
    <row r="195" spans="2:12" x14ac:dyDescent="0.3">
      <c r="B195" s="1038" t="s">
        <v>1836</v>
      </c>
      <c r="C195" s="1036">
        <v>118482471</v>
      </c>
      <c r="D195" s="1036"/>
      <c r="E195" s="1036">
        <v>366841828</v>
      </c>
      <c r="F195" s="1036"/>
      <c r="G195" s="1036">
        <v>173267000</v>
      </c>
      <c r="H195" s="1036"/>
      <c r="I195" s="1036">
        <v>211332000</v>
      </c>
      <c r="J195" s="1036"/>
      <c r="K195" s="1036">
        <v>142773364</v>
      </c>
      <c r="L195" s="1036"/>
    </row>
    <row r="196" spans="2:12" x14ac:dyDescent="0.3">
      <c r="B196" s="1038" t="s">
        <v>1837</v>
      </c>
      <c r="C196" s="1036">
        <v>1500000</v>
      </c>
      <c r="D196" s="1036"/>
      <c r="E196" s="1036">
        <v>24211510</v>
      </c>
      <c r="F196" s="1036"/>
      <c r="G196" s="1036">
        <v>24892500</v>
      </c>
      <c r="H196" s="1036"/>
      <c r="I196" s="1036">
        <v>418801491</v>
      </c>
      <c r="J196" s="1036"/>
      <c r="K196" s="1036">
        <v>23874300</v>
      </c>
      <c r="L196" s="1036"/>
    </row>
    <row r="197" spans="2:12" x14ac:dyDescent="0.3">
      <c r="B197" s="1038" t="s">
        <v>1838</v>
      </c>
      <c r="C197" s="1036">
        <v>0</v>
      </c>
      <c r="D197" s="1036"/>
      <c r="E197" s="1036">
        <v>0</v>
      </c>
      <c r="F197" s="1036"/>
      <c r="G197" s="1036">
        <v>129097000</v>
      </c>
      <c r="H197" s="1036"/>
      <c r="I197" s="1036">
        <v>142683000</v>
      </c>
      <c r="J197" s="1036"/>
      <c r="K197" s="1036">
        <v>12754000</v>
      </c>
      <c r="L197" s="1036"/>
    </row>
    <row r="198" spans="2:12" x14ac:dyDescent="0.3">
      <c r="B198" s="1038" t="s">
        <v>1839</v>
      </c>
      <c r="C198" s="1036">
        <v>368741000</v>
      </c>
      <c r="D198" s="1036"/>
      <c r="E198" s="1036">
        <v>218762220</v>
      </c>
      <c r="F198" s="1036"/>
      <c r="G198" s="1036">
        <v>0</v>
      </c>
      <c r="H198" s="1036"/>
      <c r="I198" s="1036">
        <v>0</v>
      </c>
      <c r="J198" s="1036"/>
      <c r="K198" s="1036">
        <v>520730491</v>
      </c>
      <c r="L198" s="1036"/>
    </row>
    <row r="199" spans="2:12" x14ac:dyDescent="0.3">
      <c r="B199" s="1038" t="s">
        <v>1840</v>
      </c>
      <c r="C199" s="1036">
        <v>17404000</v>
      </c>
      <c r="D199" s="1036"/>
      <c r="E199" s="1036">
        <v>34400000</v>
      </c>
      <c r="F199" s="1036"/>
      <c r="G199" s="1036">
        <v>147910000</v>
      </c>
      <c r="H199" s="1036"/>
      <c r="I199" s="1036">
        <v>37390000</v>
      </c>
      <c r="J199" s="1036"/>
      <c r="K199" s="1036">
        <v>7386131</v>
      </c>
      <c r="L199" s="1036"/>
    </row>
    <row r="200" spans="2:12" x14ac:dyDescent="0.3">
      <c r="B200" s="1038" t="s">
        <v>1841</v>
      </c>
      <c r="C200" s="1036">
        <v>2091290</v>
      </c>
      <c r="D200" s="1036"/>
      <c r="E200" s="1036">
        <v>0</v>
      </c>
      <c r="F200" s="1036"/>
      <c r="G200" s="1036">
        <v>622520640</v>
      </c>
      <c r="H200" s="1036"/>
      <c r="I200" s="1036">
        <v>374639800</v>
      </c>
      <c r="J200" s="1036"/>
      <c r="K200" s="1036">
        <v>57000000</v>
      </c>
      <c r="L200" s="1036"/>
    </row>
    <row r="201" spans="2:12" x14ac:dyDescent="0.3">
      <c r="B201" s="1038" t="s">
        <v>1842</v>
      </c>
      <c r="C201" s="1036">
        <v>240077800</v>
      </c>
      <c r="D201" s="1036"/>
      <c r="E201" s="1036">
        <v>308798000</v>
      </c>
      <c r="F201" s="1036"/>
      <c r="G201" s="1036">
        <v>1020272000</v>
      </c>
      <c r="H201" s="1036"/>
      <c r="I201" s="1036">
        <v>161443000</v>
      </c>
      <c r="J201" s="1036"/>
      <c r="K201" s="1036">
        <v>116842000</v>
      </c>
      <c r="L201" s="1036"/>
    </row>
    <row r="202" spans="2:12" x14ac:dyDescent="0.3">
      <c r="B202" s="1034" t="s">
        <v>1843</v>
      </c>
      <c r="C202" s="1036"/>
      <c r="D202" s="1036">
        <v>-1500000000</v>
      </c>
      <c r="E202" s="1036"/>
      <c r="F202" s="1036">
        <v>-1800000000</v>
      </c>
      <c r="G202" s="1036"/>
      <c r="H202" s="1036">
        <v>-294212200</v>
      </c>
      <c r="I202" s="1036"/>
      <c r="J202" s="1036">
        <v>-3509787800</v>
      </c>
      <c r="K202" s="1036"/>
      <c r="L202" s="1036">
        <v>-2004000000</v>
      </c>
    </row>
    <row r="203" spans="2:12" x14ac:dyDescent="0.3">
      <c r="B203" s="1037" t="s">
        <v>1844</v>
      </c>
      <c r="C203" s="1036">
        <v>0</v>
      </c>
      <c r="D203" s="1036"/>
      <c r="E203" s="1036">
        <v>0</v>
      </c>
      <c r="F203" s="1036"/>
      <c r="G203" s="1036">
        <v>1505787800</v>
      </c>
      <c r="H203" s="1036"/>
      <c r="I203" s="1036">
        <v>0</v>
      </c>
      <c r="J203" s="1036"/>
      <c r="K203" s="1036">
        <v>0</v>
      </c>
      <c r="L203" s="1036"/>
    </row>
    <row r="204" spans="2:12" x14ac:dyDescent="0.3">
      <c r="B204" s="1038" t="s">
        <v>1845</v>
      </c>
      <c r="C204" s="1036">
        <v>0</v>
      </c>
      <c r="D204" s="1036"/>
      <c r="E204" s="1036">
        <v>0</v>
      </c>
      <c r="F204" s="1036"/>
      <c r="G204" s="1036">
        <v>1505787800</v>
      </c>
      <c r="H204" s="1036"/>
      <c r="I204" s="1036">
        <v>0</v>
      </c>
      <c r="J204" s="1036"/>
      <c r="K204" s="1036">
        <v>0</v>
      </c>
      <c r="L204" s="1036"/>
    </row>
    <row r="205" spans="2:12" x14ac:dyDescent="0.3">
      <c r="B205" s="1037" t="s">
        <v>1846</v>
      </c>
      <c r="C205" s="1036">
        <v>-1500000000</v>
      </c>
      <c r="D205" s="1036"/>
      <c r="E205" s="1036">
        <v>-1800000000</v>
      </c>
      <c r="F205" s="1036"/>
      <c r="G205" s="1036">
        <v>-1800000000</v>
      </c>
      <c r="H205" s="1036"/>
      <c r="I205" s="1036">
        <v>-3509787800</v>
      </c>
      <c r="J205" s="1036"/>
      <c r="K205" s="1036">
        <v>-2004000000</v>
      </c>
      <c r="L205" s="1036"/>
    </row>
    <row r="206" spans="2:12" x14ac:dyDescent="0.3">
      <c r="B206" s="1037" t="s">
        <v>1862</v>
      </c>
      <c r="C206" s="1036">
        <v>0</v>
      </c>
      <c r="D206" s="1036"/>
      <c r="E206" s="1036">
        <v>0</v>
      </c>
      <c r="F206" s="1036"/>
      <c r="G206" s="1036">
        <v>0</v>
      </c>
      <c r="H206" s="1036"/>
      <c r="I206" s="1036">
        <v>1505787800</v>
      </c>
      <c r="J206" s="1036"/>
      <c r="K206" s="1036">
        <v>0</v>
      </c>
      <c r="L206" s="1036"/>
    </row>
    <row r="207" spans="2:12" x14ac:dyDescent="0.3">
      <c r="B207" s="1038" t="s">
        <v>1847</v>
      </c>
      <c r="C207" s="1036">
        <v>1500000000</v>
      </c>
      <c r="D207" s="1036"/>
      <c r="E207" s="1036">
        <v>1800000000</v>
      </c>
      <c r="F207" s="1036"/>
      <c r="G207" s="1036">
        <v>1800000000</v>
      </c>
      <c r="H207" s="1036"/>
      <c r="I207" s="1036">
        <v>2004000000</v>
      </c>
      <c r="J207" s="1036"/>
      <c r="K207" s="1036">
        <v>2004000000</v>
      </c>
      <c r="L207" s="1036"/>
    </row>
    <row r="208" spans="2:12" x14ac:dyDescent="0.3">
      <c r="B208" s="1034" t="s">
        <v>1848</v>
      </c>
      <c r="C208" s="1036"/>
      <c r="D208" s="1036">
        <v>6209720909</v>
      </c>
      <c r="E208" s="1036"/>
      <c r="F208" s="1036">
        <v>-5536968587</v>
      </c>
      <c r="G208" s="1036"/>
      <c r="H208" s="1036">
        <v>-963653506</v>
      </c>
      <c r="I208" s="1036"/>
      <c r="J208" s="1036">
        <v>6331531692</v>
      </c>
      <c r="K208" s="1036"/>
      <c r="L208" s="1036">
        <v>784418824</v>
      </c>
    </row>
    <row r="209" spans="2:12" x14ac:dyDescent="0.3">
      <c r="B209" s="1034" t="s">
        <v>1849</v>
      </c>
      <c r="C209" s="1036"/>
      <c r="D209" s="1036">
        <v>3611322220</v>
      </c>
      <c r="E209" s="1036"/>
      <c r="F209" s="1036">
        <v>9821043129</v>
      </c>
      <c r="G209" s="1036"/>
      <c r="H209" s="1036">
        <v>4284074542</v>
      </c>
      <c r="I209" s="1036"/>
      <c r="J209" s="1036">
        <v>3320421036</v>
      </c>
      <c r="K209" s="1036"/>
      <c r="L209" s="1036">
        <v>9651952728</v>
      </c>
    </row>
    <row r="210" spans="2:12" x14ac:dyDescent="0.3">
      <c r="B210" s="1034" t="s">
        <v>1850</v>
      </c>
      <c r="C210" s="1036"/>
      <c r="D210" s="1036">
        <v>9821043129</v>
      </c>
      <c r="E210" s="1036"/>
      <c r="F210" s="1036">
        <v>4284074542</v>
      </c>
      <c r="G210" s="1036"/>
      <c r="H210" s="1036">
        <v>3320421036</v>
      </c>
      <c r="I210" s="1036"/>
      <c r="J210" s="1036">
        <v>9651952728</v>
      </c>
      <c r="K210" s="1036"/>
      <c r="L210" s="1036">
        <v>10436371552</v>
      </c>
    </row>
  </sheetData>
  <mergeCells count="15">
    <mergeCell ref="K140:L140"/>
    <mergeCell ref="C3:D3"/>
    <mergeCell ref="E3:F3"/>
    <mergeCell ref="G3:H3"/>
    <mergeCell ref="I3:J3"/>
    <mergeCell ref="K3:L3"/>
    <mergeCell ref="E75:F75"/>
    <mergeCell ref="G75:H75"/>
    <mergeCell ref="I75:J75"/>
    <mergeCell ref="K75:L75"/>
    <mergeCell ref="C75:D75"/>
    <mergeCell ref="C140:D140"/>
    <mergeCell ref="E140:F140"/>
    <mergeCell ref="G140:H140"/>
    <mergeCell ref="I140:J140"/>
  </mergeCells>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Views>
    <sheetView zoomScale="70" zoomScaleNormal="70" workbookViewId="0">
      <selection activeCell="U49" sqref="U49"/>
    </sheetView>
  </sheetViews>
  <sheetFormatPr defaultRowHeight="16.5" x14ac:dyDescent="0.3"/>
  <cols>
    <col min="1" max="1" width="1.25" style="1039" customWidth="1"/>
    <col min="2" max="2" width="34.125" style="1039" customWidth="1"/>
    <col min="3" max="3" width="14.5" style="1039" customWidth="1"/>
    <col min="4" max="4" width="14" style="1039" customWidth="1"/>
    <col min="5" max="5" width="14.25" style="1039" customWidth="1"/>
    <col min="6" max="6" width="14.125" style="1039" customWidth="1"/>
    <col min="7" max="8" width="14.375" style="1039" customWidth="1"/>
    <col min="9" max="9" width="2.625" style="1039" customWidth="1"/>
    <col min="10" max="10" width="34.125" style="1039" customWidth="1"/>
    <col min="11" max="16" width="14.5" style="1039" customWidth="1"/>
    <col min="17" max="17" width="1.625" style="1039" customWidth="1"/>
    <col min="18" max="16384" width="9" style="1039"/>
  </cols>
  <sheetData>
    <row r="1" spans="1:16" s="1065" customFormat="1" ht="27" customHeight="1" x14ac:dyDescent="0.3">
      <c r="A1" s="1100"/>
      <c r="B1" s="1041" t="str">
        <f>"Project"&amp;" "&amp;Title!L6</f>
        <v>Project IT</v>
      </c>
      <c r="C1" s="1041"/>
      <c r="D1" s="1042"/>
      <c r="E1" s="1042"/>
      <c r="F1" s="1042"/>
      <c r="G1" s="1043"/>
      <c r="H1" s="1043" t="str">
        <f>[114]Des!$C$12</f>
        <v>DRAFT - For Discussion Purposes Only</v>
      </c>
    </row>
    <row r="2" spans="1:16" s="1065" customFormat="1" ht="21" customHeight="1" x14ac:dyDescent="0.3">
      <c r="A2" s="1101"/>
      <c r="B2" s="1044" t="s">
        <v>2832</v>
      </c>
      <c r="C2" s="1044"/>
      <c r="D2" s="1044"/>
      <c r="E2" s="1044"/>
      <c r="F2" s="1044"/>
      <c r="G2" s="1044"/>
      <c r="H2" s="1044"/>
    </row>
    <row r="3" spans="1:16" s="1065" customFormat="1" ht="18.75" customHeight="1" x14ac:dyDescent="0.25">
      <c r="A3" s="1059"/>
      <c r="B3" s="1451" t="s">
        <v>2866</v>
      </c>
      <c r="C3" s="1060"/>
      <c r="D3" s="1059"/>
      <c r="E3" s="1059"/>
      <c r="F3" s="1061"/>
      <c r="G3" s="1063"/>
      <c r="H3" s="1063" t="s">
        <v>1873</v>
      </c>
      <c r="J3" s="1451" t="s">
        <v>2865</v>
      </c>
      <c r="K3" s="1060"/>
      <c r="L3" s="1059"/>
      <c r="M3" s="1059"/>
      <c r="N3" s="1061"/>
      <c r="O3" s="1063"/>
      <c r="P3" s="1063" t="s">
        <v>1873</v>
      </c>
    </row>
    <row r="4" spans="1:16" x14ac:dyDescent="0.3">
      <c r="B4" s="1446" t="s">
        <v>2833</v>
      </c>
      <c r="C4" s="1449" t="s">
        <v>2002</v>
      </c>
      <c r="D4" s="1449" t="s">
        <v>1863</v>
      </c>
      <c r="E4" s="1449" t="s">
        <v>1864</v>
      </c>
      <c r="F4" s="1449" t="s">
        <v>1865</v>
      </c>
      <c r="G4" s="1449" t="s">
        <v>1866</v>
      </c>
      <c r="H4" s="1449" t="s">
        <v>4560</v>
      </c>
      <c r="J4" s="1446" t="s">
        <v>2833</v>
      </c>
      <c r="K4" s="1449" t="s">
        <v>2002</v>
      </c>
      <c r="L4" s="1449" t="s">
        <v>1863</v>
      </c>
      <c r="M4" s="1449" t="s">
        <v>1864</v>
      </c>
      <c r="N4" s="1449" t="s">
        <v>1865</v>
      </c>
      <c r="O4" s="1449" t="s">
        <v>1866</v>
      </c>
      <c r="P4" s="1449" t="s">
        <v>4560</v>
      </c>
    </row>
    <row r="5" spans="1:16" s="1452" customFormat="1" x14ac:dyDescent="0.3">
      <c r="B5" s="1453" t="s">
        <v>2834</v>
      </c>
      <c r="C5" s="1454">
        <f>C6</f>
        <v>0</v>
      </c>
      <c r="D5" s="1454">
        <f t="shared" ref="D5" si="0">D6</f>
        <v>0</v>
      </c>
      <c r="E5" s="1454">
        <f t="shared" ref="E5" si="1">E6</f>
        <v>0</v>
      </c>
      <c r="F5" s="1454">
        <f t="shared" ref="F5" si="2">F6</f>
        <v>0</v>
      </c>
      <c r="G5" s="1454">
        <f t="shared" ref="G5" si="3">G6</f>
        <v>0</v>
      </c>
      <c r="H5" s="1454">
        <f t="shared" ref="H5" si="4">H6</f>
        <v>0</v>
      </c>
      <c r="J5" s="1453" t="s">
        <v>2834</v>
      </c>
      <c r="K5" s="1454">
        <f>K6</f>
        <v>8920120833</v>
      </c>
      <c r="L5" s="1454">
        <f t="shared" ref="L5" si="5">L6</f>
        <v>5695285408</v>
      </c>
      <c r="M5" s="1454">
        <f t="shared" ref="M5" si="6">M6</f>
        <v>15938098574</v>
      </c>
      <c r="N5" s="1454">
        <f t="shared" ref="N5" si="7">N6</f>
        <v>16629557270</v>
      </c>
      <c r="O5" s="1454">
        <f t="shared" ref="O5" si="8">O6</f>
        <v>39088627035</v>
      </c>
      <c r="P5" s="1454">
        <f t="shared" ref="P5" si="9">P6</f>
        <v>43278918266</v>
      </c>
    </row>
    <row r="6" spans="1:16" x14ac:dyDescent="0.3">
      <c r="B6" s="1448" t="s">
        <v>2863</v>
      </c>
      <c r="C6" s="1450">
        <v>0</v>
      </c>
      <c r="D6" s="1450">
        <v>0</v>
      </c>
      <c r="E6" s="1450">
        <v>0</v>
      </c>
      <c r="F6" s="1450">
        <v>0</v>
      </c>
      <c r="G6" s="1450">
        <v>0</v>
      </c>
      <c r="H6" s="1450">
        <v>0</v>
      </c>
      <c r="J6" s="1448" t="s">
        <v>2863</v>
      </c>
      <c r="K6" s="1450">
        <v>8920120833</v>
      </c>
      <c r="L6" s="1450">
        <v>5695285408</v>
      </c>
      <c r="M6" s="1450">
        <v>15938098574</v>
      </c>
      <c r="N6" s="1450">
        <v>16629557270</v>
      </c>
      <c r="O6" s="1450">
        <v>39088627035</v>
      </c>
      <c r="P6" s="1450">
        <v>43278918266</v>
      </c>
    </row>
    <row r="7" spans="1:16" x14ac:dyDescent="0.3">
      <c r="B7" s="1448"/>
      <c r="C7" s="1450"/>
      <c r="D7" s="1450"/>
      <c r="E7" s="1450"/>
      <c r="F7" s="1450"/>
      <c r="G7" s="1450"/>
      <c r="J7" s="1448"/>
      <c r="K7" s="1450"/>
      <c r="L7" s="1450"/>
      <c r="M7" s="1450"/>
      <c r="N7" s="1450"/>
      <c r="O7" s="1450"/>
      <c r="P7" s="1450"/>
    </row>
    <row r="8" spans="1:16" s="1452" customFormat="1" x14ac:dyDescent="0.3">
      <c r="B8" s="1453" t="s">
        <v>2836</v>
      </c>
      <c r="C8" s="1454">
        <f>SUM(C9:C12)</f>
        <v>6750528391</v>
      </c>
      <c r="D8" s="1454">
        <f t="shared" ref="D8" si="10">SUM(D9:D12)</f>
        <v>9903382901</v>
      </c>
      <c r="E8" s="1454">
        <f t="shared" ref="E8" si="11">SUM(E9:E12)</f>
        <v>12531267970</v>
      </c>
      <c r="F8" s="1454">
        <f t="shared" ref="F8" si="12">SUM(F9:F12)</f>
        <v>14621496784</v>
      </c>
      <c r="G8" s="1454">
        <f t="shared" ref="G8" si="13">SUM(G9:G12)</f>
        <v>16446713977</v>
      </c>
      <c r="H8" s="1454">
        <f>SUM(H9:H12)</f>
        <v>15478762442</v>
      </c>
      <c r="J8" s="1453" t="s">
        <v>2836</v>
      </c>
      <c r="K8" s="1454">
        <f>SUM(K9:K12)</f>
        <v>3463321534</v>
      </c>
      <c r="L8" s="1454">
        <f t="shared" ref="L8" si="14">SUM(L9:L12)</f>
        <v>4560321760</v>
      </c>
      <c r="M8" s="1454">
        <f t="shared" ref="M8" si="15">SUM(M9:M12)</f>
        <v>8414110146</v>
      </c>
      <c r="N8" s="1454">
        <f t="shared" ref="N8" si="16">SUM(N9:N12)</f>
        <v>9745237227</v>
      </c>
      <c r="O8" s="1454">
        <f t="shared" ref="O8" si="17">SUM(O9:O12)</f>
        <v>9052152489</v>
      </c>
      <c r="P8" s="1454">
        <f>SUM(P9:P12)</f>
        <v>7243493693</v>
      </c>
    </row>
    <row r="9" spans="1:16" x14ac:dyDescent="0.3">
      <c r="B9" s="1448" t="s">
        <v>2837</v>
      </c>
      <c r="C9" s="1450">
        <v>6232396049</v>
      </c>
      <c r="D9" s="1450">
        <v>5773903558</v>
      </c>
      <c r="E9" s="1450">
        <v>6811409608</v>
      </c>
      <c r="F9" s="1450">
        <v>8439785567</v>
      </c>
      <c r="G9" s="1450">
        <v>10779540078</v>
      </c>
      <c r="H9" s="1450">
        <v>13891937154</v>
      </c>
      <c r="J9" s="1448" t="s">
        <v>2837</v>
      </c>
      <c r="K9" s="1450">
        <v>3175994483</v>
      </c>
      <c r="L9" s="1450">
        <v>2549329052</v>
      </c>
      <c r="M9" s="1450">
        <v>4532227529</v>
      </c>
      <c r="N9" s="1450">
        <v>5704789184</v>
      </c>
      <c r="O9" s="1450">
        <v>5921981012</v>
      </c>
      <c r="P9" s="1450">
        <v>6509771046</v>
      </c>
    </row>
    <row r="10" spans="1:16" x14ac:dyDescent="0.3">
      <c r="B10" s="1448" t="s">
        <v>2838</v>
      </c>
      <c r="C10" s="1450">
        <v>0</v>
      </c>
      <c r="D10" s="1450">
        <v>3348999854</v>
      </c>
      <c r="E10" s="1450">
        <v>4825200842</v>
      </c>
      <c r="F10" s="1450">
        <v>5004676219</v>
      </c>
      <c r="G10" s="1450">
        <v>4188692441</v>
      </c>
      <c r="H10" s="1450">
        <v>172299248</v>
      </c>
      <c r="J10" s="1448" t="s">
        <v>2838</v>
      </c>
      <c r="K10" s="1450">
        <v>0</v>
      </c>
      <c r="L10" s="1450">
        <v>1641146442</v>
      </c>
      <c r="M10" s="1450">
        <v>3310172571</v>
      </c>
      <c r="N10" s="1450">
        <v>3335146484</v>
      </c>
      <c r="O10" s="1450">
        <v>2399612280</v>
      </c>
      <c r="P10" s="1450">
        <v>81515874</v>
      </c>
    </row>
    <row r="11" spans="1:16" x14ac:dyDescent="0.3">
      <c r="B11" s="1448" t="s">
        <v>2839</v>
      </c>
      <c r="C11" s="1450">
        <v>0</v>
      </c>
      <c r="D11" s="1450">
        <v>0</v>
      </c>
      <c r="E11" s="1450">
        <v>0</v>
      </c>
      <c r="F11" s="1450">
        <v>0</v>
      </c>
      <c r="G11" s="1450">
        <v>0</v>
      </c>
      <c r="H11" s="1450">
        <v>0</v>
      </c>
      <c r="J11" s="1448" t="s">
        <v>2839</v>
      </c>
      <c r="K11" s="1450">
        <v>1400000</v>
      </c>
      <c r="L11" s="1450">
        <v>300000</v>
      </c>
      <c r="M11" s="1450">
        <v>0</v>
      </c>
      <c r="N11" s="1450">
        <v>0</v>
      </c>
      <c r="O11" s="1450">
        <v>0</v>
      </c>
      <c r="P11" s="1450">
        <v>0</v>
      </c>
    </row>
    <row r="12" spans="1:16" x14ac:dyDescent="0.3">
      <c r="B12" s="1448" t="s">
        <v>2840</v>
      </c>
      <c r="C12" s="1450">
        <v>518132342</v>
      </c>
      <c r="D12" s="1450">
        <v>780479489</v>
      </c>
      <c r="E12" s="1450">
        <v>894657520</v>
      </c>
      <c r="F12" s="1450">
        <v>1177034998</v>
      </c>
      <c r="G12" s="1450">
        <v>1478481458</v>
      </c>
      <c r="H12" s="1450">
        <v>1414526040</v>
      </c>
      <c r="J12" s="1448" t="s">
        <v>2840</v>
      </c>
      <c r="K12" s="1450">
        <v>285927051</v>
      </c>
      <c r="L12" s="1450">
        <v>369546266</v>
      </c>
      <c r="M12" s="1450">
        <v>571710046</v>
      </c>
      <c r="N12" s="1450">
        <v>705301559</v>
      </c>
      <c r="O12" s="1450">
        <v>730559197</v>
      </c>
      <c r="P12" s="1450">
        <v>652206773</v>
      </c>
    </row>
    <row r="13" spans="1:16" x14ac:dyDescent="0.3">
      <c r="B13" s="1447"/>
      <c r="C13" s="1450"/>
      <c r="D13" s="1450"/>
      <c r="E13" s="1450"/>
      <c r="F13" s="1450"/>
      <c r="G13" s="1450"/>
      <c r="J13" s="1447"/>
      <c r="K13" s="1450"/>
      <c r="L13" s="1450"/>
      <c r="M13" s="1450"/>
      <c r="N13" s="1450"/>
      <c r="O13" s="1450"/>
      <c r="P13" s="1450"/>
    </row>
    <row r="14" spans="1:16" s="1452" customFormat="1" x14ac:dyDescent="0.3">
      <c r="B14" s="1453" t="s">
        <v>2841</v>
      </c>
      <c r="C14" s="1454">
        <f>C15</f>
        <v>21290231644</v>
      </c>
      <c r="D14" s="1454">
        <f t="shared" ref="D14" si="18">D15</f>
        <v>33156849820</v>
      </c>
      <c r="E14" s="1454">
        <f t="shared" ref="E14" si="19">E15</f>
        <v>32209744416</v>
      </c>
      <c r="F14" s="1454">
        <f t="shared" ref="F14" si="20">F15</f>
        <v>50332076617</v>
      </c>
      <c r="G14" s="1454">
        <f t="shared" ref="G14:H14" si="21">G15</f>
        <v>60259229023</v>
      </c>
      <c r="H14" s="1454">
        <f t="shared" si="21"/>
        <v>61479456315</v>
      </c>
      <c r="J14" s="1453" t="s">
        <v>2841</v>
      </c>
      <c r="K14" s="1454">
        <f>K15</f>
        <v>16070873765</v>
      </c>
      <c r="L14" s="1454">
        <f t="shared" ref="L14" si="22">L15</f>
        <v>17984832646</v>
      </c>
      <c r="M14" s="1454">
        <f t="shared" ref="M14" si="23">M15</f>
        <v>22867108027</v>
      </c>
      <c r="N14" s="1454">
        <f t="shared" ref="N14" si="24">N15</f>
        <v>27675831128</v>
      </c>
      <c r="O14" s="1454">
        <f t="shared" ref="O14:P14" si="25">O15</f>
        <v>36198633320</v>
      </c>
      <c r="P14" s="1454">
        <f t="shared" si="25"/>
        <v>19261767823</v>
      </c>
    </row>
    <row r="15" spans="1:16" x14ac:dyDescent="0.3">
      <c r="B15" s="1448" t="s">
        <v>2864</v>
      </c>
      <c r="C15" s="1450">
        <v>21290231644</v>
      </c>
      <c r="D15" s="1450">
        <v>33156849820</v>
      </c>
      <c r="E15" s="1450">
        <v>32209744416</v>
      </c>
      <c r="F15" s="1450">
        <v>50332076617</v>
      </c>
      <c r="G15" s="1450">
        <v>60259229023</v>
      </c>
      <c r="H15" s="1450">
        <v>61479456315</v>
      </c>
      <c r="J15" s="1448" t="s">
        <v>2864</v>
      </c>
      <c r="K15" s="1450">
        <v>16070873765</v>
      </c>
      <c r="L15" s="1450">
        <v>17984832646</v>
      </c>
      <c r="M15" s="1450">
        <v>22867108027</v>
      </c>
      <c r="N15" s="1450">
        <v>27675831128</v>
      </c>
      <c r="O15" s="1450">
        <v>36198633320</v>
      </c>
      <c r="P15" s="1450">
        <v>19261767823</v>
      </c>
    </row>
    <row r="16" spans="1:16" x14ac:dyDescent="0.3">
      <c r="B16" s="1448"/>
      <c r="C16" s="1450"/>
      <c r="D16" s="1450"/>
      <c r="E16" s="1450"/>
      <c r="F16" s="1450"/>
      <c r="G16" s="1450"/>
      <c r="H16" s="1450"/>
      <c r="J16" s="1448"/>
      <c r="K16" s="1450"/>
      <c r="L16" s="1450"/>
      <c r="M16" s="1450"/>
      <c r="N16" s="1450"/>
      <c r="O16" s="1450"/>
      <c r="P16" s="1450"/>
    </row>
    <row r="17" spans="2:16" s="1452" customFormat="1" x14ac:dyDescent="0.3">
      <c r="B17" s="1453" t="s">
        <v>2835</v>
      </c>
      <c r="C17" s="1454">
        <f>SUM(C18:C38)</f>
        <v>1325090116</v>
      </c>
      <c r="D17" s="1454">
        <f t="shared" ref="D17" si="26">SUM(D18:D38)</f>
        <v>1718032938</v>
      </c>
      <c r="E17" s="1454">
        <f t="shared" ref="E17" si="27">SUM(E18:E38)</f>
        <v>2066622416</v>
      </c>
      <c r="F17" s="1454">
        <f t="shared" ref="F17" si="28">SUM(F18:F38)</f>
        <v>2973972157</v>
      </c>
      <c r="G17" s="1454">
        <f t="shared" ref="G17:H17" si="29">SUM(G18:G38)</f>
        <v>3121916213</v>
      </c>
      <c r="H17" s="1454">
        <f t="shared" si="29"/>
        <v>3109105087</v>
      </c>
      <c r="J17" s="1453" t="s">
        <v>2835</v>
      </c>
      <c r="K17" s="1454">
        <f>SUM(K18:K37)</f>
        <v>1046477160</v>
      </c>
      <c r="L17" s="1454">
        <f t="shared" ref="L17:O17" si="30">SUM(L18:L37)</f>
        <v>1253343686</v>
      </c>
      <c r="M17" s="1454">
        <f t="shared" si="30"/>
        <v>1801389299</v>
      </c>
      <c r="N17" s="1454">
        <f t="shared" si="30"/>
        <v>2183505447</v>
      </c>
      <c r="O17" s="1454">
        <f t="shared" si="30"/>
        <v>2287166294</v>
      </c>
      <c r="P17" s="1454">
        <f>SUM(P18:P37)</f>
        <v>2194802780</v>
      </c>
    </row>
    <row r="18" spans="2:16" x14ac:dyDescent="0.3">
      <c r="B18" s="1448" t="s">
        <v>2842</v>
      </c>
      <c r="C18" s="1450">
        <v>311176672</v>
      </c>
      <c r="D18" s="1450">
        <v>396785524</v>
      </c>
      <c r="E18" s="1450">
        <v>381072512</v>
      </c>
      <c r="F18" s="1450">
        <v>486447764</v>
      </c>
      <c r="G18" s="1450">
        <v>524553302</v>
      </c>
      <c r="H18" s="1450">
        <v>587215209</v>
      </c>
      <c r="J18" s="1448" t="s">
        <v>2842</v>
      </c>
      <c r="K18" s="1450">
        <v>221589437</v>
      </c>
      <c r="L18" s="1450">
        <v>295273869</v>
      </c>
      <c r="M18" s="1450">
        <v>463090621</v>
      </c>
      <c r="N18" s="1450">
        <v>555602559</v>
      </c>
      <c r="O18" s="1450">
        <v>489207772</v>
      </c>
      <c r="P18" s="1450">
        <v>431724777</v>
      </c>
    </row>
    <row r="19" spans="2:16" x14ac:dyDescent="0.3">
      <c r="B19" s="1448" t="s">
        <v>2843</v>
      </c>
      <c r="C19" s="1450">
        <v>16371160</v>
      </c>
      <c r="D19" s="1450">
        <v>17768520</v>
      </c>
      <c r="E19" s="1450">
        <v>17559406</v>
      </c>
      <c r="F19" s="1450">
        <v>131012485</v>
      </c>
      <c r="G19" s="1450">
        <v>140729911</v>
      </c>
      <c r="H19" s="1450">
        <v>238057351</v>
      </c>
      <c r="J19" s="1448" t="s">
        <v>2843</v>
      </c>
      <c r="K19" s="1450">
        <v>8635000</v>
      </c>
      <c r="L19" s="1450">
        <v>31132450</v>
      </c>
      <c r="M19" s="1450">
        <v>69358000</v>
      </c>
      <c r="N19" s="1450">
        <v>74260741</v>
      </c>
      <c r="O19" s="1450">
        <v>104859354</v>
      </c>
      <c r="P19" s="1450">
        <v>178060212</v>
      </c>
    </row>
    <row r="20" spans="2:16" x14ac:dyDescent="0.3">
      <c r="B20" s="1448" t="s">
        <v>2844</v>
      </c>
      <c r="C20" s="1450">
        <v>41001211</v>
      </c>
      <c r="D20" s="1450">
        <v>23360960</v>
      </c>
      <c r="E20" s="1450">
        <v>78451437</v>
      </c>
      <c r="F20" s="1450">
        <v>137698626</v>
      </c>
      <c r="G20" s="1450">
        <v>199555182</v>
      </c>
      <c r="H20" s="1450">
        <v>145515575</v>
      </c>
      <c r="J20" s="1448" t="s">
        <v>2844</v>
      </c>
      <c r="K20" s="1450">
        <v>4005540</v>
      </c>
      <c r="L20" s="1450">
        <v>24910950</v>
      </c>
      <c r="M20" s="1450">
        <v>94361490</v>
      </c>
      <c r="N20" s="1450">
        <v>70251950</v>
      </c>
      <c r="O20" s="1450">
        <v>34557030</v>
      </c>
      <c r="P20" s="1450">
        <v>7591824</v>
      </c>
    </row>
    <row r="21" spans="2:16" x14ac:dyDescent="0.3">
      <c r="B21" s="1448" t="s">
        <v>2845</v>
      </c>
      <c r="C21" s="1450">
        <v>233326750</v>
      </c>
      <c r="D21" s="1450">
        <v>324321539</v>
      </c>
      <c r="E21" s="1450">
        <v>333330202</v>
      </c>
      <c r="F21" s="1450">
        <v>482051296</v>
      </c>
      <c r="G21" s="1450">
        <v>546147703</v>
      </c>
      <c r="H21" s="1450">
        <v>569771387</v>
      </c>
      <c r="J21" s="1448" t="s">
        <v>2845</v>
      </c>
      <c r="K21" s="1450">
        <v>118991640</v>
      </c>
      <c r="L21" s="1450">
        <v>139666650</v>
      </c>
      <c r="M21" s="1450">
        <v>239451279</v>
      </c>
      <c r="N21" s="1450">
        <v>307318735</v>
      </c>
      <c r="O21" s="1450">
        <v>283978335</v>
      </c>
      <c r="P21" s="1450">
        <v>312898269</v>
      </c>
    </row>
    <row r="22" spans="2:16" x14ac:dyDescent="0.3">
      <c r="B22" s="1448" t="s">
        <v>2846</v>
      </c>
      <c r="C22" s="1450">
        <v>0</v>
      </c>
      <c r="D22" s="1450">
        <v>0</v>
      </c>
      <c r="E22" s="1450">
        <v>0</v>
      </c>
      <c r="F22" s="1450">
        <v>1000000</v>
      </c>
      <c r="G22" s="1450">
        <v>0</v>
      </c>
      <c r="H22" s="1450">
        <v>0</v>
      </c>
      <c r="J22" s="1448" t="s">
        <v>2867</v>
      </c>
      <c r="K22" s="1450">
        <v>0</v>
      </c>
      <c r="L22" s="1450">
        <v>2136363</v>
      </c>
      <c r="M22" s="1450">
        <v>0</v>
      </c>
      <c r="N22" s="1450">
        <v>8724734</v>
      </c>
      <c r="O22" s="1450">
        <v>0</v>
      </c>
      <c r="P22" s="1450">
        <v>0</v>
      </c>
    </row>
    <row r="23" spans="2:16" x14ac:dyDescent="0.3">
      <c r="B23" s="1448" t="s">
        <v>2847</v>
      </c>
      <c r="C23" s="1450">
        <v>5309380</v>
      </c>
      <c r="D23" s="1450">
        <v>0</v>
      </c>
      <c r="E23" s="1450">
        <v>0</v>
      </c>
      <c r="F23" s="1450">
        <v>19344890</v>
      </c>
      <c r="G23" s="1450">
        <v>0</v>
      </c>
      <c r="H23" s="1450">
        <v>0</v>
      </c>
      <c r="J23" s="1448" t="s">
        <v>2868</v>
      </c>
      <c r="K23" s="1450">
        <v>404892</v>
      </c>
      <c r="L23" s="1450">
        <v>10280502</v>
      </c>
      <c r="M23" s="1450">
        <v>23370295</v>
      </c>
      <c r="N23" s="1450">
        <v>33934689</v>
      </c>
      <c r="O23" s="1450">
        <v>36431579</v>
      </c>
      <c r="P23" s="1450">
        <v>41782987</v>
      </c>
    </row>
    <row r="24" spans="2:16" x14ac:dyDescent="0.3">
      <c r="B24" s="1448" t="s">
        <v>2848</v>
      </c>
      <c r="C24" s="1450">
        <v>89207117</v>
      </c>
      <c r="D24" s="1450">
        <v>0</v>
      </c>
      <c r="E24" s="1450">
        <v>268151</v>
      </c>
      <c r="F24" s="1450">
        <v>26557616</v>
      </c>
      <c r="G24" s="1450">
        <v>42648043</v>
      </c>
      <c r="H24" s="1450">
        <v>29959535</v>
      </c>
      <c r="J24" s="1448" t="s">
        <v>2869</v>
      </c>
      <c r="K24" s="1450">
        <v>16812711</v>
      </c>
      <c r="L24" s="1450">
        <v>5661707</v>
      </c>
      <c r="M24" s="1450">
        <v>46028431</v>
      </c>
      <c r="N24" s="1450">
        <v>27288718</v>
      </c>
      <c r="O24" s="1450">
        <v>28521843</v>
      </c>
      <c r="P24" s="1450">
        <v>38576693</v>
      </c>
    </row>
    <row r="25" spans="2:16" x14ac:dyDescent="0.3">
      <c r="B25" s="1448" t="s">
        <v>2849</v>
      </c>
      <c r="C25" s="1450">
        <v>1016290</v>
      </c>
      <c r="D25" s="1450">
        <v>7265600</v>
      </c>
      <c r="E25" s="1450">
        <v>21087610</v>
      </c>
      <c r="F25" s="1450">
        <v>17243216</v>
      </c>
      <c r="G25" s="1450">
        <v>12656567</v>
      </c>
      <c r="H25" s="1450">
        <v>37641939</v>
      </c>
      <c r="J25" s="1448" t="s">
        <v>2870</v>
      </c>
      <c r="K25" s="1450">
        <v>172093095</v>
      </c>
      <c r="L25" s="1450">
        <v>223576734</v>
      </c>
      <c r="M25" s="1450">
        <v>387746361</v>
      </c>
      <c r="N25" s="1450">
        <v>526737098</v>
      </c>
      <c r="O25" s="1450">
        <v>615300519</v>
      </c>
      <c r="P25" s="1450">
        <v>538646540</v>
      </c>
    </row>
    <row r="26" spans="2:16" x14ac:dyDescent="0.3">
      <c r="B26" s="1448" t="s">
        <v>2850</v>
      </c>
      <c r="C26" s="1450">
        <v>265174336</v>
      </c>
      <c r="D26" s="1450">
        <v>112850841</v>
      </c>
      <c r="E26" s="1450">
        <v>72961572</v>
      </c>
      <c r="F26" s="1450">
        <v>105312341</v>
      </c>
      <c r="G26" s="1450">
        <v>195295517</v>
      </c>
      <c r="H26" s="1450">
        <v>160031857</v>
      </c>
      <c r="J26" s="1448" t="s">
        <v>2871</v>
      </c>
      <c r="K26" s="1450">
        <v>30000</v>
      </c>
      <c r="L26" s="1450">
        <v>453800</v>
      </c>
      <c r="M26" s="1450">
        <v>3677749</v>
      </c>
      <c r="N26" s="1450">
        <v>461769</v>
      </c>
      <c r="O26" s="1450">
        <v>3130253</v>
      </c>
      <c r="P26" s="1450">
        <v>212513</v>
      </c>
    </row>
    <row r="27" spans="2:16" x14ac:dyDescent="0.3">
      <c r="B27" s="1448" t="s">
        <v>2851</v>
      </c>
      <c r="C27" s="1450">
        <v>259803684</v>
      </c>
      <c r="D27" s="1450">
        <v>952600</v>
      </c>
      <c r="E27" s="1450">
        <v>1499880</v>
      </c>
      <c r="F27" s="1450">
        <v>7931161</v>
      </c>
      <c r="G27" s="1450">
        <v>5053042</v>
      </c>
      <c r="H27" s="1450">
        <v>6591400</v>
      </c>
      <c r="J27" s="1448" t="s">
        <v>2872</v>
      </c>
      <c r="K27" s="1450">
        <v>150060230</v>
      </c>
      <c r="L27" s="1450">
        <v>146412469</v>
      </c>
      <c r="M27" s="1450">
        <v>246538600</v>
      </c>
      <c r="N27" s="1450">
        <v>354568532</v>
      </c>
      <c r="O27" s="1450">
        <v>364424788</v>
      </c>
      <c r="P27" s="1450">
        <v>344009341</v>
      </c>
    </row>
    <row r="28" spans="2:16" x14ac:dyDescent="0.3">
      <c r="B28" s="1448" t="s">
        <v>2852</v>
      </c>
      <c r="C28" s="1450">
        <v>2565438</v>
      </c>
      <c r="D28" s="1450">
        <v>307341989</v>
      </c>
      <c r="E28" s="1450">
        <v>317158837</v>
      </c>
      <c r="F28" s="1450">
        <v>500330533</v>
      </c>
      <c r="G28" s="1450">
        <v>579995514</v>
      </c>
      <c r="H28" s="1450">
        <v>574101415</v>
      </c>
      <c r="J28" s="1448" t="s">
        <v>2873</v>
      </c>
      <c r="K28" s="1450">
        <v>4627222</v>
      </c>
      <c r="L28" s="1450">
        <v>4552379</v>
      </c>
      <c r="M28" s="1450">
        <v>10556497</v>
      </c>
      <c r="N28" s="1450">
        <v>15228394</v>
      </c>
      <c r="O28" s="1450">
        <v>3881647</v>
      </c>
      <c r="P28" s="1450">
        <v>4558649</v>
      </c>
    </row>
    <row r="29" spans="2:16" x14ac:dyDescent="0.3">
      <c r="B29" s="1448" t="s">
        <v>2853</v>
      </c>
      <c r="C29" s="1450">
        <v>13096890</v>
      </c>
      <c r="D29" s="1450">
        <v>381460566</v>
      </c>
      <c r="E29" s="1450">
        <v>450704846</v>
      </c>
      <c r="F29" s="1450">
        <v>523650366</v>
      </c>
      <c r="G29" s="1450">
        <v>449554201</v>
      </c>
      <c r="H29" s="1450">
        <v>439003949</v>
      </c>
      <c r="J29" s="1448" t="s">
        <v>2874</v>
      </c>
      <c r="K29" s="1450">
        <v>878773</v>
      </c>
      <c r="L29" s="1450">
        <v>4712445</v>
      </c>
      <c r="M29" s="1450">
        <v>6813560</v>
      </c>
      <c r="N29" s="1450">
        <v>9208119</v>
      </c>
      <c r="O29" s="1450">
        <v>3498366</v>
      </c>
      <c r="P29" s="1450">
        <v>4368435</v>
      </c>
    </row>
    <row r="30" spans="2:16" x14ac:dyDescent="0.3">
      <c r="B30" s="1448" t="s">
        <v>2854</v>
      </c>
      <c r="C30" s="1450">
        <v>0</v>
      </c>
      <c r="D30" s="1450">
        <v>2978223</v>
      </c>
      <c r="E30" s="1450">
        <v>1570614</v>
      </c>
      <c r="F30" s="1450">
        <v>4116671</v>
      </c>
      <c r="G30" s="1450">
        <v>7419087</v>
      </c>
      <c r="H30" s="1450">
        <v>4691736</v>
      </c>
      <c r="J30" s="1448" t="s">
        <v>2875</v>
      </c>
      <c r="K30" s="1450">
        <v>10171590</v>
      </c>
      <c r="L30" s="1450">
        <v>7826249</v>
      </c>
      <c r="M30" s="1450">
        <v>9426040</v>
      </c>
      <c r="N30" s="1450">
        <v>16420639</v>
      </c>
      <c r="O30" s="1450">
        <v>24605167</v>
      </c>
      <c r="P30" s="1450">
        <v>21340262</v>
      </c>
    </row>
    <row r="31" spans="2:16" x14ac:dyDescent="0.3">
      <c r="B31" s="1448" t="s">
        <v>2855</v>
      </c>
      <c r="C31" s="1450">
        <v>19865730</v>
      </c>
      <c r="D31" s="1450">
        <v>18905858</v>
      </c>
      <c r="E31" s="1450">
        <v>17958042</v>
      </c>
      <c r="F31" s="1450">
        <v>34813513</v>
      </c>
      <c r="G31" s="1450">
        <v>34100844</v>
      </c>
      <c r="H31" s="1450">
        <v>25613820</v>
      </c>
      <c r="J31" s="1448" t="s">
        <v>2876</v>
      </c>
      <c r="K31" s="1450">
        <v>27521514</v>
      </c>
      <c r="L31" s="1450">
        <v>85687542</v>
      </c>
      <c r="M31" s="1450">
        <v>108256299</v>
      </c>
      <c r="N31" s="1450">
        <v>49415295</v>
      </c>
      <c r="O31" s="1450">
        <v>81896458</v>
      </c>
      <c r="P31" s="1450">
        <v>180710606</v>
      </c>
    </row>
    <row r="32" spans="2:16" x14ac:dyDescent="0.3">
      <c r="B32" s="1448" t="s">
        <v>2856</v>
      </c>
      <c r="C32" s="1450">
        <v>88900</v>
      </c>
      <c r="D32" s="1450">
        <v>0</v>
      </c>
      <c r="E32" s="1450">
        <v>0</v>
      </c>
      <c r="F32" s="1450">
        <v>0</v>
      </c>
      <c r="G32" s="1450">
        <v>0</v>
      </c>
      <c r="H32" s="1450">
        <v>0</v>
      </c>
      <c r="J32" s="1448" t="s">
        <v>2877</v>
      </c>
      <c r="K32" s="1450">
        <v>16143003</v>
      </c>
      <c r="L32" s="1450">
        <v>23004744</v>
      </c>
      <c r="M32" s="1450">
        <v>13797026</v>
      </c>
      <c r="N32" s="1450">
        <v>15639941</v>
      </c>
      <c r="O32" s="1450">
        <v>20840841</v>
      </c>
      <c r="P32" s="1450">
        <v>17444826</v>
      </c>
    </row>
    <row r="33" spans="2:16" x14ac:dyDescent="0.3">
      <c r="B33" s="1448" t="s">
        <v>2857</v>
      </c>
      <c r="C33" s="1450">
        <v>13500</v>
      </c>
      <c r="D33" s="1450">
        <v>50877796</v>
      </c>
      <c r="E33" s="1450">
        <v>172715500</v>
      </c>
      <c r="F33" s="1450">
        <v>278486327</v>
      </c>
      <c r="G33" s="1450">
        <v>147122852</v>
      </c>
      <c r="H33" s="1450">
        <v>47927440</v>
      </c>
      <c r="J33" s="1448" t="s">
        <v>2878</v>
      </c>
      <c r="K33" s="1450">
        <v>2051460</v>
      </c>
      <c r="L33" s="1450">
        <v>581590</v>
      </c>
      <c r="M33" s="1450">
        <v>6623547</v>
      </c>
      <c r="N33" s="1450">
        <v>32770545</v>
      </c>
      <c r="O33" s="1450">
        <v>27771108</v>
      </c>
      <c r="P33" s="1450">
        <v>7070728</v>
      </c>
    </row>
    <row r="34" spans="2:16" x14ac:dyDescent="0.3">
      <c r="B34" s="1448" t="s">
        <v>2858</v>
      </c>
      <c r="C34" s="1450">
        <v>219500</v>
      </c>
      <c r="D34" s="1450">
        <v>0</v>
      </c>
      <c r="E34" s="1450">
        <v>116271</v>
      </c>
      <c r="F34" s="1450">
        <v>559328</v>
      </c>
      <c r="G34" s="1450">
        <v>515756</v>
      </c>
      <c r="H34" s="1450">
        <v>673719</v>
      </c>
      <c r="J34" s="1448" t="s">
        <v>2879</v>
      </c>
      <c r="K34" s="1450">
        <v>7017750</v>
      </c>
      <c r="L34" s="1450">
        <v>9655650</v>
      </c>
      <c r="M34" s="1450">
        <v>24401134</v>
      </c>
      <c r="N34" s="1450">
        <v>54374296</v>
      </c>
      <c r="O34" s="1450">
        <v>60712313</v>
      </c>
      <c r="P34" s="1450">
        <v>58982693</v>
      </c>
    </row>
    <row r="35" spans="2:16" x14ac:dyDescent="0.3">
      <c r="B35" s="1448" t="s">
        <v>2859</v>
      </c>
      <c r="C35" s="1450">
        <v>55526346</v>
      </c>
      <c r="D35" s="1450">
        <v>0</v>
      </c>
      <c r="E35" s="1450">
        <v>188600</v>
      </c>
      <c r="F35" s="1450">
        <v>15467699</v>
      </c>
      <c r="G35" s="1450">
        <v>5015319</v>
      </c>
      <c r="H35" s="1450">
        <v>7182248</v>
      </c>
      <c r="J35" s="1448" t="s">
        <v>2880</v>
      </c>
      <c r="K35" s="1450">
        <v>35700155</v>
      </c>
      <c r="L35" s="1450">
        <v>0</v>
      </c>
      <c r="M35" s="1450">
        <v>63092370</v>
      </c>
      <c r="N35" s="1450">
        <v>22672680</v>
      </c>
      <c r="O35" s="1450">
        <v>112174934</v>
      </c>
      <c r="P35" s="1450">
        <v>6823425</v>
      </c>
    </row>
    <row r="36" spans="2:16" x14ac:dyDescent="0.3">
      <c r="B36" s="1448" t="s">
        <v>2860</v>
      </c>
      <c r="C36" s="1450">
        <v>11327212</v>
      </c>
      <c r="D36" s="1450">
        <v>16126700</v>
      </c>
      <c r="E36" s="1450">
        <v>12117745</v>
      </c>
      <c r="F36" s="1450">
        <v>17604596</v>
      </c>
      <c r="G36" s="1450">
        <v>21958618</v>
      </c>
      <c r="H36" s="1450">
        <v>26924260</v>
      </c>
      <c r="J36" s="1448" t="s">
        <v>2881</v>
      </c>
      <c r="K36" s="1450">
        <v>249743148</v>
      </c>
      <c r="L36" s="1450">
        <v>237817593</v>
      </c>
      <c r="M36" s="1450">
        <v>0</v>
      </c>
      <c r="N36" s="1450">
        <v>8626013</v>
      </c>
      <c r="O36" s="1450">
        <v>0</v>
      </c>
      <c r="P36" s="1450">
        <v>0</v>
      </c>
    </row>
    <row r="37" spans="2:16" x14ac:dyDescent="0.3">
      <c r="B37" s="1448" t="s">
        <v>2861</v>
      </c>
      <c r="C37" s="1450">
        <v>0</v>
      </c>
      <c r="D37" s="1450">
        <v>49775855</v>
      </c>
      <c r="E37" s="1450">
        <v>182602906</v>
      </c>
      <c r="F37" s="1450">
        <v>183041732</v>
      </c>
      <c r="G37" s="1450">
        <v>209594755</v>
      </c>
      <c r="H37" s="1450">
        <v>195016462</v>
      </c>
      <c r="J37" s="1448" t="s">
        <v>2882</v>
      </c>
      <c r="K37" s="1450">
        <v>0</v>
      </c>
      <c r="L37" s="1450">
        <v>0</v>
      </c>
      <c r="M37" s="1450">
        <v>-15200000</v>
      </c>
      <c r="N37" s="1450">
        <v>0</v>
      </c>
      <c r="O37" s="1450">
        <v>-8626013</v>
      </c>
      <c r="P37" s="1450">
        <v>0</v>
      </c>
    </row>
    <row r="38" spans="2:16" x14ac:dyDescent="0.3">
      <c r="B38" s="1448" t="s">
        <v>2862</v>
      </c>
      <c r="C38" s="1450">
        <v>0</v>
      </c>
      <c r="D38" s="1450">
        <v>7260367</v>
      </c>
      <c r="E38" s="1450">
        <v>5258285</v>
      </c>
      <c r="F38" s="1450">
        <v>1301997</v>
      </c>
      <c r="G38" s="1450">
        <v>0</v>
      </c>
      <c r="H38" s="1450">
        <v>13185785</v>
      </c>
      <c r="J38" s="1448"/>
      <c r="K38" s="1450"/>
      <c r="L38" s="1450"/>
      <c r="M38" s="1450"/>
      <c r="N38" s="1450"/>
      <c r="O38" s="1450"/>
      <c r="P38" s="1450"/>
    </row>
    <row r="39" spans="2:16" x14ac:dyDescent="0.3">
      <c r="K39" s="1450"/>
      <c r="L39" s="1450"/>
      <c r="M39" s="1450"/>
      <c r="N39" s="1450"/>
      <c r="O39" s="1450"/>
      <c r="P39" s="1450"/>
    </row>
    <row r="40" spans="2:16" s="1452" customFormat="1" x14ac:dyDescent="0.3">
      <c r="B40" s="1453" t="s">
        <v>2884</v>
      </c>
      <c r="C40" s="1454">
        <f>C5+C8+C14+C17</f>
        <v>29365850151</v>
      </c>
      <c r="D40" s="1454">
        <f t="shared" ref="D40:G40" si="31">D5+D8+D14+D17</f>
        <v>44778265659</v>
      </c>
      <c r="E40" s="1454">
        <f t="shared" si="31"/>
        <v>46807634802</v>
      </c>
      <c r="F40" s="1454">
        <f t="shared" si="31"/>
        <v>67927545558</v>
      </c>
      <c r="G40" s="1454">
        <f t="shared" si="31"/>
        <v>79827859213</v>
      </c>
      <c r="H40" s="1454">
        <f t="shared" ref="H40" si="32">H5+H8+H14+H17</f>
        <v>80067323844</v>
      </c>
      <c r="J40" s="1453" t="s">
        <v>2883</v>
      </c>
      <c r="K40" s="1454">
        <f>K5+K8+K14+K17</f>
        <v>29500793292</v>
      </c>
      <c r="L40" s="1454">
        <f t="shared" ref="L40:O40" si="33">L5+L8+L14+L17</f>
        <v>29493783500</v>
      </c>
      <c r="M40" s="1454">
        <f t="shared" si="33"/>
        <v>49020706046</v>
      </c>
      <c r="N40" s="1454">
        <f t="shared" si="33"/>
        <v>56234131072</v>
      </c>
      <c r="O40" s="1454">
        <f t="shared" si="33"/>
        <v>86626579138</v>
      </c>
      <c r="P40" s="1454">
        <f>P5+P8+P14+P17</f>
        <v>71978982562</v>
      </c>
    </row>
    <row r="42" spans="2:16" x14ac:dyDescent="0.3">
      <c r="J42" s="1039" t="s">
        <v>3804</v>
      </c>
    </row>
    <row r="43" spans="2:16" x14ac:dyDescent="0.3">
      <c r="J43" s="1039" t="s">
        <v>3805</v>
      </c>
    </row>
  </sheetData>
  <phoneticPr fontId="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44"/>
  <sheetViews>
    <sheetView showGridLines="0" topLeftCell="B19" zoomScaleNormal="100" workbookViewId="0">
      <selection activeCell="G27" sqref="G24:G27"/>
    </sheetView>
  </sheetViews>
  <sheetFormatPr defaultRowHeight="12" outlineLevelRow="1" outlineLevelCol="1" x14ac:dyDescent="0.3"/>
  <cols>
    <col min="1" max="2" width="1.625" style="400" customWidth="1"/>
    <col min="3" max="10" width="11.625" style="400" customWidth="1"/>
    <col min="11" max="11" width="1.625" style="400" customWidth="1" outlineLevel="1"/>
    <col min="12" max="18" width="10.625" style="400" customWidth="1" outlineLevel="1"/>
    <col min="19" max="19" width="1.625" style="400" customWidth="1"/>
    <col min="20" max="26" width="10.625" style="400" customWidth="1" outlineLevel="1"/>
    <col min="27" max="27" width="1.625" style="400" customWidth="1"/>
    <col min="28" max="34" width="12.625" style="400" customWidth="1" outlineLevel="1"/>
    <col min="35" max="35" width="1.625" style="400" customWidth="1" outlineLevel="1"/>
    <col min="36" max="42" width="12.625" style="400" customWidth="1"/>
    <col min="43" max="16384" width="9" style="400"/>
  </cols>
  <sheetData>
    <row r="1" spans="1:7" s="1201" customFormat="1" x14ac:dyDescent="0.3">
      <c r="A1" s="1200" t="s">
        <v>2088</v>
      </c>
    </row>
    <row r="3" spans="1:7" x14ac:dyDescent="0.3">
      <c r="B3" s="400" t="s">
        <v>2118</v>
      </c>
    </row>
    <row r="4" spans="1:7" outlineLevel="1" x14ac:dyDescent="0.3">
      <c r="C4" s="400" t="s">
        <v>2089</v>
      </c>
    </row>
    <row r="5" spans="1:7" outlineLevel="1" x14ac:dyDescent="0.3">
      <c r="C5" s="1202" t="s">
        <v>2090</v>
      </c>
      <c r="D5" s="1203" t="s">
        <v>2091</v>
      </c>
      <c r="E5" s="1204" t="s">
        <v>2092</v>
      </c>
      <c r="G5" s="400" t="s">
        <v>2134</v>
      </c>
    </row>
    <row r="6" spans="1:7" outlineLevel="1" x14ac:dyDescent="0.3">
      <c r="C6" s="1205" t="s">
        <v>2094</v>
      </c>
      <c r="D6" s="1206" t="s">
        <v>2095</v>
      </c>
      <c r="E6" s="1207" t="s">
        <v>2093</v>
      </c>
    </row>
    <row r="7" spans="1:7" outlineLevel="1" x14ac:dyDescent="0.3">
      <c r="C7" s="1205" t="s">
        <v>2120</v>
      </c>
      <c r="D7" s="1206" t="s">
        <v>2119</v>
      </c>
      <c r="E7" s="1207" t="s">
        <v>2093</v>
      </c>
    </row>
    <row r="8" spans="1:7" outlineLevel="1" x14ac:dyDescent="0.3">
      <c r="C8" s="1208" t="s">
        <v>2096</v>
      </c>
      <c r="D8" s="1206" t="s">
        <v>2119</v>
      </c>
      <c r="E8" s="1209" t="s">
        <v>2093</v>
      </c>
    </row>
    <row r="9" spans="1:7" outlineLevel="1" x14ac:dyDescent="0.3">
      <c r="C9" s="1205" t="s">
        <v>2097</v>
      </c>
      <c r="D9" s="1206" t="s">
        <v>2119</v>
      </c>
      <c r="E9" s="1207" t="s">
        <v>2093</v>
      </c>
    </row>
    <row r="10" spans="1:7" outlineLevel="1" x14ac:dyDescent="0.3"/>
    <row r="11" spans="1:7" outlineLevel="1" x14ac:dyDescent="0.3">
      <c r="C11" s="400" t="s">
        <v>2098</v>
      </c>
    </row>
    <row r="12" spans="1:7" outlineLevel="1" x14ac:dyDescent="0.3">
      <c r="C12" s="1202" t="s">
        <v>2099</v>
      </c>
      <c r="D12" s="1203" t="s">
        <v>2100</v>
      </c>
      <c r="E12" s="1204" t="s">
        <v>2101</v>
      </c>
    </row>
    <row r="13" spans="1:7" outlineLevel="1" x14ac:dyDescent="0.3">
      <c r="C13" s="1205" t="s">
        <v>2069</v>
      </c>
      <c r="D13" s="1210" t="s">
        <v>2121</v>
      </c>
      <c r="E13" s="1207" t="s">
        <v>2093</v>
      </c>
    </row>
    <row r="14" spans="1:7" outlineLevel="1" x14ac:dyDescent="0.3">
      <c r="C14" s="1205" t="s">
        <v>2105</v>
      </c>
      <c r="D14" s="1210" t="s">
        <v>2122</v>
      </c>
      <c r="E14" s="1207" t="s">
        <v>2093</v>
      </c>
    </row>
    <row r="15" spans="1:7" outlineLevel="1" x14ac:dyDescent="0.3">
      <c r="C15" s="1208" t="s">
        <v>2106</v>
      </c>
      <c r="D15" s="1210" t="s">
        <v>2103</v>
      </c>
      <c r="E15" s="1211"/>
    </row>
    <row r="16" spans="1:7" outlineLevel="1" x14ac:dyDescent="0.3"/>
    <row r="18" spans="2:42" x14ac:dyDescent="0.3">
      <c r="B18" s="400" t="s">
        <v>2123</v>
      </c>
    </row>
    <row r="19" spans="2:42" x14ac:dyDescent="0.3">
      <c r="C19" s="1212"/>
    </row>
    <row r="20" spans="2:42" outlineLevel="1" x14ac:dyDescent="0.3">
      <c r="C20" s="400" t="s">
        <v>2107</v>
      </c>
    </row>
    <row r="21" spans="2:42" outlineLevel="1" x14ac:dyDescent="0.3">
      <c r="C21" s="400" t="s">
        <v>2124</v>
      </c>
      <c r="I21" s="1234" t="s">
        <v>2132</v>
      </c>
      <c r="K21" s="400" t="s">
        <v>2131</v>
      </c>
      <c r="R21" s="1234" t="s">
        <v>2132</v>
      </c>
      <c r="S21" s="400" t="s">
        <v>2133</v>
      </c>
      <c r="Z21" s="1234" t="s">
        <v>2132</v>
      </c>
      <c r="AA21" s="400" t="s">
        <v>2136</v>
      </c>
      <c r="AH21" s="1234" t="s">
        <v>2132</v>
      </c>
      <c r="AI21" s="400" t="s">
        <v>2137</v>
      </c>
      <c r="AP21" s="1234" t="s">
        <v>2132</v>
      </c>
    </row>
    <row r="22" spans="2:42" outlineLevel="1" x14ac:dyDescent="0.3">
      <c r="C22" s="1221" t="s">
        <v>2126</v>
      </c>
      <c r="D22" s="1222" t="s">
        <v>2108</v>
      </c>
      <c r="E22" s="1222" t="s">
        <v>2112</v>
      </c>
      <c r="F22" s="1222" t="s">
        <v>2110</v>
      </c>
      <c r="G22" s="1222" t="s">
        <v>1788</v>
      </c>
      <c r="H22" s="1222" t="s">
        <v>2109</v>
      </c>
      <c r="I22" s="1223" t="s">
        <v>2111</v>
      </c>
      <c r="J22" s="1213"/>
      <c r="L22" s="1221" t="s">
        <v>2126</v>
      </c>
      <c r="M22" s="1222" t="s">
        <v>2108</v>
      </c>
      <c r="N22" s="1222" t="s">
        <v>2112</v>
      </c>
      <c r="O22" s="1222" t="s">
        <v>2110</v>
      </c>
      <c r="P22" s="1222" t="s">
        <v>1788</v>
      </c>
      <c r="Q22" s="1222" t="s">
        <v>2109</v>
      </c>
      <c r="R22" s="1223" t="s">
        <v>2111</v>
      </c>
      <c r="T22" s="1221" t="s">
        <v>2126</v>
      </c>
      <c r="U22" s="1222" t="s">
        <v>2108</v>
      </c>
      <c r="V22" s="1222" t="s">
        <v>2112</v>
      </c>
      <c r="W22" s="1222" t="s">
        <v>2110</v>
      </c>
      <c r="X22" s="1222" t="s">
        <v>1788</v>
      </c>
      <c r="Y22" s="1222" t="s">
        <v>2109</v>
      </c>
      <c r="Z22" s="1223" t="s">
        <v>2111</v>
      </c>
      <c r="AB22" s="1221" t="s">
        <v>2126</v>
      </c>
      <c r="AC22" s="1222" t="s">
        <v>2108</v>
      </c>
      <c r="AD22" s="1222" t="s">
        <v>2112</v>
      </c>
      <c r="AE22" s="1222" t="s">
        <v>2110</v>
      </c>
      <c r="AF22" s="1222" t="s">
        <v>1788</v>
      </c>
      <c r="AG22" s="1222" t="s">
        <v>2109</v>
      </c>
      <c r="AH22" s="1223" t="s">
        <v>2111</v>
      </c>
      <c r="AJ22" s="1221" t="s">
        <v>2126</v>
      </c>
      <c r="AK22" s="1222" t="s">
        <v>2108</v>
      </c>
      <c r="AL22" s="1222" t="s">
        <v>2112</v>
      </c>
      <c r="AM22" s="1222" t="s">
        <v>2110</v>
      </c>
      <c r="AN22" s="1222" t="s">
        <v>1788</v>
      </c>
      <c r="AO22" s="1222" t="s">
        <v>2109</v>
      </c>
      <c r="AP22" s="1223" t="s">
        <v>2111</v>
      </c>
    </row>
    <row r="23" spans="2:42" s="1214" customFormat="1" outlineLevel="1" x14ac:dyDescent="0.3">
      <c r="C23" s="1224" t="s">
        <v>2113</v>
      </c>
      <c r="D23" s="1226">
        <v>6695647</v>
      </c>
      <c r="E23" s="1226">
        <v>310939</v>
      </c>
      <c r="F23" s="1226">
        <v>0</v>
      </c>
      <c r="G23" s="1226">
        <v>0</v>
      </c>
      <c r="H23" s="1226">
        <v>0</v>
      </c>
      <c r="I23" s="1227">
        <v>7006586</v>
      </c>
      <c r="J23" s="1214">
        <f>SUM(D23:H23)-I23</f>
        <v>0</v>
      </c>
      <c r="L23" s="1224" t="s">
        <v>2113</v>
      </c>
      <c r="M23" s="1226">
        <v>0</v>
      </c>
      <c r="N23" s="1226">
        <v>6695647</v>
      </c>
      <c r="O23" s="1226">
        <v>0</v>
      </c>
      <c r="P23" s="1226" t="s">
        <v>2104</v>
      </c>
      <c r="Q23" s="1226">
        <v>0</v>
      </c>
      <c r="R23" s="1227">
        <v>6695647</v>
      </c>
      <c r="T23" s="1224" t="s">
        <v>2113</v>
      </c>
      <c r="U23" s="1226">
        <v>0</v>
      </c>
      <c r="V23" s="1226">
        <v>0</v>
      </c>
      <c r="W23" s="1226">
        <v>0</v>
      </c>
      <c r="X23" s="1226">
        <v>0</v>
      </c>
      <c r="Y23" s="1226">
        <v>0</v>
      </c>
      <c r="Z23" s="1226">
        <v>0</v>
      </c>
      <c r="AB23" s="1224" t="s">
        <v>2113</v>
      </c>
      <c r="AC23" s="1226">
        <v>0</v>
      </c>
      <c r="AD23" s="1226">
        <v>0</v>
      </c>
      <c r="AE23" s="1226">
        <v>0</v>
      </c>
      <c r="AF23" s="1226">
        <v>0</v>
      </c>
      <c r="AG23" s="1226">
        <v>0</v>
      </c>
      <c r="AH23" s="1226">
        <v>0</v>
      </c>
      <c r="AJ23" s="1224" t="s">
        <v>2113</v>
      </c>
      <c r="AK23" s="1226">
        <v>0</v>
      </c>
      <c r="AL23" s="1226">
        <v>0</v>
      </c>
      <c r="AM23" s="1226">
        <v>0</v>
      </c>
      <c r="AN23" s="1226">
        <v>0</v>
      </c>
      <c r="AO23" s="1226">
        <v>0</v>
      </c>
      <c r="AP23" s="1226">
        <v>0</v>
      </c>
    </row>
    <row r="24" spans="2:42" s="1214" customFormat="1" outlineLevel="1" x14ac:dyDescent="0.3">
      <c r="C24" s="1224" t="s">
        <v>2127</v>
      </c>
      <c r="D24" s="1226">
        <v>514143</v>
      </c>
      <c r="E24" s="1226">
        <v>34057</v>
      </c>
      <c r="F24" s="1226">
        <v>0</v>
      </c>
      <c r="G24" s="1226">
        <v>-225129</v>
      </c>
      <c r="H24" s="1226">
        <v>0</v>
      </c>
      <c r="I24" s="1227">
        <v>323071</v>
      </c>
      <c r="J24" s="1214">
        <f t="shared" ref="J24:J26" si="0">SUM(D24:H24)-I24</f>
        <v>0</v>
      </c>
      <c r="L24" s="1224" t="s">
        <v>2127</v>
      </c>
      <c r="M24" s="1226">
        <v>724975</v>
      </c>
      <c r="N24" s="1226">
        <v>19700</v>
      </c>
      <c r="O24" s="1226">
        <v>0</v>
      </c>
      <c r="P24" s="1226">
        <v>-230532</v>
      </c>
      <c r="Q24" s="1226">
        <v>0</v>
      </c>
      <c r="R24" s="1227">
        <v>514143</v>
      </c>
      <c r="T24" s="1235" t="s">
        <v>2127</v>
      </c>
      <c r="U24" s="1236">
        <v>716829</v>
      </c>
      <c r="V24" s="1236">
        <v>123000</v>
      </c>
      <c r="W24" s="1226">
        <v>0</v>
      </c>
      <c r="X24" s="1236">
        <v>-215664</v>
      </c>
      <c r="Y24" s="1236">
        <v>100810</v>
      </c>
      <c r="Z24" s="1237">
        <v>724975</v>
      </c>
      <c r="AB24" s="1235" t="s">
        <v>2127</v>
      </c>
      <c r="AC24" s="1226">
        <v>345551</v>
      </c>
      <c r="AD24" s="1226">
        <v>556220</v>
      </c>
      <c r="AE24" s="1226">
        <v>-22976</v>
      </c>
      <c r="AF24" s="1226">
        <v>-161966</v>
      </c>
      <c r="AG24" s="1226">
        <v>0</v>
      </c>
      <c r="AH24" s="1226">
        <v>716829</v>
      </c>
      <c r="AJ24" s="1235" t="s">
        <v>2127</v>
      </c>
      <c r="AK24" s="1226">
        <v>169218</v>
      </c>
      <c r="AL24" s="1226">
        <v>49670</v>
      </c>
      <c r="AM24" s="1226">
        <v>-15</v>
      </c>
      <c r="AN24" s="1226">
        <v>-91107</v>
      </c>
      <c r="AO24" s="1226">
        <v>217785</v>
      </c>
      <c r="AP24" s="1226">
        <v>345551</v>
      </c>
    </row>
    <row r="25" spans="2:42" s="1214" customFormat="1" outlineLevel="1" x14ac:dyDescent="0.3">
      <c r="C25" s="1224" t="s">
        <v>2067</v>
      </c>
      <c r="D25" s="1226">
        <v>224387</v>
      </c>
      <c r="E25" s="1226">
        <v>70140</v>
      </c>
      <c r="F25" s="1226">
        <v>-12938</v>
      </c>
      <c r="G25" s="1226">
        <v>-62618</v>
      </c>
      <c r="H25" s="1226">
        <v>0</v>
      </c>
      <c r="I25" s="1227">
        <v>218971</v>
      </c>
      <c r="J25" s="1214">
        <f t="shared" si="0"/>
        <v>0</v>
      </c>
      <c r="L25" s="1224" t="s">
        <v>2067</v>
      </c>
      <c r="M25" s="1226">
        <v>77245</v>
      </c>
      <c r="N25" s="1226">
        <v>231118</v>
      </c>
      <c r="O25" s="1226">
        <v>-22745</v>
      </c>
      <c r="P25" s="1226">
        <v>-61231</v>
      </c>
      <c r="Q25" s="1226">
        <v>0</v>
      </c>
      <c r="R25" s="1227">
        <v>224387</v>
      </c>
      <c r="T25" s="1224" t="s">
        <v>2067</v>
      </c>
      <c r="U25" s="1226">
        <v>114104</v>
      </c>
      <c r="V25" s="1226">
        <v>0</v>
      </c>
      <c r="W25" s="1226">
        <v>0</v>
      </c>
      <c r="X25" s="1226">
        <v>-36859</v>
      </c>
      <c r="Y25" s="1226">
        <v>0</v>
      </c>
      <c r="Z25" s="1227">
        <v>77245</v>
      </c>
      <c r="AB25" s="1224" t="s">
        <v>2067</v>
      </c>
      <c r="AC25" s="1226">
        <v>150963</v>
      </c>
      <c r="AD25" s="1226">
        <v>0</v>
      </c>
      <c r="AE25" s="1226">
        <v>0</v>
      </c>
      <c r="AF25" s="1226">
        <v>-36859</v>
      </c>
      <c r="AG25" s="1226">
        <v>0</v>
      </c>
      <c r="AH25" s="1226">
        <v>114104</v>
      </c>
      <c r="AJ25" s="1224" t="s">
        <v>2067</v>
      </c>
      <c r="AK25" s="1226">
        <v>36743</v>
      </c>
      <c r="AL25" s="1226">
        <v>184293</v>
      </c>
      <c r="AM25" s="1226">
        <v>-31760</v>
      </c>
      <c r="AN25" s="1226">
        <v>-38313</v>
      </c>
      <c r="AO25" s="1226" t="s">
        <v>2104</v>
      </c>
      <c r="AP25" s="1226">
        <v>150963</v>
      </c>
    </row>
    <row r="26" spans="2:42" s="1214" customFormat="1" outlineLevel="1" x14ac:dyDescent="0.3">
      <c r="C26" s="1224" t="s">
        <v>2068</v>
      </c>
      <c r="D26" s="1226">
        <v>542513</v>
      </c>
      <c r="E26" s="1226">
        <v>142773</v>
      </c>
      <c r="F26" s="1226">
        <v>0</v>
      </c>
      <c r="G26" s="1226">
        <v>-198285</v>
      </c>
      <c r="H26" s="1226">
        <v>0</v>
      </c>
      <c r="I26" s="1227">
        <v>487001</v>
      </c>
      <c r="J26" s="1214">
        <f t="shared" si="0"/>
        <v>0</v>
      </c>
      <c r="L26" s="1224" t="s">
        <v>2068</v>
      </c>
      <c r="M26" s="1226">
        <v>513576</v>
      </c>
      <c r="N26" s="1226">
        <v>211332</v>
      </c>
      <c r="O26" s="1226">
        <v>-121</v>
      </c>
      <c r="P26" s="1226">
        <v>-182274</v>
      </c>
      <c r="Q26" s="1226">
        <v>0</v>
      </c>
      <c r="R26" s="1227">
        <v>542513</v>
      </c>
      <c r="T26" s="1224" t="s">
        <v>2068</v>
      </c>
      <c r="U26" s="1226">
        <v>501112</v>
      </c>
      <c r="V26" s="1226">
        <v>173267</v>
      </c>
      <c r="W26" s="1226">
        <v>-734</v>
      </c>
      <c r="X26" s="1226">
        <v>-160069</v>
      </c>
      <c r="Y26" s="1226">
        <v>0</v>
      </c>
      <c r="Z26" s="1227">
        <v>513576</v>
      </c>
      <c r="AB26" s="1224" t="s">
        <v>2068</v>
      </c>
      <c r="AC26" s="1226">
        <v>215698</v>
      </c>
      <c r="AD26" s="1226">
        <v>366842</v>
      </c>
      <c r="AE26" s="1226">
        <v>-1112</v>
      </c>
      <c r="AF26" s="1226">
        <v>-103117</v>
      </c>
      <c r="AG26" s="1226">
        <v>22801</v>
      </c>
      <c r="AH26" s="1226">
        <v>501112</v>
      </c>
      <c r="AJ26" s="1224" t="s">
        <v>2068</v>
      </c>
      <c r="AK26" s="1226">
        <v>173868</v>
      </c>
      <c r="AL26" s="1226">
        <v>118482</v>
      </c>
      <c r="AM26" s="1226">
        <v>-54</v>
      </c>
      <c r="AN26" s="1226">
        <v>-76598</v>
      </c>
      <c r="AO26" s="1226" t="s">
        <v>2104</v>
      </c>
      <c r="AP26" s="1226">
        <v>215698</v>
      </c>
    </row>
    <row r="27" spans="2:42" s="1214" customFormat="1" outlineLevel="1" x14ac:dyDescent="0.3">
      <c r="C27" s="1224" t="s">
        <v>2114</v>
      </c>
      <c r="D27" s="1226">
        <v>434362</v>
      </c>
      <c r="E27" s="1226">
        <v>23874</v>
      </c>
      <c r="F27" s="1226">
        <v>0</v>
      </c>
      <c r="G27" s="1226">
        <v>-114778</v>
      </c>
      <c r="H27" s="1226">
        <v>0</v>
      </c>
      <c r="I27" s="1227">
        <v>343458</v>
      </c>
      <c r="J27" s="1214">
        <f>SUM(D27:H27)-I27</f>
        <v>0</v>
      </c>
      <c r="L27" s="1224" t="s">
        <v>2114</v>
      </c>
      <c r="M27" s="1226">
        <v>109376</v>
      </c>
      <c r="N27" s="1226">
        <v>418801</v>
      </c>
      <c r="O27" s="1226" t="s">
        <v>2104</v>
      </c>
      <c r="P27" s="1226">
        <v>-93815</v>
      </c>
      <c r="Q27" s="1226">
        <v>0</v>
      </c>
      <c r="R27" s="1227">
        <v>434362</v>
      </c>
      <c r="T27" s="1224" t="s">
        <v>2114</v>
      </c>
      <c r="U27" s="1226">
        <v>117303</v>
      </c>
      <c r="V27" s="1226">
        <v>24893</v>
      </c>
      <c r="W27" s="1226">
        <v>-900</v>
      </c>
      <c r="X27" s="1226">
        <v>-31920</v>
      </c>
      <c r="Y27" s="1226">
        <v>0</v>
      </c>
      <c r="Z27" s="1227">
        <v>109376</v>
      </c>
      <c r="AB27" s="1225" t="s">
        <v>2114</v>
      </c>
      <c r="AC27" s="1226">
        <v>29042</v>
      </c>
      <c r="AD27" s="1226">
        <v>24212</v>
      </c>
      <c r="AE27" s="1226">
        <v>-10010</v>
      </c>
      <c r="AF27" s="1226">
        <v>-19652</v>
      </c>
      <c r="AG27" s="1226">
        <v>93711</v>
      </c>
      <c r="AH27" s="1226">
        <v>117303</v>
      </c>
      <c r="AJ27" s="1225" t="s">
        <v>2114</v>
      </c>
      <c r="AK27" s="1226">
        <v>51681</v>
      </c>
      <c r="AL27" s="1226">
        <v>1500</v>
      </c>
      <c r="AM27" s="1226" t="s">
        <v>2104</v>
      </c>
      <c r="AN27" s="1226">
        <v>-24139</v>
      </c>
      <c r="AO27" s="1226" t="s">
        <v>2104</v>
      </c>
      <c r="AP27" s="1226">
        <v>29042</v>
      </c>
    </row>
    <row r="28" spans="2:42" s="1216" customFormat="1" outlineLevel="1" x14ac:dyDescent="0.3">
      <c r="C28" s="1224" t="s">
        <v>2128</v>
      </c>
      <c r="D28" s="1226">
        <v>172194</v>
      </c>
      <c r="E28" s="1226">
        <v>12754</v>
      </c>
      <c r="F28" s="1226">
        <v>0</v>
      </c>
      <c r="G28" s="1226">
        <v>-45075</v>
      </c>
      <c r="H28" s="1226">
        <v>0</v>
      </c>
      <c r="I28" s="1227">
        <v>139873</v>
      </c>
      <c r="J28" s="1214">
        <f>SUM(D28:H28)-I28</f>
        <v>0</v>
      </c>
      <c r="L28" s="1224" t="s">
        <v>2128</v>
      </c>
      <c r="M28" s="1226">
        <v>117819</v>
      </c>
      <c r="N28" s="1226">
        <v>142683</v>
      </c>
      <c r="O28" s="1226">
        <v>-43500</v>
      </c>
      <c r="P28" s="1226">
        <v>-44808</v>
      </c>
      <c r="Q28" s="1226">
        <v>0</v>
      </c>
      <c r="R28" s="1227">
        <v>172194</v>
      </c>
      <c r="T28" s="1224" t="s">
        <v>2128</v>
      </c>
      <c r="U28" s="1226">
        <v>0</v>
      </c>
      <c r="V28" s="1226">
        <v>129097</v>
      </c>
      <c r="W28" s="1226" t="s">
        <v>2104</v>
      </c>
      <c r="X28" s="1226">
        <v>-11278</v>
      </c>
      <c r="Y28" s="1226">
        <v>0</v>
      </c>
      <c r="Z28" s="1227">
        <v>117819</v>
      </c>
      <c r="AB28" s="1224" t="s">
        <v>2128</v>
      </c>
      <c r="AC28" s="1226">
        <v>0</v>
      </c>
      <c r="AD28" s="1226">
        <v>0</v>
      </c>
      <c r="AE28" s="1226">
        <v>0</v>
      </c>
      <c r="AF28" s="1226">
        <v>0</v>
      </c>
      <c r="AG28" s="1226">
        <v>0</v>
      </c>
      <c r="AH28" s="1226">
        <v>0</v>
      </c>
      <c r="AJ28" s="1224" t="s">
        <v>2128</v>
      </c>
      <c r="AK28" s="1226">
        <v>0</v>
      </c>
      <c r="AL28" s="1226">
        <v>0</v>
      </c>
      <c r="AM28" s="1226">
        <v>0</v>
      </c>
      <c r="AN28" s="1226">
        <v>0</v>
      </c>
      <c r="AO28" s="1226">
        <v>0</v>
      </c>
      <c r="AP28" s="1226">
        <v>0</v>
      </c>
    </row>
    <row r="29" spans="2:42" s="1214" customFormat="1" outlineLevel="1" x14ac:dyDescent="0.3">
      <c r="C29" s="1224" t="s">
        <v>2129</v>
      </c>
      <c r="D29" s="1226">
        <v>27360</v>
      </c>
      <c r="E29" s="1226">
        <v>0</v>
      </c>
      <c r="F29" s="1226">
        <v>0</v>
      </c>
      <c r="G29" s="1226">
        <v>0</v>
      </c>
      <c r="H29" s="1226">
        <v>0</v>
      </c>
      <c r="I29" s="1227">
        <v>27360</v>
      </c>
      <c r="J29" s="1214">
        <f>SUM(D29:H29)-I29</f>
        <v>0</v>
      </c>
      <c r="L29" s="1225" t="s">
        <v>2129</v>
      </c>
      <c r="M29" s="1228">
        <v>27360</v>
      </c>
      <c r="N29" s="1226">
        <v>0</v>
      </c>
      <c r="O29" s="1226">
        <v>0</v>
      </c>
      <c r="P29" s="1226">
        <v>0</v>
      </c>
      <c r="Q29" s="1226">
        <v>0</v>
      </c>
      <c r="R29" s="1229">
        <v>27360</v>
      </c>
      <c r="T29" s="1224" t="s">
        <v>2129</v>
      </c>
      <c r="U29" s="1226" t="s">
        <v>2135</v>
      </c>
      <c r="V29" s="1226">
        <v>0</v>
      </c>
      <c r="W29" s="1226">
        <v>0</v>
      </c>
      <c r="X29" s="1226">
        <v>0</v>
      </c>
      <c r="Y29" s="1226">
        <v>0</v>
      </c>
      <c r="Z29" s="1227">
        <v>27360</v>
      </c>
      <c r="AB29" s="1235" t="s">
        <v>2129</v>
      </c>
      <c r="AC29" s="1226">
        <v>27360</v>
      </c>
      <c r="AD29" s="1226">
        <v>0</v>
      </c>
      <c r="AE29" s="1226">
        <v>0</v>
      </c>
      <c r="AF29" s="1226">
        <v>0</v>
      </c>
      <c r="AG29" s="1226">
        <v>0</v>
      </c>
      <c r="AH29" s="1226">
        <v>27360</v>
      </c>
      <c r="AJ29" s="1235" t="s">
        <v>2129</v>
      </c>
      <c r="AK29" s="1226">
        <v>27360</v>
      </c>
      <c r="AL29" s="1226">
        <v>0</v>
      </c>
      <c r="AM29" s="1226" t="s">
        <v>2104</v>
      </c>
      <c r="AN29" s="1226">
        <v>0</v>
      </c>
      <c r="AO29" s="1226" t="s">
        <v>2104</v>
      </c>
      <c r="AP29" s="1226">
        <v>27360</v>
      </c>
    </row>
    <row r="30" spans="2:42" s="1214" customFormat="1" outlineLevel="1" x14ac:dyDescent="0.3">
      <c r="C30" s="1224" t="s">
        <v>2116</v>
      </c>
      <c r="D30" s="1226" t="s">
        <v>2104</v>
      </c>
      <c r="E30" s="1226">
        <v>530687</v>
      </c>
      <c r="F30" s="1226">
        <v>0</v>
      </c>
      <c r="G30" s="1226">
        <v>0</v>
      </c>
      <c r="H30" s="1226">
        <v>0</v>
      </c>
      <c r="I30" s="1227">
        <v>530687</v>
      </c>
      <c r="J30" s="1214">
        <f>SUM(D30:H30)-I30</f>
        <v>0</v>
      </c>
      <c r="L30" s="1215" t="s">
        <v>2115</v>
      </c>
      <c r="M30" s="1230"/>
      <c r="N30" s="1230"/>
      <c r="O30" s="1230"/>
      <c r="P30" s="1230"/>
      <c r="Q30" s="1230"/>
      <c r="R30" s="1230"/>
      <c r="T30" s="1225" t="s">
        <v>2116</v>
      </c>
      <c r="U30" s="1228">
        <v>100810</v>
      </c>
      <c r="V30" s="1226">
        <v>0</v>
      </c>
      <c r="W30" s="1226">
        <v>0</v>
      </c>
      <c r="X30" s="1226">
        <v>0</v>
      </c>
      <c r="Y30" s="1228">
        <v>-100810</v>
      </c>
      <c r="Z30" s="1226">
        <v>0</v>
      </c>
      <c r="AB30" s="1224" t="s">
        <v>2116</v>
      </c>
      <c r="AC30" s="1226">
        <v>150956</v>
      </c>
      <c r="AD30" s="1226">
        <v>218762</v>
      </c>
      <c r="AE30" s="1226" t="s">
        <v>2104</v>
      </c>
      <c r="AF30" s="1226">
        <v>0</v>
      </c>
      <c r="AG30" s="1226">
        <v>-268908</v>
      </c>
      <c r="AH30" s="1226">
        <v>100810</v>
      </c>
      <c r="AJ30" s="1224" t="s">
        <v>2116</v>
      </c>
      <c r="AK30" s="1226" t="s">
        <v>2104</v>
      </c>
      <c r="AL30" s="1226">
        <v>368741</v>
      </c>
      <c r="AM30" s="1226" t="s">
        <v>2104</v>
      </c>
      <c r="AN30" s="1226">
        <v>0</v>
      </c>
      <c r="AO30" s="1226">
        <v>-217785</v>
      </c>
      <c r="AP30" s="1226">
        <v>150956</v>
      </c>
    </row>
    <row r="31" spans="2:42" s="1214" customFormat="1" outlineLevel="1" x14ac:dyDescent="0.3">
      <c r="C31" s="1225" t="s">
        <v>2130</v>
      </c>
      <c r="D31" s="1228">
        <v>8610606</v>
      </c>
      <c r="E31" s="1228">
        <v>1125224</v>
      </c>
      <c r="F31" s="1228">
        <v>-12938</v>
      </c>
      <c r="G31" s="1228">
        <v>-645885</v>
      </c>
      <c r="H31" s="1226">
        <v>0</v>
      </c>
      <c r="I31" s="1229">
        <v>9077007</v>
      </c>
      <c r="J31" s="1214">
        <f>SUM(D31:H31)-I31</f>
        <v>0</v>
      </c>
      <c r="L31" s="1225" t="s">
        <v>2130</v>
      </c>
      <c r="M31" s="1231">
        <v>1570351</v>
      </c>
      <c r="N31" s="1232">
        <v>7719281</v>
      </c>
      <c r="O31" s="1232">
        <v>-66366</v>
      </c>
      <c r="P31" s="1232">
        <v>-612660</v>
      </c>
      <c r="Q31" s="1226">
        <v>0</v>
      </c>
      <c r="R31" s="1233">
        <v>8610606</v>
      </c>
      <c r="T31" s="1225" t="s">
        <v>2130</v>
      </c>
      <c r="U31" s="1231">
        <v>1577518</v>
      </c>
      <c r="V31" s="1232">
        <v>450257</v>
      </c>
      <c r="W31" s="1232">
        <v>-1634</v>
      </c>
      <c r="X31" s="1232">
        <v>-455790</v>
      </c>
      <c r="Y31" s="1226">
        <v>0</v>
      </c>
      <c r="Z31" s="1233">
        <v>1570351</v>
      </c>
      <c r="AB31" s="1225" t="s">
        <v>2130</v>
      </c>
      <c r="AC31" s="1226">
        <v>919570</v>
      </c>
      <c r="AD31" s="1226">
        <v>1166036</v>
      </c>
      <c r="AE31" s="1226">
        <v>-34098</v>
      </c>
      <c r="AF31" s="1226">
        <v>-321594</v>
      </c>
      <c r="AG31" s="1226">
        <v>-152396</v>
      </c>
      <c r="AH31" s="1226">
        <v>1577518</v>
      </c>
      <c r="AJ31" s="1225" t="s">
        <v>2130</v>
      </c>
      <c r="AK31" s="1226">
        <v>458870</v>
      </c>
      <c r="AL31" s="1226">
        <v>722686</v>
      </c>
      <c r="AM31" s="1226">
        <v>-31829</v>
      </c>
      <c r="AN31" s="1226">
        <v>-230157</v>
      </c>
      <c r="AO31" s="1226" t="s">
        <v>2104</v>
      </c>
      <c r="AP31" s="1226">
        <v>919570</v>
      </c>
    </row>
    <row r="32" spans="2:42" outlineLevel="1" x14ac:dyDescent="0.3">
      <c r="L32" s="1217"/>
      <c r="T32" s="1217"/>
      <c r="AB32" s="1218"/>
      <c r="AC32" s="1219"/>
      <c r="AD32" s="1219"/>
      <c r="AE32" s="1219"/>
      <c r="AF32" s="1219"/>
      <c r="AG32" s="1219"/>
      <c r="AH32" s="1219"/>
    </row>
    <row r="33" spans="3:42" outlineLevel="1" x14ac:dyDescent="0.3">
      <c r="C33" s="400" t="s">
        <v>2117</v>
      </c>
    </row>
    <row r="34" spans="3:42" outlineLevel="1" x14ac:dyDescent="0.3">
      <c r="C34" s="400" t="s">
        <v>2124</v>
      </c>
      <c r="K34" s="400" t="s">
        <v>2131</v>
      </c>
      <c r="S34" s="400" t="s">
        <v>2133</v>
      </c>
      <c r="AA34" s="400" t="s">
        <v>2136</v>
      </c>
      <c r="AI34" s="400" t="s">
        <v>2137</v>
      </c>
    </row>
    <row r="35" spans="3:42" s="1214" customFormat="1" outlineLevel="1" x14ac:dyDescent="0.3">
      <c r="C35" s="1221" t="s">
        <v>2126</v>
      </c>
      <c r="D35" s="1222" t="s">
        <v>2108</v>
      </c>
      <c r="E35" s="1222" t="s">
        <v>2139</v>
      </c>
      <c r="F35" s="1222" t="s">
        <v>2140</v>
      </c>
      <c r="G35" s="1223" t="s">
        <v>2138</v>
      </c>
      <c r="H35" s="1242"/>
      <c r="L35" s="1221" t="s">
        <v>2126</v>
      </c>
      <c r="M35" s="1222" t="s">
        <v>2108</v>
      </c>
      <c r="N35" s="1222" t="s">
        <v>2139</v>
      </c>
      <c r="O35" s="1222" t="s">
        <v>2140</v>
      </c>
      <c r="P35" s="1223" t="s">
        <v>2138</v>
      </c>
      <c r="T35" s="1221" t="s">
        <v>2126</v>
      </c>
      <c r="U35" s="1222" t="s">
        <v>2108</v>
      </c>
      <c r="V35" s="1222" t="s">
        <v>2139</v>
      </c>
      <c r="W35" s="1222" t="s">
        <v>2140</v>
      </c>
      <c r="X35" s="1223" t="s">
        <v>2138</v>
      </c>
      <c r="AB35" s="1221" t="s">
        <v>2126</v>
      </c>
      <c r="AC35" s="1222" t="s">
        <v>2108</v>
      </c>
      <c r="AD35" s="1222" t="s">
        <v>2139</v>
      </c>
      <c r="AE35" s="1222" t="s">
        <v>2140</v>
      </c>
      <c r="AF35" s="1222" t="s">
        <v>2125</v>
      </c>
      <c r="AG35" s="1223" t="s">
        <v>2138</v>
      </c>
      <c r="AJ35" s="1221" t="s">
        <v>2126</v>
      </c>
      <c r="AK35" s="1222" t="s">
        <v>2108</v>
      </c>
      <c r="AL35" s="1222" t="s">
        <v>2139</v>
      </c>
      <c r="AM35" s="1222" t="s">
        <v>2140</v>
      </c>
      <c r="AN35" s="1223" t="s">
        <v>2138</v>
      </c>
    </row>
    <row r="36" spans="3:42" s="1214" customFormat="1" outlineLevel="1" x14ac:dyDescent="0.3">
      <c r="C36" s="1224" t="s">
        <v>2069</v>
      </c>
      <c r="D36" s="1228">
        <v>2937</v>
      </c>
      <c r="E36" s="1228">
        <v>0</v>
      </c>
      <c r="F36" s="1228">
        <v>-410</v>
      </c>
      <c r="G36" s="1228">
        <v>2527</v>
      </c>
      <c r="H36" s="1214">
        <f>SUM(D36:F36)-G36</f>
        <v>0</v>
      </c>
      <c r="L36" s="1235" t="s">
        <v>2069</v>
      </c>
      <c r="M36" s="1228">
        <v>3346</v>
      </c>
      <c r="N36" s="1228">
        <v>0</v>
      </c>
      <c r="O36" s="1228">
        <v>-409</v>
      </c>
      <c r="P36" s="1228">
        <v>2937</v>
      </c>
      <c r="Q36" s="1214">
        <f>SUM(M36:O36)-P36</f>
        <v>0</v>
      </c>
      <c r="T36" s="1235" t="s">
        <v>2069</v>
      </c>
      <c r="U36" s="1228">
        <v>3853</v>
      </c>
      <c r="V36" s="1228">
        <v>0</v>
      </c>
      <c r="W36" s="1228">
        <v>-507</v>
      </c>
      <c r="X36" s="1228">
        <v>3346</v>
      </c>
      <c r="Y36" s="1214">
        <f>SUM(U36:W36)-X36</f>
        <v>0</v>
      </c>
      <c r="AB36" s="1235" t="s">
        <v>2102</v>
      </c>
      <c r="AC36" s="1228">
        <v>201153</v>
      </c>
      <c r="AD36" s="1228">
        <v>0</v>
      </c>
      <c r="AE36" s="1228">
        <v>-201153</v>
      </c>
      <c r="AF36" s="1228">
        <v>0</v>
      </c>
      <c r="AG36" s="1228">
        <v>0</v>
      </c>
      <c r="AH36" s="1214">
        <f>SUM(AC36:AF36)-AG36</f>
        <v>0</v>
      </c>
      <c r="AJ36" s="1235" t="s">
        <v>2102</v>
      </c>
      <c r="AK36" s="1228">
        <v>603457</v>
      </c>
      <c r="AL36" s="1228">
        <v>0</v>
      </c>
      <c r="AM36" s="1228">
        <v>-402304</v>
      </c>
      <c r="AN36" s="1228">
        <v>201153</v>
      </c>
      <c r="AO36" s="1214">
        <f>SUM(AK36:AM36)-AN36</f>
        <v>0</v>
      </c>
    </row>
    <row r="37" spans="3:42" s="1214" customFormat="1" outlineLevel="1" x14ac:dyDescent="0.3">
      <c r="C37" s="1224" t="s">
        <v>2105</v>
      </c>
      <c r="D37" s="1228">
        <v>163021</v>
      </c>
      <c r="E37" s="1228">
        <v>7386</v>
      </c>
      <c r="F37" s="1228">
        <v>-94826</v>
      </c>
      <c r="G37" s="1228">
        <v>75581</v>
      </c>
      <c r="H37" s="1214">
        <f t="shared" ref="H37:H38" si="1">SUM(D37:F37)-G37</f>
        <v>0</v>
      </c>
      <c r="L37" s="1224" t="s">
        <v>2105</v>
      </c>
      <c r="M37" s="1228">
        <v>224354</v>
      </c>
      <c r="N37" s="1228">
        <v>37390</v>
      </c>
      <c r="O37" s="1228">
        <v>-98723</v>
      </c>
      <c r="P37" s="1228">
        <v>163021</v>
      </c>
      <c r="Q37" s="1214">
        <f t="shared" ref="Q37:Q38" si="2">SUM(M37:O37)-P37</f>
        <v>0</v>
      </c>
      <c r="T37" s="1224" t="s">
        <v>2105</v>
      </c>
      <c r="U37" s="1228">
        <v>175111</v>
      </c>
      <c r="V37" s="1228">
        <v>147910</v>
      </c>
      <c r="W37" s="1228">
        <v>-98667</v>
      </c>
      <c r="X37" s="1228">
        <v>224354</v>
      </c>
      <c r="Y37" s="1214">
        <f t="shared" ref="Y37:Y38" si="3">SUM(U37:W37)-X37</f>
        <v>0</v>
      </c>
      <c r="AB37" s="1224" t="s">
        <v>2069</v>
      </c>
      <c r="AC37" s="1228">
        <v>263</v>
      </c>
      <c r="AD37" s="1228">
        <v>0</v>
      </c>
      <c r="AE37" s="1228">
        <v>-508</v>
      </c>
      <c r="AF37" s="1228">
        <v>4098</v>
      </c>
      <c r="AG37" s="1228">
        <v>3853</v>
      </c>
      <c r="AH37" s="1214">
        <f t="shared" ref="AH37:AH39" si="4">SUM(AC37:AF37)-AG37</f>
        <v>0</v>
      </c>
      <c r="AJ37" s="1224" t="s">
        <v>2069</v>
      </c>
      <c r="AK37" s="1228">
        <v>429</v>
      </c>
      <c r="AL37" s="1228">
        <v>0</v>
      </c>
      <c r="AM37" s="1228">
        <v>-166</v>
      </c>
      <c r="AN37" s="1228">
        <v>263</v>
      </c>
      <c r="AO37" s="1214">
        <f t="shared" ref="AO37:AO39" si="5">SUM(AK37:AM37)-AN37</f>
        <v>0</v>
      </c>
    </row>
    <row r="38" spans="3:42" s="1214" customFormat="1" outlineLevel="1" x14ac:dyDescent="0.3">
      <c r="C38" s="1225" t="s">
        <v>1731</v>
      </c>
      <c r="D38" s="1228">
        <v>165958</v>
      </c>
      <c r="E38" s="1228">
        <v>7386</v>
      </c>
      <c r="F38" s="1228">
        <v>-95236</v>
      </c>
      <c r="G38" s="1228">
        <v>78108</v>
      </c>
      <c r="H38" s="1214">
        <f t="shared" si="1"/>
        <v>0</v>
      </c>
      <c r="L38" s="1225" t="s">
        <v>1731</v>
      </c>
      <c r="M38" s="1228">
        <v>227700</v>
      </c>
      <c r="N38" s="1228">
        <v>37390</v>
      </c>
      <c r="O38" s="1228">
        <v>-99132</v>
      </c>
      <c r="P38" s="1228">
        <v>165958</v>
      </c>
      <c r="Q38" s="1214">
        <f t="shared" si="2"/>
        <v>0</v>
      </c>
      <c r="T38" s="1225" t="s">
        <v>1731</v>
      </c>
      <c r="U38" s="1228">
        <v>178964</v>
      </c>
      <c r="V38" s="1228">
        <v>147910</v>
      </c>
      <c r="W38" s="1228">
        <v>-99174</v>
      </c>
      <c r="X38" s="1228">
        <v>227700</v>
      </c>
      <c r="Y38" s="1214">
        <f t="shared" si="3"/>
        <v>0</v>
      </c>
      <c r="AB38" s="1224" t="s">
        <v>2105</v>
      </c>
      <c r="AC38" s="1228">
        <v>68741</v>
      </c>
      <c r="AD38" s="1228">
        <v>34400</v>
      </c>
      <c r="AE38" s="1228">
        <v>-76328</v>
      </c>
      <c r="AF38" s="1228">
        <v>148298</v>
      </c>
      <c r="AG38" s="1228">
        <v>175111</v>
      </c>
      <c r="AH38" s="1214">
        <f t="shared" si="4"/>
        <v>0</v>
      </c>
      <c r="AJ38" s="1224" t="s">
        <v>2105</v>
      </c>
      <c r="AK38" s="1228">
        <v>96252</v>
      </c>
      <c r="AL38" s="1228">
        <v>17404</v>
      </c>
      <c r="AM38" s="1228">
        <v>-44915</v>
      </c>
      <c r="AN38" s="1228">
        <v>68741</v>
      </c>
      <c r="AO38" s="1214">
        <f t="shared" si="5"/>
        <v>0</v>
      </c>
    </row>
    <row r="39" spans="3:42" s="1214" customFormat="1" outlineLevel="1" x14ac:dyDescent="0.3">
      <c r="C39" s="1238"/>
      <c r="D39" s="1239"/>
      <c r="E39" s="1239"/>
      <c r="F39" s="1239"/>
      <c r="G39" s="1239"/>
      <c r="H39" s="1241"/>
      <c r="L39" s="1238"/>
      <c r="M39" s="1239"/>
      <c r="N39" s="1239"/>
      <c r="O39" s="1239"/>
      <c r="P39" s="1239"/>
      <c r="T39" s="1238"/>
      <c r="U39" s="1239"/>
      <c r="V39" s="1239"/>
      <c r="W39" s="1239"/>
      <c r="X39" s="1239"/>
      <c r="AB39" s="1225" t="s">
        <v>1731</v>
      </c>
      <c r="AC39" s="1228">
        <v>270157</v>
      </c>
      <c r="AD39" s="1228">
        <v>34400</v>
      </c>
      <c r="AE39" s="1228">
        <v>-277989</v>
      </c>
      <c r="AF39" s="1228">
        <v>152396</v>
      </c>
      <c r="AG39" s="1228">
        <v>178964</v>
      </c>
      <c r="AH39" s="1214">
        <f t="shared" si="4"/>
        <v>0</v>
      </c>
      <c r="AJ39" s="1225" t="s">
        <v>1731</v>
      </c>
      <c r="AK39" s="1228">
        <v>700138</v>
      </c>
      <c r="AL39" s="1228">
        <v>17404</v>
      </c>
      <c r="AM39" s="1228">
        <v>-447385</v>
      </c>
      <c r="AN39" s="1228">
        <v>270157</v>
      </c>
      <c r="AO39" s="1214">
        <f t="shared" si="5"/>
        <v>0</v>
      </c>
    </row>
    <row r="40" spans="3:42" s="1214" customFormat="1" outlineLevel="1" x14ac:dyDescent="0.3">
      <c r="C40" s="1240"/>
      <c r="D40" s="1241"/>
      <c r="E40" s="1241"/>
      <c r="F40" s="1241"/>
      <c r="G40" s="1241"/>
      <c r="H40" s="1241"/>
      <c r="L40" s="1241"/>
      <c r="M40" s="1241"/>
      <c r="N40" s="1241"/>
      <c r="O40" s="1241"/>
      <c r="P40" s="1241"/>
      <c r="T40" s="1241"/>
      <c r="U40" s="1241"/>
      <c r="V40" s="1241"/>
      <c r="W40" s="1241"/>
      <c r="X40" s="1241"/>
      <c r="AB40" s="1241"/>
      <c r="AC40" s="1241"/>
      <c r="AD40" s="1241"/>
      <c r="AE40" s="1241"/>
      <c r="AF40" s="1241"/>
      <c r="AJ40" s="1241"/>
      <c r="AK40" s="1241"/>
      <c r="AL40" s="1241"/>
      <c r="AM40" s="1241"/>
      <c r="AN40" s="1241"/>
    </row>
    <row r="41" spans="3:42" s="1214" customFormat="1" outlineLevel="1" x14ac:dyDescent="0.3">
      <c r="C41" s="1240"/>
      <c r="D41" s="1241"/>
      <c r="E41" s="1241"/>
      <c r="F41" s="1241"/>
      <c r="G41" s="1241"/>
      <c r="H41" s="1241"/>
      <c r="L41" s="1241"/>
      <c r="M41" s="1241"/>
      <c r="N41" s="1241"/>
      <c r="O41" s="1241"/>
      <c r="P41" s="1241"/>
      <c r="T41" s="1241"/>
      <c r="U41" s="1241"/>
      <c r="V41" s="1241"/>
      <c r="W41" s="1241"/>
      <c r="X41" s="1241"/>
      <c r="AB41" s="1241"/>
      <c r="AC41" s="1241"/>
      <c r="AD41" s="1241"/>
      <c r="AE41" s="1241"/>
      <c r="AF41" s="1241"/>
      <c r="AJ41" s="1241"/>
      <c r="AK41" s="1241"/>
      <c r="AL41" s="1241"/>
      <c r="AM41" s="1241"/>
      <c r="AN41" s="1241"/>
    </row>
    <row r="42" spans="3:42" outlineLevel="1" x14ac:dyDescent="0.3">
      <c r="L42" s="1220"/>
      <c r="T42" s="1220"/>
      <c r="AB42" s="1220"/>
      <c r="AJ42" s="1220"/>
      <c r="AP42" s="1214"/>
    </row>
    <row r="43" spans="3:42" outlineLevel="1" x14ac:dyDescent="0.3">
      <c r="L43" s="1220"/>
      <c r="T43" s="1220"/>
      <c r="AB43" s="1220"/>
      <c r="AJ43" s="1220"/>
      <c r="AP43" s="1214"/>
    </row>
    <row r="44" spans="3:42" outlineLevel="1" x14ac:dyDescent="0.3">
      <c r="L44" s="1220"/>
      <c r="T44" s="1220"/>
      <c r="AB44" s="1220"/>
      <c r="AJ44" s="1220"/>
      <c r="AP44" s="1214"/>
    </row>
  </sheetData>
  <phoneticPr fontId="1"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O91"/>
  <sheetViews>
    <sheetView topLeftCell="A11" workbookViewId="0">
      <selection activeCell="T26" sqref="T26"/>
    </sheetView>
  </sheetViews>
  <sheetFormatPr defaultRowHeight="16.5" x14ac:dyDescent="0.3"/>
  <cols>
    <col min="1" max="1" width="1.625" style="1039" customWidth="1"/>
    <col min="2" max="2" width="16.125" style="1039" customWidth="1"/>
    <col min="3" max="16384" width="9" style="1039"/>
  </cols>
  <sheetData>
    <row r="1" spans="2:9" x14ac:dyDescent="0.3">
      <c r="B1" s="1578" t="s">
        <v>3736</v>
      </c>
    </row>
    <row r="2" spans="2:9" ht="16.5" customHeight="1" x14ac:dyDescent="0.3">
      <c r="B2" s="1570" t="s">
        <v>3719</v>
      </c>
      <c r="C2" s="1571">
        <v>2011</v>
      </c>
      <c r="D2" s="1571">
        <v>2012</v>
      </c>
      <c r="E2" s="1571">
        <v>2013</v>
      </c>
      <c r="F2" s="1571">
        <v>2014</v>
      </c>
      <c r="G2" s="1571">
        <v>2015</v>
      </c>
    </row>
    <row r="3" spans="2:9" ht="16.5" customHeight="1" x14ac:dyDescent="0.3">
      <c r="B3" s="1572" t="s">
        <v>3720</v>
      </c>
      <c r="C3" s="1573">
        <f>C4+C9</f>
        <v>40864.886344000006</v>
      </c>
      <c r="D3" s="1573">
        <f t="shared" ref="D3:G3" si="0">D4+D9</f>
        <v>73955.340788999994</v>
      </c>
      <c r="E3" s="1573">
        <f t="shared" si="0"/>
        <v>78495.180834999992</v>
      </c>
      <c r="F3" s="1573">
        <f t="shared" si="0"/>
        <v>107674.49962499998</v>
      </c>
      <c r="G3" s="1573">
        <f t="shared" si="0"/>
        <v>79175.762541000004</v>
      </c>
    </row>
    <row r="4" spans="2:9" ht="16.5" customHeight="1" x14ac:dyDescent="0.3">
      <c r="B4" s="1574" t="s">
        <v>3721</v>
      </c>
      <c r="C4" s="1575">
        <f>BS!K8</f>
        <v>37087.359324000005</v>
      </c>
      <c r="D4" s="1575">
        <f>BS!L8</f>
        <v>69641.040727</v>
      </c>
      <c r="E4" s="1575">
        <f>BS!M8</f>
        <v>66925.905915999989</v>
      </c>
      <c r="F4" s="1575">
        <f>BS!N8</f>
        <v>95061.867583999978</v>
      </c>
      <c r="G4" s="1575">
        <f>BS!O8</f>
        <v>65220.182141000012</v>
      </c>
    </row>
    <row r="5" spans="2:9" ht="16.5" customHeight="1" x14ac:dyDescent="0.3">
      <c r="B5" s="1576" t="s">
        <v>3722</v>
      </c>
      <c r="C5" s="1575">
        <f>BS!K9+BS!K10</f>
        <v>14314.074542</v>
      </c>
      <c r="D5" s="1575">
        <f>BS!L9+BS!L10</f>
        <v>15350.421036</v>
      </c>
      <c r="E5" s="1575">
        <f>BS!M9+BS!M10</f>
        <v>16681.952728</v>
      </c>
      <c r="F5" s="1575">
        <f>BS!N9+BS!N10</f>
        <v>20466.371552000001</v>
      </c>
      <c r="G5" s="1575">
        <f>BS!O9+BS!O10</f>
        <v>14679.89661</v>
      </c>
    </row>
    <row r="6" spans="2:9" ht="16.5" customHeight="1" x14ac:dyDescent="0.3">
      <c r="B6" s="1576" t="s">
        <v>3723</v>
      </c>
      <c r="C6" s="1575">
        <f>BS!K12+BS!K13</f>
        <v>21031.333290000002</v>
      </c>
      <c r="D6" s="1575">
        <f>BS!L12+BS!L13</f>
        <v>50905.102564000001</v>
      </c>
      <c r="E6" s="1575">
        <f>BS!M12+BS!M13</f>
        <v>44334.764403000001</v>
      </c>
      <c r="F6" s="1575">
        <f>BS!N12+BS!N13</f>
        <v>71278.666539999991</v>
      </c>
      <c r="G6" s="1575">
        <f>BS!O12+BS!O13</f>
        <v>48654.174305</v>
      </c>
    </row>
    <row r="7" spans="2:9" ht="16.5" customHeight="1" x14ac:dyDescent="0.3">
      <c r="B7" s="1576" t="s">
        <v>3724</v>
      </c>
      <c r="C7" s="1575">
        <f>BS!K19</f>
        <v>628.93000600000005</v>
      </c>
      <c r="D7" s="1575">
        <f>BS!L19</f>
        <v>2359.7330120000001</v>
      </c>
      <c r="E7" s="1575">
        <f>BS!M19</f>
        <v>4021.8156169999997</v>
      </c>
      <c r="F7" s="1575">
        <f>BS!N19</f>
        <v>2399.9775060000002</v>
      </c>
      <c r="G7" s="1575">
        <f>BS!O19</f>
        <v>473.22097200000007</v>
      </c>
    </row>
    <row r="8" spans="2:9" ht="16.5" customHeight="1" x14ac:dyDescent="0.3">
      <c r="B8" s="1576" t="s">
        <v>3725</v>
      </c>
      <c r="C8" s="1575">
        <f>C4-SUM(C5:C7)</f>
        <v>1113.0214859999978</v>
      </c>
      <c r="D8" s="1575">
        <f t="shared" ref="D8:G8" si="1">D4-SUM(D5:D7)</f>
        <v>1025.7841150000022</v>
      </c>
      <c r="E8" s="1575">
        <f t="shared" si="1"/>
        <v>1887.373167999991</v>
      </c>
      <c r="F8" s="1575">
        <f t="shared" si="1"/>
        <v>916.85198599999421</v>
      </c>
      <c r="G8" s="1575">
        <f t="shared" si="1"/>
        <v>1412.8902540000054</v>
      </c>
    </row>
    <row r="9" spans="2:9" ht="16.5" customHeight="1" x14ac:dyDescent="0.3">
      <c r="B9" s="1574" t="s">
        <v>3726</v>
      </c>
      <c r="C9" s="1575">
        <f>BS!K28</f>
        <v>3777.52702</v>
      </c>
      <c r="D9" s="1575">
        <f>BS!L28</f>
        <v>4314.3000619999993</v>
      </c>
      <c r="E9" s="1575">
        <f>BS!M28</f>
        <v>11569.274919000001</v>
      </c>
      <c r="F9" s="1575">
        <f>BS!N28</f>
        <v>12612.632040999999</v>
      </c>
      <c r="G9" s="1575">
        <f>BS!O28</f>
        <v>13955.580399999999</v>
      </c>
    </row>
    <row r="10" spans="2:9" ht="16.5" customHeight="1" x14ac:dyDescent="0.3">
      <c r="B10" s="1576" t="s">
        <v>3727</v>
      </c>
      <c r="C10" s="1575">
        <f>BS!K36+BS!K50</f>
        <v>1756.4823389999997</v>
      </c>
      <c r="D10" s="1575">
        <f>BS!L36+BS!L50</f>
        <v>1798.0509909999996</v>
      </c>
      <c r="E10" s="1575">
        <f>BS!M36+BS!M50</f>
        <v>8776.5645120000008</v>
      </c>
      <c r="F10" s="1575">
        <f>BS!N36+BS!N50</f>
        <v>9155.1144289999993</v>
      </c>
      <c r="G10" s="1575">
        <f>BS!O36+BS!O50</f>
        <v>9937.6549230000001</v>
      </c>
    </row>
    <row r="11" spans="2:9" ht="16.5" customHeight="1" x14ac:dyDescent="0.3">
      <c r="B11" s="1576" t="s">
        <v>3728</v>
      </c>
      <c r="C11" s="1575">
        <f>C9-C10</f>
        <v>2021.0446810000003</v>
      </c>
      <c r="D11" s="1575">
        <f t="shared" ref="D11:G11" si="2">D9-D10</f>
        <v>2516.2490709999997</v>
      </c>
      <c r="E11" s="1575">
        <f t="shared" si="2"/>
        <v>2792.7104070000005</v>
      </c>
      <c r="F11" s="1575">
        <f t="shared" si="2"/>
        <v>3457.5176119999996</v>
      </c>
      <c r="G11" s="1575">
        <f t="shared" si="2"/>
        <v>4017.9254769999989</v>
      </c>
    </row>
    <row r="12" spans="2:9" ht="16.5" customHeight="1" x14ac:dyDescent="0.3">
      <c r="B12" s="1572" t="s">
        <v>1714</v>
      </c>
      <c r="C12" s="1573">
        <f>C13+C16</f>
        <v>20810.075891999997</v>
      </c>
      <c r="D12" s="1573">
        <f t="shared" ref="D12:G12" si="3">D13+D16</f>
        <v>48699.482792999996</v>
      </c>
      <c r="E12" s="1573">
        <f t="shared" si="3"/>
        <v>47791.103784000006</v>
      </c>
      <c r="F12" s="1573">
        <f t="shared" si="3"/>
        <v>71543.620194999996</v>
      </c>
      <c r="G12" s="1573">
        <f t="shared" si="3"/>
        <v>37831.933170000004</v>
      </c>
      <c r="I12" s="2057">
        <f>G12/F12-1</f>
        <v>-0.47120465714643855</v>
      </c>
    </row>
    <row r="13" spans="2:9" ht="16.5" customHeight="1" x14ac:dyDescent="0.3">
      <c r="B13" s="1574" t="s">
        <v>3729</v>
      </c>
      <c r="C13" s="1575">
        <f>BS!K56</f>
        <v>20511.387361999998</v>
      </c>
      <c r="D13" s="1575">
        <f>BS!L56</f>
        <v>48037.120334999992</v>
      </c>
      <c r="E13" s="1575">
        <f>BS!M56</f>
        <v>46667.757208000003</v>
      </c>
      <c r="F13" s="1575">
        <f>BS!N56</f>
        <v>70887.749106999996</v>
      </c>
      <c r="G13" s="1575">
        <f>BS!O56</f>
        <v>37284.845561000002</v>
      </c>
    </row>
    <row r="14" spans="2:9" ht="16.5" customHeight="1" x14ac:dyDescent="0.3">
      <c r="B14" s="1576" t="s">
        <v>3730</v>
      </c>
      <c r="C14" s="1575">
        <f>BS!K57</f>
        <v>16841.211718999999</v>
      </c>
      <c r="D14" s="1575">
        <f>BS!L57</f>
        <v>38969.414470999996</v>
      </c>
      <c r="E14" s="1575">
        <f>BS!M57</f>
        <v>39416.497802999998</v>
      </c>
      <c r="F14" s="1575">
        <f>BS!N57</f>
        <v>65492.904071999998</v>
      </c>
      <c r="G14" s="1575">
        <f>BS!O57</f>
        <v>30584.002055000001</v>
      </c>
      <c r="I14" s="2057">
        <f>G14/F14-1</f>
        <v>-0.5330180805331628</v>
      </c>
    </row>
    <row r="15" spans="2:9" ht="16.5" customHeight="1" x14ac:dyDescent="0.3">
      <c r="B15" s="1576" t="s">
        <v>3731</v>
      </c>
      <c r="C15" s="1575">
        <f>C13-C14</f>
        <v>3670.1756429999987</v>
      </c>
      <c r="D15" s="1575">
        <f t="shared" ref="D15:G15" si="4">D13-D14</f>
        <v>9067.7058639999959</v>
      </c>
      <c r="E15" s="1575">
        <f t="shared" si="4"/>
        <v>7251.2594050000043</v>
      </c>
      <c r="F15" s="1575">
        <f t="shared" si="4"/>
        <v>5394.8450349999985</v>
      </c>
      <c r="G15" s="1575">
        <f t="shared" si="4"/>
        <v>6700.8435060000011</v>
      </c>
    </row>
    <row r="16" spans="2:9" ht="16.5" customHeight="1" x14ac:dyDescent="0.3">
      <c r="B16" s="1574" t="s">
        <v>3732</v>
      </c>
      <c r="C16" s="1575">
        <f>BS!K68</f>
        <v>298.6885299999999</v>
      </c>
      <c r="D16" s="1575">
        <f>BS!L68</f>
        <v>662.36245800000052</v>
      </c>
      <c r="E16" s="1575">
        <f>BS!M68</f>
        <v>1123.3465759999999</v>
      </c>
      <c r="F16" s="1575">
        <f>BS!N68</f>
        <v>655.87108799999987</v>
      </c>
      <c r="G16" s="1575">
        <f>BS!O68</f>
        <v>547.08760900000016</v>
      </c>
    </row>
    <row r="17" spans="2:15" ht="16.5" customHeight="1" x14ac:dyDescent="0.3">
      <c r="B17" s="1572" t="s">
        <v>1721</v>
      </c>
      <c r="C17" s="1573">
        <f>BS!K77</f>
        <v>20054.810451999998</v>
      </c>
      <c r="D17" s="1573">
        <f>BS!L77</f>
        <v>25255.857995999999</v>
      </c>
      <c r="E17" s="1573">
        <f>BS!M77</f>
        <v>30704.077051</v>
      </c>
      <c r="F17" s="1573">
        <f>BS!N77</f>
        <v>36130.879430000001</v>
      </c>
      <c r="G17" s="1573">
        <f>BS!O77</f>
        <v>41343.829371</v>
      </c>
      <c r="I17" s="2057">
        <f>G17/F17-1</f>
        <v>0.14427963069926308</v>
      </c>
    </row>
    <row r="18" spans="2:15" ht="16.5" customHeight="1" x14ac:dyDescent="0.3">
      <c r="B18" s="1576" t="s">
        <v>3733</v>
      </c>
      <c r="C18" s="1575">
        <f>BS!K73</f>
        <v>3000</v>
      </c>
      <c r="D18" s="1575">
        <f>BS!L73</f>
        <v>3000</v>
      </c>
      <c r="E18" s="1575">
        <f>BS!M73</f>
        <v>3000</v>
      </c>
      <c r="F18" s="1575">
        <f>BS!N73</f>
        <v>3000</v>
      </c>
      <c r="G18" s="1575">
        <f>BS!O73</f>
        <v>4500</v>
      </c>
    </row>
    <row r="19" spans="2:15" ht="16.5" customHeight="1" x14ac:dyDescent="0.3">
      <c r="B19" s="1576" t="s">
        <v>3734</v>
      </c>
      <c r="C19" s="1575">
        <f>C17-C18</f>
        <v>17054.810451999998</v>
      </c>
      <c r="D19" s="1575">
        <f t="shared" ref="D19:G19" si="5">D17-D18</f>
        <v>22255.857995999999</v>
      </c>
      <c r="E19" s="1575">
        <f t="shared" si="5"/>
        <v>27704.077051</v>
      </c>
      <c r="F19" s="1575">
        <f t="shared" si="5"/>
        <v>33130.879430000001</v>
      </c>
      <c r="G19" s="1575">
        <f t="shared" si="5"/>
        <v>36843.829371</v>
      </c>
    </row>
    <row r="20" spans="2:15" ht="16.5" customHeight="1" x14ac:dyDescent="0.3">
      <c r="B20" s="1572" t="s">
        <v>3735</v>
      </c>
      <c r="C20" s="1577">
        <f>C12/C17</f>
        <v>1.0376600637441915</v>
      </c>
      <c r="D20" s="1577">
        <f t="shared" ref="D20:G20" si="6">D12/D17</f>
        <v>1.9282450352988594</v>
      </c>
      <c r="E20" s="1577">
        <f t="shared" si="6"/>
        <v>1.5565067695934374</v>
      </c>
      <c r="F20" s="1577">
        <f t="shared" si="6"/>
        <v>1.9801239638688748</v>
      </c>
      <c r="G20" s="1577">
        <f t="shared" si="6"/>
        <v>0.91505633961755461</v>
      </c>
    </row>
    <row r="21" spans="2:15" s="1579" customFormat="1" ht="11.25" x14ac:dyDescent="0.3"/>
    <row r="22" spans="2:15" s="1579" customFormat="1" ht="11.25" x14ac:dyDescent="0.3">
      <c r="B22" s="1579" t="s">
        <v>3737</v>
      </c>
      <c r="C22" s="1580">
        <f>C4/C13</f>
        <v>1.8081350943968395</v>
      </c>
      <c r="D22" s="1580">
        <f t="shared" ref="D22:G22" si="7">D4/D13</f>
        <v>1.4497338774959689</v>
      </c>
      <c r="E22" s="1580">
        <f t="shared" si="7"/>
        <v>1.4340930423913159</v>
      </c>
      <c r="F22" s="1580">
        <f t="shared" si="7"/>
        <v>1.3410196935511505</v>
      </c>
      <c r="G22" s="1580">
        <f t="shared" si="7"/>
        <v>1.7492410431014473</v>
      </c>
    </row>
    <row r="23" spans="2:15" s="1579" customFormat="1" ht="11.25" x14ac:dyDescent="0.3">
      <c r="B23" s="1579" t="s">
        <v>3748</v>
      </c>
      <c r="C23" s="1580">
        <f>C17/C3</f>
        <v>0.49075899252915822</v>
      </c>
      <c r="D23" s="1580">
        <f t="shared" ref="D23:G23" si="8">D17/D3</f>
        <v>0.34150147543849213</v>
      </c>
      <c r="E23" s="1580">
        <f t="shared" si="8"/>
        <v>0.39115875298817643</v>
      </c>
      <c r="F23" s="1580">
        <f t="shared" si="8"/>
        <v>0.33555651111297197</v>
      </c>
      <c r="G23" s="1580">
        <f t="shared" si="8"/>
        <v>0.52217784892934505</v>
      </c>
    </row>
    <row r="24" spans="2:15" s="1579" customFormat="1" ht="11.25" x14ac:dyDescent="0.3"/>
    <row r="25" spans="2:15" s="1579" customFormat="1" ht="11.25" x14ac:dyDescent="0.3"/>
    <row r="26" spans="2:15" s="1579" customFormat="1" x14ac:dyDescent="0.3">
      <c r="B26" s="1578" t="s">
        <v>3747</v>
      </c>
    </row>
    <row r="27" spans="2:15" s="1579" customFormat="1" ht="12.75" x14ac:dyDescent="0.3">
      <c r="B27" s="1570" t="s">
        <v>3719</v>
      </c>
      <c r="C27" s="1571">
        <v>2011</v>
      </c>
      <c r="D27" s="1571">
        <v>2012</v>
      </c>
      <c r="E27" s="1571">
        <v>2013</v>
      </c>
      <c r="F27" s="1571">
        <v>2014</v>
      </c>
      <c r="G27" s="1571" t="s">
        <v>3738</v>
      </c>
      <c r="N27" s="1579">
        <v>2014</v>
      </c>
      <c r="O27" s="1579">
        <v>2015</v>
      </c>
    </row>
    <row r="28" spans="2:15" s="1579" customFormat="1" ht="11.25" x14ac:dyDescent="0.3">
      <c r="B28" s="1572" t="s">
        <v>1869</v>
      </c>
      <c r="C28" s="1573">
        <f>SUM(C29:C31)</f>
        <v>120090.945248</v>
      </c>
      <c r="D28" s="1573">
        <f t="shared" ref="D28:G28" si="9">SUM(D29:D31)</f>
        <v>182279.26657199999</v>
      </c>
      <c r="E28" s="1573">
        <f t="shared" si="9"/>
        <v>211683.36859699999</v>
      </c>
      <c r="F28" s="1573">
        <f t="shared" si="9"/>
        <v>251810.747072</v>
      </c>
      <c r="G28" s="1573">
        <f t="shared" si="9"/>
        <v>214888.123487</v>
      </c>
      <c r="I28" s="1579" t="s">
        <v>3749</v>
      </c>
      <c r="K28" s="1579">
        <v>2014</v>
      </c>
      <c r="L28" s="1579">
        <v>2015</v>
      </c>
      <c r="N28" s="1586">
        <f>F36-E36</f>
        <v>474.5870789999899</v>
      </c>
      <c r="O28" s="1586">
        <f>G36-F36</f>
        <v>3310.3441800000146</v>
      </c>
    </row>
    <row r="29" spans="2:15" s="1579" customFormat="1" ht="11.25" x14ac:dyDescent="0.3">
      <c r="B29" s="1581" t="s">
        <v>3739</v>
      </c>
      <c r="C29" s="1575">
        <f>IS!K9</f>
        <v>31656.878968000001</v>
      </c>
      <c r="D29" s="1575">
        <f>IS!L9</f>
        <v>52687.668978000002</v>
      </c>
      <c r="E29" s="1575">
        <f>IS!M9</f>
        <v>60245.229018999999</v>
      </c>
      <c r="F29" s="1575">
        <f>IS!N9</f>
        <v>90980.180334999997</v>
      </c>
      <c r="G29" s="1575">
        <f>IS!O9</f>
        <v>76214.068413000001</v>
      </c>
      <c r="I29" s="2219">
        <f>RATE(4,0,-C28,G28)</f>
        <v>0.15657962581696985</v>
      </c>
      <c r="J29" s="1586"/>
      <c r="K29" s="1586">
        <f t="shared" ref="K29:L31" si="10">F29-E29</f>
        <v>30734.951315999999</v>
      </c>
      <c r="L29" s="1586">
        <f t="shared" si="10"/>
        <v>-14766.111921999996</v>
      </c>
      <c r="N29" s="1586">
        <f>-(F38-E38)</f>
        <v>-222.88905399999931</v>
      </c>
      <c r="O29" s="1586">
        <f>-(G38-F38)</f>
        <v>-3047.7157349999998</v>
      </c>
    </row>
    <row r="30" spans="2:15" s="1579" customFormat="1" ht="11.25" x14ac:dyDescent="0.3">
      <c r="B30" s="1581" t="s">
        <v>3740</v>
      </c>
      <c r="C30" s="1575">
        <f>IS!K10</f>
        <v>54615.106054999997</v>
      </c>
      <c r="D30" s="1575">
        <f>IS!L10</f>
        <v>56695.629685</v>
      </c>
      <c r="E30" s="1575">
        <f>IS!M10</f>
        <v>79663.359314999994</v>
      </c>
      <c r="F30" s="1575">
        <f>IS!N10</f>
        <v>91593.798192000002</v>
      </c>
      <c r="G30" s="1575">
        <f>IS!O10</f>
        <v>95362.060356999995</v>
      </c>
      <c r="K30" s="1586">
        <f t="shared" si="10"/>
        <v>11930.438877000008</v>
      </c>
      <c r="L30" s="1586">
        <f t="shared" si="10"/>
        <v>3768.2621649999928</v>
      </c>
    </row>
    <row r="31" spans="2:15" s="1579" customFormat="1" ht="11.25" x14ac:dyDescent="0.3">
      <c r="B31" s="1576" t="s">
        <v>3741</v>
      </c>
      <c r="C31" s="1575">
        <f>IS!K8</f>
        <v>33818.960225000003</v>
      </c>
      <c r="D31" s="1575">
        <f>IS!L8</f>
        <v>72895.967908999999</v>
      </c>
      <c r="E31" s="1575">
        <f>IS!M8</f>
        <v>71774.780262999993</v>
      </c>
      <c r="F31" s="1575">
        <f>IS!N8</f>
        <v>69236.768544999999</v>
      </c>
      <c r="G31" s="1575">
        <f>IS!O8</f>
        <v>43311.994717000001</v>
      </c>
      <c r="K31" s="1586">
        <f t="shared" si="10"/>
        <v>-2538.0117179999943</v>
      </c>
      <c r="L31" s="1586">
        <f t="shared" si="10"/>
        <v>-25924.773827999998</v>
      </c>
    </row>
    <row r="32" spans="2:15" s="1579" customFormat="1" ht="11.25" x14ac:dyDescent="0.3">
      <c r="B32" s="1572" t="s">
        <v>1870</v>
      </c>
      <c r="C32" s="1573">
        <f>SUM(C33:C35)</f>
        <v>106369.49906500001</v>
      </c>
      <c r="D32" s="1573">
        <f t="shared" ref="D32" si="11">SUM(D33:D35)</f>
        <v>165640.95678199999</v>
      </c>
      <c r="E32" s="1573">
        <f t="shared" ref="E32" si="12">SUM(E33:E35)</f>
        <v>194029.19071599998</v>
      </c>
      <c r="F32" s="1573">
        <f t="shared" ref="F32" si="13">SUM(F33:F35)</f>
        <v>233681.982112</v>
      </c>
      <c r="G32" s="1573">
        <f t="shared" ref="G32" si="14">SUM(G33:G35)</f>
        <v>193449.01434699999</v>
      </c>
    </row>
    <row r="33" spans="2:9" s="1579" customFormat="1" ht="11.25" x14ac:dyDescent="0.3">
      <c r="B33" s="1581" t="s">
        <v>3742</v>
      </c>
      <c r="C33" s="1575">
        <f>IS!K16</f>
        <v>29493.783500000001</v>
      </c>
      <c r="D33" s="1575">
        <f>IS!L16</f>
        <v>49020.706045999999</v>
      </c>
      <c r="E33" s="1575">
        <f>IS!M16</f>
        <v>56234.131071999996</v>
      </c>
      <c r="F33" s="1575">
        <f>IS!N16</f>
        <v>86626.579138000001</v>
      </c>
      <c r="G33" s="1575">
        <f>IS!O16</f>
        <v>71978.982562000005</v>
      </c>
    </row>
    <row r="34" spans="2:9" s="1579" customFormat="1" ht="11.25" x14ac:dyDescent="0.3">
      <c r="B34" s="1581" t="s">
        <v>3743</v>
      </c>
      <c r="C34" s="1575">
        <f>IS!K17</f>
        <v>44778.265658999997</v>
      </c>
      <c r="D34" s="1575">
        <f>IS!L17</f>
        <v>46807.634802</v>
      </c>
      <c r="E34" s="1575">
        <f>IS!M17</f>
        <v>67927.545557999998</v>
      </c>
      <c r="F34" s="1575">
        <f>IS!N17</f>
        <v>79827.859213000003</v>
      </c>
      <c r="G34" s="1575">
        <f>IS!O17</f>
        <v>80067.323843999999</v>
      </c>
    </row>
    <row r="35" spans="2:9" s="1579" customFormat="1" ht="11.25" x14ac:dyDescent="0.3">
      <c r="B35" s="1576" t="s">
        <v>3744</v>
      </c>
      <c r="C35" s="1575">
        <f>IS!K12</f>
        <v>32097.449906000002</v>
      </c>
      <c r="D35" s="1575">
        <f>IS!L12</f>
        <v>69812.615934000001</v>
      </c>
      <c r="E35" s="1575">
        <f>IS!M12</f>
        <v>69867.514085999996</v>
      </c>
      <c r="F35" s="1575">
        <f>IS!N12</f>
        <v>67227.543760999994</v>
      </c>
      <c r="G35" s="1575">
        <f>IS!O12</f>
        <v>41402.707941000001</v>
      </c>
    </row>
    <row r="36" spans="2:9" s="1579" customFormat="1" ht="11.25" x14ac:dyDescent="0.3">
      <c r="B36" s="1572" t="s">
        <v>1871</v>
      </c>
      <c r="C36" s="1573">
        <f>C28-C32</f>
        <v>13721.446182999993</v>
      </c>
      <c r="D36" s="1573">
        <f t="shared" ref="D36:G36" si="15">D28-D32</f>
        <v>16638.309789999999</v>
      </c>
      <c r="E36" s="1573">
        <f t="shared" si="15"/>
        <v>17654.177881000011</v>
      </c>
      <c r="F36" s="1573">
        <f t="shared" si="15"/>
        <v>18128.76496</v>
      </c>
      <c r="G36" s="1573">
        <f t="shared" si="15"/>
        <v>21439.109140000015</v>
      </c>
    </row>
    <row r="37" spans="2:9" s="1579" customFormat="1" ht="11.25" x14ac:dyDescent="0.3">
      <c r="B37" s="1582" t="s">
        <v>3745</v>
      </c>
      <c r="C37" s="1585">
        <f>C36/C$28</f>
        <v>0.11425879074116548</v>
      </c>
      <c r="D37" s="1585">
        <f t="shared" ref="D37:G37" si="16">D36/D$28</f>
        <v>9.1279222826079864E-2</v>
      </c>
      <c r="E37" s="1585">
        <f t="shared" si="16"/>
        <v>8.3398984048717595E-2</v>
      </c>
      <c r="F37" s="1585">
        <f t="shared" si="16"/>
        <v>7.1993610959013049E-2</v>
      </c>
      <c r="G37" s="1585">
        <f t="shared" si="16"/>
        <v>9.9768701927805736E-2</v>
      </c>
    </row>
    <row r="38" spans="2:9" s="1579" customFormat="1" ht="11.25" x14ac:dyDescent="0.3">
      <c r="B38" s="1583" t="s">
        <v>128</v>
      </c>
      <c r="C38" s="1575">
        <f>IS!K19</f>
        <v>7198.3636839999999</v>
      </c>
      <c r="D38" s="1575">
        <f>IS!L19</f>
        <v>7996.3668680000001</v>
      </c>
      <c r="E38" s="1575">
        <f>IS!M19</f>
        <v>8441.2134150000002</v>
      </c>
      <c r="F38" s="1575">
        <f>IS!N19</f>
        <v>8664.1024689999995</v>
      </c>
      <c r="G38" s="1575">
        <f>IS!O19</f>
        <v>11711.818203999999</v>
      </c>
    </row>
    <row r="39" spans="2:9" s="1579" customFormat="1" ht="11.25" x14ac:dyDescent="0.3">
      <c r="B39" s="1572" t="s">
        <v>2293</v>
      </c>
      <c r="C39" s="1573">
        <f>C36-C38</f>
        <v>6523.0824989999928</v>
      </c>
      <c r="D39" s="1573">
        <f t="shared" ref="D39:G39" si="17">D36-D38</f>
        <v>8641.9429219999984</v>
      </c>
      <c r="E39" s="1573">
        <f t="shared" si="17"/>
        <v>9212.9644660000104</v>
      </c>
      <c r="F39" s="1573">
        <f t="shared" si="17"/>
        <v>9464.662491000001</v>
      </c>
      <c r="G39" s="1573">
        <f t="shared" si="17"/>
        <v>9727.2909360000158</v>
      </c>
    </row>
    <row r="40" spans="2:9" s="1579" customFormat="1" ht="11.25" x14ac:dyDescent="0.3">
      <c r="B40" s="1582" t="s">
        <v>3745</v>
      </c>
      <c r="C40" s="1585">
        <f>C39/C$28</f>
        <v>5.4317854568711778E-2</v>
      </c>
      <c r="D40" s="1585">
        <f t="shared" ref="D40" si="18">D39/D$28</f>
        <v>4.7410454762755183E-2</v>
      </c>
      <c r="E40" s="1585">
        <f t="shared" ref="E40" si="19">E39/E$28</f>
        <v>4.3522382164748762E-2</v>
      </c>
      <c r="F40" s="1585">
        <f t="shared" ref="F40" si="20">F39/F$28</f>
        <v>3.7586412021937174E-2</v>
      </c>
      <c r="G40" s="1585">
        <f t="shared" ref="G40" si="21">G39/G$28</f>
        <v>4.5266768484710992E-2</v>
      </c>
      <c r="I40" s="2219">
        <f>RATE(4,0,-C39,G39)</f>
        <v>0.10505720002987164</v>
      </c>
    </row>
    <row r="41" spans="2:9" s="1579" customFormat="1" ht="11.25" x14ac:dyDescent="0.3">
      <c r="B41" s="1583" t="s">
        <v>3746</v>
      </c>
      <c r="C41" s="1575">
        <f>IS!K46-IS!K55</f>
        <v>592.61037199999987</v>
      </c>
      <c r="D41" s="1575">
        <f>IS!L46-IS!L55</f>
        <v>336.04025499999989</v>
      </c>
      <c r="E41" s="1575">
        <f>IS!M46-IS!M55</f>
        <v>370.97191399999997</v>
      </c>
      <c r="F41" s="1575">
        <f>IS!N46-IS!N55</f>
        <v>282.18502799999999</v>
      </c>
      <c r="G41" s="1575">
        <f>IS!O46-IS!O55</f>
        <v>64.615320000000054</v>
      </c>
    </row>
    <row r="42" spans="2:9" s="1579" customFormat="1" ht="11.25" x14ac:dyDescent="0.3">
      <c r="B42" s="1572" t="s">
        <v>1872</v>
      </c>
      <c r="C42" s="1573">
        <f>C39+C41</f>
        <v>7115.6928709999929</v>
      </c>
      <c r="D42" s="1573">
        <f t="shared" ref="D42:G42" si="22">D39+D41</f>
        <v>8977.9831769999982</v>
      </c>
      <c r="E42" s="1573">
        <f t="shared" si="22"/>
        <v>9583.9363800000101</v>
      </c>
      <c r="F42" s="1573">
        <f t="shared" si="22"/>
        <v>9746.8475190000008</v>
      </c>
      <c r="G42" s="1573">
        <f t="shared" si="22"/>
        <v>9791.9062560000166</v>
      </c>
    </row>
    <row r="43" spans="2:9" s="1579" customFormat="1" ht="11.25" x14ac:dyDescent="0.3">
      <c r="B43" s="1572" t="s">
        <v>2307</v>
      </c>
      <c r="C43" s="1573">
        <f>IS!K66</f>
        <v>5437.5515009999999</v>
      </c>
      <c r="D43" s="1573">
        <f>IS!L66</f>
        <v>7001.047544</v>
      </c>
      <c r="E43" s="1573">
        <f>IS!M66</f>
        <v>7452.2190549999996</v>
      </c>
      <c r="F43" s="1573">
        <f>IS!N66</f>
        <v>7430.8023789999997</v>
      </c>
      <c r="G43" s="1573">
        <f>IS!O66</f>
        <v>7612.9499409999999</v>
      </c>
    </row>
    <row r="44" spans="2:9" s="1579" customFormat="1" ht="11.25" x14ac:dyDescent="0.3">
      <c r="B44" s="1582" t="s">
        <v>3745</v>
      </c>
      <c r="C44" s="1585">
        <f>C43/C$28</f>
        <v>4.527861355217834E-2</v>
      </c>
      <c r="D44" s="1585">
        <f t="shared" ref="D44" si="23">D43/D$28</f>
        <v>3.8408359193362225E-2</v>
      </c>
      <c r="E44" s="1585">
        <f t="shared" ref="E44" si="24">E43/E$28</f>
        <v>3.5204556240728747E-2</v>
      </c>
      <c r="F44" s="1585">
        <f t="shared" ref="F44" si="25">F43/F$28</f>
        <v>2.9509472750483195E-2</v>
      </c>
      <c r="G44" s="1585">
        <f t="shared" ref="G44" si="26">G43/G$28</f>
        <v>3.5427504403055372E-2</v>
      </c>
      <c r="I44" s="2219">
        <f>RATE(4,0,-C43,G43)</f>
        <v>8.7770803022446761E-2</v>
      </c>
    </row>
    <row r="45" spans="2:9" s="1579" customFormat="1" ht="11.25" x14ac:dyDescent="0.3">
      <c r="B45" s="1584" t="s">
        <v>100</v>
      </c>
      <c r="C45" s="1573">
        <f>IS!K68</f>
        <v>7122.6644589999996</v>
      </c>
      <c r="D45" s="1573">
        <f>IS!L68</f>
        <v>9196.9071029999996</v>
      </c>
      <c r="E45" s="1573">
        <f>IS!M68</f>
        <v>9924.7568059999994</v>
      </c>
      <c r="F45" s="1573">
        <f>IS!N68</f>
        <v>10205.784815999999</v>
      </c>
      <c r="G45" s="1573">
        <f>IS!O68</f>
        <v>10451.111575000001</v>
      </c>
    </row>
    <row r="46" spans="2:9" s="1579" customFormat="1" ht="11.25" x14ac:dyDescent="0.3">
      <c r="B46" s="1582" t="s">
        <v>3745</v>
      </c>
      <c r="C46" s="1585">
        <f>C45/C$28</f>
        <v>5.9310587024616834E-2</v>
      </c>
      <c r="D46" s="1585">
        <f t="shared" ref="D46" si="27">D45/D$28</f>
        <v>5.0455036801276776E-2</v>
      </c>
      <c r="E46" s="1585">
        <f t="shared" ref="E46" si="28">E45/E$28</f>
        <v>4.6884915294855403E-2</v>
      </c>
      <c r="F46" s="1585">
        <f t="shared" ref="F46" si="29">F45/F$28</f>
        <v>4.0529583962045389E-2</v>
      </c>
      <c r="G46" s="1585">
        <f t="shared" ref="G46" si="30">G45/G$28</f>
        <v>4.8635128854072091E-2</v>
      </c>
    </row>
    <row r="47" spans="2:9" s="1579" customFormat="1" ht="11.25" x14ac:dyDescent="0.3"/>
    <row r="48" spans="2:9" s="1579" customFormat="1" ht="11.25" x14ac:dyDescent="0.3"/>
    <row r="49" spans="2:10" s="1579" customFormat="1" x14ac:dyDescent="0.3">
      <c r="B49" s="1578" t="s">
        <v>3750</v>
      </c>
    </row>
    <row r="50" spans="2:10" s="1579" customFormat="1" ht="12.75" x14ac:dyDescent="0.3">
      <c r="B50" s="1570" t="s">
        <v>3719</v>
      </c>
      <c r="C50" s="1571">
        <v>2011</v>
      </c>
      <c r="D50" s="1571">
        <v>2012</v>
      </c>
      <c r="E50" s="1571">
        <v>2013</v>
      </c>
      <c r="F50" s="1571">
        <v>2014</v>
      </c>
      <c r="G50" s="1571" t="s">
        <v>3738</v>
      </c>
    </row>
    <row r="51" spans="2:10" s="1579" customFormat="1" ht="11.25" x14ac:dyDescent="0.3">
      <c r="B51" s="1583" t="s">
        <v>3751</v>
      </c>
      <c r="C51" s="1575">
        <f>WC!D18-BS!K59</f>
        <v>3544.452294000002</v>
      </c>
      <c r="D51" s="1575">
        <f>WC!E18-BS!L59</f>
        <v>10610.771795000001</v>
      </c>
      <c r="E51" s="1575">
        <f>WC!F18-BS!M59</f>
        <v>5536.2227110000031</v>
      </c>
      <c r="F51" s="1575">
        <f>WC!G18-BS!N59</f>
        <v>5575.9939809999887</v>
      </c>
      <c r="G51" s="1575">
        <f>WC!H18-BS!O59</f>
        <v>15829.087597000002</v>
      </c>
    </row>
    <row r="52" spans="2:10" s="1579" customFormat="1" ht="11.25" x14ac:dyDescent="0.3">
      <c r="B52" s="1583" t="s">
        <v>3752</v>
      </c>
      <c r="C52" s="1575">
        <f>BS!K9+BS!K10+BS!K30+BS!K35</f>
        <v>15294.811363000001</v>
      </c>
      <c r="D52" s="1575">
        <f>BS!L9+BS!L10+BS!L30+BS!L35</f>
        <v>16603.586218</v>
      </c>
      <c r="E52" s="1575">
        <f>BS!M9+BS!M10+BS!M30+BS!M35</f>
        <v>18164.289218999998</v>
      </c>
      <c r="F52" s="1575">
        <f>BS!N9+BS!N10+BS!N30+BS!N35+$I$52</f>
        <v>22518.392191999999</v>
      </c>
      <c r="G52" s="1575">
        <f>BS!O9+BS!O10+BS!O30+BS!O35+$I$52+'NOA&amp;IBD'!D13</f>
        <v>16984.526610000001</v>
      </c>
      <c r="I52" s="1579">
        <v>500</v>
      </c>
      <c r="J52" s="1579" t="s">
        <v>3756</v>
      </c>
    </row>
    <row r="53" spans="2:10" s="1579" customFormat="1" ht="11.25" x14ac:dyDescent="0.3">
      <c r="B53" s="1583" t="s">
        <v>3753</v>
      </c>
      <c r="C53" s="1575">
        <f>BS!K36+BS!K50</f>
        <v>1756.4823389999997</v>
      </c>
      <c r="D53" s="1575">
        <f>BS!L36+BS!L50</f>
        <v>1798.0509909999996</v>
      </c>
      <c r="E53" s="1575">
        <f>BS!M36+BS!M50</f>
        <v>8776.5645120000008</v>
      </c>
      <c r="F53" s="1575">
        <f>BS!N36+BS!N50</f>
        <v>9155.1144289999993</v>
      </c>
      <c r="G53" s="1575">
        <f>BS!O36+BS!O50</f>
        <v>9937.6549230000001</v>
      </c>
    </row>
    <row r="54" spans="2:10" s="1579" customFormat="1" ht="11.25" x14ac:dyDescent="0.3">
      <c r="B54" s="1583" t="s">
        <v>3754</v>
      </c>
      <c r="C54" s="1575">
        <f>C55-SUM(C51:C53)</f>
        <v>-540.93554400000357</v>
      </c>
      <c r="D54" s="1575">
        <f t="shared" ref="D54:G54" si="31">D55-SUM(D51:D53)</f>
        <v>-3756.5510080000022</v>
      </c>
      <c r="E54" s="1575">
        <f t="shared" si="31"/>
        <v>-1772.9993910000012</v>
      </c>
      <c r="F54" s="1575">
        <f t="shared" si="31"/>
        <v>-1118.6211719999847</v>
      </c>
      <c r="G54" s="1575">
        <f t="shared" si="31"/>
        <v>-1407.4397590000081</v>
      </c>
    </row>
    <row r="55" spans="2:10" s="1579" customFormat="1" ht="11.25" x14ac:dyDescent="0.3">
      <c r="B55" s="1583" t="s">
        <v>3755</v>
      </c>
      <c r="C55" s="1575">
        <f>BS!K77</f>
        <v>20054.810451999998</v>
      </c>
      <c r="D55" s="1575">
        <f>BS!L77</f>
        <v>25255.857995999999</v>
      </c>
      <c r="E55" s="1575">
        <f>BS!M77</f>
        <v>30704.077051</v>
      </c>
      <c r="F55" s="1575">
        <f>BS!N77</f>
        <v>36130.879430000001</v>
      </c>
      <c r="G55" s="1575">
        <f>BS!O77</f>
        <v>41343.829371</v>
      </c>
    </row>
    <row r="56" spans="2:10" s="1579" customFormat="1" x14ac:dyDescent="0.3">
      <c r="B56" s="1039"/>
      <c r="C56" s="1039"/>
      <c r="D56" s="1039"/>
      <c r="E56" s="1039"/>
      <c r="F56" s="1039"/>
      <c r="G56" s="1039"/>
    </row>
    <row r="57" spans="2:10" s="1579" customFormat="1" x14ac:dyDescent="0.3">
      <c r="B57" s="1578" t="s">
        <v>3764</v>
      </c>
      <c r="C57" s="1039"/>
      <c r="D57" s="1039"/>
      <c r="E57" s="1039"/>
      <c r="F57" s="1039"/>
      <c r="G57" s="1039"/>
    </row>
    <row r="58" spans="2:10" s="1579" customFormat="1" ht="12.75" x14ac:dyDescent="0.3">
      <c r="B58" s="1570" t="s">
        <v>3719</v>
      </c>
      <c r="C58" s="1571">
        <v>2011</v>
      </c>
      <c r="D58" s="1571">
        <v>2012</v>
      </c>
      <c r="E58" s="1571">
        <v>2013</v>
      </c>
      <c r="F58" s="1571">
        <v>2014</v>
      </c>
      <c r="G58" s="1571" t="s">
        <v>3738</v>
      </c>
    </row>
    <row r="59" spans="2:10" s="1579" customFormat="1" ht="11.25" x14ac:dyDescent="0.3">
      <c r="B59" s="1583" t="s">
        <v>3765</v>
      </c>
      <c r="C59" s="1575">
        <f>BS!K11</f>
        <v>21031.333290000002</v>
      </c>
      <c r="D59" s="1575">
        <f>BS!L11</f>
        <v>50905.102564000001</v>
      </c>
      <c r="E59" s="1575">
        <f>BS!M11</f>
        <v>44334.764403000001</v>
      </c>
      <c r="F59" s="1575">
        <f>BS!N11</f>
        <v>71278.666539999991</v>
      </c>
      <c r="G59" s="1575">
        <f>BS!O11</f>
        <v>48654.174305</v>
      </c>
    </row>
    <row r="60" spans="2:10" s="1579" customFormat="1" ht="11.25" x14ac:dyDescent="0.3">
      <c r="B60" s="1583" t="s">
        <v>3724</v>
      </c>
      <c r="C60" s="1575">
        <f>BS!K19</f>
        <v>628.93000600000005</v>
      </c>
      <c r="D60" s="1575">
        <f>BS!L19</f>
        <v>2359.7330120000001</v>
      </c>
      <c r="E60" s="1575">
        <f>BS!M19</f>
        <v>4021.8156169999997</v>
      </c>
      <c r="F60" s="1575">
        <f>BS!N19</f>
        <v>2399.9775060000002</v>
      </c>
      <c r="G60" s="1575">
        <f>BS!O19</f>
        <v>473.22097200000007</v>
      </c>
    </row>
    <row r="61" spans="2:10" s="1579" customFormat="1" ht="11.25" x14ac:dyDescent="0.3">
      <c r="B61" s="1583" t="s">
        <v>3730</v>
      </c>
      <c r="C61" s="1575">
        <f>BS!K57</f>
        <v>16841.211718999999</v>
      </c>
      <c r="D61" s="1575">
        <f>BS!L57</f>
        <v>38969.414470999996</v>
      </c>
      <c r="E61" s="1575">
        <f>BS!M57</f>
        <v>39416.497802999998</v>
      </c>
      <c r="F61" s="1575">
        <f>BS!N57</f>
        <v>65492.904071999998</v>
      </c>
      <c r="G61" s="1575">
        <f>BS!O57</f>
        <v>30584.002055000001</v>
      </c>
    </row>
    <row r="62" spans="2:10" s="1579" customFormat="1" ht="11.25" x14ac:dyDescent="0.3">
      <c r="B62" s="1583" t="s">
        <v>1965</v>
      </c>
      <c r="C62" s="1575">
        <f>BS!K59</f>
        <v>1274.599283</v>
      </c>
      <c r="D62" s="1575">
        <f>BS!L59</f>
        <v>3684.6493099999998</v>
      </c>
      <c r="E62" s="1575">
        <f>BS!M59</f>
        <v>3403.8595059999998</v>
      </c>
      <c r="F62" s="1575">
        <f>BS!N59</f>
        <v>2609.745993</v>
      </c>
      <c r="G62" s="1575">
        <f>BS!O59</f>
        <v>2714.305625</v>
      </c>
    </row>
    <row r="63" spans="2:10" s="1579" customFormat="1" ht="11.25" x14ac:dyDescent="0.3">
      <c r="B63" s="1583" t="s">
        <v>126</v>
      </c>
      <c r="C63" s="1575">
        <f>C59+C60-C61-C62</f>
        <v>3544.452294000002</v>
      </c>
      <c r="D63" s="1575">
        <f t="shared" ref="D63:G63" si="32">D59+D60-D61-D62</f>
        <v>10610.771795000001</v>
      </c>
      <c r="E63" s="1575">
        <f t="shared" si="32"/>
        <v>5536.2227110000031</v>
      </c>
      <c r="F63" s="1575">
        <f t="shared" si="32"/>
        <v>5575.9939809999887</v>
      </c>
      <c r="G63" s="1575">
        <f t="shared" si="32"/>
        <v>15829.087597000002</v>
      </c>
    </row>
    <row r="65" spans="2:11" x14ac:dyDescent="0.3">
      <c r="B65" s="1578" t="s">
        <v>3758</v>
      </c>
    </row>
    <row r="66" spans="2:11" x14ac:dyDescent="0.3">
      <c r="B66" s="1570" t="s">
        <v>3719</v>
      </c>
      <c r="C66" s="1571">
        <v>2011</v>
      </c>
      <c r="D66" s="1571">
        <v>2012</v>
      </c>
      <c r="E66" s="1571">
        <v>2013</v>
      </c>
      <c r="F66" s="1571">
        <v>2014</v>
      </c>
      <c r="G66" s="1571" t="s">
        <v>3738</v>
      </c>
    </row>
    <row r="67" spans="2:11" s="1579" customFormat="1" ht="11.25" x14ac:dyDescent="0.3">
      <c r="B67" s="1583" t="s">
        <v>3759</v>
      </c>
      <c r="C67" s="1575">
        <f>C39</f>
        <v>6523.0824989999928</v>
      </c>
      <c r="D67" s="1575">
        <f t="shared" ref="D67:G67" si="33">D39</f>
        <v>8641.9429219999984</v>
      </c>
      <c r="E67" s="1575">
        <f t="shared" si="33"/>
        <v>9212.9644660000104</v>
      </c>
      <c r="F67" s="1575">
        <f t="shared" si="33"/>
        <v>9464.662491000001</v>
      </c>
      <c r="G67" s="1575">
        <f t="shared" si="33"/>
        <v>9727.2909360000158</v>
      </c>
    </row>
    <row r="68" spans="2:11" s="1579" customFormat="1" ht="11.25" x14ac:dyDescent="0.3">
      <c r="B68" s="1583" t="s">
        <v>3760</v>
      </c>
      <c r="C68" s="1575">
        <f>C38</f>
        <v>7198.3636839999999</v>
      </c>
      <c r="D68" s="1575">
        <f t="shared" ref="D68:G68" si="34">D38</f>
        <v>7996.3668680000001</v>
      </c>
      <c r="E68" s="1575">
        <f t="shared" si="34"/>
        <v>8441.2134150000002</v>
      </c>
      <c r="F68" s="1575">
        <f t="shared" si="34"/>
        <v>8664.1024689999995</v>
      </c>
      <c r="G68" s="1575">
        <f t="shared" si="34"/>
        <v>11711.818203999999</v>
      </c>
      <c r="I68" s="1579" t="s">
        <v>3749</v>
      </c>
      <c r="J68" s="1579">
        <v>2014</v>
      </c>
      <c r="K68" s="1579">
        <v>2015</v>
      </c>
    </row>
    <row r="69" spans="2:11" s="1579" customFormat="1" ht="11.25" x14ac:dyDescent="0.3">
      <c r="B69" s="1583" t="s">
        <v>2020</v>
      </c>
      <c r="C69" s="1575">
        <f>IS!K20+IS!K21+IS!K22</f>
        <v>3402.2775259999999</v>
      </c>
      <c r="D69" s="1575">
        <f>IS!L20+IS!L21+IS!L22</f>
        <v>3776.4058049999999</v>
      </c>
      <c r="E69" s="1575">
        <f>IS!M20+IS!M21+IS!M22</f>
        <v>3820.8092439999996</v>
      </c>
      <c r="F69" s="1575">
        <f>IS!N20+IS!N21+IS!N22</f>
        <v>3427.9072389999997</v>
      </c>
      <c r="G69" s="1575">
        <f>IS!O20+IS!O21+IS!O22</f>
        <v>3858.0640470000003</v>
      </c>
      <c r="J69" s="1592">
        <f>F69-E69</f>
        <v>-392.90200499999992</v>
      </c>
      <c r="K69" s="1592">
        <f>G69-F69</f>
        <v>430.15680800000064</v>
      </c>
    </row>
    <row r="70" spans="2:11" s="1579" customFormat="1" ht="11.25" x14ac:dyDescent="0.3">
      <c r="B70" s="1583" t="s">
        <v>1787</v>
      </c>
      <c r="C70" s="1575">
        <f>IS!K23</f>
        <v>325.77004199999999</v>
      </c>
      <c r="D70" s="1575">
        <f>IS!L23</f>
        <v>369.82198799999998</v>
      </c>
      <c r="E70" s="1575">
        <f>IS!M23</f>
        <v>438.70860299999998</v>
      </c>
      <c r="F70" s="1575">
        <f>IS!N23</f>
        <v>402.26271600000001</v>
      </c>
      <c r="G70" s="1575">
        <f>IS!O23</f>
        <v>794.94475199999999</v>
      </c>
      <c r="J70" s="1586">
        <f t="shared" ref="J70:J91" si="35">F70-E70</f>
        <v>-36.445886999999971</v>
      </c>
      <c r="K70" s="1586">
        <f t="shared" ref="K70:K91" si="36">G70-F70</f>
        <v>392.68203599999998</v>
      </c>
    </row>
    <row r="71" spans="2:11" s="1579" customFormat="1" ht="11.25" x14ac:dyDescent="0.3">
      <c r="B71" s="1583" t="s">
        <v>2021</v>
      </c>
      <c r="C71" s="1575">
        <f>IS!K24</f>
        <v>609.26911800000005</v>
      </c>
      <c r="D71" s="1575">
        <f>IS!L24</f>
        <v>612.01453000000004</v>
      </c>
      <c r="E71" s="1575">
        <f>IS!M24</f>
        <v>562.54928800000005</v>
      </c>
      <c r="F71" s="1575">
        <f>IS!N24</f>
        <v>647.93761400000005</v>
      </c>
      <c r="G71" s="1575">
        <f>IS!O24</f>
        <v>624.47689100000002</v>
      </c>
      <c r="J71" s="1586">
        <f t="shared" si="35"/>
        <v>85.388326000000006</v>
      </c>
      <c r="K71" s="1586">
        <f t="shared" si="36"/>
        <v>-23.46072300000003</v>
      </c>
    </row>
    <row r="72" spans="2:11" s="1579" customFormat="1" ht="11.25" x14ac:dyDescent="0.3">
      <c r="B72" s="1583" t="s">
        <v>3761</v>
      </c>
      <c r="C72" s="1575">
        <f>IS!K25</f>
        <v>571.45627300000001</v>
      </c>
      <c r="D72" s="1575">
        <f>IS!L25</f>
        <v>598.68979999999999</v>
      </c>
      <c r="E72" s="1575">
        <f>IS!M25</f>
        <v>692.177818</v>
      </c>
      <c r="F72" s="1575">
        <f>IS!N25</f>
        <v>677.70822399999997</v>
      </c>
      <c r="G72" s="1575">
        <f>IS!O25</f>
        <v>672.10346400000003</v>
      </c>
      <c r="J72" s="1586">
        <f t="shared" si="35"/>
        <v>-14.469594000000029</v>
      </c>
      <c r="K72" s="1586">
        <f t="shared" si="36"/>
        <v>-5.604759999999942</v>
      </c>
    </row>
    <row r="73" spans="2:11" s="1579" customFormat="1" ht="11.25" x14ac:dyDescent="0.3">
      <c r="B73" s="1583" t="s">
        <v>3762</v>
      </c>
      <c r="C73" s="1575">
        <f>IS!K26</f>
        <v>76.838881999999998</v>
      </c>
      <c r="D73" s="1575">
        <f>IS!L26</f>
        <v>42.847974000000001</v>
      </c>
      <c r="E73" s="1575">
        <f>IS!M26</f>
        <v>65.240137000000004</v>
      </c>
      <c r="F73" s="1575">
        <f>IS!N26</f>
        <v>70.333850999999996</v>
      </c>
      <c r="G73" s="1575">
        <f>IS!O26</f>
        <v>71.079569000000006</v>
      </c>
      <c r="J73" s="1586">
        <f t="shared" si="35"/>
        <v>5.0937139999999914</v>
      </c>
      <c r="K73" s="1586">
        <f t="shared" si="36"/>
        <v>0.74571800000001076</v>
      </c>
    </row>
    <row r="74" spans="2:11" s="1579" customFormat="1" ht="11.25" x14ac:dyDescent="0.3">
      <c r="B74" s="1583" t="s">
        <v>1788</v>
      </c>
      <c r="C74" s="1575">
        <f>IS!K27</f>
        <v>271.81789700000002</v>
      </c>
      <c r="D74" s="1575">
        <f>IS!L27</f>
        <v>262.10296</v>
      </c>
      <c r="E74" s="1575">
        <f>IS!M27</f>
        <v>384.81116900000001</v>
      </c>
      <c r="F74" s="1575">
        <f>IS!N27</f>
        <v>391.21589999999998</v>
      </c>
      <c r="G74" s="1575">
        <f>IS!O27</f>
        <v>456.47530899999998</v>
      </c>
      <c r="J74" s="1586">
        <f t="shared" si="35"/>
        <v>6.4047309999999698</v>
      </c>
      <c r="K74" s="1586">
        <f t="shared" si="36"/>
        <v>65.259409000000005</v>
      </c>
    </row>
    <row r="75" spans="2:11" s="1579" customFormat="1" ht="11.25" x14ac:dyDescent="0.3">
      <c r="B75" s="1583" t="s">
        <v>2031</v>
      </c>
      <c r="C75" s="1575">
        <f>IS!K28</f>
        <v>175.05071100000001</v>
      </c>
      <c r="D75" s="1575">
        <f>IS!L28</f>
        <v>243.05073300000001</v>
      </c>
      <c r="E75" s="1575">
        <f>IS!M28</f>
        <v>202.623729</v>
      </c>
      <c r="F75" s="1575">
        <f>IS!N28</f>
        <v>258.94081</v>
      </c>
      <c r="G75" s="1575">
        <f>IS!O28</f>
        <v>359.56050900000002</v>
      </c>
      <c r="J75" s="1586">
        <f t="shared" si="35"/>
        <v>56.317081000000002</v>
      </c>
      <c r="K75" s="1586">
        <f t="shared" si="36"/>
        <v>100.61969900000003</v>
      </c>
    </row>
    <row r="76" spans="2:11" s="1579" customFormat="1" ht="11.25" x14ac:dyDescent="0.3">
      <c r="B76" s="1583" t="s">
        <v>3763</v>
      </c>
      <c r="C76" s="1575">
        <f>IS!K29</f>
        <v>257.3843</v>
      </c>
      <c r="D76" s="1575">
        <f>IS!L29</f>
        <v>371.55853300000001</v>
      </c>
      <c r="E76" s="1575">
        <f>IS!M29</f>
        <v>454.360704</v>
      </c>
      <c r="F76" s="1575">
        <f>IS!N29</f>
        <v>509.71275700000001</v>
      </c>
      <c r="G76" s="1575">
        <f>IS!O29</f>
        <v>437.29700000000003</v>
      </c>
      <c r="J76" s="1586">
        <f t="shared" si="35"/>
        <v>55.352053000000012</v>
      </c>
      <c r="K76" s="1586">
        <f t="shared" si="36"/>
        <v>-72.415756999999985</v>
      </c>
    </row>
    <row r="77" spans="2:11" s="1579" customFormat="1" ht="11.25" x14ac:dyDescent="0.3">
      <c r="B77" s="1583" t="s">
        <v>1789</v>
      </c>
      <c r="C77" s="1575">
        <f>IS!K30</f>
        <v>22.048407999999998</v>
      </c>
      <c r="D77" s="1575">
        <f>IS!L30</f>
        <v>394.405055</v>
      </c>
      <c r="E77" s="1575">
        <f>IS!M30</f>
        <v>259.73537599999997</v>
      </c>
      <c r="F77" s="1575">
        <f>IS!N30</f>
        <v>448.81382200000002</v>
      </c>
      <c r="G77" s="1575">
        <f>IS!O30</f>
        <v>2537.5734689999999</v>
      </c>
      <c r="J77" s="1592">
        <f t="shared" si="35"/>
        <v>189.07844600000004</v>
      </c>
      <c r="K77" s="1586">
        <f t="shared" si="36"/>
        <v>2088.7596469999999</v>
      </c>
    </row>
    <row r="78" spans="2:11" s="1579" customFormat="1" ht="11.25" x14ac:dyDescent="0.3">
      <c r="B78" s="1583" t="s">
        <v>2032</v>
      </c>
      <c r="C78" s="1575">
        <f>IS!K31</f>
        <v>66.029358999999999</v>
      </c>
      <c r="D78" s="1575">
        <f>IS!L31</f>
        <v>101.439272</v>
      </c>
      <c r="E78" s="1575">
        <f>IS!M31</f>
        <v>122.52878800000001</v>
      </c>
      <c r="F78" s="1575">
        <f>IS!N31</f>
        <v>113.170205</v>
      </c>
      <c r="G78" s="1575">
        <f>IS!O31</f>
        <v>124.761017</v>
      </c>
      <c r="J78" s="1586">
        <f t="shared" si="35"/>
        <v>-9.3585830000000101</v>
      </c>
      <c r="K78" s="1586">
        <f t="shared" si="36"/>
        <v>11.590812</v>
      </c>
    </row>
    <row r="79" spans="2:11" s="1579" customFormat="1" ht="11.25" x14ac:dyDescent="0.3">
      <c r="B79" s="1583" t="s">
        <v>2033</v>
      </c>
      <c r="C79" s="1575">
        <f>IS!K32</f>
        <v>294.69728700000002</v>
      </c>
      <c r="D79" s="1575">
        <f>IS!L32</f>
        <v>148.49386200000001</v>
      </c>
      <c r="E79" s="1575">
        <f>IS!M32</f>
        <v>157.74476200000001</v>
      </c>
      <c r="F79" s="1575">
        <f>IS!N32</f>
        <v>83.142655000000005</v>
      </c>
      <c r="G79" s="1575">
        <f>IS!O32</f>
        <v>52.484068000000001</v>
      </c>
      <c r="J79" s="1586">
        <f t="shared" si="35"/>
        <v>-74.602107000000004</v>
      </c>
      <c r="K79" s="1586">
        <f t="shared" si="36"/>
        <v>-30.658587000000004</v>
      </c>
    </row>
    <row r="80" spans="2:11" s="1579" customFormat="1" ht="11.25" x14ac:dyDescent="0.3">
      <c r="B80" s="1583" t="s">
        <v>2034</v>
      </c>
      <c r="C80" s="1575">
        <f>IS!K33</f>
        <v>68.909325999999993</v>
      </c>
      <c r="D80" s="1575">
        <f>IS!L33</f>
        <v>61.012652000000003</v>
      </c>
      <c r="E80" s="1575">
        <f>IS!M33</f>
        <v>51.392932000000002</v>
      </c>
      <c r="F80" s="1575">
        <f>IS!N33</f>
        <v>68.484012000000007</v>
      </c>
      <c r="G80" s="1575">
        <f>IS!O33</f>
        <v>104.108496</v>
      </c>
      <c r="J80" s="1586">
        <f t="shared" si="35"/>
        <v>17.091080000000005</v>
      </c>
      <c r="K80" s="1586">
        <f t="shared" si="36"/>
        <v>35.624483999999995</v>
      </c>
    </row>
    <row r="81" spans="2:11" s="1579" customFormat="1" ht="11.25" x14ac:dyDescent="0.3">
      <c r="B81" s="1583" t="s">
        <v>2035</v>
      </c>
      <c r="C81" s="1575">
        <f>IS!K34</f>
        <v>5.27691</v>
      </c>
      <c r="D81" s="1575">
        <f>IS!L34</f>
        <v>7.8383580000000004</v>
      </c>
      <c r="E81" s="1575">
        <f>IS!M34</f>
        <v>6.9787499999999998</v>
      </c>
      <c r="F81" s="1575">
        <f>IS!N34</f>
        <v>8.9112899999999993</v>
      </c>
      <c r="G81" s="1575">
        <f>IS!O34</f>
        <v>7.4897099999999996</v>
      </c>
      <c r="J81" s="1586">
        <f t="shared" si="35"/>
        <v>1.9325399999999995</v>
      </c>
      <c r="K81" s="1586">
        <f t="shared" si="36"/>
        <v>-1.4215799999999996</v>
      </c>
    </row>
    <row r="82" spans="2:11" s="1579" customFormat="1" ht="11.25" x14ac:dyDescent="0.3">
      <c r="B82" s="1583" t="s">
        <v>2036</v>
      </c>
      <c r="C82" s="1575">
        <f>IS!K35</f>
        <v>387.16005999999999</v>
      </c>
      <c r="D82" s="1575">
        <f>IS!L35</f>
        <v>476.74425500000001</v>
      </c>
      <c r="E82" s="1575">
        <f>IS!M35</f>
        <v>572.09436700000003</v>
      </c>
      <c r="F82" s="1575">
        <f>IS!N35</f>
        <v>823.09897100000001</v>
      </c>
      <c r="G82" s="1575">
        <f>IS!O35</f>
        <v>814.18699800000002</v>
      </c>
      <c r="J82" s="1592">
        <f t="shared" si="35"/>
        <v>251.00460399999997</v>
      </c>
      <c r="K82" s="1592">
        <f t="shared" si="36"/>
        <v>-8.911972999999989</v>
      </c>
    </row>
    <row r="83" spans="2:11" s="1579" customFormat="1" ht="11.25" x14ac:dyDescent="0.3">
      <c r="B83" s="1583" t="s">
        <v>2037</v>
      </c>
      <c r="C83" s="1575">
        <f>IS!K36</f>
        <v>119.295597</v>
      </c>
      <c r="D83" s="1575">
        <f>IS!L36</f>
        <v>54.966966999999997</v>
      </c>
      <c r="E83" s="1575">
        <f>IS!M36</f>
        <v>40.220956999999999</v>
      </c>
      <c r="F83" s="1575">
        <f>IS!N36</f>
        <v>52.089793999999998</v>
      </c>
      <c r="G83" s="1575">
        <f>IS!O36</f>
        <v>93.845882000000003</v>
      </c>
      <c r="J83" s="1586">
        <f t="shared" si="35"/>
        <v>11.868836999999999</v>
      </c>
      <c r="K83" s="1592">
        <f t="shared" si="36"/>
        <v>41.756088000000005</v>
      </c>
    </row>
    <row r="84" spans="2:11" s="1579" customFormat="1" ht="11.25" x14ac:dyDescent="0.3">
      <c r="B84" s="1583" t="s">
        <v>2038</v>
      </c>
      <c r="C84" s="1575">
        <f>IS!K37</f>
        <v>40.953180000000003</v>
      </c>
      <c r="D84" s="1575">
        <f>IS!L37</f>
        <v>2.7064900000000001</v>
      </c>
      <c r="E84" s="1575">
        <f>IS!M37</f>
        <v>2.6925759999999999</v>
      </c>
      <c r="F84" s="1575">
        <f>IS!N37</f>
        <v>4.7504999999999997</v>
      </c>
      <c r="G84" s="1575">
        <f>IS!O37</f>
        <v>5.09476</v>
      </c>
      <c r="J84" s="1586">
        <f t="shared" si="35"/>
        <v>2.0579239999999999</v>
      </c>
      <c r="K84" s="1586">
        <f t="shared" si="36"/>
        <v>0.34426000000000023</v>
      </c>
    </row>
    <row r="85" spans="2:11" s="1579" customFormat="1" ht="11.25" x14ac:dyDescent="0.3">
      <c r="B85" s="1583" t="s">
        <v>2039</v>
      </c>
      <c r="C85" s="1575">
        <f>IS!K38</f>
        <v>70.063489000000004</v>
      </c>
      <c r="D85" s="1575">
        <f>IS!L38</f>
        <v>90.152743999999998</v>
      </c>
      <c r="E85" s="1575">
        <f>IS!M38</f>
        <v>112.407391</v>
      </c>
      <c r="F85" s="1575">
        <f>IS!N38</f>
        <v>177.452853</v>
      </c>
      <c r="G85" s="1575">
        <f>IS!O38</f>
        <v>333.77764100000002</v>
      </c>
      <c r="J85" s="1586">
        <f t="shared" si="35"/>
        <v>65.045462000000001</v>
      </c>
      <c r="K85" s="1586">
        <f t="shared" si="36"/>
        <v>156.32478800000001</v>
      </c>
    </row>
    <row r="86" spans="2:11" s="1579" customFormat="1" ht="11.25" x14ac:dyDescent="0.3">
      <c r="B86" s="1583" t="s">
        <v>1790</v>
      </c>
      <c r="C86" s="1575">
        <f>IS!K39</f>
        <v>270.72784100000001</v>
      </c>
      <c r="D86" s="1575">
        <f>IS!L39</f>
        <v>93.916347000000002</v>
      </c>
      <c r="E86" s="1575">
        <f>IS!M39</f>
        <v>97.830174999999997</v>
      </c>
      <c r="F86" s="1575">
        <f>IS!N39</f>
        <v>95.235932000000005</v>
      </c>
      <c r="G86" s="1575">
        <f>IS!O39</f>
        <v>59.143082999999997</v>
      </c>
      <c r="J86" s="1586">
        <f t="shared" si="35"/>
        <v>-2.5942429999999916</v>
      </c>
      <c r="K86" s="1586">
        <f t="shared" si="36"/>
        <v>-36.092849000000008</v>
      </c>
    </row>
    <row r="87" spans="2:11" s="1579" customFormat="1" ht="11.25" x14ac:dyDescent="0.3">
      <c r="B87" s="1583" t="s">
        <v>2040</v>
      </c>
      <c r="C87" s="1575">
        <f>IS!K40</f>
        <v>139.95263399999999</v>
      </c>
      <c r="D87" s="1575">
        <f>IS!L40</f>
        <v>236.48546400000001</v>
      </c>
      <c r="E87" s="1575">
        <f>IS!M40</f>
        <v>368.81184100000002</v>
      </c>
      <c r="F87" s="1575">
        <f>IS!N40</f>
        <v>357.97965499999998</v>
      </c>
      <c r="G87" s="1575">
        <f>IS!O40</f>
        <v>253.039603</v>
      </c>
      <c r="J87" s="1586">
        <f t="shared" si="35"/>
        <v>-10.832186000000036</v>
      </c>
      <c r="K87" s="1586">
        <f t="shared" si="36"/>
        <v>-104.94005199999998</v>
      </c>
    </row>
    <row r="88" spans="2:11" s="1579" customFormat="1" ht="11.25" x14ac:dyDescent="0.3">
      <c r="B88" s="1583" t="s">
        <v>2041</v>
      </c>
      <c r="C88" s="1575">
        <f>IS!K41</f>
        <v>7.4390450000000001</v>
      </c>
      <c r="D88" s="1575">
        <f>IS!L41</f>
        <v>8.9260300000000008</v>
      </c>
      <c r="E88" s="1575">
        <f>IS!M41</f>
        <v>7.4432879999999999</v>
      </c>
      <c r="F88" s="1575">
        <f>IS!N41</f>
        <v>4.5379639999999997</v>
      </c>
      <c r="G88" s="1575">
        <f>IS!O41</f>
        <v>7.234877</v>
      </c>
      <c r="J88" s="1586">
        <f t="shared" si="35"/>
        <v>-2.9053240000000002</v>
      </c>
      <c r="K88" s="1586">
        <f t="shared" si="36"/>
        <v>2.6969130000000003</v>
      </c>
    </row>
    <row r="89" spans="2:11" s="1579" customFormat="1" ht="11.25" x14ac:dyDescent="0.3">
      <c r="B89" s="1583" t="s">
        <v>2042</v>
      </c>
      <c r="C89" s="1575">
        <f>IS!K42</f>
        <v>10.646129</v>
      </c>
      <c r="D89" s="1575">
        <f>IS!L42</f>
        <v>8.5666259999999994</v>
      </c>
      <c r="E89" s="1575">
        <f>IS!M42</f>
        <v>8.8105879999999992</v>
      </c>
      <c r="F89" s="1575">
        <f>IS!N42</f>
        <v>9.2542139999999993</v>
      </c>
      <c r="G89" s="1575">
        <f>IS!O42</f>
        <v>9.6379940000000008</v>
      </c>
      <c r="J89" s="1586">
        <f t="shared" si="35"/>
        <v>0.44362600000000008</v>
      </c>
      <c r="K89" s="1586">
        <f t="shared" si="36"/>
        <v>0.38378000000000156</v>
      </c>
    </row>
    <row r="90" spans="2:11" s="1579" customFormat="1" ht="11.25" x14ac:dyDescent="0.3">
      <c r="B90" s="1583" t="s">
        <v>2043</v>
      </c>
      <c r="C90" s="1575">
        <f>IS!K43</f>
        <v>1.85</v>
      </c>
      <c r="D90" s="1575">
        <f>IS!L43</f>
        <v>23.578980000000001</v>
      </c>
      <c r="E90" s="1575">
        <f>IS!M43</f>
        <v>5.2278399999999996</v>
      </c>
      <c r="F90" s="1575">
        <f>IS!N43</f>
        <v>0</v>
      </c>
      <c r="G90" s="1575">
        <f>IS!O43</f>
        <v>0</v>
      </c>
      <c r="J90" s="1586">
        <f t="shared" si="35"/>
        <v>-5.2278399999999996</v>
      </c>
      <c r="K90" s="1586">
        <f t="shared" si="36"/>
        <v>0</v>
      </c>
    </row>
    <row r="91" spans="2:11" s="1579" customFormat="1" ht="11.25" x14ac:dyDescent="0.3">
      <c r="B91" s="1583" t="s">
        <v>2044</v>
      </c>
      <c r="C91" s="1575">
        <f>IS!K44</f>
        <v>3.4496699999999998</v>
      </c>
      <c r="D91" s="1575">
        <f>IS!L44</f>
        <v>10.641443000000001</v>
      </c>
      <c r="E91" s="1575">
        <f>IS!M44</f>
        <v>6.0130920000000003</v>
      </c>
      <c r="F91" s="1575">
        <f>IS!N44</f>
        <v>31.161491000000002</v>
      </c>
      <c r="G91" s="1575">
        <f>IS!O44</f>
        <v>35.439064999999999</v>
      </c>
      <c r="J91" s="1586">
        <f t="shared" si="35"/>
        <v>25.148399000000001</v>
      </c>
      <c r="K91" s="1586">
        <f t="shared" si="36"/>
        <v>4.2775739999999978</v>
      </c>
    </row>
  </sheetData>
  <phoneticPr fontId="1" type="noConversion"/>
  <pageMargins left="0.7" right="0.7" top="0.75" bottom="0.75" header="0.3" footer="0.3"/>
  <ignoredErrors>
    <ignoredError sqref="C28:G28 C32:G32" formulaRange="1"/>
    <ignoredError sqref="C45:G45" formula="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tabColor rgb="FF000000"/>
  </sheetPr>
  <dimension ref="A1"/>
  <sheetViews>
    <sheetView showGridLines="0" workbookViewId="0">
      <selection activeCell="H23" sqref="H23"/>
    </sheetView>
  </sheetViews>
  <sheetFormatPr defaultRowHeight="16.5" x14ac:dyDescent="0.3"/>
  <cols>
    <col min="1" max="1" width="1.625" style="142" customWidth="1"/>
    <col min="2" max="16384" width="9" style="142"/>
  </cols>
  <sheetData/>
  <phoneticPr fontId="1"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theme="4" tint="0.39997558519241921"/>
  </sheetPr>
  <dimension ref="B2:K36"/>
  <sheetViews>
    <sheetView showGridLines="0" workbookViewId="0">
      <selection activeCell="B6" sqref="B6"/>
    </sheetView>
  </sheetViews>
  <sheetFormatPr defaultRowHeight="12" x14ac:dyDescent="0.3"/>
  <cols>
    <col min="1" max="1" width="1.75" style="339" customWidth="1"/>
    <col min="2" max="3" width="9" style="339"/>
    <col min="4" max="4" width="9.625" style="339" bestFit="1" customWidth="1"/>
    <col min="5" max="8" width="10.125" style="339" customWidth="1"/>
    <col min="9" max="9" width="10.75" style="339" customWidth="1"/>
    <col min="10" max="11" width="10.125" style="339" customWidth="1"/>
    <col min="12" max="16384" width="9" style="339"/>
  </cols>
  <sheetData>
    <row r="2" spans="2:11" x14ac:dyDescent="0.3">
      <c r="B2" s="410" t="s">
        <v>1224</v>
      </c>
      <c r="C2" s="411"/>
      <c r="D2" s="411"/>
      <c r="E2" s="412"/>
      <c r="F2" s="412"/>
      <c r="G2" s="412"/>
      <c r="H2" s="412"/>
      <c r="I2" s="412"/>
      <c r="J2" s="412"/>
      <c r="K2" s="412"/>
    </row>
    <row r="3" spans="2:11" ht="5.25" customHeight="1" x14ac:dyDescent="0.3">
      <c r="B3" s="400"/>
      <c r="C3" s="400"/>
      <c r="D3" s="400"/>
      <c r="E3" s="400"/>
      <c r="F3" s="400"/>
      <c r="G3" s="400"/>
      <c r="H3" s="400"/>
      <c r="I3" s="400"/>
      <c r="J3" s="400"/>
      <c r="K3" s="400"/>
    </row>
    <row r="4" spans="2:11" ht="12" customHeight="1" x14ac:dyDescent="0.3">
      <c r="B4" s="2177" t="s">
        <v>1049</v>
      </c>
      <c r="C4" s="2178"/>
      <c r="D4" s="2178"/>
      <c r="E4" s="2184" t="s">
        <v>1169</v>
      </c>
      <c r="F4" s="2184" t="s">
        <v>1170</v>
      </c>
      <c r="G4" s="2184" t="s">
        <v>1168</v>
      </c>
      <c r="H4" s="2184" t="s">
        <v>1150</v>
      </c>
      <c r="I4" s="2184" t="s">
        <v>1056</v>
      </c>
      <c r="J4" s="2184" t="s">
        <v>1171</v>
      </c>
      <c r="K4" s="2186" t="s">
        <v>1172</v>
      </c>
    </row>
    <row r="5" spans="2:11" ht="12" customHeight="1" x14ac:dyDescent="0.3">
      <c r="B5" s="2179"/>
      <c r="C5" s="2180"/>
      <c r="D5" s="2180"/>
      <c r="E5" s="2188"/>
      <c r="F5" s="2188"/>
      <c r="G5" s="2188"/>
      <c r="H5" s="2188"/>
      <c r="I5" s="2188"/>
      <c r="J5" s="2188"/>
      <c r="K5" s="2187"/>
    </row>
    <row r="6" spans="2:11" ht="12" customHeight="1" x14ac:dyDescent="0.3">
      <c r="B6" s="694"/>
      <c r="C6" s="184"/>
      <c r="D6" s="184"/>
      <c r="E6" s="413"/>
      <c r="F6" s="413"/>
      <c r="G6" s="413"/>
      <c r="H6" s="249"/>
      <c r="I6" s="249"/>
      <c r="J6" s="249"/>
      <c r="K6" s="695"/>
    </row>
    <row r="7" spans="2:11" ht="12" customHeight="1" x14ac:dyDescent="0.3">
      <c r="B7" s="694"/>
      <c r="C7" s="184"/>
      <c r="D7" s="184"/>
      <c r="E7" s="413"/>
      <c r="F7" s="413"/>
      <c r="G7" s="413"/>
      <c r="H7" s="249"/>
      <c r="I7" s="249"/>
      <c r="J7" s="249"/>
      <c r="K7" s="695"/>
    </row>
    <row r="8" spans="2:11" ht="12" customHeight="1" x14ac:dyDescent="0.3">
      <c r="B8" s="694"/>
      <c r="C8" s="184"/>
      <c r="D8" s="184"/>
      <c r="E8" s="413"/>
      <c r="F8" s="413"/>
      <c r="G8" s="413"/>
      <c r="H8" s="249"/>
      <c r="I8" s="249"/>
      <c r="J8" s="249"/>
      <c r="K8" s="695"/>
    </row>
    <row r="9" spans="2:11" ht="12" customHeight="1" x14ac:dyDescent="0.3">
      <c r="B9" s="694"/>
      <c r="C9" s="184"/>
      <c r="D9" s="184"/>
      <c r="E9" s="413"/>
      <c r="F9" s="413"/>
      <c r="G9" s="413"/>
      <c r="H9" s="249"/>
      <c r="I9" s="249"/>
      <c r="J9" s="249"/>
      <c r="K9" s="695"/>
    </row>
    <row r="10" spans="2:11" ht="12" customHeight="1" x14ac:dyDescent="0.3">
      <c r="B10" s="694"/>
      <c r="C10" s="184"/>
      <c r="D10" s="184"/>
      <c r="E10" s="413"/>
      <c r="F10" s="413"/>
      <c r="G10" s="413"/>
      <c r="H10" s="249"/>
      <c r="I10" s="249"/>
      <c r="J10" s="249"/>
      <c r="K10" s="695"/>
    </row>
    <row r="11" spans="2:11" ht="12" customHeight="1" x14ac:dyDescent="0.3">
      <c r="B11" s="694"/>
      <c r="C11" s="184"/>
      <c r="D11" s="184"/>
      <c r="E11" s="413"/>
      <c r="F11" s="413"/>
      <c r="G11" s="413"/>
      <c r="H11" s="249"/>
      <c r="I11" s="249"/>
      <c r="J11" s="249"/>
      <c r="K11" s="695"/>
    </row>
    <row r="12" spans="2:11" ht="12" customHeight="1" x14ac:dyDescent="0.3">
      <c r="B12" s="694"/>
      <c r="C12" s="184"/>
      <c r="D12" s="184"/>
      <c r="E12" s="413"/>
      <c r="F12" s="413"/>
      <c r="G12" s="413"/>
      <c r="H12" s="249"/>
      <c r="I12" s="249"/>
      <c r="J12" s="249"/>
      <c r="K12" s="695"/>
    </row>
    <row r="13" spans="2:11" ht="12" customHeight="1" x14ac:dyDescent="0.3">
      <c r="B13" s="694"/>
      <c r="C13" s="184"/>
      <c r="D13" s="184"/>
      <c r="E13" s="413"/>
      <c r="F13" s="413"/>
      <c r="G13" s="413"/>
      <c r="H13" s="249"/>
      <c r="I13" s="249"/>
      <c r="J13" s="249"/>
      <c r="K13" s="695"/>
    </row>
    <row r="14" spans="2:11" ht="12" customHeight="1" x14ac:dyDescent="0.3">
      <c r="B14" s="694"/>
      <c r="C14" s="184"/>
      <c r="D14" s="184"/>
      <c r="E14" s="413"/>
      <c r="F14" s="413"/>
      <c r="G14" s="413"/>
      <c r="H14" s="249"/>
      <c r="I14" s="249"/>
      <c r="J14" s="249"/>
      <c r="K14" s="695"/>
    </row>
    <row r="15" spans="2:11" ht="12" customHeight="1" x14ac:dyDescent="0.3">
      <c r="B15" s="698" t="s">
        <v>1222</v>
      </c>
      <c r="C15" s="699"/>
      <c r="D15" s="699"/>
      <c r="E15" s="700"/>
      <c r="F15" s="700"/>
      <c r="G15" s="700"/>
      <c r="H15" s="700"/>
      <c r="I15" s="701"/>
      <c r="J15" s="700"/>
      <c r="K15" s="702"/>
    </row>
    <row r="16" spans="2:11" ht="12" customHeight="1" x14ac:dyDescent="0.3">
      <c r="B16" s="696" t="s">
        <v>1050</v>
      </c>
      <c r="C16" s="692"/>
      <c r="D16" s="692"/>
      <c r="E16" s="693">
        <f t="shared" ref="E16:K16" si="0">MAX(E6:E14)</f>
        <v>0</v>
      </c>
      <c r="F16" s="693">
        <f t="shared" si="0"/>
        <v>0</v>
      </c>
      <c r="G16" s="693">
        <f t="shared" si="0"/>
        <v>0</v>
      </c>
      <c r="H16" s="290">
        <f t="shared" si="0"/>
        <v>0</v>
      </c>
      <c r="I16" s="290">
        <f t="shared" si="0"/>
        <v>0</v>
      </c>
      <c r="J16" s="693">
        <f t="shared" si="0"/>
        <v>0</v>
      </c>
      <c r="K16" s="697">
        <f t="shared" si="0"/>
        <v>0</v>
      </c>
    </row>
    <row r="17" spans="2:11" ht="12" customHeight="1" x14ac:dyDescent="0.3">
      <c r="B17" s="716" t="s">
        <v>1051</v>
      </c>
      <c r="C17" s="717"/>
      <c r="D17" s="717"/>
      <c r="E17" s="718" t="e">
        <f t="shared" ref="E17:K17" si="1">AVERAGE(E6:E14)</f>
        <v>#DIV/0!</v>
      </c>
      <c r="F17" s="718" t="e">
        <f t="shared" si="1"/>
        <v>#DIV/0!</v>
      </c>
      <c r="G17" s="718" t="e">
        <f t="shared" si="1"/>
        <v>#DIV/0!</v>
      </c>
      <c r="H17" s="719" t="e">
        <f t="shared" si="1"/>
        <v>#DIV/0!</v>
      </c>
      <c r="I17" s="719" t="e">
        <f t="shared" si="1"/>
        <v>#DIV/0!</v>
      </c>
      <c r="J17" s="718" t="e">
        <f t="shared" si="1"/>
        <v>#DIV/0!</v>
      </c>
      <c r="K17" s="720" t="e">
        <f t="shared" si="1"/>
        <v>#DIV/0!</v>
      </c>
    </row>
    <row r="18" spans="2:11" ht="12" customHeight="1" x14ac:dyDescent="0.3">
      <c r="B18" s="716" t="s">
        <v>1052</v>
      </c>
      <c r="C18" s="717"/>
      <c r="D18" s="717"/>
      <c r="E18" s="718" t="e">
        <f t="shared" ref="E18:K18" si="2">MEDIAN(E6:E14)</f>
        <v>#NUM!</v>
      </c>
      <c r="F18" s="718" t="e">
        <f t="shared" si="2"/>
        <v>#NUM!</v>
      </c>
      <c r="G18" s="718" t="e">
        <f t="shared" si="2"/>
        <v>#NUM!</v>
      </c>
      <c r="H18" s="719" t="e">
        <f t="shared" si="2"/>
        <v>#NUM!</v>
      </c>
      <c r="I18" s="719" t="e">
        <f t="shared" si="2"/>
        <v>#NUM!</v>
      </c>
      <c r="J18" s="718" t="e">
        <f t="shared" si="2"/>
        <v>#NUM!</v>
      </c>
      <c r="K18" s="720" t="e">
        <f t="shared" si="2"/>
        <v>#NUM!</v>
      </c>
    </row>
    <row r="19" spans="2:11" ht="12" customHeight="1" thickBot="1" x14ac:dyDescent="0.35">
      <c r="B19" s="804" t="s">
        <v>1053</v>
      </c>
      <c r="C19" s="799"/>
      <c r="D19" s="799"/>
      <c r="E19" s="805">
        <f t="shared" ref="E19:K19" si="3">MIN(E6:E14)</f>
        <v>0</v>
      </c>
      <c r="F19" s="805">
        <f t="shared" si="3"/>
        <v>0</v>
      </c>
      <c r="G19" s="805">
        <f t="shared" si="3"/>
        <v>0</v>
      </c>
      <c r="H19" s="806">
        <f t="shared" si="3"/>
        <v>0</v>
      </c>
      <c r="I19" s="806">
        <f t="shared" si="3"/>
        <v>0</v>
      </c>
      <c r="J19" s="805">
        <f t="shared" si="3"/>
        <v>0</v>
      </c>
      <c r="K19" s="807">
        <f t="shared" si="3"/>
        <v>0</v>
      </c>
    </row>
    <row r="20" spans="2:11" ht="4.5" customHeight="1" x14ac:dyDescent="0.3"/>
    <row r="21" spans="2:11" ht="12" customHeight="1" x14ac:dyDescent="0.3">
      <c r="B21" s="2177" t="s">
        <v>1049</v>
      </c>
      <c r="C21" s="2178"/>
      <c r="D21" s="2181" t="s">
        <v>1054</v>
      </c>
      <c r="E21" s="2183" t="s">
        <v>1019</v>
      </c>
      <c r="F21" s="2184"/>
      <c r="G21" s="2184"/>
      <c r="H21" s="2185"/>
      <c r="I21" s="2183" t="s">
        <v>1055</v>
      </c>
      <c r="J21" s="2184"/>
      <c r="K21" s="2186"/>
    </row>
    <row r="22" spans="2:11" ht="12" customHeight="1" x14ac:dyDescent="0.3">
      <c r="B22" s="2179"/>
      <c r="C22" s="2180"/>
      <c r="D22" s="2182"/>
      <c r="E22" s="800" t="s">
        <v>178</v>
      </c>
      <c r="F22" s="801" t="s">
        <v>1059</v>
      </c>
      <c r="G22" s="801" t="s">
        <v>100</v>
      </c>
      <c r="H22" s="802" t="s">
        <v>179</v>
      </c>
      <c r="I22" s="800" t="s">
        <v>1058</v>
      </c>
      <c r="J22" s="801" t="s">
        <v>100</v>
      </c>
      <c r="K22" s="803" t="s">
        <v>1057</v>
      </c>
    </row>
    <row r="23" spans="2:11" ht="12" customHeight="1" x14ac:dyDescent="0.3">
      <c r="B23" s="694"/>
      <c r="C23" s="703"/>
      <c r="D23" s="340"/>
      <c r="E23" s="704"/>
      <c r="F23" s="704"/>
      <c r="G23" s="704"/>
      <c r="H23" s="704"/>
      <c r="I23" s="705"/>
      <c r="J23" s="705"/>
      <c r="K23" s="706"/>
    </row>
    <row r="24" spans="2:11" ht="12" customHeight="1" x14ac:dyDescent="0.3">
      <c r="B24" s="694"/>
      <c r="C24" s="703"/>
      <c r="D24" s="340"/>
      <c r="E24" s="704"/>
      <c r="F24" s="704"/>
      <c r="G24" s="704"/>
      <c r="H24" s="704"/>
      <c r="I24" s="705"/>
      <c r="J24" s="705"/>
      <c r="K24" s="706"/>
    </row>
    <row r="25" spans="2:11" ht="12" customHeight="1" x14ac:dyDescent="0.3">
      <c r="B25" s="694"/>
      <c r="C25" s="703"/>
      <c r="D25" s="340"/>
      <c r="E25" s="704"/>
      <c r="F25" s="704"/>
      <c r="G25" s="704"/>
      <c r="H25" s="704"/>
      <c r="I25" s="705"/>
      <c r="J25" s="705"/>
      <c r="K25" s="706"/>
    </row>
    <row r="26" spans="2:11" ht="12" customHeight="1" x14ac:dyDescent="0.3">
      <c r="B26" s="694"/>
      <c r="C26" s="703"/>
      <c r="D26" s="340"/>
      <c r="E26" s="704"/>
      <c r="F26" s="704"/>
      <c r="G26" s="704"/>
      <c r="H26" s="704"/>
      <c r="I26" s="705"/>
      <c r="J26" s="705"/>
      <c r="K26" s="706"/>
    </row>
    <row r="27" spans="2:11" ht="12" customHeight="1" x14ac:dyDescent="0.3">
      <c r="B27" s="694"/>
      <c r="C27" s="703"/>
      <c r="D27" s="340"/>
      <c r="E27" s="704"/>
      <c r="F27" s="704"/>
      <c r="G27" s="704"/>
      <c r="H27" s="704"/>
      <c r="I27" s="705"/>
      <c r="J27" s="705"/>
      <c r="K27" s="706"/>
    </row>
    <row r="28" spans="2:11" ht="12" customHeight="1" x14ac:dyDescent="0.3">
      <c r="B28" s="694"/>
      <c r="C28" s="703"/>
      <c r="D28" s="340"/>
      <c r="E28" s="704"/>
      <c r="F28" s="704"/>
      <c r="G28" s="704"/>
      <c r="H28" s="704"/>
      <c r="I28" s="705"/>
      <c r="J28" s="705"/>
      <c r="K28" s="706"/>
    </row>
    <row r="29" spans="2:11" ht="12" customHeight="1" x14ac:dyDescent="0.3">
      <c r="B29" s="694"/>
      <c r="C29" s="703"/>
      <c r="D29" s="340"/>
      <c r="E29" s="704"/>
      <c r="F29" s="704"/>
      <c r="G29" s="704"/>
      <c r="H29" s="704"/>
      <c r="I29" s="705"/>
      <c r="J29" s="705"/>
      <c r="K29" s="706"/>
    </row>
    <row r="30" spans="2:11" ht="12" customHeight="1" x14ac:dyDescent="0.3">
      <c r="B30" s="694"/>
      <c r="C30" s="703"/>
      <c r="D30" s="340"/>
      <c r="E30" s="704"/>
      <c r="F30" s="704"/>
      <c r="G30" s="704"/>
      <c r="H30" s="704"/>
      <c r="I30" s="705"/>
      <c r="J30" s="705"/>
      <c r="K30" s="706"/>
    </row>
    <row r="31" spans="2:11" ht="12" customHeight="1" x14ac:dyDescent="0.3">
      <c r="B31" s="694"/>
      <c r="C31" s="703"/>
      <c r="D31" s="340"/>
      <c r="E31" s="704"/>
      <c r="F31" s="704"/>
      <c r="G31" s="704"/>
      <c r="H31" s="704"/>
      <c r="I31" s="705"/>
      <c r="J31" s="705"/>
      <c r="K31" s="706"/>
    </row>
    <row r="32" spans="2:11" ht="12" customHeight="1" x14ac:dyDescent="0.3">
      <c r="B32" s="698" t="s">
        <v>1223</v>
      </c>
      <c r="C32" s="711"/>
      <c r="D32" s="712" t="s">
        <v>92</v>
      </c>
      <c r="E32" s="713">
        <f>'Pro forma'!J6</f>
        <v>214888.123487</v>
      </c>
      <c r="F32" s="713">
        <f ca="1">'Pro forma'!J13</f>
        <v>21444.847577999986</v>
      </c>
      <c r="G32" s="713">
        <f ca="1">'Pro forma'!J29</f>
        <v>10497.707921333318</v>
      </c>
      <c r="H32" s="713">
        <f ca="1">'Pro forma'!J21</f>
        <v>9722.3267825208186</v>
      </c>
      <c r="I32" s="714">
        <f t="shared" ref="I32" ca="1" si="4">F32/$E32</f>
        <v>9.9795406232849937E-2</v>
      </c>
      <c r="J32" s="714">
        <f t="shared" ref="J32" ca="1" si="5">G32/$E32</f>
        <v>4.8851968880301536E-2</v>
      </c>
      <c r="K32" s="715">
        <f t="shared" ref="K32" ca="1" si="6">H32/$E32</f>
        <v>4.524366737796464E-2</v>
      </c>
    </row>
    <row r="33" spans="2:11" ht="12" customHeight="1" x14ac:dyDescent="0.3">
      <c r="B33" s="707" t="s">
        <v>1050</v>
      </c>
      <c r="C33" s="708"/>
      <c r="D33" s="708"/>
      <c r="E33" s="708"/>
      <c r="F33" s="708"/>
      <c r="G33" s="708"/>
      <c r="H33" s="708"/>
      <c r="I33" s="709">
        <f>MAX(I23:I31)</f>
        <v>0</v>
      </c>
      <c r="J33" s="709">
        <f>MAX(J23:J31)</f>
        <v>0</v>
      </c>
      <c r="K33" s="710">
        <f>MAX(K23:K31)</f>
        <v>0</v>
      </c>
    </row>
    <row r="34" spans="2:11" ht="12" customHeight="1" x14ac:dyDescent="0.3">
      <c r="B34" s="716" t="s">
        <v>1051</v>
      </c>
      <c r="C34" s="717"/>
      <c r="D34" s="717"/>
      <c r="E34" s="717"/>
      <c r="F34" s="717"/>
      <c r="G34" s="717"/>
      <c r="H34" s="717"/>
      <c r="I34" s="721" t="e">
        <f>AVERAGE(I23:I31)</f>
        <v>#DIV/0!</v>
      </c>
      <c r="J34" s="721" t="e">
        <f>AVERAGE(J23:J31)</f>
        <v>#DIV/0!</v>
      </c>
      <c r="K34" s="722" t="e">
        <f>AVERAGE(K23:K31)</f>
        <v>#DIV/0!</v>
      </c>
    </row>
    <row r="35" spans="2:11" ht="12" customHeight="1" x14ac:dyDescent="0.3">
      <c r="B35" s="716" t="s">
        <v>1052</v>
      </c>
      <c r="C35" s="717"/>
      <c r="D35" s="717"/>
      <c r="E35" s="717"/>
      <c r="F35" s="717"/>
      <c r="G35" s="717"/>
      <c r="H35" s="717"/>
      <c r="I35" s="721" t="e">
        <f>MEDIAN(I23:I31)</f>
        <v>#NUM!</v>
      </c>
      <c r="J35" s="721" t="e">
        <f>MEDIAN(J23:J31)</f>
        <v>#NUM!</v>
      </c>
      <c r="K35" s="722" t="e">
        <f>MEDIAN(K23:K31)</f>
        <v>#NUM!</v>
      </c>
    </row>
    <row r="36" spans="2:11" ht="12" customHeight="1" thickBot="1" x14ac:dyDescent="0.35">
      <c r="B36" s="804" t="s">
        <v>1053</v>
      </c>
      <c r="C36" s="799"/>
      <c r="D36" s="799"/>
      <c r="E36" s="799"/>
      <c r="F36" s="799"/>
      <c r="G36" s="799"/>
      <c r="H36" s="799"/>
      <c r="I36" s="808">
        <f>MIN(I23:I31)</f>
        <v>0</v>
      </c>
      <c r="J36" s="808">
        <f>MIN(J23:J31)</f>
        <v>0</v>
      </c>
      <c r="K36" s="809">
        <f>MIN(K23:K31)</f>
        <v>0</v>
      </c>
    </row>
  </sheetData>
  <mergeCells count="12">
    <mergeCell ref="B21:C22"/>
    <mergeCell ref="D21:D22"/>
    <mergeCell ref="E21:H21"/>
    <mergeCell ref="I21:K21"/>
    <mergeCell ref="K4:K5"/>
    <mergeCell ref="I4:I5"/>
    <mergeCell ref="B4:D5"/>
    <mergeCell ref="E4:E5"/>
    <mergeCell ref="F4:F5"/>
    <mergeCell ref="G4:G5"/>
    <mergeCell ref="J4:J5"/>
    <mergeCell ref="H4:H5"/>
  </mergeCells>
  <phoneticPr fontId="1" type="noConversion"/>
  <pageMargins left="0.7" right="0.7" top="0.75" bottom="0.75" header="0.3" footer="0.3"/>
  <pageSetup paperSize="9" orientation="portrait" horizont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BT157"/>
  <sheetViews>
    <sheetView topLeftCell="C1" zoomScale="70" zoomScaleNormal="70" workbookViewId="0">
      <selection activeCell="C6" sqref="C6"/>
    </sheetView>
  </sheetViews>
  <sheetFormatPr defaultRowHeight="16.5" x14ac:dyDescent="0.3"/>
  <cols>
    <col min="1" max="1" width="1.625" style="1308" customWidth="1"/>
    <col min="2" max="2" width="9" style="1308"/>
    <col min="3" max="3" width="9" style="1322"/>
    <col min="4" max="4" width="9" style="1323"/>
    <col min="5" max="5" width="25.625" style="1308" customWidth="1"/>
    <col min="6" max="6" width="17.75" style="1308" customWidth="1"/>
    <col min="7" max="9" width="17.75" style="1308" bestFit="1" customWidth="1"/>
    <col min="10" max="12" width="17.75" style="1308" customWidth="1"/>
    <col min="13" max="13" width="1.625" style="1347" customWidth="1"/>
    <col min="14" max="14" width="9" style="1308"/>
    <col min="15" max="15" width="9" style="1322"/>
    <col min="16" max="16" width="9" style="1323"/>
    <col min="17" max="17" width="82.125" style="1380" customWidth="1"/>
    <col min="18" max="18" width="17.75" style="1380" customWidth="1"/>
    <col min="19" max="22" width="16" style="1380" bestFit="1" customWidth="1"/>
    <col min="23" max="24" width="17.75" style="1380" bestFit="1" customWidth="1"/>
    <col min="25" max="25" width="1.625" style="1384" customWidth="1"/>
    <col min="26" max="26" width="9" style="1308"/>
    <col min="27" max="27" width="9" style="1323"/>
    <col min="28" max="28" width="9" style="1322" customWidth="1"/>
    <col min="29" max="29" width="48.25" style="1323" bestFit="1" customWidth="1"/>
    <col min="30" max="30" width="17.75" style="1323" customWidth="1"/>
    <col min="31" max="33" width="14.875" style="1323" bestFit="1" customWidth="1"/>
    <col min="34" max="34" width="14.125" style="1323" bestFit="1" customWidth="1"/>
    <col min="35" max="35" width="14.875" style="1039" bestFit="1" customWidth="1"/>
    <col min="36" max="36" width="14.125" style="1039" bestFit="1" customWidth="1"/>
    <col min="37" max="37" width="1.625" style="1432" customWidth="1"/>
    <col min="38" max="39" width="9" style="1039"/>
    <col min="40" max="40" width="9" style="1438"/>
    <col min="41" max="41" width="46.875" style="1039" bestFit="1" customWidth="1"/>
    <col min="42" max="42" width="17.75" style="1039" customWidth="1"/>
    <col min="43" max="43" width="13.875" style="1039" bestFit="1" customWidth="1"/>
    <col min="44" max="44" width="15" style="1039" bestFit="1" customWidth="1"/>
    <col min="45" max="45" width="13.875" style="1039" bestFit="1" customWidth="1"/>
    <col min="46" max="48" width="15" style="1039" bestFit="1" customWidth="1"/>
    <col min="49" max="49" width="1.625" style="1432" customWidth="1"/>
    <col min="50" max="51" width="9" style="1039"/>
    <col min="52" max="52" width="9" style="1438"/>
    <col min="53" max="53" width="65" style="1039" bestFit="1" customWidth="1"/>
    <col min="54" max="54" width="12.75" style="1039" customWidth="1"/>
    <col min="55" max="55" width="14" style="1039" bestFit="1" customWidth="1"/>
    <col min="56" max="56" width="14.25" style="1039" bestFit="1" customWidth="1"/>
    <col min="57" max="57" width="14" style="1039" bestFit="1" customWidth="1"/>
    <col min="58" max="60" width="14.125" style="1039" bestFit="1" customWidth="1"/>
    <col min="61" max="61" width="1.625" style="1432" customWidth="1"/>
    <col min="62" max="63" width="9" style="1039"/>
    <col min="64" max="64" width="9" style="1323"/>
    <col min="65" max="65" width="53.625" style="1039" bestFit="1" customWidth="1"/>
    <col min="66" max="66" width="13.125" style="1039" customWidth="1"/>
    <col min="67" max="72" width="13.125" style="1039" bestFit="1" customWidth="1"/>
    <col min="73" max="16384" width="9" style="1039"/>
  </cols>
  <sheetData>
    <row r="1" spans="2:72" x14ac:dyDescent="0.3">
      <c r="B1" s="1302" t="s">
        <v>2198</v>
      </c>
      <c r="C1" s="1304"/>
      <c r="D1" s="1325"/>
      <c r="N1" s="1302" t="s">
        <v>2251</v>
      </c>
      <c r="O1" s="1304"/>
      <c r="P1" s="1325"/>
      <c r="Q1" s="1367"/>
      <c r="R1" s="1367"/>
      <c r="S1" s="1367"/>
      <c r="T1" s="1367"/>
      <c r="U1" s="1367"/>
      <c r="V1" s="1367"/>
      <c r="W1" s="1367"/>
      <c r="X1" s="1367"/>
      <c r="Y1" s="1382"/>
      <c r="Z1" s="1302" t="s">
        <v>2309</v>
      </c>
      <c r="AA1" s="1304"/>
      <c r="AB1" s="1304"/>
      <c r="AC1" s="1325"/>
      <c r="AD1" s="1325"/>
      <c r="AE1" s="1325"/>
      <c r="AF1" s="1325"/>
      <c r="AG1" s="1325"/>
      <c r="AH1" s="1325"/>
      <c r="AL1" s="1302" t="s">
        <v>2330</v>
      </c>
      <c r="AM1" s="1304"/>
      <c r="AX1" s="1302" t="s">
        <v>2352</v>
      </c>
      <c r="AY1" s="1304"/>
      <c r="BJ1" s="1302" t="s">
        <v>2378</v>
      </c>
      <c r="BK1" s="1304"/>
    </row>
    <row r="2" spans="2:72" ht="17.25" thickBot="1" x14ac:dyDescent="0.35">
      <c r="B2" s="1303"/>
      <c r="C2" s="1304" t="s">
        <v>2192</v>
      </c>
      <c r="D2" s="1325"/>
      <c r="N2" s="1303"/>
      <c r="O2" s="1304" t="s">
        <v>2192</v>
      </c>
      <c r="P2" s="1325"/>
      <c r="Q2" s="1367"/>
      <c r="R2" s="1367"/>
      <c r="S2" s="1367"/>
      <c r="T2" s="1367"/>
      <c r="U2" s="1367"/>
      <c r="V2" s="1367"/>
      <c r="W2" s="1367"/>
      <c r="X2" s="1367"/>
      <c r="Y2" s="1382"/>
      <c r="Z2" s="1303"/>
      <c r="AA2" s="1304" t="s">
        <v>2192</v>
      </c>
      <c r="AB2" s="1304"/>
      <c r="AC2" s="1325"/>
      <c r="AD2" s="1325"/>
      <c r="AE2" s="1325"/>
      <c r="AF2" s="1325"/>
      <c r="AG2" s="1325"/>
      <c r="AH2" s="1325"/>
      <c r="AL2" s="1303"/>
      <c r="AM2" s="1304" t="s">
        <v>2192</v>
      </c>
      <c r="AX2" s="1303"/>
      <c r="AY2" s="1304" t="s">
        <v>2192</v>
      </c>
      <c r="BJ2" s="1303"/>
      <c r="BK2" s="1304" t="s">
        <v>2192</v>
      </c>
    </row>
    <row r="3" spans="2:72" x14ac:dyDescent="0.3">
      <c r="B3" s="1306" t="s">
        <v>2194</v>
      </c>
      <c r="C3" s="1320">
        <f>SUMIF($D:$D,$B3,$F:$F)/10^6</f>
        <v>7917776.1064510001</v>
      </c>
      <c r="D3" s="1326"/>
      <c r="N3" s="1306" t="s">
        <v>2194</v>
      </c>
      <c r="O3" s="1320">
        <f>SUMIF($P:$P,$B3,$R:$R)/10^6</f>
        <v>951600.58353099995</v>
      </c>
      <c r="P3" s="1326"/>
      <c r="Q3" s="1368"/>
      <c r="R3" s="1368"/>
      <c r="S3" s="1368"/>
      <c r="T3" s="1368"/>
      <c r="U3" s="1368"/>
      <c r="V3" s="1368"/>
      <c r="W3" s="1368"/>
      <c r="X3" s="1368"/>
      <c r="Y3" s="1383"/>
      <c r="Z3" s="1306" t="s">
        <v>2194</v>
      </c>
      <c r="AA3" s="1320">
        <f>SUMIF($AB:$AB,$B3,$AD:$AD)/10^6</f>
        <v>228679.86405100001</v>
      </c>
      <c r="AB3" s="1324"/>
      <c r="AC3" s="1326"/>
      <c r="AD3" s="1326"/>
      <c r="AE3" s="1326"/>
      <c r="AF3" s="1326"/>
      <c r="AG3" s="1326"/>
      <c r="AH3" s="1326"/>
      <c r="AL3" s="1306" t="s">
        <v>2194</v>
      </c>
      <c r="AM3" s="1320">
        <f>SUMIF($AN:$AN,$B3,$AP:$AP)/10^6</f>
        <v>256320.003253</v>
      </c>
      <c r="AX3" s="1306" t="s">
        <v>2194</v>
      </c>
      <c r="AY3" s="1320">
        <f>SUMIF($AZ:$AZ,$B3,$BB:$BB)/10^6</f>
        <v>145026.30519399999</v>
      </c>
      <c r="BJ3" s="1306" t="s">
        <v>2194</v>
      </c>
      <c r="BK3" s="1320">
        <f>SUMIF($BL:$BL,$B3,$BN:$BN)/10^6</f>
        <v>92527.772597000003</v>
      </c>
    </row>
    <row r="4" spans="2:72" x14ac:dyDescent="0.3">
      <c r="B4" s="1306" t="s">
        <v>2195</v>
      </c>
      <c r="C4" s="1321">
        <f>SUMIF($D:$D,$B4,$F:$F)/10^6</f>
        <v>601086.15431500005</v>
      </c>
      <c r="D4" s="1326"/>
      <c r="N4" s="1306" t="s">
        <v>2195</v>
      </c>
      <c r="O4" s="1321">
        <f t="shared" ref="O4:O6" si="0">SUMIF($P:$P,$B4,$R:$R)/10^6</f>
        <v>38347.108691000001</v>
      </c>
      <c r="P4" s="1326"/>
      <c r="Q4" s="1368"/>
      <c r="R4" s="1368"/>
      <c r="S4" s="1368"/>
      <c r="T4" s="1368"/>
      <c r="U4" s="1368"/>
      <c r="V4" s="1368"/>
      <c r="W4" s="1368"/>
      <c r="X4" s="1368"/>
      <c r="Y4" s="1383"/>
      <c r="Z4" s="1306" t="s">
        <v>2195</v>
      </c>
      <c r="AA4" s="1321">
        <f t="shared" ref="AA4:AA6" si="1">SUMIF($AB:$AB,$B4,$AD:$AD)/10^6</f>
        <v>-6547.3502280000002</v>
      </c>
      <c r="AB4" s="1324"/>
      <c r="AC4" s="1326"/>
      <c r="AD4" s="1326"/>
      <c r="AE4" s="1326"/>
      <c r="AF4" s="1326"/>
      <c r="AG4" s="1326"/>
      <c r="AH4" s="1326"/>
      <c r="AL4" s="1306" t="s">
        <v>2195</v>
      </c>
      <c r="AM4" s="1321">
        <f t="shared" ref="AM4:AM6" si="2">SUMIF($AN:$AN,$B4,$AP:$AP)/10^6</f>
        <v>15541.509925</v>
      </c>
      <c r="AX4" s="1306" t="s">
        <v>2195</v>
      </c>
      <c r="AY4" s="1321">
        <f t="shared" ref="AY4:AY6" si="3">SUMIF($AZ:$AZ,$B4,$BB:$BB)/10^6</f>
        <v>-1078.979779</v>
      </c>
      <c r="BJ4" s="1306" t="s">
        <v>2195</v>
      </c>
      <c r="BK4" s="1321">
        <f t="shared" ref="BK4:BK6" si="4">SUMIF($BL:$BL,$B4,$BN:$BN)/10^6</f>
        <v>557.12667999999996</v>
      </c>
    </row>
    <row r="5" spans="2:72" x14ac:dyDescent="0.3">
      <c r="B5" s="1306" t="s">
        <v>2196</v>
      </c>
      <c r="C5" s="1321">
        <f>SUMIF($D:$D,$B5,$F:$F)/10^3</f>
        <v>387759.73100000003</v>
      </c>
      <c r="D5" s="1326"/>
      <c r="N5" s="1306" t="s">
        <v>2196</v>
      </c>
      <c r="O5" s="1321">
        <f>SUMIF($P:$P,$B5,$R:$R)/10^3</f>
        <v>38482.436999999998</v>
      </c>
      <c r="P5" s="1326"/>
      <c r="Q5" s="1368"/>
      <c r="R5" s="1368"/>
      <c r="S5" s="1368"/>
      <c r="T5" s="1368"/>
      <c r="U5" s="1368"/>
      <c r="V5" s="1368"/>
      <c r="W5" s="1368"/>
      <c r="X5" s="1368"/>
      <c r="Y5" s="1383"/>
      <c r="Z5" s="1306" t="s">
        <v>2196</v>
      </c>
      <c r="AA5" s="1321">
        <f t="shared" si="1"/>
        <v>4496.6715620000004</v>
      </c>
      <c r="AB5" s="1324"/>
      <c r="AC5" s="1326"/>
      <c r="AD5" s="1326"/>
      <c r="AE5" s="1326"/>
      <c r="AF5" s="1326"/>
      <c r="AG5" s="1326"/>
      <c r="AH5" s="1326"/>
      <c r="AL5" s="1306" t="s">
        <v>2196</v>
      </c>
      <c r="AM5" s="1321">
        <f t="shared" si="2"/>
        <v>5762.1323730000004</v>
      </c>
      <c r="AX5" s="1306" t="s">
        <v>2196</v>
      </c>
      <c r="AY5" s="1321">
        <f t="shared" si="3"/>
        <v>8540.6251639999991</v>
      </c>
      <c r="BJ5" s="1306" t="s">
        <v>2196</v>
      </c>
      <c r="BK5" s="1321">
        <f>SUMIF($BL:$BL,$B5,$BN:$BN)/10^3</f>
        <v>3634.3389999999999</v>
      </c>
    </row>
    <row r="6" spans="2:72" ht="17.25" thickBot="1" x14ac:dyDescent="0.35">
      <c r="B6" s="1307" t="s">
        <v>2197</v>
      </c>
      <c r="C6" s="1321">
        <f>SUMIF($D:$D,$B6,$F:$F)/10^6</f>
        <v>463626.99531700002</v>
      </c>
      <c r="D6" s="1326"/>
      <c r="N6" s="1307" t="s">
        <v>2197</v>
      </c>
      <c r="O6" s="1321">
        <f t="shared" si="0"/>
        <v>-2601.8299649999999</v>
      </c>
      <c r="P6" s="1326"/>
      <c r="Q6" s="1368"/>
      <c r="R6" s="1368"/>
      <c r="S6" s="1368"/>
      <c r="T6" s="1368"/>
      <c r="U6" s="1368"/>
      <c r="V6" s="1368"/>
      <c r="W6" s="1368"/>
      <c r="X6" s="1368"/>
      <c r="Y6" s="1383"/>
      <c r="Z6" s="1307" t="s">
        <v>2197</v>
      </c>
      <c r="AA6" s="1321">
        <f t="shared" si="1"/>
        <v>-30195.535465000001</v>
      </c>
      <c r="AB6" s="1324"/>
      <c r="AC6" s="1326"/>
      <c r="AD6" s="1326"/>
      <c r="AE6" s="1326"/>
      <c r="AF6" s="1326"/>
      <c r="AG6" s="1326"/>
      <c r="AH6" s="1326"/>
      <c r="AL6" s="1307" t="s">
        <v>2197</v>
      </c>
      <c r="AM6" s="1321">
        <f t="shared" si="2"/>
        <v>10573.583284</v>
      </c>
      <c r="AX6" s="1307" t="s">
        <v>2197</v>
      </c>
      <c r="AY6" s="1321">
        <f t="shared" si="3"/>
        <v>-3956.2170550000001</v>
      </c>
      <c r="BJ6" s="1307" t="s">
        <v>2197</v>
      </c>
      <c r="BK6" s="1321">
        <f t="shared" si="4"/>
        <v>3115.3805849999999</v>
      </c>
    </row>
    <row r="7" spans="2:72" ht="16.5" customHeight="1" x14ac:dyDescent="0.3">
      <c r="E7" s="2196"/>
      <c r="F7" s="2200" t="s">
        <v>2404</v>
      </c>
      <c r="G7" s="2198" t="s">
        <v>2287</v>
      </c>
      <c r="H7" s="2199"/>
      <c r="I7" s="2198" t="s">
        <v>2288</v>
      </c>
      <c r="J7" s="2199"/>
      <c r="K7" s="2200" t="s">
        <v>2289</v>
      </c>
      <c r="L7" s="2202" t="s">
        <v>2290</v>
      </c>
      <c r="Q7" s="2192"/>
      <c r="R7" s="2194" t="s">
        <v>2404</v>
      </c>
      <c r="S7" s="2206" t="s">
        <v>2422</v>
      </c>
      <c r="T7" s="2207"/>
      <c r="U7" s="2206" t="s">
        <v>2423</v>
      </c>
      <c r="V7" s="2207"/>
      <c r="W7" s="2194" t="s">
        <v>2424</v>
      </c>
      <c r="X7" s="2204" t="s">
        <v>2425</v>
      </c>
      <c r="AA7" s="1322"/>
      <c r="AC7" s="2196"/>
      <c r="AD7" s="1359" t="s">
        <v>2404</v>
      </c>
      <c r="AE7" s="2198" t="s">
        <v>2573</v>
      </c>
      <c r="AF7" s="2199"/>
      <c r="AG7" s="2198" t="s">
        <v>2574</v>
      </c>
      <c r="AH7" s="2199"/>
      <c r="AI7" s="1359" t="s">
        <v>2575</v>
      </c>
      <c r="AJ7" s="1365" t="s">
        <v>2576</v>
      </c>
      <c r="AO7" s="2208"/>
      <c r="AP7" s="2212" t="s">
        <v>2404</v>
      </c>
      <c r="AQ7" s="2210" t="s">
        <v>2685</v>
      </c>
      <c r="AR7" s="2211"/>
      <c r="AS7" s="2210" t="s">
        <v>2686</v>
      </c>
      <c r="AT7" s="2211"/>
      <c r="AU7" s="2212" t="s">
        <v>2687</v>
      </c>
      <c r="AV7" s="2214" t="s">
        <v>2688</v>
      </c>
      <c r="BA7" s="2196"/>
      <c r="BB7" s="2200" t="s">
        <v>2404</v>
      </c>
      <c r="BC7" s="2198" t="s">
        <v>2422</v>
      </c>
      <c r="BD7" s="2199"/>
      <c r="BE7" s="2198" t="s">
        <v>2423</v>
      </c>
      <c r="BF7" s="2199"/>
      <c r="BG7" s="2200" t="s">
        <v>2424</v>
      </c>
      <c r="BH7" s="2202" t="s">
        <v>2425</v>
      </c>
      <c r="BM7" s="2196"/>
      <c r="BN7" s="2200" t="s">
        <v>2404</v>
      </c>
      <c r="BO7" s="2198" t="s">
        <v>2686</v>
      </c>
      <c r="BP7" s="2199"/>
      <c r="BQ7" s="2198" t="s">
        <v>2802</v>
      </c>
      <c r="BR7" s="2199"/>
      <c r="BS7" s="2200" t="s">
        <v>2688</v>
      </c>
      <c r="BT7" s="2202" t="s">
        <v>2803</v>
      </c>
    </row>
    <row r="8" spans="2:72" ht="16.5" customHeight="1" x14ac:dyDescent="0.3">
      <c r="E8" s="2197"/>
      <c r="F8" s="2201"/>
      <c r="G8" s="1348" t="s">
        <v>2291</v>
      </c>
      <c r="H8" s="1348" t="s">
        <v>2292</v>
      </c>
      <c r="I8" s="1348" t="s">
        <v>2291</v>
      </c>
      <c r="J8" s="1348" t="s">
        <v>2292</v>
      </c>
      <c r="K8" s="2201"/>
      <c r="L8" s="2203"/>
      <c r="Q8" s="2193"/>
      <c r="R8" s="2195"/>
      <c r="S8" s="1369" t="s">
        <v>2291</v>
      </c>
      <c r="T8" s="1369" t="s">
        <v>2292</v>
      </c>
      <c r="U8" s="1369" t="s">
        <v>2291</v>
      </c>
      <c r="V8" s="1369" t="s">
        <v>2292</v>
      </c>
      <c r="W8" s="2195"/>
      <c r="X8" s="2205"/>
      <c r="AA8" s="1322"/>
      <c r="AC8" s="2197"/>
      <c r="AD8" s="1360"/>
      <c r="AE8" s="1348" t="s">
        <v>2291</v>
      </c>
      <c r="AF8" s="1348" t="s">
        <v>2292</v>
      </c>
      <c r="AG8" s="1348" t="s">
        <v>2291</v>
      </c>
      <c r="AH8" s="1348" t="s">
        <v>2292</v>
      </c>
      <c r="AI8" s="1360"/>
      <c r="AJ8" s="1366"/>
      <c r="AO8" s="2209"/>
      <c r="AP8" s="2213"/>
      <c r="AQ8" s="1437" t="s">
        <v>2291</v>
      </c>
      <c r="AR8" s="1437" t="s">
        <v>2292</v>
      </c>
      <c r="AS8" s="1437" t="s">
        <v>2291</v>
      </c>
      <c r="AT8" s="1437" t="s">
        <v>2292</v>
      </c>
      <c r="AU8" s="2213"/>
      <c r="AV8" s="2215"/>
      <c r="BA8" s="2197"/>
      <c r="BB8" s="2201"/>
      <c r="BC8" s="1348" t="s">
        <v>2291</v>
      </c>
      <c r="BD8" s="1348" t="s">
        <v>2292</v>
      </c>
      <c r="BE8" s="1348" t="s">
        <v>2291</v>
      </c>
      <c r="BF8" s="1348" t="s">
        <v>2292</v>
      </c>
      <c r="BG8" s="2201"/>
      <c r="BH8" s="2203"/>
      <c r="BM8" s="2197"/>
      <c r="BN8" s="2201"/>
      <c r="BO8" s="1348" t="s">
        <v>2291</v>
      </c>
      <c r="BP8" s="1348" t="s">
        <v>2292</v>
      </c>
      <c r="BQ8" s="1348" t="s">
        <v>2291</v>
      </c>
      <c r="BR8" s="1348" t="s">
        <v>2292</v>
      </c>
      <c r="BS8" s="2201"/>
      <c r="BT8" s="2203"/>
    </row>
    <row r="9" spans="2:72" ht="16.5" customHeight="1" x14ac:dyDescent="0.3">
      <c r="D9" s="1323" t="s">
        <v>2379</v>
      </c>
      <c r="E9" s="1330" t="s">
        <v>1869</v>
      </c>
      <c r="F9" s="1361">
        <f>H9-J9+K9</f>
        <v>7917776106451</v>
      </c>
      <c r="G9" s="1333">
        <v>1873714177576</v>
      </c>
      <c r="H9" s="1333">
        <v>5748700469261</v>
      </c>
      <c r="I9" s="1333">
        <v>1802377406316</v>
      </c>
      <c r="J9" s="1333">
        <v>5728671955102</v>
      </c>
      <c r="K9" s="1333">
        <v>7897747592292</v>
      </c>
      <c r="L9" s="1334">
        <v>7046832520854</v>
      </c>
      <c r="P9" s="1323" t="s">
        <v>2379</v>
      </c>
      <c r="Q9" s="1370" t="s">
        <v>1869</v>
      </c>
      <c r="R9" s="1381">
        <f>T9-V9+W9</f>
        <v>951600583531</v>
      </c>
      <c r="S9" s="1372">
        <v>223384708915</v>
      </c>
      <c r="T9" s="1372">
        <v>644404823339</v>
      </c>
      <c r="U9" s="1372">
        <v>242537741735</v>
      </c>
      <c r="V9" s="1372">
        <v>757779723846</v>
      </c>
      <c r="W9" s="1372">
        <v>1064975484038</v>
      </c>
      <c r="X9" s="1373">
        <v>1207033019278</v>
      </c>
      <c r="AB9" s="1323" t="s">
        <v>2379</v>
      </c>
      <c r="AC9" s="1330" t="s">
        <v>1869</v>
      </c>
      <c r="AD9" s="1361">
        <f>AF9-AH9+AI9</f>
        <v>228679864051</v>
      </c>
      <c r="AE9" s="1333">
        <v>44662036144</v>
      </c>
      <c r="AF9" s="1333">
        <v>149500839323</v>
      </c>
      <c r="AG9" s="1333">
        <v>55120841980</v>
      </c>
      <c r="AH9" s="1333">
        <v>175043472733</v>
      </c>
      <c r="AI9" s="1333">
        <v>254222497461</v>
      </c>
      <c r="AJ9" s="1334">
        <v>412684347480</v>
      </c>
      <c r="AN9" s="1438" t="s">
        <v>2379</v>
      </c>
      <c r="AO9" s="1330" t="s">
        <v>1869</v>
      </c>
      <c r="AP9" s="1361">
        <f>AR9-AT9+AU9</f>
        <v>256320003253</v>
      </c>
      <c r="AQ9" s="1333">
        <v>64439595014</v>
      </c>
      <c r="AR9" s="1333">
        <v>192026343899</v>
      </c>
      <c r="AS9" s="1333">
        <v>52746606515</v>
      </c>
      <c r="AT9" s="1333">
        <v>163768831420</v>
      </c>
      <c r="AU9" s="1333">
        <v>228062490774</v>
      </c>
      <c r="AV9" s="1334">
        <v>239782312966</v>
      </c>
      <c r="AZ9" s="1438" t="s">
        <v>2379</v>
      </c>
      <c r="BA9" s="1330" t="s">
        <v>1869</v>
      </c>
      <c r="BB9" s="1361">
        <f>BD9-BF9+BG9</f>
        <v>145026305194</v>
      </c>
      <c r="BC9" s="1333">
        <v>29443363669</v>
      </c>
      <c r="BD9" s="1333">
        <v>101651868424</v>
      </c>
      <c r="BE9" s="1333">
        <v>34059928081</v>
      </c>
      <c r="BF9" s="1333">
        <v>98681510431</v>
      </c>
      <c r="BG9" s="1333">
        <v>142055947201</v>
      </c>
      <c r="BH9" s="1334">
        <v>151632867686</v>
      </c>
      <c r="BL9" s="1323" t="s">
        <v>2379</v>
      </c>
      <c r="BM9" s="1330" t="s">
        <v>1869</v>
      </c>
      <c r="BN9" s="1361">
        <f>BP9-BR9+BS9</f>
        <v>92527772597</v>
      </c>
      <c r="BO9" s="1333">
        <v>22443040649</v>
      </c>
      <c r="BP9" s="1333">
        <v>66476899479</v>
      </c>
      <c r="BQ9" s="1333">
        <v>22527571561</v>
      </c>
      <c r="BR9" s="1333">
        <v>62035285289</v>
      </c>
      <c r="BS9" s="1333">
        <v>88086158407</v>
      </c>
      <c r="BT9" s="1334">
        <v>85813543776</v>
      </c>
    </row>
    <row r="10" spans="2:72" ht="16.5" customHeight="1" x14ac:dyDescent="0.3">
      <c r="C10" s="1308"/>
      <c r="E10" s="1330" t="s">
        <v>1870</v>
      </c>
      <c r="F10" s="1361">
        <f t="shared" ref="F10:F28" si="5">H10-J10+K10</f>
        <v>6617964565832</v>
      </c>
      <c r="G10" s="1333">
        <v>1572118017266</v>
      </c>
      <c r="H10" s="1333">
        <v>4815093930745</v>
      </c>
      <c r="I10" s="1333">
        <v>1495183369360</v>
      </c>
      <c r="J10" s="1333">
        <v>4802145066511</v>
      </c>
      <c r="K10" s="1333">
        <v>6605015701598</v>
      </c>
      <c r="L10" s="1334">
        <v>5914920875466</v>
      </c>
      <c r="O10" s="1308"/>
      <c r="Q10" s="1370" t="s">
        <v>1870</v>
      </c>
      <c r="R10" s="1381">
        <f t="shared" ref="R10:R24" si="6">T10-V10+W10</f>
        <v>820939768837</v>
      </c>
      <c r="S10" s="1372">
        <v>187493257758</v>
      </c>
      <c r="T10" s="1372">
        <v>555803761644</v>
      </c>
      <c r="U10" s="1372">
        <v>214328364982</v>
      </c>
      <c r="V10" s="1372">
        <v>669232927927</v>
      </c>
      <c r="W10" s="1372">
        <v>934368935120</v>
      </c>
      <c r="X10" s="1373">
        <v>1055738043489</v>
      </c>
      <c r="AB10" s="1431"/>
      <c r="AC10" s="1330" t="s">
        <v>1870</v>
      </c>
      <c r="AD10" s="1361">
        <f t="shared" ref="AD10:AD24" si="7">AF10-AH10+AI10</f>
        <v>203851219709</v>
      </c>
      <c r="AE10" s="1333">
        <v>38103485910</v>
      </c>
      <c r="AF10" s="1333">
        <v>131784986056</v>
      </c>
      <c r="AG10" s="1333">
        <v>49862467008</v>
      </c>
      <c r="AH10" s="1333">
        <v>154844052968</v>
      </c>
      <c r="AI10" s="1333">
        <v>226910286621</v>
      </c>
      <c r="AJ10" s="1334">
        <v>371664983556</v>
      </c>
      <c r="AO10" s="1330" t="s">
        <v>1870</v>
      </c>
      <c r="AP10" s="1361">
        <f t="shared" ref="AP10:AP21" si="8">AR10-AT10+AU10</f>
        <v>203398450955</v>
      </c>
      <c r="AQ10" s="1333">
        <v>50871182419</v>
      </c>
      <c r="AR10" s="1333">
        <v>151661609435</v>
      </c>
      <c r="AS10" s="1333">
        <v>41252092464</v>
      </c>
      <c r="AT10" s="1333">
        <v>129710471946</v>
      </c>
      <c r="AU10" s="1333">
        <v>181447313466</v>
      </c>
      <c r="AV10" s="1334">
        <v>188214831677</v>
      </c>
      <c r="BA10" s="1330" t="s">
        <v>1870</v>
      </c>
      <c r="BB10" s="1361">
        <f t="shared" ref="BB10:BB23" si="9">BD10-BF10+BG10</f>
        <v>143177290250</v>
      </c>
      <c r="BC10" s="1333">
        <v>29098793646</v>
      </c>
      <c r="BD10" s="1333">
        <v>100653561775</v>
      </c>
      <c r="BE10" s="1333">
        <v>35495469920</v>
      </c>
      <c r="BF10" s="1333">
        <v>102555232212</v>
      </c>
      <c r="BG10" s="1333">
        <v>145078960687</v>
      </c>
      <c r="BH10" s="1334">
        <v>162935168890</v>
      </c>
      <c r="BM10" s="1330" t="s">
        <v>1870</v>
      </c>
      <c r="BN10" s="1361">
        <f t="shared" ref="BN10:BN20" si="10">BP10-BR10+BS10</f>
        <v>85960946904</v>
      </c>
      <c r="BO10" s="1333">
        <v>20714489185</v>
      </c>
      <c r="BP10" s="1333">
        <v>61412778430</v>
      </c>
      <c r="BQ10" s="1333">
        <v>22099767509</v>
      </c>
      <c r="BR10" s="1333">
        <v>60567220631</v>
      </c>
      <c r="BS10" s="1333">
        <v>85115389105</v>
      </c>
      <c r="BT10" s="1334">
        <v>80712378800</v>
      </c>
    </row>
    <row r="11" spans="2:72" ht="16.5" customHeight="1" x14ac:dyDescent="0.3">
      <c r="E11" s="1330" t="s">
        <v>1871</v>
      </c>
      <c r="F11" s="1361">
        <f t="shared" si="5"/>
        <v>1299811540619</v>
      </c>
      <c r="G11" s="1333">
        <v>301596160310</v>
      </c>
      <c r="H11" s="1333">
        <v>933606538516</v>
      </c>
      <c r="I11" s="1333">
        <v>307194036956</v>
      </c>
      <c r="J11" s="1333">
        <v>926526888591</v>
      </c>
      <c r="K11" s="1333">
        <v>1292731890694</v>
      </c>
      <c r="L11" s="1334">
        <v>1131911645388</v>
      </c>
      <c r="Q11" s="1370" t="s">
        <v>1871</v>
      </c>
      <c r="R11" s="1381">
        <f t="shared" si="6"/>
        <v>130660814694</v>
      </c>
      <c r="S11" s="1372">
        <v>35891451157</v>
      </c>
      <c r="T11" s="1372">
        <v>88601061695</v>
      </c>
      <c r="U11" s="1372">
        <v>28209376753</v>
      </c>
      <c r="V11" s="1372">
        <v>88546795919</v>
      </c>
      <c r="W11" s="1372">
        <v>130606548918</v>
      </c>
      <c r="X11" s="1373">
        <v>151294975789</v>
      </c>
      <c r="AB11" s="1323"/>
      <c r="AC11" s="1330" t="s">
        <v>1871</v>
      </c>
      <c r="AD11" s="1361">
        <f t="shared" si="7"/>
        <v>24828644342</v>
      </c>
      <c r="AE11" s="1333">
        <v>6558550234</v>
      </c>
      <c r="AF11" s="1333">
        <v>17715853267</v>
      </c>
      <c r="AG11" s="1333">
        <v>5258374972</v>
      </c>
      <c r="AH11" s="1333">
        <v>20199419765</v>
      </c>
      <c r="AI11" s="1333">
        <v>27312210840</v>
      </c>
      <c r="AJ11" s="1334">
        <v>41019363924</v>
      </c>
      <c r="AO11" s="1330" t="s">
        <v>1871</v>
      </c>
      <c r="AP11" s="1361">
        <f t="shared" si="8"/>
        <v>52921552298</v>
      </c>
      <c r="AQ11" s="1333">
        <v>13568412595</v>
      </c>
      <c r="AR11" s="1333">
        <v>40364734464</v>
      </c>
      <c r="AS11" s="1333">
        <v>11494514051</v>
      </c>
      <c r="AT11" s="1333">
        <v>34058359474</v>
      </c>
      <c r="AU11" s="1333">
        <v>46615177308</v>
      </c>
      <c r="AV11" s="1334">
        <v>51567481289</v>
      </c>
      <c r="BA11" s="1330" t="s">
        <v>1871</v>
      </c>
      <c r="BB11" s="1361">
        <f t="shared" si="9"/>
        <v>1849014944</v>
      </c>
      <c r="BC11" s="1333">
        <v>344570023</v>
      </c>
      <c r="BD11" s="1333">
        <v>998306649</v>
      </c>
      <c r="BE11" s="1333">
        <v>-1435541839</v>
      </c>
      <c r="BF11" s="1333">
        <v>-3873721781</v>
      </c>
      <c r="BG11" s="1333">
        <v>-3023013486</v>
      </c>
      <c r="BH11" s="1334">
        <v>-11302301204</v>
      </c>
      <c r="BM11" s="1330" t="s">
        <v>1871</v>
      </c>
      <c r="BN11" s="1361">
        <f t="shared" si="10"/>
        <v>6566825693</v>
      </c>
      <c r="BO11" s="1333">
        <v>1728551464</v>
      </c>
      <c r="BP11" s="1333">
        <v>5064121049</v>
      </c>
      <c r="BQ11" s="1333">
        <v>427804052</v>
      </c>
      <c r="BR11" s="1333">
        <v>1468064658</v>
      </c>
      <c r="BS11" s="1333">
        <v>2970769302</v>
      </c>
      <c r="BT11" s="1334">
        <v>5101164976</v>
      </c>
    </row>
    <row r="12" spans="2:72" ht="16.5" customHeight="1" x14ac:dyDescent="0.3">
      <c r="E12" s="1330" t="s">
        <v>128</v>
      </c>
      <c r="F12" s="1361">
        <f t="shared" si="5"/>
        <v>698725386304</v>
      </c>
      <c r="G12" s="1333">
        <v>181373873363</v>
      </c>
      <c r="H12" s="1333">
        <v>519301987908</v>
      </c>
      <c r="I12" s="1333">
        <v>175698791954</v>
      </c>
      <c r="J12" s="1333">
        <v>519889309908</v>
      </c>
      <c r="K12" s="1333">
        <v>699312708304</v>
      </c>
      <c r="L12" s="1334">
        <v>626282771618</v>
      </c>
      <c r="Q12" s="1370" t="s">
        <v>2426</v>
      </c>
      <c r="R12" s="1381">
        <f t="shared" si="6"/>
        <v>90549478877</v>
      </c>
      <c r="S12" s="1372">
        <v>23414375131</v>
      </c>
      <c r="T12" s="1372">
        <v>62388678001</v>
      </c>
      <c r="U12" s="1372">
        <v>18757128610</v>
      </c>
      <c r="V12" s="1372">
        <v>55932915083</v>
      </c>
      <c r="W12" s="1372">
        <v>84093715959</v>
      </c>
      <c r="X12" s="1373">
        <v>82766536858</v>
      </c>
      <c r="AB12" s="1323"/>
      <c r="AC12" s="1330" t="s">
        <v>128</v>
      </c>
      <c r="AD12" s="1361">
        <f t="shared" si="7"/>
        <v>31375994570</v>
      </c>
      <c r="AE12" s="1333">
        <v>3732241671</v>
      </c>
      <c r="AF12" s="1333">
        <v>9747955269</v>
      </c>
      <c r="AG12" s="1333">
        <v>6631950018</v>
      </c>
      <c r="AH12" s="1333">
        <v>18361011833</v>
      </c>
      <c r="AI12" s="1333">
        <v>39989051134</v>
      </c>
      <c r="AJ12" s="1334">
        <v>29151837281</v>
      </c>
      <c r="AO12" s="1330" t="s">
        <v>128</v>
      </c>
      <c r="AP12" s="1361">
        <f t="shared" si="8"/>
        <v>37380042373</v>
      </c>
      <c r="AQ12" s="1333">
        <v>11034488307</v>
      </c>
      <c r="AR12" s="1333">
        <v>28841447142</v>
      </c>
      <c r="AS12" s="1333">
        <v>8003398250</v>
      </c>
      <c r="AT12" s="1333">
        <v>22569134709</v>
      </c>
      <c r="AU12" s="1333">
        <v>31107729940</v>
      </c>
      <c r="AV12" s="1334">
        <v>33973782237</v>
      </c>
      <c r="BA12" s="1330" t="s">
        <v>128</v>
      </c>
      <c r="BB12" s="1361">
        <f t="shared" si="9"/>
        <v>2927994723</v>
      </c>
      <c r="BC12" s="1333">
        <v>805301402</v>
      </c>
      <c r="BD12" s="1333">
        <v>2497671586</v>
      </c>
      <c r="BE12" s="1333">
        <v>855433757</v>
      </c>
      <c r="BF12" s="1333">
        <v>2839494188</v>
      </c>
      <c r="BG12" s="1333">
        <v>3269817325</v>
      </c>
      <c r="BH12" s="1334">
        <v>3855391344</v>
      </c>
      <c r="BM12" s="1330" t="s">
        <v>128</v>
      </c>
      <c r="BN12" s="1361">
        <f t="shared" si="10"/>
        <v>6009699013</v>
      </c>
      <c r="BO12" s="1333">
        <v>1006189384</v>
      </c>
      <c r="BP12" s="1333">
        <v>3004786941</v>
      </c>
      <c r="BQ12" s="1333">
        <v>1125761399</v>
      </c>
      <c r="BR12" s="1333">
        <v>3824876506</v>
      </c>
      <c r="BS12" s="1333">
        <v>6829788578</v>
      </c>
      <c r="BT12" s="1334">
        <v>4123740409</v>
      </c>
    </row>
    <row r="13" spans="2:72" ht="16.5" customHeight="1" x14ac:dyDescent="0.3">
      <c r="D13" s="1323" t="s">
        <v>179</v>
      </c>
      <c r="E13" s="1330" t="s">
        <v>2293</v>
      </c>
      <c r="F13" s="1361">
        <f t="shared" si="5"/>
        <v>601086154315</v>
      </c>
      <c r="G13" s="1333">
        <v>120222286947</v>
      </c>
      <c r="H13" s="1333">
        <v>414304550608</v>
      </c>
      <c r="I13" s="1333">
        <v>131495245002</v>
      </c>
      <c r="J13" s="1333">
        <v>406637578683</v>
      </c>
      <c r="K13" s="1333">
        <v>593419182390</v>
      </c>
      <c r="L13" s="1334">
        <v>505628873770</v>
      </c>
      <c r="Q13" s="1370" t="s">
        <v>2427</v>
      </c>
      <c r="R13" s="1381">
        <f t="shared" si="6"/>
        <v>1764227126</v>
      </c>
      <c r="S13" s="1372">
        <v>461933721</v>
      </c>
      <c r="T13" s="1372">
        <v>1263271615</v>
      </c>
      <c r="U13" s="1372">
        <v>440418850</v>
      </c>
      <c r="V13" s="1372">
        <v>1350901919</v>
      </c>
      <c r="W13" s="1372">
        <v>1851857430</v>
      </c>
      <c r="X13" s="1373">
        <v>2604691622</v>
      </c>
      <c r="AB13" s="1323" t="s">
        <v>179</v>
      </c>
      <c r="AC13" s="1330" t="s">
        <v>2293</v>
      </c>
      <c r="AD13" s="1361">
        <f t="shared" si="7"/>
        <v>-6547350228</v>
      </c>
      <c r="AE13" s="1333">
        <v>2826308563</v>
      </c>
      <c r="AF13" s="1333">
        <v>7967897998</v>
      </c>
      <c r="AG13" s="1333">
        <v>-1373575046</v>
      </c>
      <c r="AH13" s="1333">
        <v>1838407932</v>
      </c>
      <c r="AI13" s="1333">
        <v>-12676840294</v>
      </c>
      <c r="AJ13" s="1334">
        <v>11867526643</v>
      </c>
      <c r="AN13" s="1438" t="s">
        <v>179</v>
      </c>
      <c r="AO13" s="1330" t="s">
        <v>2293</v>
      </c>
      <c r="AP13" s="1361">
        <f t="shared" si="8"/>
        <v>15541509925</v>
      </c>
      <c r="AQ13" s="1333">
        <v>2533924288</v>
      </c>
      <c r="AR13" s="1333">
        <v>11523287322</v>
      </c>
      <c r="AS13" s="1333">
        <v>3491115801</v>
      </c>
      <c r="AT13" s="1333">
        <v>11489224765</v>
      </c>
      <c r="AU13" s="1333">
        <v>15507447368</v>
      </c>
      <c r="AV13" s="1334">
        <v>17593699052</v>
      </c>
      <c r="AZ13" s="1438" t="s">
        <v>179</v>
      </c>
      <c r="BA13" s="1330" t="s">
        <v>2428</v>
      </c>
      <c r="BB13" s="1361">
        <f t="shared" si="9"/>
        <v>-1078979779</v>
      </c>
      <c r="BC13" s="1333">
        <v>-460731379</v>
      </c>
      <c r="BD13" s="1333">
        <v>-1499364937</v>
      </c>
      <c r="BE13" s="1333">
        <v>-2290975596</v>
      </c>
      <c r="BF13" s="1333">
        <v>-6713215969</v>
      </c>
      <c r="BG13" s="1333">
        <v>-6292830811</v>
      </c>
      <c r="BH13" s="1334">
        <v>-15157692548</v>
      </c>
      <c r="BL13" s="1323" t="s">
        <v>179</v>
      </c>
      <c r="BM13" s="1330" t="s">
        <v>2428</v>
      </c>
      <c r="BN13" s="1361">
        <f t="shared" si="10"/>
        <v>557126680</v>
      </c>
      <c r="BO13" s="1333">
        <v>722362080</v>
      </c>
      <c r="BP13" s="1333">
        <v>2059334108</v>
      </c>
      <c r="BQ13" s="1333">
        <v>-697957347</v>
      </c>
      <c r="BR13" s="1333">
        <v>-2356811848</v>
      </c>
      <c r="BS13" s="1333">
        <v>-3859019276</v>
      </c>
      <c r="BT13" s="1334">
        <v>977424567</v>
      </c>
    </row>
    <row r="14" spans="2:72" ht="16.5" customHeight="1" x14ac:dyDescent="0.3">
      <c r="E14" s="1330" t="s">
        <v>2294</v>
      </c>
      <c r="F14" s="1361">
        <f t="shared" si="5"/>
        <v>44908160422</v>
      </c>
      <c r="G14" s="1333">
        <v>17451651510</v>
      </c>
      <c r="H14" s="1333">
        <v>35558990059</v>
      </c>
      <c r="I14" s="1333">
        <v>5275758914</v>
      </c>
      <c r="J14" s="1333">
        <v>66995186512</v>
      </c>
      <c r="K14" s="1333">
        <v>76344356875</v>
      </c>
      <c r="L14" s="1334">
        <v>24147862416</v>
      </c>
      <c r="P14" s="1323" t="s">
        <v>179</v>
      </c>
      <c r="Q14" s="1370" t="s">
        <v>2428</v>
      </c>
      <c r="R14" s="1381">
        <f t="shared" si="6"/>
        <v>38347108691</v>
      </c>
      <c r="S14" s="1372">
        <v>12015142305</v>
      </c>
      <c r="T14" s="1372">
        <v>24949112079</v>
      </c>
      <c r="U14" s="1372">
        <v>9011829293</v>
      </c>
      <c r="V14" s="1372">
        <v>31262978917</v>
      </c>
      <c r="W14" s="1372">
        <v>44660975529</v>
      </c>
      <c r="X14" s="1373">
        <v>65923747309</v>
      </c>
      <c r="AB14" s="1323"/>
      <c r="AC14" s="1330" t="s">
        <v>2577</v>
      </c>
      <c r="AD14" s="1361">
        <f t="shared" si="7"/>
        <v>3239543451</v>
      </c>
      <c r="AE14" s="1333">
        <v>624557908</v>
      </c>
      <c r="AF14" s="1333">
        <v>3037590891</v>
      </c>
      <c r="AG14" s="1333">
        <v>14352020</v>
      </c>
      <c r="AH14" s="1333">
        <v>1680518480</v>
      </c>
      <c r="AI14" s="1333">
        <v>1882471040</v>
      </c>
      <c r="AJ14" s="1334">
        <v>808583941</v>
      </c>
      <c r="AO14" s="1330" t="s">
        <v>2296</v>
      </c>
      <c r="AP14" s="1361">
        <f t="shared" si="8"/>
        <v>2449268606</v>
      </c>
      <c r="AQ14" s="1333">
        <v>525186500</v>
      </c>
      <c r="AR14" s="1333">
        <v>1755600765</v>
      </c>
      <c r="AS14" s="1333">
        <v>692486597</v>
      </c>
      <c r="AT14" s="1333">
        <v>2061132975</v>
      </c>
      <c r="AU14" s="1333">
        <v>2754800816</v>
      </c>
      <c r="AV14" s="1334">
        <v>2838331256</v>
      </c>
      <c r="BA14" s="1330" t="s">
        <v>2294</v>
      </c>
      <c r="BB14" s="1361">
        <f t="shared" si="9"/>
        <v>812768276</v>
      </c>
      <c r="BC14" s="1333">
        <v>204526934</v>
      </c>
      <c r="BD14" s="1333">
        <v>500270482</v>
      </c>
      <c r="BE14" s="1333">
        <v>96028130</v>
      </c>
      <c r="BF14" s="1333">
        <v>328116881</v>
      </c>
      <c r="BG14" s="1333">
        <v>640614675</v>
      </c>
      <c r="BH14" s="1334">
        <v>392556768</v>
      </c>
      <c r="BM14" s="1330" t="s">
        <v>2296</v>
      </c>
      <c r="BN14" s="1361">
        <f t="shared" si="10"/>
        <v>195604081</v>
      </c>
      <c r="BO14" s="1333">
        <v>63819041</v>
      </c>
      <c r="BP14" s="1333">
        <v>224466445</v>
      </c>
      <c r="BQ14" s="1333">
        <v>125563319</v>
      </c>
      <c r="BR14" s="1333">
        <v>420713940</v>
      </c>
      <c r="BS14" s="1333">
        <v>391851576</v>
      </c>
      <c r="BT14" s="1334">
        <v>420443502</v>
      </c>
    </row>
    <row r="15" spans="2:72" ht="16.5" customHeight="1" x14ac:dyDescent="0.3">
      <c r="E15" s="1330" t="s">
        <v>2295</v>
      </c>
      <c r="F15" s="1361">
        <f t="shared" si="5"/>
        <v>40059097865</v>
      </c>
      <c r="G15" s="1333">
        <v>5554713532</v>
      </c>
      <c r="H15" s="1333">
        <v>12363884294</v>
      </c>
      <c r="I15" s="1333">
        <v>3896184001</v>
      </c>
      <c r="J15" s="1333">
        <v>37167251094</v>
      </c>
      <c r="K15" s="1333">
        <v>64862464665</v>
      </c>
      <c r="L15" s="1334">
        <v>49776215185</v>
      </c>
      <c r="Q15" s="1370" t="s">
        <v>2429</v>
      </c>
      <c r="R15" s="1381">
        <f t="shared" si="6"/>
        <v>10594199046</v>
      </c>
      <c r="S15" s="1372">
        <v>271690895</v>
      </c>
      <c r="T15" s="1372">
        <v>9304170674</v>
      </c>
      <c r="U15" s="1372">
        <v>535768798</v>
      </c>
      <c r="V15" s="1372">
        <v>2691641544</v>
      </c>
      <c r="W15" s="1372">
        <v>3981669916</v>
      </c>
      <c r="X15" s="1373">
        <v>5189238302</v>
      </c>
      <c r="AB15" s="1323"/>
      <c r="AC15" s="1330" t="s">
        <v>2578</v>
      </c>
      <c r="AD15" s="1361">
        <f t="shared" si="7"/>
        <v>8082664486</v>
      </c>
      <c r="AE15" s="1333">
        <v>926989862</v>
      </c>
      <c r="AF15" s="1333">
        <v>3440559184</v>
      </c>
      <c r="AG15" s="1333">
        <v>556488339</v>
      </c>
      <c r="AH15" s="1333">
        <v>1458483561</v>
      </c>
      <c r="AI15" s="1333">
        <v>6100588863</v>
      </c>
      <c r="AJ15" s="1334">
        <v>3094296450</v>
      </c>
      <c r="AO15" s="1330" t="s">
        <v>2431</v>
      </c>
      <c r="AP15" s="1361">
        <f t="shared" si="8"/>
        <v>19286885</v>
      </c>
      <c r="AQ15" s="1333">
        <v>8218746</v>
      </c>
      <c r="AR15" s="1333">
        <v>11963644</v>
      </c>
      <c r="AS15" s="1333">
        <v>12786213</v>
      </c>
      <c r="AT15" s="1333">
        <v>21871907</v>
      </c>
      <c r="AU15" s="1333">
        <v>29195148</v>
      </c>
      <c r="AV15" s="1334">
        <v>21668725</v>
      </c>
      <c r="BA15" s="1330" t="s">
        <v>2430</v>
      </c>
      <c r="BB15" s="1361">
        <f t="shared" si="9"/>
        <v>396233993</v>
      </c>
      <c r="BC15" s="1333">
        <v>70431316</v>
      </c>
      <c r="BD15" s="1333">
        <v>167584480</v>
      </c>
      <c r="BE15" s="1333">
        <v>-47773080</v>
      </c>
      <c r="BF15" s="1333">
        <v>421466875</v>
      </c>
      <c r="BG15" s="1333">
        <v>650116388</v>
      </c>
      <c r="BH15" s="1334">
        <v>611088513</v>
      </c>
      <c r="BM15" s="1330" t="s">
        <v>2300</v>
      </c>
      <c r="BN15" s="1361">
        <f t="shared" si="10"/>
        <v>81472597</v>
      </c>
      <c r="BO15" s="1333">
        <v>14997244</v>
      </c>
      <c r="BP15" s="1333">
        <v>58292069</v>
      </c>
      <c r="BQ15" s="1333">
        <v>14178336</v>
      </c>
      <c r="BR15" s="1333">
        <v>32823812</v>
      </c>
      <c r="BS15" s="1333">
        <v>56004340</v>
      </c>
      <c r="BT15" s="1334">
        <v>41605964</v>
      </c>
    </row>
    <row r="16" spans="2:72" ht="16.5" customHeight="1" x14ac:dyDescent="0.3">
      <c r="E16" s="1330" t="s">
        <v>2296</v>
      </c>
      <c r="F16" s="1361">
        <f t="shared" si="5"/>
        <v>108268578045</v>
      </c>
      <c r="G16" s="1333">
        <v>39160600622</v>
      </c>
      <c r="H16" s="1333">
        <v>81243523962</v>
      </c>
      <c r="I16" s="1333">
        <v>17628539356</v>
      </c>
      <c r="J16" s="1333">
        <v>48799495595</v>
      </c>
      <c r="K16" s="1333">
        <v>75824549678</v>
      </c>
      <c r="L16" s="1334">
        <v>54421220637</v>
      </c>
      <c r="Q16" s="1370" t="s">
        <v>2430</v>
      </c>
      <c r="R16" s="1381">
        <f t="shared" si="6"/>
        <v>6038343881</v>
      </c>
      <c r="S16" s="1372">
        <v>879775888</v>
      </c>
      <c r="T16" s="1372">
        <v>3612927919</v>
      </c>
      <c r="U16" s="1372">
        <v>3724607446</v>
      </c>
      <c r="V16" s="1372">
        <v>5528123118</v>
      </c>
      <c r="W16" s="1372">
        <v>7953539080</v>
      </c>
      <c r="X16" s="1373">
        <v>32776647214</v>
      </c>
      <c r="AB16" s="1323"/>
      <c r="AC16" s="1330" t="s">
        <v>2296</v>
      </c>
      <c r="AD16" s="1361">
        <f t="shared" si="7"/>
        <v>69312012440</v>
      </c>
      <c r="AE16" s="1333">
        <v>3122367851</v>
      </c>
      <c r="AF16" s="1333">
        <v>68180427238</v>
      </c>
      <c r="AG16" s="1333">
        <v>942274182</v>
      </c>
      <c r="AH16" s="1333">
        <v>2876948460</v>
      </c>
      <c r="AI16" s="1333">
        <v>4008533662</v>
      </c>
      <c r="AJ16" s="1334">
        <v>2549154013</v>
      </c>
      <c r="AO16" s="1330" t="s">
        <v>2577</v>
      </c>
      <c r="AP16" s="1361">
        <f t="shared" si="8"/>
        <v>252846308</v>
      </c>
      <c r="AQ16" s="1333">
        <v>60677650</v>
      </c>
      <c r="AR16" s="1333">
        <v>192597735</v>
      </c>
      <c r="AS16" s="1333">
        <v>64517541</v>
      </c>
      <c r="AT16" s="1333">
        <v>339956311</v>
      </c>
      <c r="AU16" s="1333">
        <v>400204884</v>
      </c>
      <c r="AV16" s="1334">
        <v>223783340</v>
      </c>
      <c r="BA16" s="1330" t="s">
        <v>2296</v>
      </c>
      <c r="BB16" s="1361">
        <f t="shared" si="9"/>
        <v>229155145</v>
      </c>
      <c r="BC16" s="1333">
        <v>55149668</v>
      </c>
      <c r="BD16" s="1333">
        <v>219292347</v>
      </c>
      <c r="BE16" s="1333">
        <v>18050271</v>
      </c>
      <c r="BF16" s="1333">
        <v>229267343</v>
      </c>
      <c r="BG16" s="1333">
        <v>239130141</v>
      </c>
      <c r="BH16" s="1334">
        <v>447157185</v>
      </c>
      <c r="BM16" s="1330" t="s">
        <v>2429</v>
      </c>
      <c r="BN16" s="1361">
        <f t="shared" si="10"/>
        <v>3735262007</v>
      </c>
      <c r="BO16" s="1333">
        <v>98041808</v>
      </c>
      <c r="BP16" s="1333">
        <v>256615982</v>
      </c>
      <c r="BQ16" s="1333">
        <v>44932243</v>
      </c>
      <c r="BR16" s="1333">
        <v>1194272461</v>
      </c>
      <c r="BS16" s="1333">
        <v>4672918486</v>
      </c>
      <c r="BT16" s="1334">
        <v>927425897</v>
      </c>
    </row>
    <row r="17" spans="4:72" ht="16.5" customHeight="1" x14ac:dyDescent="0.3">
      <c r="E17" s="1330" t="s">
        <v>2297</v>
      </c>
      <c r="F17" s="1361">
        <f t="shared" si="5"/>
        <v>32702510355</v>
      </c>
      <c r="G17" s="1333">
        <v>6968633255</v>
      </c>
      <c r="H17" s="1333">
        <v>22732479923</v>
      </c>
      <c r="I17" s="1333">
        <v>8558117375</v>
      </c>
      <c r="J17" s="1333">
        <v>21470086102</v>
      </c>
      <c r="K17" s="1333">
        <v>31440116534</v>
      </c>
      <c r="L17" s="1334">
        <v>19189627184</v>
      </c>
      <c r="Q17" s="1370" t="s">
        <v>2296</v>
      </c>
      <c r="R17" s="1381">
        <f t="shared" si="6"/>
        <v>20273878013</v>
      </c>
      <c r="S17" s="1372">
        <v>5101980293</v>
      </c>
      <c r="T17" s="1372">
        <v>16227264362</v>
      </c>
      <c r="U17" s="1372">
        <v>1658549499</v>
      </c>
      <c r="V17" s="1372">
        <v>6593323268</v>
      </c>
      <c r="W17" s="1372">
        <v>10639936919</v>
      </c>
      <c r="X17" s="1373">
        <v>21252477150</v>
      </c>
      <c r="AB17" s="1323"/>
      <c r="AC17" s="1330" t="s">
        <v>2300</v>
      </c>
      <c r="AD17" s="1361">
        <f t="shared" si="7"/>
        <v>44753295213</v>
      </c>
      <c r="AE17" s="1333">
        <v>8323943269</v>
      </c>
      <c r="AF17" s="1333">
        <v>14619211303</v>
      </c>
      <c r="AG17" s="1333">
        <v>3963614470</v>
      </c>
      <c r="AH17" s="1333">
        <v>33528464600</v>
      </c>
      <c r="AI17" s="1333">
        <v>63662548510</v>
      </c>
      <c r="AJ17" s="1334">
        <v>40387377304</v>
      </c>
      <c r="AO17" s="1330" t="s">
        <v>2578</v>
      </c>
      <c r="AP17" s="1361">
        <f t="shared" si="8"/>
        <v>1710851164</v>
      </c>
      <c r="AQ17" s="1333">
        <v>602381331</v>
      </c>
      <c r="AR17" s="1333">
        <v>1195557607</v>
      </c>
      <c r="AS17" s="1333">
        <v>129397434</v>
      </c>
      <c r="AT17" s="1333">
        <v>911018121</v>
      </c>
      <c r="AU17" s="1333">
        <v>1426311678</v>
      </c>
      <c r="AV17" s="1334">
        <v>4582633306</v>
      </c>
      <c r="BA17" s="1330" t="s">
        <v>2431</v>
      </c>
      <c r="BB17" s="1361">
        <f t="shared" si="9"/>
        <v>3530422906</v>
      </c>
      <c r="BC17" s="1333">
        <v>842682364</v>
      </c>
      <c r="BD17" s="1333">
        <v>2650472176</v>
      </c>
      <c r="BE17" s="1333">
        <v>861933765</v>
      </c>
      <c r="BF17" s="1333">
        <v>2353736500</v>
      </c>
      <c r="BG17" s="1333">
        <v>3233687230</v>
      </c>
      <c r="BH17" s="1334">
        <v>3441282404</v>
      </c>
      <c r="BM17" s="1330" t="s">
        <v>2295</v>
      </c>
      <c r="BN17" s="1361">
        <f t="shared" si="10"/>
        <v>788721380</v>
      </c>
      <c r="BO17" s="1333">
        <v>76979044</v>
      </c>
      <c r="BP17" s="1333">
        <v>109735159</v>
      </c>
      <c r="BQ17" s="1333">
        <v>133001389</v>
      </c>
      <c r="BR17" s="1333">
        <v>625061666</v>
      </c>
      <c r="BS17" s="1333">
        <v>1304047887</v>
      </c>
      <c r="BT17" s="1334">
        <v>868759725</v>
      </c>
    </row>
    <row r="18" spans="4:72" ht="16.5" customHeight="1" x14ac:dyDescent="0.3">
      <c r="E18" s="1330" t="s">
        <v>2298</v>
      </c>
      <c r="F18" s="1361">
        <f t="shared" si="5"/>
        <v>48084879888</v>
      </c>
      <c r="G18" s="1333">
        <v>18031231968</v>
      </c>
      <c r="H18" s="1333">
        <v>36146581104</v>
      </c>
      <c r="I18" s="1333">
        <v>6902794801</v>
      </c>
      <c r="J18" s="1333">
        <v>22540591634</v>
      </c>
      <c r="K18" s="1333">
        <v>34478890418</v>
      </c>
      <c r="L18" s="1334">
        <v>27863506653</v>
      </c>
      <c r="Q18" s="1370" t="s">
        <v>2431</v>
      </c>
      <c r="R18" s="1381">
        <f t="shared" si="6"/>
        <v>57221713225</v>
      </c>
      <c r="S18" s="1372">
        <v>35541282629</v>
      </c>
      <c r="T18" s="1372">
        <v>46797493455</v>
      </c>
      <c r="U18" s="1372">
        <v>324321708</v>
      </c>
      <c r="V18" s="1372">
        <v>7600222137</v>
      </c>
      <c r="W18" s="1372">
        <v>18024441907</v>
      </c>
      <c r="X18" s="1373">
        <v>19949938986</v>
      </c>
      <c r="AB18" s="1323"/>
      <c r="AC18" s="1330" t="s">
        <v>2579</v>
      </c>
      <c r="AD18" s="1361">
        <f t="shared" si="7"/>
        <v>-38477932595</v>
      </c>
      <c r="AE18" s="1333">
        <v>-1786766436</v>
      </c>
      <c r="AF18" s="1333">
        <v>-1269501415</v>
      </c>
      <c r="AG18" s="1333">
        <v>-3368014201</v>
      </c>
      <c r="AH18" s="1333">
        <v>-48159906364</v>
      </c>
      <c r="AI18" s="1333">
        <v>-85368337544</v>
      </c>
      <c r="AJ18" s="1334">
        <v>-57751961568</v>
      </c>
      <c r="AO18" s="1330" t="s">
        <v>2689</v>
      </c>
      <c r="AP18" s="1361">
        <f t="shared" si="8"/>
        <v>-996292497</v>
      </c>
      <c r="AQ18" s="1333">
        <v>-996292497</v>
      </c>
      <c r="AR18" s="1333">
        <v>-996292497</v>
      </c>
      <c r="AS18" s="1331">
        <v>0</v>
      </c>
      <c r="AT18" s="1331"/>
      <c r="AU18" s="1331"/>
      <c r="AV18" s="1332"/>
      <c r="BA18" s="1330" t="s">
        <v>2725</v>
      </c>
      <c r="BB18" s="1361">
        <f t="shared" si="9"/>
        <v>7496202</v>
      </c>
      <c r="BC18" s="1333">
        <v>128721171</v>
      </c>
      <c r="BD18" s="1333">
        <v>7496202</v>
      </c>
      <c r="BE18" s="1331"/>
      <c r="BF18" s="1331"/>
      <c r="BG18" s="1331"/>
      <c r="BH18" s="1332"/>
      <c r="BM18" s="1330" t="s">
        <v>2433</v>
      </c>
      <c r="BN18" s="1361">
        <f t="shared" si="10"/>
        <v>3617798791</v>
      </c>
      <c r="BO18" s="1333">
        <v>792246641</v>
      </c>
      <c r="BP18" s="1333">
        <v>2372389307</v>
      </c>
      <c r="BQ18" s="1333">
        <v>-674641510</v>
      </c>
      <c r="BR18" s="1333">
        <v>-1399710925</v>
      </c>
      <c r="BS18" s="1333">
        <v>-154301441</v>
      </c>
      <c r="BT18" s="1334">
        <v>1414928277</v>
      </c>
    </row>
    <row r="19" spans="4:72" ht="16.5" customHeight="1" x14ac:dyDescent="0.3">
      <c r="E19" s="1330" t="s">
        <v>2299</v>
      </c>
      <c r="F19" s="1361">
        <f t="shared" si="5"/>
        <v>27481187802</v>
      </c>
      <c r="G19" s="1333">
        <v>14160735399</v>
      </c>
      <c r="H19" s="1333">
        <v>22364462935</v>
      </c>
      <c r="I19" s="1333">
        <v>2167627180</v>
      </c>
      <c r="J19" s="1333">
        <v>4788817859</v>
      </c>
      <c r="K19" s="1333">
        <v>9905542726</v>
      </c>
      <c r="L19" s="1334">
        <v>7368086800</v>
      </c>
      <c r="Q19" s="1370" t="s">
        <v>2432</v>
      </c>
      <c r="R19" s="1381">
        <f t="shared" si="6"/>
        <v>-238536134</v>
      </c>
      <c r="S19" s="1372">
        <v>-75829637</v>
      </c>
      <c r="T19" s="1372">
        <v>-183871286</v>
      </c>
      <c r="U19" s="1372">
        <v>-22581479</v>
      </c>
      <c r="V19" s="1372">
        <v>-141577066</v>
      </c>
      <c r="W19" s="1372">
        <v>-196241914</v>
      </c>
      <c r="X19" s="1374"/>
      <c r="AB19" s="1323"/>
      <c r="AC19" s="1330" t="s">
        <v>2433</v>
      </c>
      <c r="AD19" s="1361">
        <f t="shared" si="7"/>
        <v>-25309686631</v>
      </c>
      <c r="AE19" s="1333">
        <v>-4464465245</v>
      </c>
      <c r="AF19" s="1333">
        <v>59856644225</v>
      </c>
      <c r="AG19" s="1333">
        <v>-8305065854</v>
      </c>
      <c r="AH19" s="1333">
        <v>-76750979653</v>
      </c>
      <c r="AI19" s="1333">
        <v>-161917310509</v>
      </c>
      <c r="AJ19" s="1334">
        <v>-86008370725</v>
      </c>
      <c r="AO19" s="1330" t="s">
        <v>1872</v>
      </c>
      <c r="AP19" s="1361">
        <f t="shared" si="8"/>
        <v>15517194293</v>
      </c>
      <c r="AQ19" s="1333">
        <v>1512895864</v>
      </c>
      <c r="AR19" s="1333">
        <v>11267672074</v>
      </c>
      <c r="AS19" s="1333">
        <v>4105936292</v>
      </c>
      <c r="AT19" s="1333">
        <v>12957424023</v>
      </c>
      <c r="AU19" s="1333">
        <v>17206946242</v>
      </c>
      <c r="AV19" s="1334">
        <v>16051511617</v>
      </c>
      <c r="BA19" s="1330" t="s">
        <v>2433</v>
      </c>
      <c r="BB19" s="1361">
        <f t="shared" si="9"/>
        <v>-3956217055</v>
      </c>
      <c r="BC19" s="1333">
        <v>-985447286</v>
      </c>
      <c r="BD19" s="1333">
        <v>-3590362562</v>
      </c>
      <c r="BE19" s="1333">
        <v>-2991057880</v>
      </c>
      <c r="BF19" s="1333">
        <v>-8931035120</v>
      </c>
      <c r="BG19" s="1333">
        <v>-9296889613</v>
      </c>
      <c r="BH19" s="1334">
        <v>-18370349512</v>
      </c>
      <c r="BM19" s="1330" t="s">
        <v>2305</v>
      </c>
      <c r="BN19" s="1361">
        <f t="shared" si="10"/>
        <v>502418206</v>
      </c>
      <c r="BO19" s="1333">
        <v>234366008</v>
      </c>
      <c r="BP19" s="1333">
        <v>567060101</v>
      </c>
      <c r="BQ19" s="1333">
        <v>-6289503</v>
      </c>
      <c r="BR19" s="1333">
        <v>-56973557</v>
      </c>
      <c r="BS19" s="1333">
        <v>-121615452</v>
      </c>
      <c r="BT19" s="1334">
        <v>158700294</v>
      </c>
    </row>
    <row r="20" spans="4:72" ht="16.5" customHeight="1" x14ac:dyDescent="0.3">
      <c r="E20" s="1330" t="s">
        <v>2300</v>
      </c>
      <c r="F20" s="1361">
        <f t="shared" si="5"/>
        <v>57629887460</v>
      </c>
      <c r="G20" s="1333">
        <v>19792812016</v>
      </c>
      <c r="H20" s="1333">
        <v>45898652366</v>
      </c>
      <c r="I20" s="1333">
        <v>5220308015</v>
      </c>
      <c r="J20" s="1333">
        <v>35148906699</v>
      </c>
      <c r="K20" s="1333">
        <v>46880141793</v>
      </c>
      <c r="L20" s="1334">
        <v>46535752060</v>
      </c>
      <c r="Q20" s="1370" t="s">
        <v>2433</v>
      </c>
      <c r="R20" s="1381">
        <f t="shared" si="6"/>
        <v>5716592510</v>
      </c>
      <c r="S20" s="1372">
        <v>-19108074661</v>
      </c>
      <c r="T20" s="1372">
        <v>-113745545</v>
      </c>
      <c r="U20" s="1372">
        <v>7134636957</v>
      </c>
      <c r="V20" s="1372">
        <v>27278021408</v>
      </c>
      <c r="W20" s="1372">
        <v>33108359463</v>
      </c>
      <c r="X20" s="1373">
        <v>39638876561</v>
      </c>
      <c r="AB20" s="1323"/>
      <c r="AC20" s="1330" t="s">
        <v>2580</v>
      </c>
      <c r="AD20" s="1361">
        <f t="shared" si="7"/>
        <v>-4769199482</v>
      </c>
      <c r="AE20" s="1333">
        <v>-2215317925</v>
      </c>
      <c r="AF20" s="1333">
        <v>11456362613</v>
      </c>
      <c r="AG20" s="1333">
        <v>-2169949473</v>
      </c>
      <c r="AH20" s="1333">
        <v>-17209240714</v>
      </c>
      <c r="AI20" s="1333">
        <v>-33434802809</v>
      </c>
      <c r="AJ20" s="1334">
        <v>-16938658215</v>
      </c>
      <c r="AO20" s="1330" t="s">
        <v>2305</v>
      </c>
      <c r="AP20" s="1361">
        <f t="shared" si="8"/>
        <v>4943611009</v>
      </c>
      <c r="AQ20" s="1333">
        <v>573606000</v>
      </c>
      <c r="AR20" s="1333">
        <v>2698210035</v>
      </c>
      <c r="AS20" s="1333">
        <v>903305000</v>
      </c>
      <c r="AT20" s="1333">
        <v>2855032301</v>
      </c>
      <c r="AU20" s="1333">
        <v>5100433275</v>
      </c>
      <c r="AV20" s="1334">
        <v>3245270910</v>
      </c>
      <c r="BA20" s="1330" t="s">
        <v>2305</v>
      </c>
      <c r="BB20" s="1361">
        <f t="shared" si="9"/>
        <v>0</v>
      </c>
      <c r="BC20" s="1331"/>
      <c r="BD20" s="1331"/>
      <c r="BE20" s="1331"/>
      <c r="BF20" s="1331"/>
      <c r="BG20" s="1331"/>
      <c r="BH20" s="1332"/>
      <c r="BL20" s="1323" t="s">
        <v>2380</v>
      </c>
      <c r="BM20" s="1330" t="s">
        <v>2177</v>
      </c>
      <c r="BN20" s="1361">
        <f t="shared" si="10"/>
        <v>3115380585</v>
      </c>
      <c r="BO20" s="1333">
        <v>557880633</v>
      </c>
      <c r="BP20" s="1333">
        <v>1805329206</v>
      </c>
      <c r="BQ20" s="1333">
        <v>-668352007</v>
      </c>
      <c r="BR20" s="1333">
        <v>-1342737368</v>
      </c>
      <c r="BS20" s="1333">
        <v>-32685989</v>
      </c>
      <c r="BT20" s="1334">
        <v>1256227983</v>
      </c>
    </row>
    <row r="21" spans="4:72" ht="16.5" customHeight="1" x14ac:dyDescent="0.3">
      <c r="E21" s="1330" t="s">
        <v>2301</v>
      </c>
      <c r="F21" s="1361">
        <f t="shared" si="5"/>
        <v>1844217260</v>
      </c>
      <c r="G21" s="1333">
        <v>357289277</v>
      </c>
      <c r="H21" s="1333">
        <v>1161918420</v>
      </c>
      <c r="I21" s="1333">
        <v>562737286</v>
      </c>
      <c r="J21" s="1333">
        <v>2017256418</v>
      </c>
      <c r="K21" s="1333">
        <v>2699555258</v>
      </c>
      <c r="L21" s="1334">
        <v>3276165160</v>
      </c>
      <c r="Q21" s="1370" t="s">
        <v>2305</v>
      </c>
      <c r="R21" s="1381">
        <f t="shared" si="6"/>
        <v>1755549697</v>
      </c>
      <c r="S21" s="1372">
        <v>-3126688049</v>
      </c>
      <c r="T21" s="1372">
        <v>21540366</v>
      </c>
      <c r="U21" s="1372">
        <v>1980388933</v>
      </c>
      <c r="V21" s="1372">
        <v>7424688124</v>
      </c>
      <c r="W21" s="1372">
        <v>9158697455</v>
      </c>
      <c r="X21" s="1373">
        <v>17141020721</v>
      </c>
      <c r="AB21" s="1323"/>
      <c r="AC21" s="1330" t="s">
        <v>2581</v>
      </c>
      <c r="AD21" s="1361">
        <f t="shared" si="7"/>
        <v>-20540487149</v>
      </c>
      <c r="AE21" s="1333">
        <v>-2249147320</v>
      </c>
      <c r="AF21" s="1333">
        <v>48400281612</v>
      </c>
      <c r="AG21" s="1333">
        <v>-6135116381</v>
      </c>
      <c r="AH21" s="1333">
        <v>-59541738939</v>
      </c>
      <c r="AI21" s="1333">
        <v>-128482507700</v>
      </c>
      <c r="AJ21" s="1334">
        <v>-69069712510</v>
      </c>
      <c r="AN21" s="1438" t="s">
        <v>2380</v>
      </c>
      <c r="AO21" s="1330" t="s">
        <v>2307</v>
      </c>
      <c r="AP21" s="1361">
        <f t="shared" si="8"/>
        <v>10573583284</v>
      </c>
      <c r="AQ21" s="1333">
        <v>939289864</v>
      </c>
      <c r="AR21" s="1333">
        <v>8569462039</v>
      </c>
      <c r="AS21" s="1333">
        <v>3202631292</v>
      </c>
      <c r="AT21" s="1333">
        <v>10102391722</v>
      </c>
      <c r="AU21" s="1333">
        <v>12106512967</v>
      </c>
      <c r="AV21" s="1334">
        <v>12806240707</v>
      </c>
      <c r="BA21" s="1330" t="s">
        <v>2434</v>
      </c>
      <c r="BB21" s="1361">
        <f t="shared" si="9"/>
        <v>-3956217055</v>
      </c>
      <c r="BC21" s="1333">
        <v>-985447286</v>
      </c>
      <c r="BD21" s="1333">
        <v>-3590362562</v>
      </c>
      <c r="BE21" s="1333">
        <v>-2991057880</v>
      </c>
      <c r="BF21" s="1333">
        <v>-8931035120</v>
      </c>
      <c r="BG21" s="1333">
        <v>-9296889613</v>
      </c>
      <c r="BH21" s="1334">
        <v>-18370349512</v>
      </c>
      <c r="BM21" s="1330" t="s">
        <v>2436</v>
      </c>
      <c r="BN21" s="1354"/>
      <c r="BO21" s="1331"/>
      <c r="BP21" s="1331"/>
      <c r="BQ21" s="1331"/>
      <c r="BR21" s="1331"/>
      <c r="BS21" s="1331"/>
      <c r="BT21" s="1332"/>
    </row>
    <row r="22" spans="4:72" ht="16.5" customHeight="1" x14ac:dyDescent="0.3">
      <c r="E22" s="1330" t="s">
        <v>2302</v>
      </c>
      <c r="F22" s="1361">
        <f t="shared" si="5"/>
        <v>45102505173</v>
      </c>
      <c r="G22" s="1333">
        <v>16471610024</v>
      </c>
      <c r="H22" s="1333">
        <v>34762040102</v>
      </c>
      <c r="I22" s="1333">
        <v>7366775843</v>
      </c>
      <c r="J22" s="1333">
        <v>22526263221</v>
      </c>
      <c r="K22" s="1333">
        <v>32866728292</v>
      </c>
      <c r="L22" s="1334">
        <v>30864828743</v>
      </c>
      <c r="Q22" s="1370" t="s">
        <v>2434</v>
      </c>
      <c r="R22" s="1381">
        <f t="shared" si="6"/>
        <v>3961042813</v>
      </c>
      <c r="S22" s="1372">
        <v>-15981386612</v>
      </c>
      <c r="T22" s="1372">
        <v>-135285911</v>
      </c>
      <c r="U22" s="1372">
        <v>5154248024</v>
      </c>
      <c r="V22" s="1372">
        <v>19853333284</v>
      </c>
      <c r="W22" s="1372">
        <v>23949662008</v>
      </c>
      <c r="X22" s="1373">
        <v>22497855840</v>
      </c>
      <c r="AB22" s="1323"/>
      <c r="AC22" s="1330" t="s">
        <v>2582</v>
      </c>
      <c r="AD22" s="1361">
        <f t="shared" si="7"/>
        <v>-9655048316</v>
      </c>
      <c r="AE22" s="1333">
        <v>159411414</v>
      </c>
      <c r="AF22" s="1333">
        <v>-10616990714</v>
      </c>
      <c r="AG22" s="1333">
        <v>2332039437</v>
      </c>
      <c r="AH22" s="1333">
        <v>2994834566</v>
      </c>
      <c r="AI22" s="1333">
        <v>3956776964</v>
      </c>
      <c r="AJ22" s="1334">
        <v>5267745849</v>
      </c>
      <c r="AO22" s="1330" t="s">
        <v>2441</v>
      </c>
      <c r="AP22" s="1354"/>
      <c r="AQ22" s="1333">
        <v>-84566235</v>
      </c>
      <c r="AR22" s="1333">
        <v>212608970</v>
      </c>
      <c r="AS22" s="1333">
        <v>42305921</v>
      </c>
      <c r="AT22" s="1333">
        <v>-61330035</v>
      </c>
      <c r="AU22" s="1333">
        <v>-1993149949</v>
      </c>
      <c r="AV22" s="1334">
        <v>150409889</v>
      </c>
      <c r="BA22" s="1330" t="s">
        <v>2435</v>
      </c>
      <c r="BB22" s="1361">
        <f t="shared" si="9"/>
        <v>0</v>
      </c>
      <c r="BC22" s="1331"/>
      <c r="BD22" s="1331"/>
      <c r="BE22" s="1331"/>
      <c r="BF22" s="1331"/>
      <c r="BG22" s="1331"/>
      <c r="BH22" s="1332"/>
      <c r="BM22" s="1330" t="s">
        <v>2437</v>
      </c>
      <c r="BN22" s="1354"/>
      <c r="BO22" s="1333">
        <v>555061528</v>
      </c>
      <c r="BP22" s="1333">
        <v>1797497508</v>
      </c>
      <c r="BQ22" s="1333">
        <v>-669201317</v>
      </c>
      <c r="BR22" s="1333">
        <v>-1343586678</v>
      </c>
      <c r="BS22" s="1333">
        <v>-36433620</v>
      </c>
      <c r="BT22" s="1334">
        <v>1256227983</v>
      </c>
    </row>
    <row r="23" spans="4:72" ht="16.5" customHeight="1" x14ac:dyDescent="0.3">
      <c r="E23" s="1330" t="s">
        <v>2303</v>
      </c>
      <c r="F23" s="1361">
        <f t="shared" si="5"/>
        <v>10683165027</v>
      </c>
      <c r="G23" s="1333">
        <v>2963912715</v>
      </c>
      <c r="H23" s="1333">
        <v>9974693844</v>
      </c>
      <c r="I23" s="1333">
        <v>-2709205114</v>
      </c>
      <c r="J23" s="1333">
        <v>10605387060</v>
      </c>
      <c r="K23" s="1333">
        <v>11313858243</v>
      </c>
      <c r="L23" s="1334">
        <v>12394758157</v>
      </c>
      <c r="Q23" s="1370" t="s">
        <v>2435</v>
      </c>
      <c r="R23" s="1381">
        <f t="shared" si="6"/>
        <v>-6562872778</v>
      </c>
      <c r="S23" s="1372">
        <v>-9010014685</v>
      </c>
      <c r="T23" s="1372">
        <v>-10230067488</v>
      </c>
      <c r="U23" s="1372">
        <v>-1980909615</v>
      </c>
      <c r="V23" s="1372">
        <v>-3667194710</v>
      </c>
      <c r="W23" s="1375"/>
      <c r="X23" s="1374"/>
      <c r="AB23" s="1323" t="s">
        <v>2380</v>
      </c>
      <c r="AC23" s="1330" t="s">
        <v>2307</v>
      </c>
      <c r="AD23" s="1361">
        <f t="shared" si="7"/>
        <v>-30195535465</v>
      </c>
      <c r="AE23" s="1333">
        <v>-2089735906</v>
      </c>
      <c r="AF23" s="1333">
        <v>37783290898</v>
      </c>
      <c r="AG23" s="1333">
        <v>-3803076944</v>
      </c>
      <c r="AH23" s="1333">
        <v>-56546904373</v>
      </c>
      <c r="AI23" s="1333">
        <v>-124525730736</v>
      </c>
      <c r="AJ23" s="1334">
        <v>-63801966661</v>
      </c>
      <c r="AO23" s="1330" t="s">
        <v>2690</v>
      </c>
      <c r="AP23" s="1354"/>
      <c r="AQ23" s="1333">
        <v>-84566235</v>
      </c>
      <c r="AR23" s="1333">
        <v>212608970</v>
      </c>
      <c r="AS23" s="1333">
        <v>42305921</v>
      </c>
      <c r="AT23" s="1333">
        <v>-61330035</v>
      </c>
      <c r="AU23" s="1333">
        <v>-192198098</v>
      </c>
      <c r="AV23" s="1334">
        <v>817882627</v>
      </c>
      <c r="AZ23" s="1438" t="s">
        <v>2380</v>
      </c>
      <c r="BA23" s="1330" t="s">
        <v>2177</v>
      </c>
      <c r="BB23" s="1361">
        <f t="shared" si="9"/>
        <v>-3956217055</v>
      </c>
      <c r="BC23" s="1333">
        <v>-985447286</v>
      </c>
      <c r="BD23" s="1333">
        <v>-3590362562</v>
      </c>
      <c r="BE23" s="1333">
        <v>-2991057880</v>
      </c>
      <c r="BF23" s="1333">
        <v>-8931035120</v>
      </c>
      <c r="BG23" s="1333">
        <v>-9296889613</v>
      </c>
      <c r="BH23" s="1334">
        <v>-18370349512</v>
      </c>
      <c r="BM23" s="1330" t="s">
        <v>2440</v>
      </c>
      <c r="BN23" s="1354"/>
      <c r="BO23" s="1333">
        <v>2819105</v>
      </c>
      <c r="BP23" s="1333">
        <v>7831698</v>
      </c>
      <c r="BQ23" s="1333">
        <v>849310</v>
      </c>
      <c r="BR23" s="1333">
        <v>849310</v>
      </c>
      <c r="BS23" s="1333">
        <v>3747631</v>
      </c>
      <c r="BT23" s="1332"/>
    </row>
    <row r="24" spans="4:72" ht="16.5" customHeight="1" x14ac:dyDescent="0.3">
      <c r="E24" s="1330" t="s">
        <v>2304</v>
      </c>
      <c r="F24" s="1361">
        <f t="shared" si="5"/>
        <v>1989353290</v>
      </c>
      <c r="G24" s="1333">
        <v>981598795</v>
      </c>
      <c r="H24" s="1333">
        <v>1578871360</v>
      </c>
      <c r="I24" s="1333">
        <v>615732564</v>
      </c>
      <c r="J24" s="1333">
        <v>2495125499</v>
      </c>
      <c r="K24" s="1333">
        <v>2905607429</v>
      </c>
      <c r="L24" s="1334">
        <v>9104155128</v>
      </c>
      <c r="P24" s="1323" t="s">
        <v>2380</v>
      </c>
      <c r="Q24" s="1370" t="s">
        <v>2177</v>
      </c>
      <c r="R24" s="1381">
        <f t="shared" si="6"/>
        <v>-2601829965</v>
      </c>
      <c r="S24" s="1372">
        <v>-24991401297</v>
      </c>
      <c r="T24" s="1372">
        <v>-10365353399</v>
      </c>
      <c r="U24" s="1372">
        <v>3173338409</v>
      </c>
      <c r="V24" s="1372">
        <v>16186138574</v>
      </c>
      <c r="W24" s="1372">
        <v>23949662008</v>
      </c>
      <c r="X24" s="1373">
        <v>22497855840</v>
      </c>
      <c r="AC24" s="1330" t="s">
        <v>2583</v>
      </c>
      <c r="AD24" s="1361">
        <f t="shared" si="7"/>
        <v>36873272595</v>
      </c>
      <c r="AE24" s="1333">
        <v>-10256574530</v>
      </c>
      <c r="AF24" s="1333">
        <v>40266746241</v>
      </c>
      <c r="AG24" s="1333">
        <v>17917399445</v>
      </c>
      <c r="AH24" s="1333">
        <v>-8108267738</v>
      </c>
      <c r="AI24" s="1333">
        <v>-11501741384</v>
      </c>
      <c r="AJ24" s="1334">
        <v>15862189160</v>
      </c>
      <c r="AO24" s="1330" t="s">
        <v>2691</v>
      </c>
      <c r="AP24" s="1354"/>
      <c r="AQ24" s="1333">
        <v>-84566235</v>
      </c>
      <c r="AR24" s="1333">
        <v>212608970</v>
      </c>
      <c r="AS24" s="1333">
        <v>42305921</v>
      </c>
      <c r="AT24" s="1333">
        <v>-61330035</v>
      </c>
      <c r="AU24" s="1333">
        <v>-192198098</v>
      </c>
      <c r="AV24" s="1334">
        <v>817882627</v>
      </c>
      <c r="BA24" s="1330" t="s">
        <v>2441</v>
      </c>
      <c r="BB24" s="1354"/>
      <c r="BC24" s="1333">
        <v>217051668</v>
      </c>
      <c r="BD24" s="1333">
        <v>690045882</v>
      </c>
      <c r="BE24" s="1333">
        <v>1191417067</v>
      </c>
      <c r="BF24" s="1333">
        <v>1890503784</v>
      </c>
      <c r="BG24" s="1333">
        <v>3813888898</v>
      </c>
      <c r="BH24" s="1334">
        <v>1494963252</v>
      </c>
      <c r="BM24" s="1330" t="s">
        <v>2308</v>
      </c>
      <c r="BN24" s="1354"/>
      <c r="BO24" s="1331"/>
      <c r="BP24" s="1331"/>
      <c r="BQ24" s="1331"/>
      <c r="BR24" s="1331"/>
      <c r="BS24" s="1331"/>
      <c r="BT24" s="1332"/>
    </row>
    <row r="25" spans="4:72" ht="16.5" customHeight="1" x14ac:dyDescent="0.3">
      <c r="E25" s="1330" t="s">
        <v>1872</v>
      </c>
      <c r="F25" s="1361">
        <f t="shared" si="5"/>
        <v>658563260747</v>
      </c>
      <c r="G25" s="1333">
        <v>152468612326</v>
      </c>
      <c r="H25" s="1333">
        <v>474423399329</v>
      </c>
      <c r="I25" s="1333">
        <v>145898783820</v>
      </c>
      <c r="J25" s="1333">
        <v>452611228496</v>
      </c>
      <c r="K25" s="1333">
        <v>636751089914</v>
      </c>
      <c r="L25" s="1334">
        <v>496990144706</v>
      </c>
      <c r="Q25" s="1370" t="s">
        <v>2436</v>
      </c>
      <c r="R25" s="1371"/>
      <c r="S25" s="1375"/>
      <c r="T25" s="1375"/>
      <c r="U25" s="1375"/>
      <c r="V25" s="1375"/>
      <c r="W25" s="1375"/>
      <c r="X25" s="1374"/>
      <c r="AC25" s="1330" t="s">
        <v>2584</v>
      </c>
      <c r="AD25" s="1354"/>
      <c r="AE25" s="1331"/>
      <c r="AF25" s="1331"/>
      <c r="AG25" s="1331"/>
      <c r="AH25" s="1331"/>
      <c r="AI25" s="1331"/>
      <c r="AJ25" s="1332"/>
      <c r="AO25" s="1330" t="s">
        <v>2692</v>
      </c>
      <c r="AP25" s="1354"/>
      <c r="AQ25" s="1331">
        <v>0</v>
      </c>
      <c r="AR25" s="1331">
        <v>0</v>
      </c>
      <c r="AS25" s="1331">
        <v>0</v>
      </c>
      <c r="AT25" s="1331">
        <v>0</v>
      </c>
      <c r="AU25" s="1333">
        <v>-1800951851</v>
      </c>
      <c r="AV25" s="1334">
        <v>-667472738</v>
      </c>
      <c r="BA25" s="1330" t="s">
        <v>2442</v>
      </c>
      <c r="BB25" s="1354"/>
      <c r="BC25" s="1331"/>
      <c r="BD25" s="1331"/>
      <c r="BE25" s="1331"/>
      <c r="BF25" s="1331"/>
      <c r="BG25" s="1331"/>
      <c r="BH25" s="1332"/>
      <c r="BM25" s="1330" t="s">
        <v>2695</v>
      </c>
      <c r="BN25" s="1354"/>
      <c r="BO25" s="1331">
        <v>53</v>
      </c>
      <c r="BP25" s="1331">
        <v>167</v>
      </c>
      <c r="BQ25" s="1331">
        <v>-60</v>
      </c>
      <c r="BR25" s="1331">
        <v>-121</v>
      </c>
      <c r="BS25" s="1331">
        <v>3</v>
      </c>
      <c r="BT25" s="1332">
        <v>113</v>
      </c>
    </row>
    <row r="26" spans="4:72" ht="16.5" customHeight="1" x14ac:dyDescent="0.3">
      <c r="E26" s="1330" t="s">
        <v>2305</v>
      </c>
      <c r="F26" s="1361">
        <f t="shared" si="5"/>
        <v>194936265430</v>
      </c>
      <c r="G26" s="1333">
        <v>42962913685</v>
      </c>
      <c r="H26" s="1333">
        <v>145938561268</v>
      </c>
      <c r="I26" s="1333">
        <v>48568588869</v>
      </c>
      <c r="J26" s="1333">
        <v>153480860278</v>
      </c>
      <c r="K26" s="1333">
        <v>202478564440</v>
      </c>
      <c r="L26" s="1334">
        <v>171007639767</v>
      </c>
      <c r="Q26" s="1370" t="s">
        <v>2437</v>
      </c>
      <c r="R26" s="1371"/>
      <c r="S26" s="1375"/>
      <c r="T26" s="1375"/>
      <c r="U26" s="1375"/>
      <c r="V26" s="1375"/>
      <c r="W26" s="1372">
        <v>25650150155</v>
      </c>
      <c r="X26" s="1373">
        <v>25028902244</v>
      </c>
      <c r="AC26" s="1330" t="s">
        <v>2585</v>
      </c>
      <c r="AD26" s="1354"/>
      <c r="AE26" s="1333">
        <v>-3086063615</v>
      </c>
      <c r="AF26" s="1333">
        <v>40431386</v>
      </c>
      <c r="AG26" s="1333">
        <v>8611543226</v>
      </c>
      <c r="AH26" s="1333">
        <v>-8625947188</v>
      </c>
      <c r="AI26" s="1333">
        <v>-12090299782</v>
      </c>
      <c r="AJ26" s="1334">
        <v>14090700318</v>
      </c>
      <c r="AO26" s="1330" t="s">
        <v>2693</v>
      </c>
      <c r="AP26" s="1354"/>
      <c r="AQ26" s="1331">
        <v>0</v>
      </c>
      <c r="AR26" s="1331">
        <v>0</v>
      </c>
      <c r="AS26" s="1331">
        <v>0</v>
      </c>
      <c r="AT26" s="1331">
        <v>0</v>
      </c>
      <c r="AU26" s="1333">
        <v>-1800951851</v>
      </c>
      <c r="AV26" s="1334">
        <v>-667472738</v>
      </c>
      <c r="BA26" s="1330" t="s">
        <v>2726</v>
      </c>
      <c r="BB26" s="1354"/>
      <c r="BC26" s="1333">
        <v>271299326</v>
      </c>
      <c r="BD26" s="1333">
        <v>682061416</v>
      </c>
      <c r="BE26" s="1333">
        <v>1190184541</v>
      </c>
      <c r="BF26" s="1333">
        <v>1891836652</v>
      </c>
      <c r="BG26" s="1333">
        <v>2917545242</v>
      </c>
      <c r="BH26" s="1334">
        <v>947770250</v>
      </c>
      <c r="BM26" s="1330" t="s">
        <v>2441</v>
      </c>
      <c r="BN26" s="1354"/>
      <c r="BO26" s="1333">
        <v>-129730292</v>
      </c>
      <c r="BP26" s="1333">
        <v>-198991178</v>
      </c>
      <c r="BQ26" s="1333">
        <v>-736039</v>
      </c>
      <c r="BR26" s="1333">
        <v>16937336</v>
      </c>
      <c r="BS26" s="1333">
        <v>226878933</v>
      </c>
      <c r="BT26" s="1334">
        <v>-322805749</v>
      </c>
    </row>
    <row r="27" spans="4:72" ht="16.5" customHeight="1" x14ac:dyDescent="0.3">
      <c r="E27" s="1330" t="s">
        <v>2306</v>
      </c>
      <c r="F27" s="1361">
        <f t="shared" si="5"/>
        <v>463626995317</v>
      </c>
      <c r="G27" s="1333">
        <v>109505698641</v>
      </c>
      <c r="H27" s="1333">
        <v>328484838061</v>
      </c>
      <c r="I27" s="1333">
        <v>97330194951</v>
      </c>
      <c r="J27" s="1333">
        <v>299130368218</v>
      </c>
      <c r="K27" s="1333">
        <v>434272525474</v>
      </c>
      <c r="L27" s="1334">
        <v>325982504939</v>
      </c>
      <c r="Q27" s="1370" t="s">
        <v>2438</v>
      </c>
      <c r="R27" s="1371"/>
      <c r="S27" s="1372">
        <v>-16317312651</v>
      </c>
      <c r="T27" s="1372">
        <v>-345341395</v>
      </c>
      <c r="U27" s="1372">
        <v>4912891729</v>
      </c>
      <c r="V27" s="1372">
        <v>21546424147</v>
      </c>
      <c r="W27" s="1372">
        <v>25650150155</v>
      </c>
      <c r="X27" s="1373">
        <v>25028902244</v>
      </c>
      <c r="AC27" s="1330" t="s">
        <v>2586</v>
      </c>
      <c r="AD27" s="1354"/>
      <c r="AE27" s="1333">
        <v>139439343</v>
      </c>
      <c r="AF27" s="1333">
        <v>-374830636</v>
      </c>
      <c r="AG27" s="1333">
        <v>9500334583</v>
      </c>
      <c r="AH27" s="1333">
        <v>561717774</v>
      </c>
      <c r="AI27" s="1333">
        <v>649423837</v>
      </c>
      <c r="AJ27" s="1334">
        <v>-655684837</v>
      </c>
      <c r="AO27" s="1330" t="s">
        <v>2694</v>
      </c>
      <c r="AP27" s="1354"/>
      <c r="AQ27" s="1333">
        <v>854723629</v>
      </c>
      <c r="AR27" s="1333">
        <v>8782071009</v>
      </c>
      <c r="AS27" s="1333">
        <v>3244937213</v>
      </c>
      <c r="AT27" s="1333">
        <v>10041061687</v>
      </c>
      <c r="AU27" s="1333">
        <v>10113363018</v>
      </c>
      <c r="AV27" s="1334">
        <v>12956650596</v>
      </c>
      <c r="BA27" s="1330" t="s">
        <v>2727</v>
      </c>
      <c r="BB27" s="1354"/>
      <c r="BC27" s="1333">
        <v>-59685852</v>
      </c>
      <c r="BD27" s="1333">
        <v>-150053512</v>
      </c>
      <c r="BE27" s="1331"/>
      <c r="BF27" s="1331"/>
      <c r="BG27" s="1333">
        <v>-186001533</v>
      </c>
      <c r="BH27" s="1332"/>
      <c r="BM27" s="1330" t="s">
        <v>2442</v>
      </c>
      <c r="BN27" s="1354"/>
      <c r="BO27" s="1333">
        <v>276364</v>
      </c>
      <c r="BP27" s="1333">
        <v>-4100534</v>
      </c>
      <c r="BQ27" s="1333">
        <v>-736039</v>
      </c>
      <c r="BR27" s="1333">
        <v>-8181290</v>
      </c>
      <c r="BS27" s="1333">
        <v>197713772</v>
      </c>
      <c r="BT27" s="1334">
        <v>-461765954</v>
      </c>
    </row>
    <row r="28" spans="4:72" ht="16.5" customHeight="1" x14ac:dyDescent="0.3">
      <c r="D28" s="1323" t="s">
        <v>2380</v>
      </c>
      <c r="E28" s="1335" t="s">
        <v>2307</v>
      </c>
      <c r="F28" s="1361">
        <f t="shared" si="5"/>
        <v>463626995317</v>
      </c>
      <c r="G28" s="1336">
        <v>109505698641</v>
      </c>
      <c r="H28" s="1336">
        <v>328484838061</v>
      </c>
      <c r="I28" s="1336">
        <v>97330194951</v>
      </c>
      <c r="J28" s="1336">
        <v>299130368218</v>
      </c>
      <c r="K28" s="1336">
        <v>434272525474</v>
      </c>
      <c r="L28" s="1337">
        <v>325982</v>
      </c>
      <c r="Q28" s="1370" t="s">
        <v>2439</v>
      </c>
      <c r="R28" s="1371"/>
      <c r="S28" s="1372">
        <v>-9010014685</v>
      </c>
      <c r="T28" s="1372">
        <v>-10230067488</v>
      </c>
      <c r="U28" s="1372">
        <v>-1980909615</v>
      </c>
      <c r="V28" s="1372">
        <v>-3667194710</v>
      </c>
      <c r="W28" s="1375"/>
      <c r="X28" s="1374"/>
      <c r="AC28" s="1330" t="s">
        <v>2587</v>
      </c>
      <c r="AD28" s="1354"/>
      <c r="AE28" s="1331">
        <v>0</v>
      </c>
      <c r="AF28" s="1331">
        <v>0</v>
      </c>
      <c r="AG28" s="1331">
        <v>0</v>
      </c>
      <c r="AH28" s="1331">
        <v>0</v>
      </c>
      <c r="AI28" s="1331">
        <v>0</v>
      </c>
      <c r="AJ28" s="1334">
        <v>739591079</v>
      </c>
      <c r="AO28" s="1330" t="s">
        <v>2308</v>
      </c>
      <c r="AP28" s="1354"/>
      <c r="AQ28" s="1331"/>
      <c r="AR28" s="1331"/>
      <c r="AS28" s="1331"/>
      <c r="AT28" s="1331"/>
      <c r="AU28" s="1331"/>
      <c r="AV28" s="1332"/>
      <c r="BA28" s="1330" t="s">
        <v>2444</v>
      </c>
      <c r="BB28" s="1354"/>
      <c r="BC28" s="1331"/>
      <c r="BD28" s="1331"/>
      <c r="BE28" s="1331"/>
      <c r="BF28" s="1331"/>
      <c r="BG28" s="1331"/>
      <c r="BH28" s="1332"/>
      <c r="BM28" s="1330" t="s">
        <v>2443</v>
      </c>
      <c r="BN28" s="1354"/>
      <c r="BO28" s="1333">
        <v>276364</v>
      </c>
      <c r="BP28" s="1333">
        <v>-4100534</v>
      </c>
      <c r="BQ28" s="1333">
        <v>-736039</v>
      </c>
      <c r="BR28" s="1333">
        <v>-8181290</v>
      </c>
      <c r="BS28" s="1333">
        <v>197713772</v>
      </c>
      <c r="BT28" s="1334">
        <v>-461765954</v>
      </c>
    </row>
    <row r="29" spans="4:72" ht="16.5" customHeight="1" x14ac:dyDescent="0.3">
      <c r="Q29" s="1370" t="s">
        <v>2440</v>
      </c>
      <c r="R29" s="1371"/>
      <c r="S29" s="1372">
        <v>335926039</v>
      </c>
      <c r="T29" s="1372">
        <v>210055484</v>
      </c>
      <c r="U29" s="1372">
        <v>241356295</v>
      </c>
      <c r="V29" s="1372">
        <v>-1693090863</v>
      </c>
      <c r="W29" s="1372">
        <v>-1700488147</v>
      </c>
      <c r="X29" s="1373">
        <v>-2531046404</v>
      </c>
      <c r="AC29" s="1330" t="s">
        <v>2588</v>
      </c>
      <c r="AD29" s="1354"/>
      <c r="AE29" s="1331">
        <v>0</v>
      </c>
      <c r="AF29" s="1333">
        <v>-184076979</v>
      </c>
      <c r="AG29" s="1333">
        <v>-194478364</v>
      </c>
      <c r="AH29" s="1333">
        <v>-44038324</v>
      </c>
      <c r="AI29" s="1333">
        <v>-127578224</v>
      </c>
      <c r="AJ29" s="1334">
        <v>-44603139</v>
      </c>
      <c r="AO29" s="1330" t="s">
        <v>2695</v>
      </c>
      <c r="AP29" s="1354"/>
      <c r="AQ29" s="1331">
        <v>546</v>
      </c>
      <c r="AR29" s="1333">
        <v>4982</v>
      </c>
      <c r="AS29" s="1333">
        <v>1862</v>
      </c>
      <c r="AT29" s="1333">
        <v>5873</v>
      </c>
      <c r="AU29" s="1333">
        <v>7039</v>
      </c>
      <c r="AV29" s="1334">
        <v>7445</v>
      </c>
      <c r="BA29" s="1330" t="s">
        <v>2728</v>
      </c>
      <c r="BB29" s="1354"/>
      <c r="BC29" s="1333">
        <v>5622644</v>
      </c>
      <c r="BD29" s="1333">
        <v>9376164</v>
      </c>
      <c r="BE29" s="1333">
        <v>2945276</v>
      </c>
      <c r="BF29" s="1333">
        <v>2104912</v>
      </c>
      <c r="BG29" s="1333">
        <v>4437345</v>
      </c>
      <c r="BH29" s="1334">
        <v>3053370</v>
      </c>
      <c r="BM29" s="1330" t="s">
        <v>2444</v>
      </c>
      <c r="BN29" s="1354"/>
      <c r="BO29" s="1333">
        <v>-130006656</v>
      </c>
      <c r="BP29" s="1333">
        <v>-194890644</v>
      </c>
      <c r="BQ29" s="1331"/>
      <c r="BR29" s="1333">
        <v>25118626</v>
      </c>
      <c r="BS29" s="1333">
        <v>29165161</v>
      </c>
      <c r="BT29" s="1334">
        <v>138960205</v>
      </c>
    </row>
    <row r="30" spans="4:72" ht="16.5" customHeight="1" x14ac:dyDescent="0.3">
      <c r="E30" s="1338" t="s">
        <v>2381</v>
      </c>
      <c r="F30" s="1356" t="s">
        <v>2404</v>
      </c>
      <c r="G30" s="1339" t="s">
        <v>2382</v>
      </c>
      <c r="H30" s="1340" t="s">
        <v>2383</v>
      </c>
      <c r="J30" s="1338" t="s">
        <v>2381</v>
      </c>
      <c r="K30" s="1339" t="s">
        <v>2405</v>
      </c>
      <c r="L30" s="1340" t="s">
        <v>2406</v>
      </c>
      <c r="Q30" s="1370" t="s">
        <v>2441</v>
      </c>
      <c r="R30" s="1371"/>
      <c r="S30" s="1375"/>
      <c r="T30" s="1375"/>
      <c r="U30" s="1375"/>
      <c r="V30" s="1375"/>
      <c r="W30" s="1372">
        <v>493982474</v>
      </c>
      <c r="X30" s="1373">
        <v>4307636059</v>
      </c>
      <c r="AC30" s="1330" t="s">
        <v>2589</v>
      </c>
      <c r="AD30" s="1354"/>
      <c r="AE30" s="1333">
        <v>-7309950258</v>
      </c>
      <c r="AF30" s="1333">
        <v>40785222470</v>
      </c>
      <c r="AG30" s="1331">
        <v>0</v>
      </c>
      <c r="AH30" s="1331">
        <v>0</v>
      </c>
      <c r="AI30" s="1331">
        <v>0</v>
      </c>
      <c r="AJ30" s="1332">
        <v>0</v>
      </c>
      <c r="AO30" s="1335" t="s">
        <v>2696</v>
      </c>
      <c r="AP30" s="1355"/>
      <c r="AQ30" s="1430">
        <v>546</v>
      </c>
      <c r="AR30" s="1336">
        <v>4982</v>
      </c>
      <c r="AS30" s="1336">
        <v>1862</v>
      </c>
      <c r="AT30" s="1336">
        <v>5873</v>
      </c>
      <c r="AU30" s="1336">
        <v>7039</v>
      </c>
      <c r="AV30" s="1337">
        <v>7445</v>
      </c>
      <c r="BA30" s="1330" t="s">
        <v>2585</v>
      </c>
      <c r="BB30" s="1354"/>
      <c r="BC30" s="1333">
        <v>-184450</v>
      </c>
      <c r="BD30" s="1333">
        <v>170530677</v>
      </c>
      <c r="BE30" s="1333">
        <v>-1712750</v>
      </c>
      <c r="BF30" s="1333">
        <v>-3437780</v>
      </c>
      <c r="BG30" s="1333">
        <v>1357462069</v>
      </c>
      <c r="BH30" s="1334">
        <v>694458729</v>
      </c>
      <c r="BM30" s="1330" t="s">
        <v>2585</v>
      </c>
      <c r="BN30" s="1354"/>
      <c r="BO30" s="1333">
        <v>-130006656</v>
      </c>
      <c r="BP30" s="1333">
        <v>-194890644</v>
      </c>
      <c r="BQ30" s="1331"/>
      <c r="BR30" s="1333">
        <v>25118626</v>
      </c>
      <c r="BS30" s="1333">
        <v>29165161</v>
      </c>
      <c r="BT30" s="1334">
        <v>138960205</v>
      </c>
    </row>
    <row r="31" spans="4:72" ht="16.5" customHeight="1" x14ac:dyDescent="0.3">
      <c r="E31" s="1341" t="s">
        <v>2384</v>
      </c>
      <c r="F31" s="1364">
        <f>G31-H31+K31</f>
        <v>463626995</v>
      </c>
      <c r="G31" s="1342">
        <v>328484838</v>
      </c>
      <c r="H31" s="1343">
        <v>299130368</v>
      </c>
      <c r="J31" s="1362" t="s">
        <v>2307</v>
      </c>
      <c r="K31" s="1342">
        <v>434272525</v>
      </c>
      <c r="L31" s="1343">
        <v>325982505</v>
      </c>
      <c r="Q31" s="1370" t="s">
        <v>2442</v>
      </c>
      <c r="R31" s="1371"/>
      <c r="S31" s="1375"/>
      <c r="T31" s="1375"/>
      <c r="U31" s="1375"/>
      <c r="V31" s="1375"/>
      <c r="W31" s="1372">
        <v>-2045854019</v>
      </c>
      <c r="X31" s="1373">
        <v>6630286313</v>
      </c>
      <c r="AC31" s="1330" t="s">
        <v>2590</v>
      </c>
      <c r="AD31" s="1354"/>
      <c r="AE31" s="1331"/>
      <c r="AF31" s="1331"/>
      <c r="AG31" s="1331"/>
      <c r="AH31" s="1331"/>
      <c r="AI31" s="1331"/>
      <c r="AJ31" s="1332"/>
      <c r="BA31" s="1330" t="s">
        <v>2729</v>
      </c>
      <c r="BB31" s="1354"/>
      <c r="BC31" s="1331"/>
      <c r="BD31" s="1333">
        <v>-21868863</v>
      </c>
      <c r="BE31" s="1331"/>
      <c r="BF31" s="1331"/>
      <c r="BG31" s="1333">
        <v>-279554225</v>
      </c>
      <c r="BH31" s="1334">
        <v>-150319097</v>
      </c>
      <c r="BM31" s="1330" t="s">
        <v>2448</v>
      </c>
      <c r="BN31" s="1354"/>
      <c r="BO31" s="1333">
        <v>428150341</v>
      </c>
      <c r="BP31" s="1333">
        <v>1606338028</v>
      </c>
      <c r="BQ31" s="1333">
        <v>-669088046</v>
      </c>
      <c r="BR31" s="1333">
        <v>-1325800032</v>
      </c>
      <c r="BS31" s="1333">
        <v>194192944</v>
      </c>
      <c r="BT31" s="1334">
        <v>933422234</v>
      </c>
    </row>
    <row r="32" spans="4:72" ht="16.5" customHeight="1" x14ac:dyDescent="0.3">
      <c r="E32" s="1341" t="s">
        <v>2385</v>
      </c>
      <c r="F32" s="1357"/>
      <c r="G32" s="1351"/>
      <c r="H32" s="1352"/>
      <c r="J32" s="2189" t="s">
        <v>2385</v>
      </c>
      <c r="K32" s="2190"/>
      <c r="L32" s="2191"/>
      <c r="Q32" s="1370" t="s">
        <v>2443</v>
      </c>
      <c r="R32" s="1371"/>
      <c r="S32" s="1372">
        <v>790118275</v>
      </c>
      <c r="T32" s="1372">
        <v>-233119455</v>
      </c>
      <c r="U32" s="1372">
        <v>-5269015329</v>
      </c>
      <c r="V32" s="1372">
        <v>104523445</v>
      </c>
      <c r="W32" s="1372">
        <v>-2045854019</v>
      </c>
      <c r="X32" s="1373">
        <v>6630286313</v>
      </c>
      <c r="AC32" s="1330" t="s">
        <v>2591</v>
      </c>
      <c r="AD32" s="1354"/>
      <c r="AE32" s="1331">
        <v>0</v>
      </c>
      <c r="AF32" s="1331">
        <v>0</v>
      </c>
      <c r="AG32" s="1331">
        <v>0</v>
      </c>
      <c r="AH32" s="1331">
        <v>0</v>
      </c>
      <c r="AI32" s="1333">
        <v>66712785</v>
      </c>
      <c r="AJ32" s="1334">
        <v>1732185739</v>
      </c>
      <c r="BA32" s="1330" t="s">
        <v>2448</v>
      </c>
      <c r="BB32" s="1354"/>
      <c r="BC32" s="1333">
        <v>-768395618</v>
      </c>
      <c r="BD32" s="1333">
        <v>-2900316680</v>
      </c>
      <c r="BE32" s="1333">
        <v>-1799640813</v>
      </c>
      <c r="BF32" s="1333">
        <v>-7040531336</v>
      </c>
      <c r="BG32" s="1333">
        <v>-5483000715</v>
      </c>
      <c r="BH32" s="1334">
        <v>-16875386260</v>
      </c>
      <c r="BM32" s="1330" t="s">
        <v>2449</v>
      </c>
      <c r="BN32" s="1354"/>
      <c r="BO32" s="1331"/>
      <c r="BP32" s="1331"/>
      <c r="BQ32" s="1331"/>
      <c r="BR32" s="1331"/>
      <c r="BS32" s="1331"/>
      <c r="BT32" s="1332"/>
    </row>
    <row r="33" spans="4:72" ht="16.5" customHeight="1" x14ac:dyDescent="0.3">
      <c r="E33" s="1341" t="s">
        <v>2386</v>
      </c>
      <c r="F33" s="1357"/>
      <c r="G33" s="1342">
        <v>9974694</v>
      </c>
      <c r="H33" s="1343">
        <v>10605388</v>
      </c>
      <c r="J33" s="1341" t="s">
        <v>1795</v>
      </c>
      <c r="K33" s="1342">
        <v>11313859</v>
      </c>
      <c r="L33" s="1343">
        <v>12394758</v>
      </c>
      <c r="Q33" s="1370" t="s">
        <v>2444</v>
      </c>
      <c r="R33" s="1371"/>
      <c r="S33" s="1375"/>
      <c r="T33" s="1375"/>
      <c r="U33" s="1375"/>
      <c r="V33" s="1375"/>
      <c r="W33" s="1372">
        <v>2332267524</v>
      </c>
      <c r="X33" s="1373">
        <v>-2322650254</v>
      </c>
      <c r="AC33" s="1330" t="s">
        <v>2592</v>
      </c>
      <c r="AD33" s="1354"/>
      <c r="AE33" s="1333">
        <v>-12346310436</v>
      </c>
      <c r="AF33" s="1333">
        <v>78050037139</v>
      </c>
      <c r="AG33" s="1333">
        <v>14114322501</v>
      </c>
      <c r="AH33" s="1333">
        <v>-64655172111</v>
      </c>
      <c r="AI33" s="1333">
        <v>-136027472120</v>
      </c>
      <c r="AJ33" s="1334">
        <v>-47939777501</v>
      </c>
      <c r="BA33" s="1330" t="s">
        <v>2436</v>
      </c>
      <c r="BB33" s="1354"/>
      <c r="BC33" s="1331"/>
      <c r="BD33" s="1331"/>
      <c r="BE33" s="1331"/>
      <c r="BF33" s="1331"/>
      <c r="BG33" s="1331"/>
      <c r="BH33" s="1332"/>
      <c r="BM33" s="1330" t="s">
        <v>2373</v>
      </c>
      <c r="BN33" s="1354"/>
      <c r="BO33" s="1333">
        <v>425331236</v>
      </c>
      <c r="BP33" s="1333">
        <v>1598506330</v>
      </c>
      <c r="BQ33" s="1333">
        <v>-669088046</v>
      </c>
      <c r="BR33" s="1333">
        <v>-1326649342</v>
      </c>
      <c r="BS33" s="1333">
        <v>190445313</v>
      </c>
      <c r="BT33" s="1334">
        <v>933422234</v>
      </c>
    </row>
    <row r="34" spans="4:72" ht="16.5" customHeight="1" x14ac:dyDescent="0.3">
      <c r="D34" s="1323" t="s">
        <v>2196</v>
      </c>
      <c r="E34" s="1341" t="s">
        <v>2387</v>
      </c>
      <c r="F34" s="1364">
        <f>G34-H34+K34</f>
        <v>267663365</v>
      </c>
      <c r="G34" s="1342">
        <v>202169085</v>
      </c>
      <c r="H34" s="1343">
        <v>207022245</v>
      </c>
      <c r="J34" s="1341" t="s">
        <v>1788</v>
      </c>
      <c r="K34" s="1342">
        <v>272516525</v>
      </c>
      <c r="L34" s="1343">
        <v>268561870</v>
      </c>
      <c r="Q34" s="1370" t="s">
        <v>2445</v>
      </c>
      <c r="R34" s="1371"/>
      <c r="S34" s="1372">
        <v>606870992</v>
      </c>
      <c r="T34" s="1372">
        <v>555953833</v>
      </c>
      <c r="U34" s="1372">
        <v>1179495156</v>
      </c>
      <c r="V34" s="1372">
        <v>1012930149</v>
      </c>
      <c r="W34" s="1372">
        <v>1229798260</v>
      </c>
      <c r="X34" s="1373">
        <v>-849205364</v>
      </c>
      <c r="AC34" s="1330" t="s">
        <v>2593</v>
      </c>
      <c r="AD34" s="1354"/>
      <c r="AE34" s="1331"/>
      <c r="AF34" s="1331"/>
      <c r="AG34" s="1331"/>
      <c r="AH34" s="1331"/>
      <c r="AI34" s="1331"/>
      <c r="AJ34" s="1332"/>
      <c r="AO34" s="1338"/>
      <c r="AP34" s="1339" t="s">
        <v>2404</v>
      </c>
      <c r="AQ34" s="1339" t="s">
        <v>2685</v>
      </c>
      <c r="AR34" s="1339" t="s">
        <v>2686</v>
      </c>
      <c r="AS34" s="1339" t="s">
        <v>2687</v>
      </c>
      <c r="AT34" s="1340" t="s">
        <v>2688</v>
      </c>
      <c r="BA34" s="1330" t="s">
        <v>2437</v>
      </c>
      <c r="BB34" s="1354"/>
      <c r="BC34" s="1333">
        <v>-985447286</v>
      </c>
      <c r="BD34" s="1333">
        <v>-3590362562</v>
      </c>
      <c r="BE34" s="1333">
        <v>-2994126275</v>
      </c>
      <c r="BF34" s="1333">
        <v>-8932704310</v>
      </c>
      <c r="BG34" s="1333">
        <v>-9296889613</v>
      </c>
      <c r="BH34" s="1334">
        <v>-18367369385</v>
      </c>
      <c r="BM34" s="1335" t="s">
        <v>2248</v>
      </c>
      <c r="BN34" s="1355"/>
      <c r="BO34" s="1336">
        <v>2819105</v>
      </c>
      <c r="BP34" s="1336">
        <v>7831698</v>
      </c>
      <c r="BQ34" s="1430"/>
      <c r="BR34" s="1336">
        <v>849310</v>
      </c>
      <c r="BS34" s="1336">
        <v>3747631</v>
      </c>
      <c r="BT34" s="1439"/>
    </row>
    <row r="35" spans="4:72" ht="16.5" customHeight="1" x14ac:dyDescent="0.3">
      <c r="D35" s="1323" t="s">
        <v>2196</v>
      </c>
      <c r="E35" s="1341" t="s">
        <v>2388</v>
      </c>
      <c r="F35" s="1364">
        <f>G35-H35+K35</f>
        <v>120096366</v>
      </c>
      <c r="G35" s="1342">
        <v>87774871</v>
      </c>
      <c r="H35" s="1343">
        <v>91739329</v>
      </c>
      <c r="J35" s="1341" t="s">
        <v>1790</v>
      </c>
      <c r="K35" s="1342">
        <v>124060824</v>
      </c>
      <c r="L35" s="1343">
        <v>94958971</v>
      </c>
      <c r="Q35" s="1370" t="s">
        <v>2315</v>
      </c>
      <c r="R35" s="1371"/>
      <c r="S35" s="1372">
        <v>6720016</v>
      </c>
      <c r="T35" s="1372">
        <v>700444273</v>
      </c>
      <c r="U35" s="1375"/>
      <c r="V35" s="1372">
        <v>195742178</v>
      </c>
      <c r="W35" s="1372">
        <v>1102469264</v>
      </c>
      <c r="X35" s="1373">
        <v>-1473444890</v>
      </c>
      <c r="AC35" s="1330" t="s">
        <v>2594</v>
      </c>
      <c r="AD35" s="1354"/>
      <c r="AE35" s="1331">
        <v>-122</v>
      </c>
      <c r="AF35" s="1333">
        <v>2197</v>
      </c>
      <c r="AG35" s="1331">
        <v>-221</v>
      </c>
      <c r="AH35" s="1333">
        <v>-3288</v>
      </c>
      <c r="AI35" s="1333">
        <v>-7240</v>
      </c>
      <c r="AJ35" s="1334">
        <v>-3710</v>
      </c>
      <c r="AO35" s="1330" t="s">
        <v>2596</v>
      </c>
      <c r="AP35" s="1333"/>
      <c r="AQ35" s="1333">
        <v>23521720453</v>
      </c>
      <c r="AR35" s="1333">
        <v>12338047120</v>
      </c>
      <c r="AS35" s="1333">
        <v>14776000387</v>
      </c>
      <c r="AT35" s="1334">
        <v>20323942744</v>
      </c>
      <c r="BA35" s="1330" t="s">
        <v>2440</v>
      </c>
      <c r="BB35" s="1354"/>
      <c r="BC35" s="1331"/>
      <c r="BD35" s="1331"/>
      <c r="BE35" s="1333">
        <v>3068395</v>
      </c>
      <c r="BF35" s="1333">
        <v>1669190</v>
      </c>
      <c r="BG35" s="1331"/>
      <c r="BH35" s="1334">
        <v>-2980127</v>
      </c>
    </row>
    <row r="36" spans="4:72" ht="16.5" customHeight="1" x14ac:dyDescent="0.3">
      <c r="E36" s="1341" t="s">
        <v>2389</v>
      </c>
      <c r="F36" s="1357"/>
      <c r="G36" s="1342">
        <v>97927029</v>
      </c>
      <c r="H36" s="1343">
        <v>92854204</v>
      </c>
      <c r="J36" s="1341" t="s">
        <v>2407</v>
      </c>
      <c r="K36" s="1342">
        <v>228533</v>
      </c>
      <c r="L36" s="1343">
        <v>30033948</v>
      </c>
      <c r="Q36" s="1370" t="s">
        <v>2446</v>
      </c>
      <c r="R36" s="1371"/>
      <c r="S36" s="1372">
        <v>166098797</v>
      </c>
      <c r="T36" s="1372">
        <v>256772983</v>
      </c>
      <c r="U36" s="1375"/>
      <c r="V36" s="1375"/>
      <c r="W36" s="1375"/>
      <c r="X36" s="1374"/>
      <c r="AC36" s="1335" t="s">
        <v>2595</v>
      </c>
      <c r="AD36" s="1355"/>
      <c r="AE36" s="1430">
        <v>-131</v>
      </c>
      <c r="AF36" s="1336">
        <v>2814</v>
      </c>
      <c r="AG36" s="1430">
        <v>-357</v>
      </c>
      <c r="AH36" s="1336">
        <v>-3462</v>
      </c>
      <c r="AI36" s="1336">
        <v>-7471</v>
      </c>
      <c r="AJ36" s="1337">
        <v>-4016</v>
      </c>
      <c r="AO36" s="1330" t="s">
        <v>2697</v>
      </c>
      <c r="AP36" s="1333"/>
      <c r="AQ36" s="1333">
        <v>8569462039</v>
      </c>
      <c r="AR36" s="1333">
        <v>10102391722</v>
      </c>
      <c r="AS36" s="1333">
        <v>12106512967</v>
      </c>
      <c r="AT36" s="1334">
        <v>12806240707</v>
      </c>
      <c r="BA36" s="1330" t="s">
        <v>2449</v>
      </c>
      <c r="BB36" s="1354"/>
      <c r="BC36" s="1331"/>
      <c r="BD36" s="1331"/>
      <c r="BE36" s="1331"/>
      <c r="BF36" s="1331"/>
      <c r="BG36" s="1331"/>
      <c r="BH36" s="1332"/>
    </row>
    <row r="37" spans="4:72" ht="16.5" customHeight="1" x14ac:dyDescent="0.3">
      <c r="E37" s="1341" t="s">
        <v>2390</v>
      </c>
      <c r="F37" s="1357"/>
      <c r="G37" s="1342">
        <v>-22364463</v>
      </c>
      <c r="H37" s="1343">
        <v>-4788818</v>
      </c>
      <c r="J37" s="1341" t="s">
        <v>1787</v>
      </c>
      <c r="K37" s="1342">
        <v>124108729</v>
      </c>
      <c r="L37" s="1343">
        <v>74475467</v>
      </c>
      <c r="Q37" s="1370" t="s">
        <v>2447</v>
      </c>
      <c r="R37" s="1371"/>
      <c r="S37" s="1372">
        <v>1569808080</v>
      </c>
      <c r="T37" s="1372">
        <v>1280051634</v>
      </c>
      <c r="U37" s="1372">
        <v>-4089520173</v>
      </c>
      <c r="V37" s="1372">
        <v>1313195772</v>
      </c>
      <c r="W37" s="1372">
        <v>207568969</v>
      </c>
      <c r="X37" s="1374"/>
      <c r="AO37" s="1330" t="s">
        <v>2698</v>
      </c>
      <c r="AP37" s="1333"/>
      <c r="AQ37" s="1333">
        <v>16050749257</v>
      </c>
      <c r="AR37" s="1333">
        <v>3210263841</v>
      </c>
      <c r="AS37" s="1333">
        <v>5174335388</v>
      </c>
      <c r="AT37" s="1334">
        <v>9083527362</v>
      </c>
      <c r="BA37" s="1330" t="s">
        <v>2450</v>
      </c>
      <c r="BB37" s="1354"/>
      <c r="BC37" s="1333">
        <v>-768395618</v>
      </c>
      <c r="BD37" s="1333">
        <v>-2900316680</v>
      </c>
      <c r="BE37" s="1333">
        <v>-1803003737</v>
      </c>
      <c r="BF37" s="1333">
        <v>-7042411018</v>
      </c>
      <c r="BG37" s="1333">
        <v>-5483000715</v>
      </c>
      <c r="BH37" s="1334">
        <v>-16872711472</v>
      </c>
      <c r="BM37" s="1338" t="s">
        <v>2804</v>
      </c>
      <c r="BN37" s="1356" t="s">
        <v>2404</v>
      </c>
      <c r="BO37" s="1339" t="s">
        <v>2382</v>
      </c>
      <c r="BP37" s="1340" t="s">
        <v>2383</v>
      </c>
      <c r="BR37" s="1338" t="s">
        <v>2126</v>
      </c>
      <c r="BS37" s="1339" t="s">
        <v>2808</v>
      </c>
      <c r="BT37" s="1340" t="s">
        <v>2809</v>
      </c>
    </row>
    <row r="38" spans="4:72" ht="16.5" customHeight="1" x14ac:dyDescent="0.3">
      <c r="E38" s="1341" t="s">
        <v>2391</v>
      </c>
      <c r="F38" s="1357"/>
      <c r="G38" s="1342">
        <v>-1945916</v>
      </c>
      <c r="H38" s="1343">
        <v>-144891</v>
      </c>
      <c r="J38" s="1341" t="s">
        <v>2305</v>
      </c>
      <c r="K38" s="1342">
        <v>202478564</v>
      </c>
      <c r="L38" s="1343">
        <v>171007640</v>
      </c>
      <c r="Q38" s="1370" t="s">
        <v>2448</v>
      </c>
      <c r="R38" s="1371"/>
      <c r="S38" s="1375"/>
      <c r="T38" s="1375"/>
      <c r="U38" s="1375"/>
      <c r="V38" s="1375"/>
      <c r="W38" s="1372">
        <v>24443644482</v>
      </c>
      <c r="X38" s="1373">
        <v>26805491899</v>
      </c>
      <c r="AC38" s="1338"/>
      <c r="AD38" s="1339" t="s">
        <v>2404</v>
      </c>
      <c r="AE38" s="1339" t="s">
        <v>2573</v>
      </c>
      <c r="AF38" s="1339" t="s">
        <v>2574</v>
      </c>
      <c r="AG38" s="1339" t="s">
        <v>2575</v>
      </c>
      <c r="AH38" s="1340" t="s">
        <v>2576</v>
      </c>
      <c r="AO38" s="1330" t="s">
        <v>2600</v>
      </c>
      <c r="AP38" s="1333"/>
      <c r="AQ38" s="1333">
        <v>2197572965</v>
      </c>
      <c r="AR38" s="1333">
        <v>1961677533</v>
      </c>
      <c r="AS38" s="1333">
        <v>2602927005</v>
      </c>
      <c r="AT38" s="1334">
        <v>2544062977</v>
      </c>
      <c r="BA38" s="1330" t="s">
        <v>2451</v>
      </c>
      <c r="BB38" s="1354"/>
      <c r="BC38" s="1331"/>
      <c r="BD38" s="1331"/>
      <c r="BE38" s="1333">
        <v>3362924</v>
      </c>
      <c r="BF38" s="1333">
        <v>1879682</v>
      </c>
      <c r="BG38" s="1331"/>
      <c r="BH38" s="1334">
        <v>-2674788</v>
      </c>
      <c r="BM38" s="1341" t="s">
        <v>2020</v>
      </c>
      <c r="BN38" s="1357"/>
      <c r="BO38" s="1342">
        <v>10271</v>
      </c>
      <c r="BP38" s="1343">
        <v>9204</v>
      </c>
      <c r="BR38" s="1341" t="s">
        <v>2020</v>
      </c>
      <c r="BS38" s="1342">
        <v>23623</v>
      </c>
      <c r="BT38" s="1343">
        <v>18186</v>
      </c>
    </row>
    <row r="39" spans="4:72" ht="16.5" customHeight="1" x14ac:dyDescent="0.3">
      <c r="E39" s="1341" t="s">
        <v>2392</v>
      </c>
      <c r="F39" s="1357"/>
      <c r="G39" s="1342">
        <v>145938561</v>
      </c>
      <c r="H39" s="1343">
        <v>153480860</v>
      </c>
      <c r="J39" s="1341" t="s">
        <v>2408</v>
      </c>
      <c r="K39" s="1342">
        <v>-32287367</v>
      </c>
      <c r="L39" s="1343">
        <v>38050682</v>
      </c>
      <c r="Q39" s="1370" t="s">
        <v>2449</v>
      </c>
      <c r="R39" s="1371"/>
      <c r="S39" s="1375"/>
      <c r="T39" s="1375"/>
      <c r="U39" s="1375"/>
      <c r="V39" s="1375"/>
      <c r="W39" s="1375"/>
      <c r="X39" s="1374"/>
      <c r="AC39" s="1330" t="s">
        <v>2596</v>
      </c>
      <c r="AD39" s="1333"/>
      <c r="AE39" s="1333">
        <v>-12932614496</v>
      </c>
      <c r="AF39" s="1333">
        <v>17055830286</v>
      </c>
      <c r="AG39" s="1333">
        <v>27490639795</v>
      </c>
      <c r="AH39" s="1334">
        <v>10099470082</v>
      </c>
      <c r="AN39" s="1438" t="s">
        <v>2196</v>
      </c>
      <c r="AO39" s="1330" t="s">
        <v>2601</v>
      </c>
      <c r="AP39" s="1333">
        <f>AQ39-AR39+AS39</f>
        <v>5332737878</v>
      </c>
      <c r="AQ39" s="1333">
        <v>4088509502</v>
      </c>
      <c r="AR39" s="1333">
        <v>3442714629</v>
      </c>
      <c r="AS39" s="1333">
        <v>4686943005</v>
      </c>
      <c r="AT39" s="1334">
        <v>5547367930</v>
      </c>
      <c r="BA39" s="1330" t="s">
        <v>2308</v>
      </c>
      <c r="BB39" s="1354"/>
      <c r="BC39" s="1331"/>
      <c r="BD39" s="1331"/>
      <c r="BE39" s="1331"/>
      <c r="BF39" s="1331"/>
      <c r="BG39" s="1331"/>
      <c r="BH39" s="1332"/>
      <c r="BM39" s="1341" t="s">
        <v>1787</v>
      </c>
      <c r="BN39" s="1357"/>
      <c r="BO39" s="1342">
        <v>643814</v>
      </c>
      <c r="BP39" s="1343">
        <v>670988</v>
      </c>
      <c r="BR39" s="1341" t="s">
        <v>1787</v>
      </c>
      <c r="BS39" s="1342">
        <v>834077</v>
      </c>
      <c r="BT39" s="1343">
        <v>690265</v>
      </c>
    </row>
    <row r="40" spans="4:72" ht="16.5" customHeight="1" x14ac:dyDescent="0.3">
      <c r="E40" s="1341" t="s">
        <v>2393</v>
      </c>
      <c r="F40" s="1357"/>
      <c r="G40" s="1342">
        <v>-8636420</v>
      </c>
      <c r="H40" s="1343">
        <v>-43323093</v>
      </c>
      <c r="J40" s="1341" t="s">
        <v>1801</v>
      </c>
      <c r="K40" s="1342">
        <v>-9905543</v>
      </c>
      <c r="L40" s="1343">
        <v>-7368087</v>
      </c>
      <c r="Q40" s="1370" t="s">
        <v>2450</v>
      </c>
      <c r="R40" s="1371"/>
      <c r="S40" s="1372">
        <v>-23827789363</v>
      </c>
      <c r="T40" s="1372">
        <v>-9371832973</v>
      </c>
      <c r="U40" s="1372">
        <v>-1165588252</v>
      </c>
      <c r="V40" s="1372">
        <v>19210235939</v>
      </c>
      <c r="W40" s="1372">
        <v>26149017808</v>
      </c>
      <c r="X40" s="1373">
        <v>29392816316</v>
      </c>
      <c r="AC40" s="1330" t="s">
        <v>2597</v>
      </c>
      <c r="AD40" s="1333"/>
      <c r="AE40" s="1333">
        <v>-3349123776</v>
      </c>
      <c r="AF40" s="1333">
        <v>33565944871</v>
      </c>
      <c r="AG40" s="1333">
        <v>47038518450</v>
      </c>
      <c r="AH40" s="1334">
        <v>33422968241</v>
      </c>
      <c r="AN40" s="1438" t="s">
        <v>2196</v>
      </c>
      <c r="AO40" s="1330" t="s">
        <v>2602</v>
      </c>
      <c r="AP40" s="1333">
        <f>AQ40-AR40+AS40</f>
        <v>429394495</v>
      </c>
      <c r="AQ40" s="1333">
        <v>317239373</v>
      </c>
      <c r="AR40" s="1333">
        <v>315030636</v>
      </c>
      <c r="AS40" s="1333">
        <v>427185758</v>
      </c>
      <c r="AT40" s="1334">
        <v>560369824</v>
      </c>
      <c r="BA40" s="1330" t="s">
        <v>2730</v>
      </c>
      <c r="BB40" s="1354"/>
      <c r="BC40" s="1331"/>
      <c r="BD40" s="1331"/>
      <c r="BE40" s="1331"/>
      <c r="BF40" s="1331"/>
      <c r="BG40" s="1331"/>
      <c r="BH40" s="1332"/>
      <c r="BL40" s="1323" t="s">
        <v>2196</v>
      </c>
      <c r="BM40" s="1341" t="s">
        <v>1788</v>
      </c>
      <c r="BN40" s="1364">
        <f>BO40-BP40+BS42</f>
        <v>3510012</v>
      </c>
      <c r="BO40" s="1342">
        <v>2601372</v>
      </c>
      <c r="BP40" s="1343">
        <v>2769784</v>
      </c>
      <c r="BR40" s="1341" t="s">
        <v>2478</v>
      </c>
      <c r="BS40" s="1342">
        <v>186897</v>
      </c>
      <c r="BT40" s="1343">
        <v>213506</v>
      </c>
    </row>
    <row r="41" spans="4:72" ht="16.5" customHeight="1" x14ac:dyDescent="0.3">
      <c r="E41" s="1341" t="s">
        <v>2394</v>
      </c>
      <c r="F41" s="1357"/>
      <c r="G41" s="1342">
        <v>510837441</v>
      </c>
      <c r="H41" s="1343">
        <v>507445224</v>
      </c>
      <c r="J41" s="1341" t="s">
        <v>2409</v>
      </c>
      <c r="K41" s="1342">
        <v>-19389621</v>
      </c>
      <c r="L41" s="1343">
        <v>-15146574</v>
      </c>
      <c r="Q41" s="1370" t="s">
        <v>2451</v>
      </c>
      <c r="R41" s="1371"/>
      <c r="S41" s="1372">
        <v>406196145</v>
      </c>
      <c r="T41" s="1372">
        <v>286531208</v>
      </c>
      <c r="U41" s="1372">
        <v>249406488</v>
      </c>
      <c r="V41" s="1372">
        <v>-1710901593</v>
      </c>
      <c r="W41" s="1372">
        <v>-1705373326</v>
      </c>
      <c r="X41" s="1373">
        <v>-2587324417</v>
      </c>
      <c r="AC41" s="1330" t="s">
        <v>2598</v>
      </c>
      <c r="AD41" s="1333"/>
      <c r="AE41" s="1333">
        <v>37783290898</v>
      </c>
      <c r="AF41" s="1333">
        <v>-56546904373</v>
      </c>
      <c r="AG41" s="1333">
        <v>-124525730736</v>
      </c>
      <c r="AH41" s="1334">
        <v>-63801966661</v>
      </c>
      <c r="AO41" s="1330" t="s">
        <v>2699</v>
      </c>
      <c r="AP41" s="1333"/>
      <c r="AQ41" s="1333">
        <v>3386486</v>
      </c>
      <c r="AR41" s="1333">
        <v>-85540187</v>
      </c>
      <c r="AS41" s="1333">
        <v>-38063888</v>
      </c>
      <c r="AT41" s="1334">
        <v>195108403</v>
      </c>
      <c r="BA41" s="1330" t="s">
        <v>2453</v>
      </c>
      <c r="BB41" s="1354"/>
      <c r="BC41" s="1331">
        <v>-19</v>
      </c>
      <c r="BD41" s="1331">
        <v>-71</v>
      </c>
      <c r="BE41" s="1331">
        <v>-59</v>
      </c>
      <c r="BF41" s="1331">
        <v>-177</v>
      </c>
      <c r="BG41" s="1331">
        <v>-185</v>
      </c>
      <c r="BH41" s="1332">
        <v>-365</v>
      </c>
      <c r="BM41" s="1341" t="s">
        <v>2478</v>
      </c>
      <c r="BN41" s="1357"/>
      <c r="BO41" s="1342">
        <v>71331</v>
      </c>
      <c r="BP41" s="1343">
        <v>188354</v>
      </c>
      <c r="BR41" s="1341" t="s">
        <v>1789</v>
      </c>
      <c r="BS41" s="1342">
        <v>2510839</v>
      </c>
      <c r="BT41" s="1343">
        <v>23667</v>
      </c>
    </row>
    <row r="42" spans="4:72" ht="16.5" customHeight="1" x14ac:dyDescent="0.3">
      <c r="E42" s="1341" t="s">
        <v>2395</v>
      </c>
      <c r="F42" s="1357"/>
      <c r="G42" s="1351"/>
      <c r="H42" s="1352"/>
      <c r="J42" s="2189" t="s">
        <v>2410</v>
      </c>
      <c r="K42" s="2190"/>
      <c r="L42" s="2191"/>
      <c r="Q42" s="1370" t="s">
        <v>2308</v>
      </c>
      <c r="R42" s="1371"/>
      <c r="S42" s="1375"/>
      <c r="T42" s="1375"/>
      <c r="U42" s="1375"/>
      <c r="V42" s="1375"/>
      <c r="W42" s="1375"/>
      <c r="X42" s="1374"/>
      <c r="AC42" s="1330" t="s">
        <v>2599</v>
      </c>
      <c r="AD42" s="1333"/>
      <c r="AE42" s="1333">
        <v>-29527342535</v>
      </c>
      <c r="AF42" s="1333">
        <v>71979180521</v>
      </c>
      <c r="AG42" s="1333">
        <v>144411063880</v>
      </c>
      <c r="AH42" s="1334">
        <v>91340494100</v>
      </c>
      <c r="AO42" s="1330" t="s">
        <v>2621</v>
      </c>
      <c r="AP42" s="1333"/>
      <c r="AQ42" s="1333">
        <v>1291604</v>
      </c>
      <c r="AR42" s="1333">
        <v>8606972</v>
      </c>
      <c r="AS42" s="1333">
        <v>9538350</v>
      </c>
      <c r="AT42" s="1334">
        <v>1511290</v>
      </c>
      <c r="BA42" s="1335" t="s">
        <v>2454</v>
      </c>
      <c r="BB42" s="1355"/>
      <c r="BC42" s="1430">
        <v>0</v>
      </c>
      <c r="BD42" s="1430">
        <v>0</v>
      </c>
      <c r="BE42" s="1430">
        <v>0</v>
      </c>
      <c r="BF42" s="1430">
        <v>0</v>
      </c>
      <c r="BG42" s="1430">
        <v>0</v>
      </c>
      <c r="BH42" s="1439">
        <v>0</v>
      </c>
      <c r="BM42" s="1341" t="s">
        <v>2805</v>
      </c>
      <c r="BN42" s="1357"/>
      <c r="BO42" s="1342">
        <v>-15633</v>
      </c>
      <c r="BP42" s="1343">
        <v>502006</v>
      </c>
      <c r="BR42" s="1341" t="s">
        <v>1788</v>
      </c>
      <c r="BS42" s="1342">
        <v>3678424</v>
      </c>
      <c r="BT42" s="1343">
        <v>3761711</v>
      </c>
    </row>
    <row r="43" spans="4:72" ht="16.5" customHeight="1" x14ac:dyDescent="0.3">
      <c r="E43" s="1341" t="s">
        <v>2396</v>
      </c>
      <c r="F43" s="1357"/>
      <c r="G43" s="1342">
        <v>45702572</v>
      </c>
      <c r="H43" s="1343">
        <v>204523490</v>
      </c>
      <c r="J43" s="1341" t="s">
        <v>2411</v>
      </c>
      <c r="K43" s="1342">
        <v>183108149</v>
      </c>
      <c r="L43" s="1343">
        <v>-79028081</v>
      </c>
      <c r="Q43" s="1370" t="s">
        <v>2452</v>
      </c>
      <c r="R43" s="1371"/>
      <c r="S43" s="1375">
        <v>-167</v>
      </c>
      <c r="T43" s="1375">
        <v>-70</v>
      </c>
      <c r="U43" s="1375">
        <v>19</v>
      </c>
      <c r="V43" s="1375">
        <v>118</v>
      </c>
      <c r="W43" s="1375">
        <v>169</v>
      </c>
      <c r="X43" s="1374">
        <v>182</v>
      </c>
      <c r="AC43" s="1330" t="s">
        <v>2600</v>
      </c>
      <c r="AD43" s="1333"/>
      <c r="AE43" s="1333">
        <v>1838817016</v>
      </c>
      <c r="AF43" s="1333">
        <v>3440071296</v>
      </c>
      <c r="AG43" s="1333">
        <v>4309206222</v>
      </c>
      <c r="AH43" s="1334">
        <v>5657351864</v>
      </c>
      <c r="AO43" s="1330" t="s">
        <v>2609</v>
      </c>
      <c r="AP43" s="1333"/>
      <c r="AQ43" s="1333">
        <v>8613386</v>
      </c>
      <c r="AR43" s="1333">
        <v>100056915</v>
      </c>
      <c r="AS43" s="1333">
        <v>214331915</v>
      </c>
      <c r="AT43" s="1334">
        <v>1095874581</v>
      </c>
      <c r="BM43" s="1341" t="s">
        <v>2580</v>
      </c>
      <c r="BN43" s="1357"/>
      <c r="BO43" s="1342">
        <v>567060</v>
      </c>
      <c r="BP43" s="1343">
        <v>-56974</v>
      </c>
      <c r="BR43" s="1341" t="s">
        <v>1790</v>
      </c>
      <c r="BS43" s="1342">
        <v>126746</v>
      </c>
      <c r="BT43" s="1343">
        <v>112594</v>
      </c>
    </row>
    <row r="44" spans="4:72" ht="16.5" customHeight="1" x14ac:dyDescent="0.3">
      <c r="E44" s="1341" t="s">
        <v>2397</v>
      </c>
      <c r="F44" s="1357"/>
      <c r="G44" s="1342">
        <v>-134089462</v>
      </c>
      <c r="H44" s="1343">
        <v>26121117</v>
      </c>
      <c r="J44" s="1341" t="s">
        <v>2412</v>
      </c>
      <c r="K44" s="1342">
        <v>78374659</v>
      </c>
      <c r="L44" s="1343">
        <v>-78059170</v>
      </c>
      <c r="Q44" s="1370" t="s">
        <v>2453</v>
      </c>
      <c r="R44" s="1371"/>
      <c r="S44" s="1375">
        <v>-108</v>
      </c>
      <c r="T44" s="1375">
        <v>-2</v>
      </c>
      <c r="U44" s="1375">
        <v>32</v>
      </c>
      <c r="V44" s="1375">
        <v>142</v>
      </c>
      <c r="W44" s="1375">
        <v>169</v>
      </c>
      <c r="X44" s="1374">
        <v>182</v>
      </c>
      <c r="AB44" s="1323" t="s">
        <v>2196</v>
      </c>
      <c r="AC44" s="1330" t="s">
        <v>2601</v>
      </c>
      <c r="AD44" s="1333">
        <f>AE44-AF44+AG44</f>
        <v>3460857879</v>
      </c>
      <c r="AE44" s="1333">
        <v>1953311263</v>
      </c>
      <c r="AF44" s="1333">
        <v>3362693833</v>
      </c>
      <c r="AG44" s="1333">
        <v>4870240449</v>
      </c>
      <c r="AH44" s="1334">
        <v>4127224153</v>
      </c>
      <c r="AO44" s="1330" t="s">
        <v>2700</v>
      </c>
      <c r="AP44" s="1333"/>
      <c r="AQ44" s="1333">
        <v>457716997</v>
      </c>
      <c r="AR44" s="1331">
        <v>0</v>
      </c>
      <c r="AS44" s="1331">
        <v>0</v>
      </c>
      <c r="AT44" s="1332">
        <v>0</v>
      </c>
      <c r="BM44" s="1341" t="s">
        <v>2477</v>
      </c>
      <c r="BN44" s="1357"/>
      <c r="BO44" s="1342">
        <v>58292</v>
      </c>
      <c r="BP44" s="1343">
        <v>32824</v>
      </c>
      <c r="BR44" s="1341" t="s">
        <v>1791</v>
      </c>
      <c r="BS44" s="1342">
        <v>484247</v>
      </c>
      <c r="BT44" s="1343">
        <v>504115</v>
      </c>
    </row>
    <row r="45" spans="4:72" ht="16.5" customHeight="1" x14ac:dyDescent="0.3">
      <c r="E45" s="1341" t="s">
        <v>2398</v>
      </c>
      <c r="F45" s="1357"/>
      <c r="G45" s="1342">
        <v>-34514818</v>
      </c>
      <c r="H45" s="1343">
        <v>-76008970</v>
      </c>
      <c r="J45" s="1341" t="s">
        <v>2413</v>
      </c>
      <c r="K45" s="1342">
        <v>-17456675</v>
      </c>
      <c r="L45" s="1343">
        <v>-804550</v>
      </c>
      <c r="Q45" s="1376" t="s">
        <v>2454</v>
      </c>
      <c r="R45" s="1377"/>
      <c r="S45" s="1378">
        <v>-59</v>
      </c>
      <c r="T45" s="1378">
        <v>-68</v>
      </c>
      <c r="U45" s="1378">
        <v>-13</v>
      </c>
      <c r="V45" s="1378">
        <v>-24</v>
      </c>
      <c r="W45" s="1378"/>
      <c r="X45" s="1379"/>
      <c r="AB45" s="1323" t="s">
        <v>2196</v>
      </c>
      <c r="AC45" s="1330" t="s">
        <v>2602</v>
      </c>
      <c r="AD45" s="1333">
        <f>AE45-AF45+AG45</f>
        <v>1035813683</v>
      </c>
      <c r="AE45" s="1333">
        <v>712230877</v>
      </c>
      <c r="AF45" s="1333">
        <v>898442008</v>
      </c>
      <c r="AG45" s="1333">
        <v>1222024814</v>
      </c>
      <c r="AH45" s="1334">
        <v>1118302607</v>
      </c>
      <c r="AO45" s="1330" t="s">
        <v>2610</v>
      </c>
      <c r="AP45" s="1331"/>
      <c r="AQ45" s="1331">
        <v>0</v>
      </c>
      <c r="AR45" s="1331">
        <v>0</v>
      </c>
      <c r="AS45" s="1331">
        <v>0</v>
      </c>
      <c r="AT45" s="1334">
        <v>280977140</v>
      </c>
      <c r="BA45" s="1338"/>
      <c r="BB45" s="1339" t="s">
        <v>2404</v>
      </c>
      <c r="BC45" s="1339" t="s">
        <v>2422</v>
      </c>
      <c r="BD45" s="1339" t="s">
        <v>2423</v>
      </c>
      <c r="BE45" s="1339" t="s">
        <v>2424</v>
      </c>
      <c r="BF45" s="1340" t="s">
        <v>2425</v>
      </c>
      <c r="BM45" s="1341" t="s">
        <v>1795</v>
      </c>
      <c r="BN45" s="1357"/>
      <c r="BO45" s="1342">
        <v>6834</v>
      </c>
      <c r="BP45" s="1343">
        <v>3471</v>
      </c>
      <c r="BR45" s="1341" t="s">
        <v>2477</v>
      </c>
      <c r="BS45" s="1342">
        <v>56004</v>
      </c>
      <c r="BT45" s="1343">
        <v>41606</v>
      </c>
    </row>
    <row r="46" spans="4:72" x14ac:dyDescent="0.3">
      <c r="E46" s="1341" t="s">
        <v>2399</v>
      </c>
      <c r="F46" s="1357"/>
      <c r="G46" s="1342">
        <v>-47604875</v>
      </c>
      <c r="H46" s="1343">
        <v>-19341962</v>
      </c>
      <c r="J46" s="1341" t="s">
        <v>2414</v>
      </c>
      <c r="K46" s="1342">
        <v>46805135</v>
      </c>
      <c r="L46" s="1343">
        <v>-8978865</v>
      </c>
      <c r="AC46" s="1330" t="s">
        <v>2603</v>
      </c>
      <c r="AD46" s="1333"/>
      <c r="AE46" s="1333">
        <v>393073640</v>
      </c>
      <c r="AF46" s="1333">
        <v>1491567246</v>
      </c>
      <c r="AG46" s="1333">
        <v>18098742121</v>
      </c>
      <c r="AH46" s="1334">
        <v>67750980</v>
      </c>
      <c r="AO46" s="1330" t="s">
        <v>2701</v>
      </c>
      <c r="AP46" s="1333"/>
      <c r="AQ46" s="1333">
        <v>8140000</v>
      </c>
      <c r="AR46" s="1331">
        <v>0</v>
      </c>
      <c r="AS46" s="1331">
        <v>0</v>
      </c>
      <c r="AT46" s="1334">
        <v>2186177732</v>
      </c>
      <c r="BA46" s="1330" t="s">
        <v>2596</v>
      </c>
      <c r="BB46" s="1333"/>
      <c r="BC46" s="1333">
        <v>533602263</v>
      </c>
      <c r="BD46" s="1333">
        <v>-8030108800</v>
      </c>
      <c r="BE46" s="1333">
        <v>-4604202969</v>
      </c>
      <c r="BF46" s="1334">
        <v>-3767903247</v>
      </c>
      <c r="BL46" s="1323" t="s">
        <v>2196</v>
      </c>
      <c r="BM46" s="1341" t="s">
        <v>1790</v>
      </c>
      <c r="BN46" s="1364">
        <f>BO46-BP46+BS43</f>
        <v>124327</v>
      </c>
      <c r="BO46" s="1342">
        <v>92553</v>
      </c>
      <c r="BP46" s="1343">
        <v>94972</v>
      </c>
      <c r="BR46" s="1341" t="s">
        <v>1795</v>
      </c>
      <c r="BS46" s="1351">
        <v>540</v>
      </c>
      <c r="BT46" s="1352">
        <v>151</v>
      </c>
    </row>
    <row r="47" spans="4:72" ht="27" x14ac:dyDescent="0.3">
      <c r="E47" s="1341" t="s">
        <v>2400</v>
      </c>
      <c r="F47" s="1357"/>
      <c r="G47" s="1342">
        <v>-17923041</v>
      </c>
      <c r="H47" s="1343">
        <v>-18476674</v>
      </c>
      <c r="J47" s="1341" t="s">
        <v>2415</v>
      </c>
      <c r="K47" s="1342">
        <v>-3434826</v>
      </c>
      <c r="L47" s="1343">
        <v>-10898759</v>
      </c>
      <c r="AC47" s="1330" t="s">
        <v>2604</v>
      </c>
      <c r="AD47" s="1333"/>
      <c r="AE47" s="1333">
        <v>18701917</v>
      </c>
      <c r="AF47" s="1331"/>
      <c r="AG47" s="1333">
        <v>12158725</v>
      </c>
      <c r="AH47" s="1332"/>
      <c r="AO47" s="1330" t="s">
        <v>2625</v>
      </c>
      <c r="AP47" s="1333"/>
      <c r="AQ47" s="1333">
        <v>996292497</v>
      </c>
      <c r="AR47" s="1331">
        <v>0</v>
      </c>
      <c r="AS47" s="1331">
        <v>0</v>
      </c>
      <c r="AT47" s="1332">
        <v>0</v>
      </c>
      <c r="BA47" s="1330" t="s">
        <v>2598</v>
      </c>
      <c r="BB47" s="1333"/>
      <c r="BC47" s="1333">
        <v>-3590362562</v>
      </c>
      <c r="BD47" s="1333">
        <v>-8931035120</v>
      </c>
      <c r="BE47" s="1333">
        <v>-9296889613</v>
      </c>
      <c r="BF47" s="1334">
        <v>-18370349512</v>
      </c>
      <c r="BM47" s="1341" t="s">
        <v>1791</v>
      </c>
      <c r="BN47" s="1357"/>
      <c r="BO47" s="1351" t="s">
        <v>2806</v>
      </c>
      <c r="BP47" s="1343">
        <v>484247</v>
      </c>
      <c r="BR47" s="1341" t="s">
        <v>2407</v>
      </c>
      <c r="BS47" s="1342">
        <v>614524</v>
      </c>
      <c r="BT47" s="1352" t="s">
        <v>2806</v>
      </c>
    </row>
    <row r="48" spans="4:72" x14ac:dyDescent="0.3">
      <c r="E48" s="1341" t="s">
        <v>2401</v>
      </c>
      <c r="F48" s="1357"/>
      <c r="G48" s="1342">
        <v>41219452</v>
      </c>
      <c r="H48" s="1343">
        <v>-1883590</v>
      </c>
      <c r="J48" s="1341" t="s">
        <v>2416</v>
      </c>
      <c r="K48" s="1342">
        <v>-14365575</v>
      </c>
      <c r="L48" s="1343">
        <v>-4232868</v>
      </c>
      <c r="Q48" s="1338" t="s">
        <v>2455</v>
      </c>
      <c r="R48" s="1339" t="s">
        <v>2404</v>
      </c>
      <c r="S48" s="1339" t="s">
        <v>2382</v>
      </c>
      <c r="T48" s="1340" t="s">
        <v>2383</v>
      </c>
      <c r="V48" s="1338" t="s">
        <v>2481</v>
      </c>
      <c r="W48" s="1339" t="s">
        <v>2405</v>
      </c>
      <c r="X48" s="1340" t="s">
        <v>2406</v>
      </c>
      <c r="AC48" s="1330" t="s">
        <v>2605</v>
      </c>
      <c r="AD48" s="1333"/>
      <c r="AE48" s="1333">
        <v>-577198799</v>
      </c>
      <c r="AF48" s="1331"/>
      <c r="AG48" s="1331"/>
      <c r="AH48" s="1332"/>
      <c r="AO48" s="1330" t="s">
        <v>2628</v>
      </c>
      <c r="AP48" s="1333"/>
      <c r="AQ48" s="1333">
        <v>-310118</v>
      </c>
      <c r="AR48" s="1333">
        <v>-2664562</v>
      </c>
      <c r="AS48" s="1333">
        <v>-4454439</v>
      </c>
      <c r="AT48" s="1334">
        <v>-6667278</v>
      </c>
      <c r="BA48" s="1330" t="s">
        <v>2698</v>
      </c>
      <c r="BB48" s="1333"/>
      <c r="BC48" s="1333">
        <v>6414430889</v>
      </c>
      <c r="BD48" s="1333">
        <v>3082599142</v>
      </c>
      <c r="BE48" s="1333">
        <v>7642889836</v>
      </c>
      <c r="BF48" s="1334">
        <v>17496774094</v>
      </c>
      <c r="BM48" s="1341" t="s">
        <v>1792</v>
      </c>
      <c r="BN48" s="1357"/>
      <c r="BO48" s="1342">
        <v>31994</v>
      </c>
      <c r="BP48" s="1352" t="s">
        <v>2806</v>
      </c>
      <c r="BR48" s="1341" t="s">
        <v>2807</v>
      </c>
      <c r="BS48" s="1342">
        <v>5515</v>
      </c>
      <c r="BT48" s="1352" t="s">
        <v>2806</v>
      </c>
    </row>
    <row r="49" spans="5:72" x14ac:dyDescent="0.3">
      <c r="E49" s="1341" t="s">
        <v>2402</v>
      </c>
      <c r="F49" s="1357"/>
      <c r="G49" s="1342">
        <v>-147210172</v>
      </c>
      <c r="H49" s="1343">
        <v>114933411</v>
      </c>
      <c r="J49" s="1341" t="s">
        <v>2417</v>
      </c>
      <c r="K49" s="1342">
        <v>-913651</v>
      </c>
      <c r="L49" s="1343">
        <v>33137750</v>
      </c>
      <c r="Q49" s="1341" t="s">
        <v>2305</v>
      </c>
      <c r="R49" s="1342"/>
      <c r="S49" s="1342">
        <v>25563</v>
      </c>
      <c r="T49" s="1343">
        <v>6801801</v>
      </c>
      <c r="V49" s="1341" t="s">
        <v>2305</v>
      </c>
      <c r="W49" s="1333">
        <v>9158697</v>
      </c>
      <c r="X49" s="1334">
        <v>17141021</v>
      </c>
      <c r="AC49" s="1330" t="s">
        <v>2606</v>
      </c>
      <c r="AD49" s="1333"/>
      <c r="AE49" s="1333">
        <v>6837068458</v>
      </c>
      <c r="AF49" s="1331"/>
      <c r="AG49" s="1331"/>
      <c r="AH49" s="1332"/>
      <c r="AO49" s="1330" t="s">
        <v>2633</v>
      </c>
      <c r="AP49" s="1333"/>
      <c r="AQ49" s="1333">
        <v>-15615459</v>
      </c>
      <c r="AR49" s="1331">
        <v>0</v>
      </c>
      <c r="AS49" s="1331">
        <v>0</v>
      </c>
      <c r="AT49" s="1332">
        <v>0</v>
      </c>
      <c r="BA49" s="1330" t="s">
        <v>2600</v>
      </c>
      <c r="BB49" s="1333"/>
      <c r="BC49" s="1333">
        <v>2679458864</v>
      </c>
      <c r="BD49" s="1333">
        <v>2995356766</v>
      </c>
      <c r="BE49" s="1333">
        <v>3979057829</v>
      </c>
      <c r="BF49" s="1334">
        <v>4026824018</v>
      </c>
      <c r="BM49" s="1341" t="s">
        <v>2807</v>
      </c>
      <c r="BN49" s="1357"/>
      <c r="BO49" s="1342">
        <v>115812</v>
      </c>
      <c r="BP49" s="1352" t="s">
        <v>2806</v>
      </c>
      <c r="BR49" s="1341" t="s">
        <v>2305</v>
      </c>
      <c r="BS49" s="1342">
        <v>-121615</v>
      </c>
      <c r="BT49" s="1343">
        <v>158700</v>
      </c>
    </row>
    <row r="50" spans="5:72" x14ac:dyDescent="0.3">
      <c r="E50" s="1341"/>
      <c r="F50" s="1357"/>
      <c r="G50" s="1351"/>
      <c r="H50" s="1352"/>
      <c r="J50" s="1341" t="s">
        <v>2418</v>
      </c>
      <c r="K50" s="1342">
        <v>-209941636</v>
      </c>
      <c r="L50" s="1343">
        <v>-221838664</v>
      </c>
      <c r="Q50" s="1341" t="s">
        <v>1787</v>
      </c>
      <c r="R50" s="1342"/>
      <c r="S50" s="1342">
        <v>18051740</v>
      </c>
      <c r="T50" s="1343">
        <v>14676927</v>
      </c>
      <c r="V50" s="1341" t="s">
        <v>1787</v>
      </c>
      <c r="W50" s="1333">
        <v>19966054</v>
      </c>
      <c r="X50" s="1334">
        <v>21474936</v>
      </c>
      <c r="AC50" s="1330" t="s">
        <v>2607</v>
      </c>
      <c r="AD50" s="1331"/>
      <c r="AE50" s="1331"/>
      <c r="AF50" s="1333">
        <v>14893444</v>
      </c>
      <c r="AG50" s="1333">
        <v>29673219</v>
      </c>
      <c r="AH50" s="1334">
        <v>8773981</v>
      </c>
      <c r="AO50" s="1330" t="s">
        <v>2627</v>
      </c>
      <c r="AP50" s="1333"/>
      <c r="AQ50" s="1333">
        <v>-1752911293</v>
      </c>
      <c r="AR50" s="1333">
        <v>-2046874250</v>
      </c>
      <c r="AS50" s="1333">
        <v>-2738728315</v>
      </c>
      <c r="AT50" s="1334">
        <v>-2812999081</v>
      </c>
      <c r="AZ50" s="1438" t="s">
        <v>2196</v>
      </c>
      <c r="BA50" s="1330" t="s">
        <v>2601</v>
      </c>
      <c r="BB50" s="1333">
        <f>BC50-BD50+BE50</f>
        <v>7369288829</v>
      </c>
      <c r="BC50" s="1333">
        <v>5600748500</v>
      </c>
      <c r="BD50" s="1333">
        <v>5393139452</v>
      </c>
      <c r="BE50" s="1333">
        <v>7161679781</v>
      </c>
      <c r="BF50" s="1334">
        <v>9093860082</v>
      </c>
      <c r="BM50" s="1344" t="s">
        <v>2480</v>
      </c>
      <c r="BN50" s="1440"/>
      <c r="BO50" s="1345">
        <v>4183700</v>
      </c>
      <c r="BP50" s="1346">
        <v>4698876</v>
      </c>
      <c r="BR50" s="1344" t="s">
        <v>2130</v>
      </c>
      <c r="BS50" s="1345">
        <v>8399821</v>
      </c>
      <c r="BT50" s="1346">
        <v>5524501</v>
      </c>
    </row>
    <row r="51" spans="5:72" x14ac:dyDescent="0.3">
      <c r="E51" s="1353" t="s">
        <v>2403</v>
      </c>
      <c r="F51" s="1358"/>
      <c r="G51" s="1345">
        <v>692112107</v>
      </c>
      <c r="H51" s="1346">
        <v>921509003</v>
      </c>
      <c r="J51" s="1341" t="s">
        <v>2419</v>
      </c>
      <c r="K51" s="1342">
        <v>-52030127</v>
      </c>
      <c r="L51" s="1343">
        <v>33175954</v>
      </c>
      <c r="Q51" s="1341" t="s">
        <v>1789</v>
      </c>
      <c r="R51" s="1342"/>
      <c r="S51" s="1342">
        <v>1060884</v>
      </c>
      <c r="T51" s="1343">
        <v>1634240</v>
      </c>
      <c r="V51" s="1341" t="s">
        <v>1789</v>
      </c>
      <c r="W51" s="1333">
        <v>4271970</v>
      </c>
      <c r="X51" s="1334">
        <v>-2415463</v>
      </c>
      <c r="AC51" s="1330" t="s">
        <v>2608</v>
      </c>
      <c r="AD51" s="1331"/>
      <c r="AE51" s="1331"/>
      <c r="AF51" s="1331"/>
      <c r="AG51" s="1333">
        <v>219811173</v>
      </c>
      <c r="AH51" s="1334">
        <v>78676899</v>
      </c>
      <c r="AO51" s="1330" t="s">
        <v>2616</v>
      </c>
      <c r="AP51" s="1331"/>
      <c r="AQ51" s="1331">
        <v>0</v>
      </c>
      <c r="AR51" s="1331">
        <v>0</v>
      </c>
      <c r="AS51" s="1331">
        <v>0</v>
      </c>
      <c r="AT51" s="1332">
        <v>0</v>
      </c>
      <c r="AZ51" s="1438" t="s">
        <v>2196</v>
      </c>
      <c r="BA51" s="1330" t="s">
        <v>2602</v>
      </c>
      <c r="BB51" s="1333">
        <f>BC51-BD51+BE51</f>
        <v>1171336335</v>
      </c>
      <c r="BC51" s="1333">
        <v>928089222</v>
      </c>
      <c r="BD51" s="1333">
        <v>671386400</v>
      </c>
      <c r="BE51" s="1333">
        <v>914633513</v>
      </c>
      <c r="BF51" s="1334">
        <v>762496113</v>
      </c>
    </row>
    <row r="52" spans="5:72" x14ac:dyDescent="0.3">
      <c r="J52" s="1341" t="s">
        <v>2420</v>
      </c>
      <c r="K52" s="1342">
        <v>-20582489</v>
      </c>
      <c r="L52" s="1343">
        <v>1632445</v>
      </c>
      <c r="Q52" s="1341" t="s">
        <v>2456</v>
      </c>
      <c r="R52" s="1342"/>
      <c r="S52" s="1342">
        <v>156166</v>
      </c>
      <c r="T52" s="1343">
        <v>3075531</v>
      </c>
      <c r="V52" s="1341" t="s">
        <v>2456</v>
      </c>
      <c r="W52" s="1333">
        <v>3068443</v>
      </c>
      <c r="X52" s="1334">
        <v>19256950</v>
      </c>
      <c r="AC52" s="1330" t="s">
        <v>2609</v>
      </c>
      <c r="AD52" s="1333"/>
      <c r="AE52" s="1333">
        <v>28492019</v>
      </c>
      <c r="AF52" s="1333">
        <v>210385022</v>
      </c>
      <c r="AG52" s="1333">
        <v>416702432</v>
      </c>
      <c r="AH52" s="1334">
        <v>66302343</v>
      </c>
      <c r="AO52" s="1330" t="s">
        <v>2702</v>
      </c>
      <c r="AP52" s="1333"/>
      <c r="AQ52" s="1333">
        <v>2698210035</v>
      </c>
      <c r="AR52" s="1333">
        <v>2855032301</v>
      </c>
      <c r="AS52" s="1333">
        <v>5100433275</v>
      </c>
      <c r="AT52" s="1334">
        <v>3245270910</v>
      </c>
      <c r="BA52" s="1330" t="s">
        <v>2609</v>
      </c>
      <c r="BB52" s="1333"/>
      <c r="BC52" s="1333">
        <v>1000</v>
      </c>
      <c r="BD52" s="1331"/>
      <c r="BE52" s="1331"/>
      <c r="BF52" s="1332"/>
    </row>
    <row r="53" spans="5:72" x14ac:dyDescent="0.3">
      <c r="J53" s="1341" t="s">
        <v>2421</v>
      </c>
      <c r="K53" s="1342">
        <v>-694804</v>
      </c>
      <c r="L53" s="1343">
        <v>-17977394</v>
      </c>
      <c r="Q53" s="1341" t="s">
        <v>2457</v>
      </c>
      <c r="R53" s="1342"/>
      <c r="S53" s="1342">
        <v>-74071</v>
      </c>
      <c r="T53" s="1343">
        <v>-74265</v>
      </c>
      <c r="V53" s="1341" t="s">
        <v>2472</v>
      </c>
      <c r="W53" s="1333">
        <v>-1151548</v>
      </c>
      <c r="X53" s="1334">
        <v>-1503106</v>
      </c>
      <c r="AC53" s="1330" t="s">
        <v>2610</v>
      </c>
      <c r="AD53" s="1331"/>
      <c r="AE53" s="1331"/>
      <c r="AF53" s="1333">
        <v>53352647</v>
      </c>
      <c r="AG53" s="1333">
        <v>53352647</v>
      </c>
      <c r="AH53" s="1334">
        <v>34466089</v>
      </c>
      <c r="AO53" s="1330" t="s">
        <v>2703</v>
      </c>
      <c r="AP53" s="1333"/>
      <c r="AQ53" s="1333">
        <v>1171168405</v>
      </c>
      <c r="AR53" s="1333">
        <v>4853134230</v>
      </c>
      <c r="AS53" s="1333">
        <v>-1263427587</v>
      </c>
      <c r="AT53" s="1334">
        <v>5050054545</v>
      </c>
      <c r="BA53" s="1330" t="s">
        <v>2610</v>
      </c>
      <c r="BB53" s="1331"/>
      <c r="BC53" s="1331"/>
      <c r="BD53" s="1331"/>
      <c r="BE53" s="1331"/>
      <c r="BF53" s="1332"/>
    </row>
    <row r="54" spans="5:72" ht="27" x14ac:dyDescent="0.3">
      <c r="J54" s="1363" t="s">
        <v>2403</v>
      </c>
      <c r="K54" s="1345">
        <v>1096265188</v>
      </c>
      <c r="L54" s="1346">
        <v>639078978</v>
      </c>
      <c r="Q54" s="1341" t="s">
        <v>1792</v>
      </c>
      <c r="R54" s="1342"/>
      <c r="S54" s="1342">
        <v>488151</v>
      </c>
      <c r="T54" s="1343">
        <v>1409528</v>
      </c>
      <c r="V54" s="1341" t="s">
        <v>2471</v>
      </c>
      <c r="W54" s="1333">
        <v>3820159</v>
      </c>
      <c r="X54" s="1332" t="s">
        <v>2104</v>
      </c>
      <c r="AC54" s="1330" t="s">
        <v>2611</v>
      </c>
      <c r="AD54" s="1331"/>
      <c r="AE54" s="1331"/>
      <c r="AF54" s="1331"/>
      <c r="AG54" s="1333">
        <v>51013511042</v>
      </c>
      <c r="AH54" s="1334">
        <v>16896500235</v>
      </c>
      <c r="AO54" s="1330" t="s">
        <v>2704</v>
      </c>
      <c r="AP54" s="1333"/>
      <c r="AQ54" s="1333">
        <v>-678149506</v>
      </c>
      <c r="AR54" s="1333">
        <v>-1229155686</v>
      </c>
      <c r="AS54" s="1333">
        <v>-242269003</v>
      </c>
      <c r="AT54" s="1334">
        <v>496472630</v>
      </c>
      <c r="BA54" s="1330" t="s">
        <v>2614</v>
      </c>
      <c r="BB54" s="1331"/>
      <c r="BC54" s="1331"/>
      <c r="BD54" s="1331"/>
      <c r="BE54" s="1333">
        <v>183089524</v>
      </c>
      <c r="BF54" s="1334">
        <v>188372476</v>
      </c>
    </row>
    <row r="55" spans="5:72" ht="27" x14ac:dyDescent="0.3">
      <c r="P55" s="1323" t="s">
        <v>2196</v>
      </c>
      <c r="Q55" s="1341" t="s">
        <v>2458</v>
      </c>
      <c r="R55" s="1342">
        <f>S55-T55+W58</f>
        <v>20564036</v>
      </c>
      <c r="S55" s="1342">
        <v>14777677</v>
      </c>
      <c r="T55" s="1343">
        <v>20250099</v>
      </c>
      <c r="V55" s="1341" t="s">
        <v>2482</v>
      </c>
      <c r="W55" s="1333">
        <v>4069793</v>
      </c>
      <c r="X55" s="1334">
        <v>778249</v>
      </c>
      <c r="AC55" s="1330" t="s">
        <v>2612</v>
      </c>
      <c r="AD55" s="1331"/>
      <c r="AE55" s="1331"/>
      <c r="AF55" s="1331"/>
      <c r="AG55" s="1333">
        <v>30997282113</v>
      </c>
      <c r="AH55" s="1332"/>
      <c r="AO55" s="1330" t="s">
        <v>2705</v>
      </c>
      <c r="AP55" s="1333"/>
      <c r="AQ55" s="1333">
        <v>850728066</v>
      </c>
      <c r="AR55" s="1333">
        <v>-3061855834</v>
      </c>
      <c r="AS55" s="1333">
        <v>-3645060194</v>
      </c>
      <c r="AT55" s="1334">
        <v>-540875228</v>
      </c>
      <c r="BA55" s="1330" t="s">
        <v>2603</v>
      </c>
      <c r="BB55" s="1333"/>
      <c r="BC55" s="1333">
        <v>-41536000</v>
      </c>
      <c r="BD55" s="1333">
        <v>-6345065</v>
      </c>
      <c r="BE55" s="1333">
        <v>-387742639</v>
      </c>
      <c r="BF55" s="1334">
        <v>31556365</v>
      </c>
    </row>
    <row r="56" spans="5:72" ht="27" x14ac:dyDescent="0.3">
      <c r="P56" s="1323" t="s">
        <v>2196</v>
      </c>
      <c r="Q56" s="1341" t="s">
        <v>2459</v>
      </c>
      <c r="R56" s="1342">
        <f>S56-T56+W59</f>
        <v>23070</v>
      </c>
      <c r="S56" s="1342">
        <v>16692</v>
      </c>
      <c r="T56" s="1343">
        <v>20840</v>
      </c>
      <c r="V56" s="1341" t="s">
        <v>2483</v>
      </c>
      <c r="W56" s="1331" t="s">
        <v>2104</v>
      </c>
      <c r="X56" s="1334">
        <v>-11918297</v>
      </c>
      <c r="AC56" s="1330" t="s">
        <v>2613</v>
      </c>
      <c r="AD56" s="1331"/>
      <c r="AE56" s="1331"/>
      <c r="AF56" s="1331"/>
      <c r="AG56" s="1333">
        <v>1846796877</v>
      </c>
      <c r="AH56" s="1332"/>
      <c r="AO56" s="1330" t="s">
        <v>2643</v>
      </c>
      <c r="AP56" s="1333"/>
      <c r="AQ56" s="1333">
        <v>-723132687</v>
      </c>
      <c r="AR56" s="1333">
        <v>317771127</v>
      </c>
      <c r="AS56" s="1333">
        <v>-1196761877</v>
      </c>
      <c r="AT56" s="1334">
        <v>1134278134</v>
      </c>
      <c r="BA56" s="1330" t="s">
        <v>2731</v>
      </c>
      <c r="BB56" s="1333"/>
      <c r="BC56" s="1333">
        <v>4215560</v>
      </c>
      <c r="BD56" s="1331"/>
      <c r="BE56" s="1331"/>
      <c r="BF56" s="1332"/>
    </row>
    <row r="57" spans="5:72" ht="27" x14ac:dyDescent="0.3">
      <c r="P57" s="1323" t="s">
        <v>2196</v>
      </c>
      <c r="Q57" s="1341" t="s">
        <v>2460</v>
      </c>
      <c r="R57" s="1342">
        <f>S57-T57+W60</f>
        <v>17895331</v>
      </c>
      <c r="S57" s="1342">
        <v>13142168</v>
      </c>
      <c r="T57" s="1343">
        <v>14546171</v>
      </c>
      <c r="V57" s="1341" t="s">
        <v>2484</v>
      </c>
      <c r="W57" s="1333">
        <v>2618352</v>
      </c>
      <c r="X57" s="1334">
        <v>4799998</v>
      </c>
      <c r="AC57" s="1330" t="s">
        <v>2614</v>
      </c>
      <c r="AD57" s="1333"/>
      <c r="AE57" s="1333">
        <v>723930331</v>
      </c>
      <c r="AF57" s="1331"/>
      <c r="AG57" s="1333">
        <v>1372778451</v>
      </c>
      <c r="AH57" s="1332"/>
      <c r="AO57" s="1330" t="s">
        <v>2706</v>
      </c>
      <c r="AP57" s="1333"/>
      <c r="AQ57" s="1333">
        <v>1036861446</v>
      </c>
      <c r="AR57" s="1333">
        <v>-7871729113</v>
      </c>
      <c r="AS57" s="1333">
        <v>-1913771991</v>
      </c>
      <c r="AT57" s="1334">
        <v>-1732688870</v>
      </c>
      <c r="BA57" s="1330" t="s">
        <v>2621</v>
      </c>
      <c r="BB57" s="1333"/>
      <c r="BC57" s="1333">
        <v>6896212</v>
      </c>
      <c r="BD57" s="1333">
        <v>6240877</v>
      </c>
      <c r="BE57" s="1333">
        <v>9412486</v>
      </c>
      <c r="BF57" s="1334">
        <v>99216891</v>
      </c>
    </row>
    <row r="58" spans="5:72" x14ac:dyDescent="0.3">
      <c r="Q58" s="1341" t="s">
        <v>1791</v>
      </c>
      <c r="R58" s="1342"/>
      <c r="S58" s="1342">
        <v>108590</v>
      </c>
      <c r="T58" s="1343">
        <v>200250</v>
      </c>
      <c r="V58" s="1341" t="s">
        <v>2458</v>
      </c>
      <c r="W58" s="1333">
        <v>26036458</v>
      </c>
      <c r="X58" s="1334">
        <v>29656500</v>
      </c>
      <c r="AC58" s="1330" t="s">
        <v>2615</v>
      </c>
      <c r="AD58" s="1333"/>
      <c r="AE58" s="1333">
        <v>11456362613</v>
      </c>
      <c r="AF58" s="1333">
        <v>-16122876091</v>
      </c>
      <c r="AG58" s="1333">
        <v>-32351694689</v>
      </c>
      <c r="AH58" s="1334">
        <v>-15461001302</v>
      </c>
      <c r="AO58" s="1330" t="s">
        <v>2707</v>
      </c>
      <c r="AP58" s="1333"/>
      <c r="AQ58" s="1333">
        <v>8187797</v>
      </c>
      <c r="AR58" s="1333">
        <v>-1193672391</v>
      </c>
      <c r="AS58" s="1333">
        <v>2516531107</v>
      </c>
      <c r="AT58" s="1334">
        <v>-549424453</v>
      </c>
      <c r="BA58" s="1330" t="s">
        <v>2623</v>
      </c>
      <c r="BB58" s="1333"/>
      <c r="BC58" s="1333">
        <v>314072136</v>
      </c>
      <c r="BD58" s="1331"/>
      <c r="BE58" s="1331"/>
      <c r="BF58" s="1332"/>
    </row>
    <row r="59" spans="5:72" ht="27" x14ac:dyDescent="0.3">
      <c r="Q59" s="1341" t="s">
        <v>2461</v>
      </c>
      <c r="R59" s="1342"/>
      <c r="S59" s="1342">
        <v>1191272</v>
      </c>
      <c r="T59" s="1352" t="s">
        <v>2104</v>
      </c>
      <c r="V59" s="1341" t="s">
        <v>2459</v>
      </c>
      <c r="W59" s="1333">
        <v>27218</v>
      </c>
      <c r="X59" s="1334">
        <v>44200</v>
      </c>
      <c r="AC59" s="1330" t="s">
        <v>2616</v>
      </c>
      <c r="AD59" s="1333"/>
      <c r="AE59" s="1333">
        <v>3843764353</v>
      </c>
      <c r="AF59" s="1333">
        <v>13243996869</v>
      </c>
      <c r="AG59" s="1333">
        <v>16649211407</v>
      </c>
      <c r="AH59" s="1334">
        <v>18120377915</v>
      </c>
      <c r="AO59" s="1330" t="s">
        <v>2708</v>
      </c>
      <c r="AP59" s="1333"/>
      <c r="AQ59" s="1333">
        <v>3067451690</v>
      </c>
      <c r="AR59" s="1333">
        <v>1530833447</v>
      </c>
      <c r="AS59" s="1333">
        <v>462678344</v>
      </c>
      <c r="AT59" s="1334">
        <v>-4580695666</v>
      </c>
      <c r="BA59" s="1330" t="s">
        <v>2618</v>
      </c>
      <c r="BB59" s="1333"/>
      <c r="BC59" s="1333">
        <v>4824817</v>
      </c>
      <c r="BD59" s="1333">
        <v>10598883</v>
      </c>
      <c r="BE59" s="1333">
        <v>14884424</v>
      </c>
      <c r="BF59" s="1334">
        <v>23328279</v>
      </c>
    </row>
    <row r="60" spans="5:72" x14ac:dyDescent="0.3">
      <c r="Q60" s="1341" t="s">
        <v>1798</v>
      </c>
      <c r="R60" s="1342"/>
      <c r="S60" s="1342">
        <v>-338672</v>
      </c>
      <c r="T60" s="1343">
        <v>-151257</v>
      </c>
      <c r="V60" s="1341" t="s">
        <v>2460</v>
      </c>
      <c r="W60" s="1333">
        <v>19299334</v>
      </c>
      <c r="X60" s="1334">
        <v>18066779</v>
      </c>
      <c r="AC60" s="1330" t="s">
        <v>2617</v>
      </c>
      <c r="AD60" s="1333"/>
      <c r="AE60" s="1333">
        <v>5209141298</v>
      </c>
      <c r="AF60" s="1333">
        <v>19936375545</v>
      </c>
      <c r="AG60" s="1333">
        <v>25548942265</v>
      </c>
      <c r="AH60" s="1334">
        <v>21149859860</v>
      </c>
      <c r="AO60" s="1330" t="s">
        <v>2709</v>
      </c>
      <c r="AP60" s="1333"/>
      <c r="AQ60" s="1333">
        <v>2452396678</v>
      </c>
      <c r="AR60" s="1333">
        <v>3524182586</v>
      </c>
      <c r="AS60" s="1333">
        <v>4724534315</v>
      </c>
      <c r="AT60" s="1334">
        <v>1040744984</v>
      </c>
      <c r="BA60" s="1330" t="s">
        <v>2622</v>
      </c>
      <c r="BB60" s="1333"/>
      <c r="BC60" s="1333">
        <v>6806629</v>
      </c>
      <c r="BD60" s="1333">
        <v>67080198</v>
      </c>
      <c r="BE60" s="1333">
        <v>138568403</v>
      </c>
      <c r="BF60" s="1334">
        <v>125815</v>
      </c>
    </row>
    <row r="61" spans="5:72" x14ac:dyDescent="0.3">
      <c r="Q61" s="1341" t="s">
        <v>2462</v>
      </c>
      <c r="R61" s="1342"/>
      <c r="S61" s="1342">
        <v>106395</v>
      </c>
      <c r="T61" s="1352" t="s">
        <v>2104</v>
      </c>
      <c r="V61" s="1341" t="s">
        <v>1791</v>
      </c>
      <c r="W61" s="1333">
        <v>200331</v>
      </c>
      <c r="X61" s="1334">
        <v>59923</v>
      </c>
      <c r="AC61" s="1330" t="s">
        <v>2618</v>
      </c>
      <c r="AD61" s="1333"/>
      <c r="AE61" s="1333">
        <v>5380190498</v>
      </c>
      <c r="AF61" s="1331"/>
      <c r="AG61" s="1333">
        <v>9632552663</v>
      </c>
      <c r="AH61" s="1334">
        <v>371988355</v>
      </c>
      <c r="AO61" s="1330" t="s">
        <v>2710</v>
      </c>
      <c r="AP61" s="1333"/>
      <c r="AQ61" s="1333">
        <v>-142898607</v>
      </c>
      <c r="AR61" s="1333">
        <v>-207284512</v>
      </c>
      <c r="AS61" s="1333">
        <v>-29065292</v>
      </c>
      <c r="AT61" s="1334">
        <v>-71393142</v>
      </c>
      <c r="BA61" s="1330" t="s">
        <v>2617</v>
      </c>
      <c r="BB61" s="1331"/>
      <c r="BC61" s="1331"/>
      <c r="BD61" s="1333">
        <v>142400000</v>
      </c>
      <c r="BE61" s="1333">
        <v>142400000</v>
      </c>
      <c r="BF61" s="1332"/>
    </row>
    <row r="62" spans="5:72" x14ac:dyDescent="0.3">
      <c r="Q62" s="1341" t="s">
        <v>2463</v>
      </c>
      <c r="R62" s="1351"/>
      <c r="S62" s="1351" t="s">
        <v>2104</v>
      </c>
      <c r="T62" s="1343">
        <v>-3199</v>
      </c>
      <c r="V62" s="1341" t="s">
        <v>1798</v>
      </c>
      <c r="W62" s="1333">
        <v>-181207</v>
      </c>
      <c r="X62" s="1334">
        <v>-251438</v>
      </c>
      <c r="AC62" s="1330" t="s">
        <v>2619</v>
      </c>
      <c r="AD62" s="1331"/>
      <c r="AE62" s="1331"/>
      <c r="AF62" s="1331"/>
      <c r="AG62" s="1333">
        <v>11413745386</v>
      </c>
      <c r="AH62" s="1332"/>
      <c r="AO62" s="1330" t="s">
        <v>2711</v>
      </c>
      <c r="AP62" s="1331"/>
      <c r="AQ62" s="1331">
        <v>0</v>
      </c>
      <c r="AR62" s="1331">
        <v>0</v>
      </c>
      <c r="AS62" s="1333">
        <v>-4499165100</v>
      </c>
      <c r="AT62" s="1334">
        <v>-4000000000</v>
      </c>
      <c r="BA62" s="1330" t="s">
        <v>2637</v>
      </c>
      <c r="BB62" s="1331"/>
      <c r="BC62" s="1331"/>
      <c r="BD62" s="1331"/>
      <c r="BE62" s="1331"/>
      <c r="BF62" s="1332"/>
    </row>
    <row r="63" spans="5:72" x14ac:dyDescent="0.3">
      <c r="Q63" s="1341" t="s">
        <v>2464</v>
      </c>
      <c r="R63" s="1342"/>
      <c r="S63" s="1342">
        <v>861666</v>
      </c>
      <c r="T63" s="1343">
        <v>355000</v>
      </c>
      <c r="V63" s="1341" t="s">
        <v>2461</v>
      </c>
      <c r="W63" s="1331" t="s">
        <v>2104</v>
      </c>
      <c r="X63" s="1334">
        <v>405442</v>
      </c>
      <c r="AC63" s="1330" t="s">
        <v>2620</v>
      </c>
      <c r="AD63" s="1331"/>
      <c r="AE63" s="1331"/>
      <c r="AF63" s="1333">
        <v>78364742</v>
      </c>
      <c r="AG63" s="1333">
        <v>80482708</v>
      </c>
      <c r="AH63" s="1334">
        <v>396059642</v>
      </c>
      <c r="AO63" s="1330" t="s">
        <v>2712</v>
      </c>
      <c r="AP63" s="1333"/>
      <c r="AQ63" s="1333">
        <v>1769778404</v>
      </c>
      <c r="AR63" s="1333">
        <v>1853078155</v>
      </c>
      <c r="AS63" s="1333">
        <v>2414799240</v>
      </c>
      <c r="AT63" s="1334">
        <v>2388393699</v>
      </c>
      <c r="BA63" s="1330" t="s">
        <v>2633</v>
      </c>
      <c r="BB63" s="1333"/>
      <c r="BC63" s="1333">
        <v>-3693455</v>
      </c>
      <c r="BD63" s="1333">
        <v>-4501000</v>
      </c>
      <c r="BE63" s="1333">
        <v>-14220273</v>
      </c>
      <c r="BF63" s="1334">
        <v>-8888500</v>
      </c>
    </row>
    <row r="64" spans="5:72" x14ac:dyDescent="0.3">
      <c r="Q64" s="1341" t="s">
        <v>2465</v>
      </c>
      <c r="R64" s="1342"/>
      <c r="S64" s="1342">
        <v>-20000</v>
      </c>
      <c r="T64" s="1352"/>
      <c r="V64" s="1341" t="s">
        <v>2463</v>
      </c>
      <c r="W64" s="1333">
        <v>-3199</v>
      </c>
      <c r="X64" s="1334">
        <v>-67279</v>
      </c>
      <c r="AC64" s="1330" t="s">
        <v>2621</v>
      </c>
      <c r="AD64" s="1333"/>
      <c r="AE64" s="1333">
        <v>28259574</v>
      </c>
      <c r="AF64" s="1333">
        <v>133092615</v>
      </c>
      <c r="AG64" s="1333">
        <v>35277767</v>
      </c>
      <c r="AH64" s="1334">
        <v>451970346</v>
      </c>
      <c r="AO64" s="1330" t="s">
        <v>2713</v>
      </c>
      <c r="AP64" s="1333"/>
      <c r="AQ64" s="1333">
        <v>-2868269247</v>
      </c>
      <c r="AR64" s="1333">
        <v>-2827686598</v>
      </c>
      <c r="AS64" s="1333">
        <v>-4919647208</v>
      </c>
      <c r="AT64" s="1334">
        <v>-3954219024</v>
      </c>
      <c r="BA64" s="1330" t="s">
        <v>2628</v>
      </c>
      <c r="BB64" s="1333"/>
      <c r="BC64" s="1333">
        <v>-203247385</v>
      </c>
      <c r="BD64" s="1333">
        <v>-61351719</v>
      </c>
      <c r="BE64" s="1333">
        <v>-85566068</v>
      </c>
      <c r="BF64" s="1332"/>
    </row>
    <row r="65" spans="17:58" x14ac:dyDescent="0.3">
      <c r="Q65" s="1341" t="s">
        <v>1793</v>
      </c>
      <c r="R65" s="1342"/>
      <c r="S65" s="1342">
        <v>90340</v>
      </c>
      <c r="T65" s="1343">
        <v>12514</v>
      </c>
      <c r="V65" s="1341" t="s">
        <v>2462</v>
      </c>
      <c r="W65" s="1331">
        <v>793</v>
      </c>
      <c r="X65" s="1334">
        <v>43213</v>
      </c>
      <c r="AC65" s="1330" t="s">
        <v>2622</v>
      </c>
      <c r="AD65" s="1331"/>
      <c r="AE65" s="1331"/>
      <c r="AF65" s="1331"/>
      <c r="AG65" s="1333">
        <v>16123549</v>
      </c>
      <c r="AH65" s="1334">
        <v>10912134</v>
      </c>
      <c r="AO65" s="1330" t="s">
        <v>2656</v>
      </c>
      <c r="AP65" s="1333"/>
      <c r="AQ65" s="1333">
        <v>-22590334800</v>
      </c>
      <c r="AR65" s="1333">
        <v>-4199005250</v>
      </c>
      <c r="AS65" s="1333">
        <v>-16357147607</v>
      </c>
      <c r="AT65" s="1334">
        <v>-6203307915</v>
      </c>
      <c r="BA65" s="1330" t="s">
        <v>2629</v>
      </c>
      <c r="BB65" s="1333"/>
      <c r="BC65" s="1333">
        <v>-143145823</v>
      </c>
      <c r="BD65" s="1331"/>
      <c r="BE65" s="1331"/>
      <c r="BF65" s="1332"/>
    </row>
    <row r="66" spans="17:58" x14ac:dyDescent="0.3">
      <c r="Q66" s="1341" t="s">
        <v>2466</v>
      </c>
      <c r="R66" s="1342"/>
      <c r="S66" s="1342">
        <v>-1137064</v>
      </c>
      <c r="T66" s="1343">
        <v>-1370736</v>
      </c>
      <c r="V66" s="1341" t="s">
        <v>2464</v>
      </c>
      <c r="W66" s="1333">
        <v>355000</v>
      </c>
      <c r="X66" s="1334">
        <v>153201</v>
      </c>
      <c r="AC66" s="1330" t="s">
        <v>2623</v>
      </c>
      <c r="AD66" s="1333"/>
      <c r="AE66" s="1333">
        <v>117519514</v>
      </c>
      <c r="AF66" s="1333">
        <v>164785919</v>
      </c>
      <c r="AG66" s="1333">
        <v>166900031</v>
      </c>
      <c r="AH66" s="1332"/>
      <c r="AO66" s="1330" t="s">
        <v>2714</v>
      </c>
      <c r="AP66" s="1333"/>
      <c r="AQ66" s="1333">
        <v>55000000000</v>
      </c>
      <c r="AR66" s="1333">
        <v>35800000000</v>
      </c>
      <c r="AS66" s="1333">
        <v>45800000000</v>
      </c>
      <c r="AT66" s="1334">
        <v>65000000000</v>
      </c>
      <c r="BA66" s="1330" t="s">
        <v>2732</v>
      </c>
      <c r="BB66" s="1333"/>
      <c r="BC66" s="1333">
        <v>-44424232</v>
      </c>
      <c r="BD66" s="1331"/>
      <c r="BE66" s="1331"/>
      <c r="BF66" s="1334">
        <v>-151499865</v>
      </c>
    </row>
    <row r="67" spans="17:58" x14ac:dyDescent="0.3">
      <c r="Q67" s="1341" t="s">
        <v>2467</v>
      </c>
      <c r="R67" s="1342"/>
      <c r="S67" s="1342">
        <v>638499</v>
      </c>
      <c r="T67" s="1343">
        <v>3195049</v>
      </c>
      <c r="V67" s="1341" t="s">
        <v>2485</v>
      </c>
      <c r="W67" s="1333">
        <v>196242</v>
      </c>
      <c r="X67" s="1332" t="s">
        <v>2104</v>
      </c>
      <c r="AC67" s="1330" t="s">
        <v>2624</v>
      </c>
      <c r="AD67" s="1333"/>
      <c r="AE67" s="1333">
        <v>1026653599</v>
      </c>
      <c r="AF67" s="1333">
        <v>49876510069</v>
      </c>
      <c r="AG67" s="1331"/>
      <c r="AH67" s="1332"/>
      <c r="AO67" s="1330" t="s">
        <v>2715</v>
      </c>
      <c r="AP67" s="1333"/>
      <c r="AQ67" s="1333">
        <v>-50000000000</v>
      </c>
      <c r="AR67" s="1333">
        <v>-35000000000</v>
      </c>
      <c r="AS67" s="1333">
        <v>-55000000000</v>
      </c>
      <c r="AT67" s="1334">
        <v>-70800000000</v>
      </c>
      <c r="BA67" s="1330" t="s">
        <v>2733</v>
      </c>
      <c r="BB67" s="1331"/>
      <c r="BC67" s="1331"/>
      <c r="BD67" s="1333">
        <v>97257065</v>
      </c>
      <c r="BE67" s="1333">
        <v>1467735</v>
      </c>
      <c r="BF67" s="1334">
        <v>891483077</v>
      </c>
    </row>
    <row r="68" spans="17:58" ht="27" x14ac:dyDescent="0.3">
      <c r="Q68" s="1341" t="s">
        <v>2468</v>
      </c>
      <c r="R68" s="1342"/>
      <c r="S68" s="1342">
        <v>-1528681</v>
      </c>
      <c r="T68" s="1343">
        <v>-922790</v>
      </c>
      <c r="V68" s="1341" t="s">
        <v>2486</v>
      </c>
      <c r="W68" s="1333">
        <v>140616</v>
      </c>
      <c r="X68" s="1332" t="s">
        <v>2104</v>
      </c>
      <c r="AC68" s="1330" t="s">
        <v>2625</v>
      </c>
      <c r="AD68" s="1333"/>
      <c r="AE68" s="1333">
        <v>1786766436</v>
      </c>
      <c r="AF68" s="1333">
        <v>4954066511</v>
      </c>
      <c r="AG68" s="1333">
        <v>10028214605</v>
      </c>
      <c r="AH68" s="1334">
        <v>42653213177</v>
      </c>
      <c r="AO68" s="1330" t="s">
        <v>2716</v>
      </c>
      <c r="AP68" s="1331"/>
      <c r="AQ68" s="1331">
        <v>0</v>
      </c>
      <c r="AR68" s="1331">
        <v>0</v>
      </c>
      <c r="AS68" s="1333">
        <v>44694720</v>
      </c>
      <c r="AT68" s="1334">
        <v>5000000000</v>
      </c>
      <c r="BA68" s="1330" t="s">
        <v>2734</v>
      </c>
      <c r="BB68" s="1333"/>
      <c r="BC68" s="1333">
        <v>389746389</v>
      </c>
      <c r="BD68" s="1333">
        <v>6590000</v>
      </c>
      <c r="BE68" s="1333">
        <v>6590000</v>
      </c>
      <c r="BF68" s="1334">
        <v>116582650</v>
      </c>
    </row>
    <row r="69" spans="17:58" ht="27" x14ac:dyDescent="0.3">
      <c r="Q69" s="1341" t="s">
        <v>2469</v>
      </c>
      <c r="R69" s="1342"/>
      <c r="S69" s="1342">
        <v>7021655</v>
      </c>
      <c r="T69" s="1343">
        <v>7400055</v>
      </c>
      <c r="V69" s="1341" t="s">
        <v>1793</v>
      </c>
      <c r="W69" s="1333">
        <v>86285</v>
      </c>
      <c r="X69" s="1334">
        <v>8288882</v>
      </c>
      <c r="AC69" s="1330" t="s">
        <v>2626</v>
      </c>
      <c r="AD69" s="1331"/>
      <c r="AE69" s="1331"/>
      <c r="AF69" s="1331"/>
      <c r="AG69" s="1331"/>
      <c r="AH69" s="1334">
        <v>-970380</v>
      </c>
      <c r="AO69" s="1330" t="s">
        <v>2717</v>
      </c>
      <c r="AP69" s="1331"/>
      <c r="AQ69" s="1331">
        <v>0</v>
      </c>
      <c r="AR69" s="1331">
        <v>0</v>
      </c>
      <c r="AS69" s="1331">
        <v>0</v>
      </c>
      <c r="AT69" s="1332">
        <v>0</v>
      </c>
      <c r="BA69" s="1330" t="s">
        <v>2735</v>
      </c>
      <c r="BB69" s="1333"/>
      <c r="BC69" s="1333">
        <v>-290716418</v>
      </c>
      <c r="BD69" s="1333">
        <v>-411459786</v>
      </c>
      <c r="BE69" s="1333">
        <v>-498628121</v>
      </c>
      <c r="BF69" s="1334">
        <v>-40398986</v>
      </c>
    </row>
    <row r="70" spans="17:58" ht="27" x14ac:dyDescent="0.3">
      <c r="Q70" s="1341" t="s">
        <v>2470</v>
      </c>
      <c r="R70" s="1342"/>
      <c r="S70" s="1342">
        <v>-24690</v>
      </c>
      <c r="T70" s="1343">
        <v>-11335</v>
      </c>
      <c r="V70" s="1341" t="s">
        <v>2466</v>
      </c>
      <c r="W70" s="1333">
        <v>-1270915</v>
      </c>
      <c r="X70" s="1332" t="s">
        <v>2104</v>
      </c>
      <c r="AC70" s="1330" t="s">
        <v>2627</v>
      </c>
      <c r="AD70" s="1333"/>
      <c r="AE70" s="1333">
        <v>-1707031678</v>
      </c>
      <c r="AF70" s="1333">
        <v>-2651736533</v>
      </c>
      <c r="AG70" s="1333">
        <v>-3690887002</v>
      </c>
      <c r="AH70" s="1334">
        <v>-2282885680</v>
      </c>
      <c r="AO70" s="1330" t="s">
        <v>2661</v>
      </c>
      <c r="AP70" s="1333"/>
      <c r="AQ70" s="1333">
        <v>126679778</v>
      </c>
      <c r="AR70" s="1333">
        <v>7461818</v>
      </c>
      <c r="AS70" s="1333">
        <v>457461818</v>
      </c>
      <c r="AT70" s="1332">
        <v>0</v>
      </c>
      <c r="BA70" s="1330" t="s">
        <v>2736</v>
      </c>
      <c r="BB70" s="1333"/>
      <c r="BC70" s="1333">
        <v>-187646027</v>
      </c>
      <c r="BD70" s="1333">
        <v>-43055865</v>
      </c>
      <c r="BE70" s="1333">
        <v>-63747861</v>
      </c>
      <c r="BF70" s="1334">
        <v>-102490228</v>
      </c>
    </row>
    <row r="71" spans="17:58" ht="27" x14ac:dyDescent="0.3">
      <c r="Q71" s="1341" t="s">
        <v>1801</v>
      </c>
      <c r="R71" s="1342"/>
      <c r="S71" s="1342">
        <v>-4468446</v>
      </c>
      <c r="T71" s="1343">
        <v>-857435</v>
      </c>
      <c r="V71" s="1341" t="s">
        <v>2467</v>
      </c>
      <c r="W71" s="1333">
        <v>3614114</v>
      </c>
      <c r="X71" s="1334">
        <v>4322152</v>
      </c>
      <c r="AC71" s="1330" t="s">
        <v>2628</v>
      </c>
      <c r="AD71" s="1333"/>
      <c r="AE71" s="1333">
        <v>-32708795</v>
      </c>
      <c r="AF71" s="1333">
        <v>-186421287</v>
      </c>
      <c r="AG71" s="1333">
        <v>-519254405</v>
      </c>
      <c r="AH71" s="1334">
        <v>-79178445</v>
      </c>
      <c r="AO71" s="1330" t="s">
        <v>2668</v>
      </c>
      <c r="AP71" s="1333"/>
      <c r="AQ71" s="1333">
        <v>-21549684078</v>
      </c>
      <c r="AR71" s="1333">
        <v>-3085220928</v>
      </c>
      <c r="AS71" s="1333">
        <v>-5916858005</v>
      </c>
      <c r="AT71" s="1334">
        <v>-7487339395</v>
      </c>
      <c r="BA71" s="1330" t="s">
        <v>2737</v>
      </c>
      <c r="BB71" s="1331"/>
      <c r="BC71" s="1331"/>
      <c r="BD71" s="1331"/>
      <c r="BE71" s="1333">
        <v>89409160</v>
      </c>
      <c r="BF71" s="1332"/>
    </row>
    <row r="72" spans="17:58" ht="27" x14ac:dyDescent="0.3">
      <c r="Q72" s="1341" t="s">
        <v>1795</v>
      </c>
      <c r="R72" s="1342"/>
      <c r="S72" s="1342">
        <v>3572958</v>
      </c>
      <c r="T72" s="1343">
        <v>1022682</v>
      </c>
      <c r="V72" s="1341" t="s">
        <v>2468</v>
      </c>
      <c r="W72" s="1333">
        <v>-621037</v>
      </c>
      <c r="X72" s="1334">
        <v>-4941631</v>
      </c>
      <c r="AC72" s="1330" t="s">
        <v>2629</v>
      </c>
      <c r="AD72" s="1333"/>
      <c r="AE72" s="1333">
        <v>-202604577</v>
      </c>
      <c r="AF72" s="1333">
        <v>-44353373</v>
      </c>
      <c r="AG72" s="1333">
        <v>-87097641</v>
      </c>
      <c r="AH72" s="1332"/>
      <c r="AO72" s="1330" t="s">
        <v>2662</v>
      </c>
      <c r="AP72" s="1331"/>
      <c r="AQ72" s="1331">
        <v>0</v>
      </c>
      <c r="AR72" s="1331">
        <v>0</v>
      </c>
      <c r="AS72" s="1331">
        <v>0</v>
      </c>
      <c r="AT72" s="1334">
        <v>100000000</v>
      </c>
      <c r="BA72" s="1330" t="s">
        <v>2625</v>
      </c>
      <c r="BB72" s="1331"/>
      <c r="BC72" s="1331"/>
      <c r="BD72" s="1331"/>
      <c r="BE72" s="1331"/>
      <c r="BF72" s="1332"/>
    </row>
    <row r="73" spans="17:58" ht="27" x14ac:dyDescent="0.3">
      <c r="Q73" s="1341" t="s">
        <v>2471</v>
      </c>
      <c r="R73" s="1342"/>
      <c r="S73" s="1342">
        <v>36570091</v>
      </c>
      <c r="T73" s="1343">
        <v>757289</v>
      </c>
      <c r="V73" s="1341" t="s">
        <v>2469</v>
      </c>
      <c r="W73" s="1333">
        <v>14078549</v>
      </c>
      <c r="X73" s="1334">
        <v>22676297</v>
      </c>
      <c r="AC73" s="1330" t="s">
        <v>2630</v>
      </c>
      <c r="AD73" s="1333"/>
      <c r="AE73" s="1333">
        <v>-118587600</v>
      </c>
      <c r="AF73" s="1333">
        <v>-47768421</v>
      </c>
      <c r="AG73" s="1333">
        <v>-92054413</v>
      </c>
      <c r="AH73" s="1334">
        <v>-59309603</v>
      </c>
      <c r="AO73" s="1330" t="s">
        <v>2669</v>
      </c>
      <c r="AP73" s="1333"/>
      <c r="AQ73" s="1333">
        <v>-9166140</v>
      </c>
      <c r="AR73" s="1333">
        <v>-1790083000</v>
      </c>
      <c r="AS73" s="1333">
        <v>-1801283000</v>
      </c>
      <c r="AT73" s="1334">
        <v>-819177920</v>
      </c>
      <c r="BA73" s="1330" t="s">
        <v>2636</v>
      </c>
      <c r="BB73" s="1333"/>
      <c r="BC73" s="1333">
        <v>-7496202</v>
      </c>
      <c r="BD73" s="1331"/>
      <c r="BE73" s="1333">
        <v>-46789854</v>
      </c>
      <c r="BF73" s="1332"/>
    </row>
    <row r="74" spans="17:58" ht="27" x14ac:dyDescent="0.3">
      <c r="Q74" s="1341" t="s">
        <v>2472</v>
      </c>
      <c r="R74" s="1342"/>
      <c r="S74" s="1342">
        <v>-7813731</v>
      </c>
      <c r="T74" s="1343">
        <v>-904105</v>
      </c>
      <c r="V74" s="1341" t="s">
        <v>2470</v>
      </c>
      <c r="W74" s="1333">
        <v>-182245</v>
      </c>
      <c r="X74" s="1334">
        <v>-8273</v>
      </c>
      <c r="AC74" s="1330" t="s">
        <v>2631</v>
      </c>
      <c r="AD74" s="1333"/>
      <c r="AE74" s="1333">
        <v>-63750786808</v>
      </c>
      <c r="AF74" s="1331"/>
      <c r="AG74" s="1331"/>
      <c r="AH74" s="1332"/>
      <c r="AO74" s="1330" t="s">
        <v>2718</v>
      </c>
      <c r="AP74" s="1333"/>
      <c r="AQ74" s="1333">
        <v>-5100000000</v>
      </c>
      <c r="AR74" s="1331">
        <v>0</v>
      </c>
      <c r="AS74" s="1331">
        <v>0</v>
      </c>
      <c r="AT74" s="1332">
        <v>0</v>
      </c>
      <c r="BA74" s="1330" t="s">
        <v>2616</v>
      </c>
      <c r="BB74" s="1333"/>
      <c r="BC74" s="1333">
        <v>2329593411</v>
      </c>
      <c r="BD74" s="1333">
        <v>2267716766</v>
      </c>
      <c r="BE74" s="1333">
        <v>3056803706</v>
      </c>
      <c r="BF74" s="1334">
        <v>3004293396</v>
      </c>
    </row>
    <row r="75" spans="17:58" x14ac:dyDescent="0.3">
      <c r="Q75" s="1341" t="s">
        <v>2473</v>
      </c>
      <c r="R75" s="1351"/>
      <c r="S75" s="1351" t="s">
        <v>2104</v>
      </c>
      <c r="T75" s="1343">
        <v>140616</v>
      </c>
      <c r="V75" s="1341" t="s">
        <v>2487</v>
      </c>
      <c r="W75" s="1331" t="s">
        <v>2104</v>
      </c>
      <c r="X75" s="1334">
        <v>190086</v>
      </c>
      <c r="AC75" s="1330" t="s">
        <v>2632</v>
      </c>
      <c r="AD75" s="1333"/>
      <c r="AE75" s="1333">
        <v>-2347200000</v>
      </c>
      <c r="AF75" s="1331"/>
      <c r="AG75" s="1331"/>
      <c r="AH75" s="1332"/>
      <c r="AO75" s="1330" t="s">
        <v>2719</v>
      </c>
      <c r="AP75" s="1333"/>
      <c r="AQ75" s="1333">
        <v>613267740</v>
      </c>
      <c r="AR75" s="1333">
        <v>472104600</v>
      </c>
      <c r="AS75" s="1333">
        <v>672104600</v>
      </c>
      <c r="AT75" s="1334">
        <v>3230314000</v>
      </c>
      <c r="BA75" s="1330" t="s">
        <v>2627</v>
      </c>
      <c r="BB75" s="1333"/>
      <c r="BC75" s="1333">
        <v>-30769592</v>
      </c>
      <c r="BD75" s="1333">
        <v>-86253750</v>
      </c>
      <c r="BE75" s="1333">
        <v>-95474809</v>
      </c>
      <c r="BF75" s="1334">
        <v>-97927544</v>
      </c>
    </row>
    <row r="76" spans="17:58" x14ac:dyDescent="0.3">
      <c r="Q76" s="1341" t="s">
        <v>2474</v>
      </c>
      <c r="R76" s="1342"/>
      <c r="S76" s="1342">
        <v>183871</v>
      </c>
      <c r="T76" s="1343">
        <v>141577</v>
      </c>
      <c r="V76" s="1341" t="s">
        <v>1801</v>
      </c>
      <c r="W76" s="1333">
        <v>-2120559</v>
      </c>
      <c r="X76" s="1334">
        <v>-205019</v>
      </c>
      <c r="AC76" s="1330" t="s">
        <v>2633</v>
      </c>
      <c r="AD76" s="1333"/>
      <c r="AE76" s="1333">
        <v>-379100919</v>
      </c>
      <c r="AF76" s="1331"/>
      <c r="AG76" s="1331"/>
      <c r="AH76" s="1334">
        <v>-7399667</v>
      </c>
      <c r="AO76" s="1330" t="s">
        <v>2720</v>
      </c>
      <c r="AP76" s="1333"/>
      <c r="AQ76" s="1333">
        <v>-1671432100</v>
      </c>
      <c r="AR76" s="1333">
        <v>-603267740</v>
      </c>
      <c r="AS76" s="1333">
        <v>-613267740</v>
      </c>
      <c r="AT76" s="1334">
        <v>-427104600</v>
      </c>
      <c r="BA76" s="1330" t="s">
        <v>2738</v>
      </c>
      <c r="BB76" s="1333"/>
      <c r="BC76" s="1333">
        <v>-952700</v>
      </c>
      <c r="BD76" s="1331"/>
      <c r="BE76" s="1331"/>
      <c r="BF76" s="1332"/>
    </row>
    <row r="77" spans="17:58" x14ac:dyDescent="0.3">
      <c r="Q77" s="1341" t="s">
        <v>2407</v>
      </c>
      <c r="R77" s="1342"/>
      <c r="S77" s="1342">
        <v>2007108</v>
      </c>
      <c r="T77" s="1352" t="s">
        <v>2104</v>
      </c>
      <c r="V77" s="1341" t="s">
        <v>1795</v>
      </c>
      <c r="W77" s="1333">
        <v>963914</v>
      </c>
      <c r="X77" s="1334">
        <v>2176973</v>
      </c>
      <c r="AC77" s="1330" t="s">
        <v>2634</v>
      </c>
      <c r="AD77" s="1333"/>
      <c r="AE77" s="1333">
        <v>-61000000</v>
      </c>
      <c r="AF77" s="1331"/>
      <c r="AG77" s="1331"/>
      <c r="AH77" s="1334">
        <v>-6965573</v>
      </c>
      <c r="AO77" s="1330" t="s">
        <v>2670</v>
      </c>
      <c r="AP77" s="1333"/>
      <c r="AQ77" s="1333">
        <v>-2441375400</v>
      </c>
      <c r="AR77" s="1333">
        <v>-1721203400</v>
      </c>
      <c r="AS77" s="1333">
        <v>-1721203400</v>
      </c>
      <c r="AT77" s="1334">
        <v>-1394571400</v>
      </c>
      <c r="BA77" s="1330" t="s">
        <v>2739</v>
      </c>
      <c r="BB77" s="1331"/>
      <c r="BC77" s="1331"/>
      <c r="BD77" s="1331"/>
      <c r="BE77" s="1331"/>
      <c r="BF77" s="1332"/>
    </row>
    <row r="78" spans="17:58" x14ac:dyDescent="0.3">
      <c r="Q78" s="1341" t="s">
        <v>2475</v>
      </c>
      <c r="R78" s="1342"/>
      <c r="S78" s="1342">
        <v>7946330</v>
      </c>
      <c r="T78" s="1352" t="s">
        <v>2104</v>
      </c>
      <c r="V78" s="1341" t="s">
        <v>2457</v>
      </c>
      <c r="W78" s="1333">
        <v>-74265</v>
      </c>
      <c r="X78" s="1334">
        <v>-100873</v>
      </c>
      <c r="AC78" s="1330" t="s">
        <v>2635</v>
      </c>
      <c r="AD78" s="1333"/>
      <c r="AE78" s="1333">
        <v>-130330491</v>
      </c>
      <c r="AF78" s="1333">
        <v>-130330491</v>
      </c>
      <c r="AG78" s="1333">
        <v>-173773986</v>
      </c>
      <c r="AH78" s="1334">
        <v>-173773986</v>
      </c>
      <c r="AO78" s="1330" t="s">
        <v>2721</v>
      </c>
      <c r="AP78" s="1333"/>
      <c r="AQ78" s="1333">
        <v>-721460000</v>
      </c>
      <c r="AR78" s="1333">
        <v>-1288000</v>
      </c>
      <c r="AS78" s="1333">
        <v>-1288000</v>
      </c>
      <c r="AT78" s="1334">
        <v>325344000</v>
      </c>
      <c r="BA78" s="1330" t="s">
        <v>2632</v>
      </c>
      <c r="BB78" s="1331"/>
      <c r="BC78" s="1331"/>
      <c r="BD78" s="1331"/>
      <c r="BE78" s="1331"/>
      <c r="BF78" s="1332"/>
    </row>
    <row r="79" spans="17:58" x14ac:dyDescent="0.3">
      <c r="Q79" s="1341" t="s">
        <v>2476</v>
      </c>
      <c r="R79" s="1342"/>
      <c r="S79" s="1342">
        <v>-1319417</v>
      </c>
      <c r="T79" s="1343">
        <v>-1875956</v>
      </c>
      <c r="V79" s="1341" t="s">
        <v>2476</v>
      </c>
      <c r="W79" s="1333">
        <v>-2710652</v>
      </c>
      <c r="X79" s="1334">
        <v>-3608575</v>
      </c>
      <c r="AC79" s="1330" t="s">
        <v>2636</v>
      </c>
      <c r="AD79" s="1333"/>
      <c r="AE79" s="1333">
        <v>-1543918620</v>
      </c>
      <c r="AF79" s="1333">
        <v>-6670670216</v>
      </c>
      <c r="AG79" s="1333">
        <v>-6670670216</v>
      </c>
      <c r="AH79" s="1334">
        <v>-1797751844</v>
      </c>
      <c r="AO79" s="1330" t="s">
        <v>2722</v>
      </c>
      <c r="AP79" s="1333"/>
      <c r="AQ79" s="1333">
        <v>-1719915400</v>
      </c>
      <c r="AR79" s="1333">
        <v>-1719915400</v>
      </c>
      <c r="AS79" s="1333">
        <v>-1719915400</v>
      </c>
      <c r="AT79" s="1334">
        <v>-1719915400</v>
      </c>
      <c r="BA79" s="1330" t="s">
        <v>2638</v>
      </c>
      <c r="BB79" s="1331"/>
      <c r="BC79" s="1331"/>
      <c r="BD79" s="1331"/>
      <c r="BE79" s="1331"/>
      <c r="BF79" s="1332"/>
    </row>
    <row r="80" spans="17:58" x14ac:dyDescent="0.3">
      <c r="Q80" s="1341" t="s">
        <v>2477</v>
      </c>
      <c r="R80" s="1342"/>
      <c r="S80" s="1342">
        <v>4540031</v>
      </c>
      <c r="T80" s="1343">
        <v>5740259</v>
      </c>
      <c r="V80" s="1341" t="s">
        <v>2477</v>
      </c>
      <c r="W80" s="1333">
        <v>7685848</v>
      </c>
      <c r="X80" s="1334">
        <v>9569519</v>
      </c>
      <c r="AC80" s="1330" t="s">
        <v>2637</v>
      </c>
      <c r="AD80" s="1331"/>
      <c r="AE80" s="1331"/>
      <c r="AF80" s="1331"/>
      <c r="AG80" s="1331"/>
      <c r="AH80" s="1332"/>
      <c r="AO80" s="1330" t="s">
        <v>2680</v>
      </c>
      <c r="AP80" s="1333"/>
      <c r="AQ80" s="1333">
        <v>-1509989747</v>
      </c>
      <c r="AR80" s="1333">
        <v>6417838470</v>
      </c>
      <c r="AS80" s="1333">
        <v>-3302350620</v>
      </c>
      <c r="AT80" s="1334">
        <v>12726063429</v>
      </c>
      <c r="BA80" s="1330" t="s">
        <v>2740</v>
      </c>
      <c r="BB80" s="1331"/>
      <c r="BC80" s="1331"/>
      <c r="BD80" s="1333">
        <v>89409160</v>
      </c>
      <c r="BE80" s="1331"/>
      <c r="BF80" s="1332"/>
    </row>
    <row r="81" spans="17:58" x14ac:dyDescent="0.3">
      <c r="Q81" s="1341" t="s">
        <v>2478</v>
      </c>
      <c r="R81" s="1351"/>
      <c r="S81" s="1351" t="s">
        <v>2104</v>
      </c>
      <c r="T81" s="1343">
        <v>7064</v>
      </c>
      <c r="V81" s="1341" t="s">
        <v>2478</v>
      </c>
      <c r="W81" s="1333">
        <v>9525</v>
      </c>
      <c r="X81" s="1334">
        <v>8184</v>
      </c>
      <c r="AC81" s="1330" t="s">
        <v>2638</v>
      </c>
      <c r="AD81" s="1331"/>
      <c r="AE81" s="1331"/>
      <c r="AF81" s="1331"/>
      <c r="AG81" s="1331"/>
      <c r="AH81" s="1332"/>
      <c r="AO81" s="1330" t="s">
        <v>2723</v>
      </c>
      <c r="AP81" s="1333"/>
      <c r="AQ81" s="1333">
        <v>20717509865</v>
      </c>
      <c r="AR81" s="1333">
        <v>24019860485</v>
      </c>
      <c r="AS81" s="1333">
        <v>24019860485</v>
      </c>
      <c r="AT81" s="1334">
        <v>11293797056</v>
      </c>
      <c r="BA81" s="1330" t="s">
        <v>2741</v>
      </c>
      <c r="BB81" s="1333"/>
      <c r="BC81" s="1333">
        <v>7490417517</v>
      </c>
      <c r="BD81" s="1333">
        <v>222734535</v>
      </c>
      <c r="BE81" s="1333">
        <v>-6245145549</v>
      </c>
      <c r="BF81" s="1334">
        <v>1441739486</v>
      </c>
    </row>
    <row r="82" spans="17:58" x14ac:dyDescent="0.3">
      <c r="Q82" s="1341" t="s">
        <v>2479</v>
      </c>
      <c r="R82" s="1342"/>
      <c r="S82" s="1342">
        <v>13627</v>
      </c>
      <c r="T82" s="1352"/>
      <c r="V82" s="1341" t="s">
        <v>2479</v>
      </c>
      <c r="W82" s="1333">
        <v>252955</v>
      </c>
      <c r="X82" s="1334">
        <v>1791529</v>
      </c>
      <c r="AC82" s="1330" t="s">
        <v>2639</v>
      </c>
      <c r="AD82" s="1333"/>
      <c r="AE82" s="1333">
        <v>-31157654</v>
      </c>
      <c r="AF82" s="1333">
        <v>-25260833</v>
      </c>
      <c r="AG82" s="1333">
        <v>-37234434</v>
      </c>
      <c r="AH82" s="1332"/>
      <c r="AO82" s="1335" t="s">
        <v>2724</v>
      </c>
      <c r="AP82" s="1336"/>
      <c r="AQ82" s="1336">
        <v>19207520118</v>
      </c>
      <c r="AR82" s="1336">
        <v>30437698955</v>
      </c>
      <c r="AS82" s="1336">
        <v>20717509865</v>
      </c>
      <c r="AT82" s="1337">
        <v>24019860485</v>
      </c>
      <c r="BA82" s="1330" t="s">
        <v>2742</v>
      </c>
      <c r="BB82" s="1333"/>
      <c r="BC82" s="1333">
        <v>27266827</v>
      </c>
      <c r="BD82" s="1333">
        <v>95410668</v>
      </c>
      <c r="BE82" s="1333">
        <v>81170767</v>
      </c>
      <c r="BF82" s="1334">
        <v>-35354273</v>
      </c>
    </row>
    <row r="83" spans="17:58" x14ac:dyDescent="0.3">
      <c r="Q83" s="1353" t="s">
        <v>2480</v>
      </c>
      <c r="R83" s="1345"/>
      <c r="S83" s="1345">
        <v>95846702</v>
      </c>
      <c r="T83" s="1346">
        <v>75216414</v>
      </c>
      <c r="V83" s="1341" t="s">
        <v>2488</v>
      </c>
      <c r="W83" s="1333">
        <v>-666036</v>
      </c>
      <c r="X83" s="1332" t="s">
        <v>2104</v>
      </c>
      <c r="AC83" s="1330" t="s">
        <v>2640</v>
      </c>
      <c r="AD83" s="1333"/>
      <c r="AE83" s="1333">
        <v>-11605072139</v>
      </c>
      <c r="AF83" s="1333">
        <v>18133668723</v>
      </c>
      <c r="AG83" s="1333">
        <v>27153185306</v>
      </c>
      <c r="AH83" s="1334">
        <v>5884440802</v>
      </c>
      <c r="BA83" s="1330" t="s">
        <v>2642</v>
      </c>
      <c r="BB83" s="1333"/>
      <c r="BC83" s="1333">
        <v>132569942</v>
      </c>
      <c r="BD83" s="1333">
        <v>-2077070416</v>
      </c>
      <c r="BE83" s="1333">
        <v>1557692843</v>
      </c>
      <c r="BF83" s="1334">
        <v>-991216465</v>
      </c>
    </row>
    <row r="84" spans="17:58" x14ac:dyDescent="0.3">
      <c r="V84" s="1344" t="s">
        <v>2489</v>
      </c>
      <c r="W84" s="1336">
        <v>110938986</v>
      </c>
      <c r="X84" s="1337">
        <v>135884080</v>
      </c>
      <c r="AC84" s="1330" t="s">
        <v>2641</v>
      </c>
      <c r="AD84" s="1333"/>
      <c r="AE84" s="1333">
        <v>8557035404</v>
      </c>
      <c r="AF84" s="1333">
        <v>72567864753</v>
      </c>
      <c r="AG84" s="1333">
        <v>78463204237</v>
      </c>
      <c r="AH84" s="1334">
        <v>-29215525643</v>
      </c>
      <c r="BA84" s="1330" t="s">
        <v>2743</v>
      </c>
      <c r="BB84" s="1333"/>
      <c r="BC84" s="1333">
        <v>55402437</v>
      </c>
      <c r="BD84" s="1333">
        <v>291592196</v>
      </c>
      <c r="BE84" s="1333">
        <v>254813758</v>
      </c>
      <c r="BF84" s="1334">
        <v>51380463</v>
      </c>
    </row>
    <row r="85" spans="17:58" x14ac:dyDescent="0.3">
      <c r="AC85" s="1330" t="s">
        <v>2642</v>
      </c>
      <c r="AD85" s="1333"/>
      <c r="AE85" s="1333">
        <v>2633861684</v>
      </c>
      <c r="AF85" s="1333">
        <v>6519100797</v>
      </c>
      <c r="AG85" s="1333">
        <v>6300675359</v>
      </c>
      <c r="AH85" s="1334">
        <v>24294128513</v>
      </c>
      <c r="BA85" s="1330" t="s">
        <v>2744</v>
      </c>
      <c r="BB85" s="1331"/>
      <c r="BC85" s="1331"/>
      <c r="BD85" s="1333">
        <v>151499865</v>
      </c>
      <c r="BE85" s="1333">
        <v>151499865</v>
      </c>
      <c r="BF85" s="1334">
        <v>246500509</v>
      </c>
    </row>
    <row r="86" spans="17:58" x14ac:dyDescent="0.3">
      <c r="AC86" s="1330" t="s">
        <v>2643</v>
      </c>
      <c r="AD86" s="1333"/>
      <c r="AE86" s="1333">
        <v>3453371432</v>
      </c>
      <c r="AF86" s="1333">
        <v>-955046786</v>
      </c>
      <c r="AG86" s="1333">
        <v>3656055344</v>
      </c>
      <c r="AH86" s="1334">
        <v>1268804659</v>
      </c>
      <c r="BA86" s="1330" t="s">
        <v>2745</v>
      </c>
      <c r="BB86" s="1333"/>
      <c r="BC86" s="1333">
        <v>-156102587</v>
      </c>
      <c r="BD86" s="1333">
        <v>-32094967</v>
      </c>
      <c r="BE86" s="1333">
        <v>984678</v>
      </c>
      <c r="BF86" s="1334">
        <v>12929045</v>
      </c>
    </row>
    <row r="87" spans="17:58" x14ac:dyDescent="0.3">
      <c r="AC87" s="1330" t="s">
        <v>2644</v>
      </c>
      <c r="AD87" s="1333"/>
      <c r="AE87" s="1333">
        <v>1653172650</v>
      </c>
      <c r="AF87" s="1333">
        <v>70573018</v>
      </c>
      <c r="AG87" s="1333">
        <v>-185263577</v>
      </c>
      <c r="AH87" s="1334">
        <v>2151192489</v>
      </c>
      <c r="BA87" s="1330" t="s">
        <v>2746</v>
      </c>
      <c r="BB87" s="1333"/>
      <c r="BC87" s="1333">
        <v>-855757839</v>
      </c>
      <c r="BD87" s="1333">
        <v>-369793301</v>
      </c>
      <c r="BE87" s="1333">
        <v>-268564726</v>
      </c>
      <c r="BF87" s="1334">
        <v>77085922</v>
      </c>
    </row>
    <row r="88" spans="17:58" x14ac:dyDescent="0.3">
      <c r="AC88" s="1330" t="s">
        <v>2645</v>
      </c>
      <c r="AD88" s="1331"/>
      <c r="AE88" s="1331"/>
      <c r="AF88" s="1331"/>
      <c r="AG88" s="1333">
        <v>-713387775</v>
      </c>
      <c r="AH88" s="1334">
        <v>545058858</v>
      </c>
      <c r="BA88" s="1330" t="s">
        <v>2747</v>
      </c>
      <c r="BB88" s="1331"/>
      <c r="BC88" s="1331"/>
      <c r="BD88" s="1331"/>
      <c r="BE88" s="1331"/>
      <c r="BF88" s="1332"/>
    </row>
    <row r="89" spans="17:58" x14ac:dyDescent="0.3">
      <c r="AC89" s="1330" t="s">
        <v>2646</v>
      </c>
      <c r="AD89" s="1333"/>
      <c r="AE89" s="1333">
        <v>-19484065671</v>
      </c>
      <c r="AF89" s="1333">
        <v>-54120553151</v>
      </c>
      <c r="AG89" s="1333">
        <v>-54041967653</v>
      </c>
      <c r="AH89" s="1334">
        <v>9577374670</v>
      </c>
      <c r="BA89" s="1330" t="s">
        <v>2748</v>
      </c>
      <c r="BB89" s="1333"/>
      <c r="BC89" s="1333">
        <v>-4469516</v>
      </c>
      <c r="BD89" s="1331"/>
      <c r="BE89" s="1333">
        <v>-25821893</v>
      </c>
      <c r="BF89" s="1334">
        <v>399882394</v>
      </c>
    </row>
    <row r="90" spans="17:58" x14ac:dyDescent="0.3">
      <c r="AC90" s="1330" t="s">
        <v>2647</v>
      </c>
      <c r="AD90" s="1333"/>
      <c r="AE90" s="1333">
        <v>-1131240510</v>
      </c>
      <c r="AF90" s="1333">
        <v>-342441095</v>
      </c>
      <c r="AG90" s="1333">
        <v>704886709</v>
      </c>
      <c r="AH90" s="1334">
        <v>256906426</v>
      </c>
      <c r="BA90" s="1330" t="s">
        <v>2706</v>
      </c>
      <c r="BB90" s="1333"/>
      <c r="BC90" s="1333">
        <v>-8552542383</v>
      </c>
      <c r="BD90" s="1333">
        <v>-6416377741</v>
      </c>
      <c r="BE90" s="1333">
        <v>-2341018469</v>
      </c>
      <c r="BF90" s="1334">
        <v>198037954</v>
      </c>
    </row>
    <row r="91" spans="17:58" x14ac:dyDescent="0.3">
      <c r="AC91" s="1330" t="s">
        <v>2648</v>
      </c>
      <c r="AD91" s="1333"/>
      <c r="AE91" s="1333">
        <v>-6215482118</v>
      </c>
      <c r="AF91" s="1333">
        <v>-257128845</v>
      </c>
      <c r="AG91" s="1333">
        <v>1734907722</v>
      </c>
      <c r="AH91" s="1334">
        <v>-2995025016</v>
      </c>
      <c r="BA91" s="1330" t="s">
        <v>2707</v>
      </c>
      <c r="BB91" s="1333"/>
      <c r="BC91" s="1333">
        <v>-1207294089</v>
      </c>
      <c r="BD91" s="1333">
        <v>-231530631</v>
      </c>
      <c r="BE91" s="1333">
        <v>594630800</v>
      </c>
      <c r="BF91" s="1334">
        <v>-996635220</v>
      </c>
    </row>
    <row r="92" spans="17:58" x14ac:dyDescent="0.3">
      <c r="AC92" s="1330" t="s">
        <v>2649</v>
      </c>
      <c r="AD92" s="1333"/>
      <c r="AE92" s="1333">
        <v>8708625</v>
      </c>
      <c r="AF92" s="1333">
        <v>-3869802669</v>
      </c>
      <c r="AG92" s="1333">
        <v>-3987189134</v>
      </c>
      <c r="AH92" s="1334">
        <v>1774066758</v>
      </c>
      <c r="BA92" s="1330" t="s">
        <v>2749</v>
      </c>
      <c r="BB92" s="1331"/>
      <c r="BC92" s="1331"/>
      <c r="BD92" s="1331"/>
      <c r="BE92" s="1331"/>
      <c r="BF92" s="1332"/>
    </row>
    <row r="93" spans="17:58" x14ac:dyDescent="0.3">
      <c r="AC93" s="1330" t="s">
        <v>2650</v>
      </c>
      <c r="AD93" s="1333"/>
      <c r="AE93" s="1333">
        <v>-1080433635</v>
      </c>
      <c r="AF93" s="1333">
        <v>-1958462943</v>
      </c>
      <c r="AG93" s="1333">
        <v>-4778735926</v>
      </c>
      <c r="AH93" s="1334">
        <v>-3386003819</v>
      </c>
      <c r="BA93" s="1330" t="s">
        <v>2750</v>
      </c>
      <c r="BB93" s="1333"/>
      <c r="BC93" s="1333">
        <v>123108423</v>
      </c>
      <c r="BD93" s="1333">
        <v>1577627569</v>
      </c>
      <c r="BE93" s="1333">
        <v>700811744</v>
      </c>
      <c r="BF93" s="1334">
        <v>1887359021</v>
      </c>
    </row>
    <row r="94" spans="17:58" x14ac:dyDescent="0.3">
      <c r="AC94" s="1330" t="s">
        <v>2651</v>
      </c>
      <c r="AD94" s="1331"/>
      <c r="AE94" s="1331"/>
      <c r="AF94" s="1333">
        <v>479565644</v>
      </c>
      <c r="AG94" s="1331"/>
      <c r="AH94" s="1334">
        <v>1613462907</v>
      </c>
      <c r="BA94" s="1330" t="s">
        <v>2751</v>
      </c>
      <c r="BB94" s="1333"/>
      <c r="BC94" s="1333">
        <v>-138568403</v>
      </c>
      <c r="BD94" s="1333">
        <v>-125815</v>
      </c>
      <c r="BE94" s="1333">
        <v>-125815</v>
      </c>
      <c r="BF94" s="1332"/>
    </row>
    <row r="95" spans="17:58" x14ac:dyDescent="0.3">
      <c r="AC95" s="1330" t="s">
        <v>2652</v>
      </c>
      <c r="AD95" s="1331"/>
      <c r="AE95" s="1331">
        <v>0</v>
      </c>
      <c r="AF95" s="1331">
        <v>0</v>
      </c>
      <c r="AG95" s="1331">
        <v>0</v>
      </c>
      <c r="AH95" s="1334">
        <v>970380</v>
      </c>
      <c r="BA95" s="1330" t="s">
        <v>2752</v>
      </c>
      <c r="BB95" s="1333"/>
      <c r="BC95" s="1333">
        <v>892106727</v>
      </c>
      <c r="BD95" s="1333">
        <v>-20797716</v>
      </c>
      <c r="BE95" s="1333">
        <v>-7817669</v>
      </c>
      <c r="BF95" s="1334">
        <v>-17597176</v>
      </c>
    </row>
    <row r="96" spans="17:58" x14ac:dyDescent="0.3">
      <c r="AC96" s="1330" t="s">
        <v>2653</v>
      </c>
      <c r="AD96" s="1333"/>
      <c r="AE96" s="1333">
        <v>898949431</v>
      </c>
      <c r="AF96" s="1333">
        <v>302996382</v>
      </c>
      <c r="AG96" s="1333">
        <v>611684995</v>
      </c>
      <c r="AH96" s="1334">
        <v>655330241</v>
      </c>
      <c r="BA96" s="1330" t="s">
        <v>2753</v>
      </c>
      <c r="BB96" s="1333"/>
      <c r="BC96" s="1333">
        <v>-556927128</v>
      </c>
      <c r="BD96" s="1333">
        <v>-224311590</v>
      </c>
      <c r="BE96" s="1333">
        <v>303985999</v>
      </c>
      <c r="BF96" s="1334">
        <v>-550210964</v>
      </c>
    </row>
    <row r="97" spans="29:58" x14ac:dyDescent="0.3">
      <c r="AC97" s="1330" t="s">
        <v>2654</v>
      </c>
      <c r="AD97" s="1333"/>
      <c r="AE97" s="1333">
        <v>-5336790646</v>
      </c>
      <c r="AF97" s="1333">
        <v>-14217621468</v>
      </c>
      <c r="AG97" s="1333">
        <v>-17520041381</v>
      </c>
      <c r="AH97" s="1334">
        <v>-18360396424</v>
      </c>
      <c r="BA97" s="1330" t="s">
        <v>2754</v>
      </c>
      <c r="BB97" s="1331"/>
      <c r="BC97" s="1331"/>
      <c r="BD97" s="1331"/>
      <c r="BE97" s="1331"/>
      <c r="BF97" s="1332"/>
    </row>
    <row r="98" spans="29:58" x14ac:dyDescent="0.3">
      <c r="AC98" s="1330" t="s">
        <v>2655</v>
      </c>
      <c r="AD98" s="1333"/>
      <c r="AE98" s="1333">
        <v>-5145649505</v>
      </c>
      <c r="AF98" s="1333">
        <v>-2595489499</v>
      </c>
      <c r="AG98" s="1333">
        <v>-2639522269</v>
      </c>
      <c r="AH98" s="1334">
        <v>-5619402356</v>
      </c>
      <c r="BA98" s="1330" t="s">
        <v>2755</v>
      </c>
      <c r="BB98" s="1333"/>
      <c r="BC98" s="1333">
        <v>-89409160</v>
      </c>
      <c r="BD98" s="1331"/>
      <c r="BE98" s="1331"/>
      <c r="BF98" s="1332"/>
    </row>
    <row r="99" spans="29:58" x14ac:dyDescent="0.3">
      <c r="AC99" s="1330" t="s">
        <v>2656</v>
      </c>
      <c r="AD99" s="1333"/>
      <c r="AE99" s="1333">
        <v>81636740173</v>
      </c>
      <c r="AF99" s="1333">
        <v>57603997635</v>
      </c>
      <c r="AG99" s="1333">
        <v>101909937762</v>
      </c>
      <c r="AH99" s="1334">
        <v>-25441972428</v>
      </c>
      <c r="BA99" s="1330" t="s">
        <v>2756</v>
      </c>
      <c r="BB99" s="1333"/>
      <c r="BC99" s="1333">
        <v>-2312339320</v>
      </c>
      <c r="BD99" s="1333">
        <v>-1113266660</v>
      </c>
      <c r="BE99" s="1333">
        <v>-1843122609</v>
      </c>
      <c r="BF99" s="1334">
        <v>-2376777450</v>
      </c>
    </row>
    <row r="100" spans="29:58" x14ac:dyDescent="0.3">
      <c r="AC100" s="1330" t="s">
        <v>2657</v>
      </c>
      <c r="AD100" s="1333"/>
      <c r="AE100" s="1333">
        <v>52828660082</v>
      </c>
      <c r="AF100" s="1331"/>
      <c r="AG100" s="1331"/>
      <c r="AH100" s="1332"/>
      <c r="BA100" s="1330" t="s">
        <v>2757</v>
      </c>
      <c r="BB100" s="1333"/>
      <c r="BC100" s="1333">
        <v>256144535</v>
      </c>
      <c r="BD100" s="1333">
        <v>94894764</v>
      </c>
      <c r="BE100" s="1333">
        <v>290009676</v>
      </c>
      <c r="BF100" s="1334">
        <v>312716809</v>
      </c>
    </row>
    <row r="101" spans="29:58" x14ac:dyDescent="0.3">
      <c r="AC101" s="1330" t="s">
        <v>2658</v>
      </c>
      <c r="AD101" s="1331"/>
      <c r="AE101" s="1331"/>
      <c r="AF101" s="1333">
        <v>63500635458</v>
      </c>
      <c r="AG101" s="1333">
        <v>63183132288</v>
      </c>
      <c r="AH101" s="1332"/>
      <c r="BA101" s="1330" t="s">
        <v>2758</v>
      </c>
      <c r="BB101" s="1331"/>
      <c r="BC101" s="1331"/>
      <c r="BD101" s="1331"/>
      <c r="BE101" s="1333">
        <v>-66920500</v>
      </c>
      <c r="BF101" s="1332"/>
    </row>
    <row r="102" spans="29:58" x14ac:dyDescent="0.3">
      <c r="AC102" s="1330" t="s">
        <v>2659</v>
      </c>
      <c r="AD102" s="1331"/>
      <c r="AE102" s="1331"/>
      <c r="AF102" s="1331"/>
      <c r="AG102" s="1333">
        <v>45000000000</v>
      </c>
      <c r="AH102" s="1332"/>
      <c r="BA102" s="1330" t="s">
        <v>2712</v>
      </c>
      <c r="BB102" s="1333"/>
      <c r="BC102" s="1333">
        <v>30769592</v>
      </c>
      <c r="BD102" s="1333">
        <v>86338682</v>
      </c>
      <c r="BE102" s="1333">
        <v>95559741</v>
      </c>
      <c r="BF102" s="1334">
        <v>97919050</v>
      </c>
    </row>
    <row r="103" spans="29:58" x14ac:dyDescent="0.3">
      <c r="AC103" s="1330" t="s">
        <v>2660</v>
      </c>
      <c r="AD103" s="1333"/>
      <c r="AE103" s="1333">
        <v>1000000</v>
      </c>
      <c r="AF103" s="1331"/>
      <c r="AG103" s="1331"/>
      <c r="AH103" s="1334">
        <v>25620360288</v>
      </c>
      <c r="BA103" s="1330" t="s">
        <v>2759</v>
      </c>
      <c r="BB103" s="1333"/>
      <c r="BC103" s="1333">
        <v>-2331123186</v>
      </c>
      <c r="BD103" s="1333">
        <v>-2266694524</v>
      </c>
      <c r="BE103" s="1333">
        <v>-3043179133</v>
      </c>
      <c r="BF103" s="1334">
        <v>-3030074709</v>
      </c>
    </row>
    <row r="104" spans="29:58" x14ac:dyDescent="0.3">
      <c r="AC104" s="1330" t="s">
        <v>2661</v>
      </c>
      <c r="AD104" s="1333"/>
      <c r="AE104" s="1333">
        <v>721545455</v>
      </c>
      <c r="AF104" s="1333">
        <v>339564949</v>
      </c>
      <c r="AG104" s="1333">
        <v>382626767</v>
      </c>
      <c r="AH104" s="1334">
        <v>43211424</v>
      </c>
      <c r="BA104" s="1330" t="s">
        <v>2760</v>
      </c>
      <c r="BB104" s="1333"/>
      <c r="BC104" s="1333">
        <v>952700</v>
      </c>
      <c r="BD104" s="1331"/>
      <c r="BE104" s="1331"/>
      <c r="BF104" s="1332"/>
    </row>
    <row r="105" spans="29:58" x14ac:dyDescent="0.3">
      <c r="AC105" s="1330" t="s">
        <v>2662</v>
      </c>
      <c r="AD105" s="1333"/>
      <c r="AE105" s="1333">
        <v>352355200</v>
      </c>
      <c r="AF105" s="1333">
        <v>148813688</v>
      </c>
      <c r="AG105" s="1333">
        <v>166813688</v>
      </c>
      <c r="AH105" s="1334">
        <v>86545455</v>
      </c>
      <c r="BA105" s="1330" t="s">
        <v>2713</v>
      </c>
      <c r="BB105" s="1333"/>
      <c r="BC105" s="1333">
        <v>8934830</v>
      </c>
      <c r="BD105" s="1333">
        <v>-1316980</v>
      </c>
      <c r="BE105" s="1333">
        <v>-2583800</v>
      </c>
      <c r="BF105" s="1334">
        <v>37827830</v>
      </c>
    </row>
    <row r="106" spans="29:58" x14ac:dyDescent="0.3">
      <c r="AC106" s="1330" t="s">
        <v>2663</v>
      </c>
      <c r="AD106" s="1333"/>
      <c r="AE106" s="1333">
        <v>2583212509</v>
      </c>
      <c r="AF106" s="1331"/>
      <c r="AG106" s="1333">
        <v>1280000</v>
      </c>
      <c r="AH106" s="1334">
        <v>700450000</v>
      </c>
      <c r="BA106" s="1330" t="s">
        <v>2656</v>
      </c>
      <c r="BB106" s="1333"/>
      <c r="BC106" s="1333">
        <v>-5353571504</v>
      </c>
      <c r="BD106" s="1333">
        <v>2622097045</v>
      </c>
      <c r="BE106" s="1333">
        <v>1293675519</v>
      </c>
      <c r="BF106" s="1334">
        <v>-2683543351</v>
      </c>
    </row>
    <row r="107" spans="29:58" x14ac:dyDescent="0.3">
      <c r="AC107" s="1330" t="s">
        <v>2664</v>
      </c>
      <c r="AD107" s="1333"/>
      <c r="AE107" s="1333">
        <v>-22150270000</v>
      </c>
      <c r="AF107" s="1333">
        <v>-2353218869</v>
      </c>
      <c r="AG107" s="1333">
        <v>-1872678869</v>
      </c>
      <c r="AH107" s="1334">
        <v>-1700000000</v>
      </c>
      <c r="BA107" s="1330" t="s">
        <v>2761</v>
      </c>
      <c r="BB107" s="1331"/>
      <c r="BC107" s="1331"/>
      <c r="BD107" s="1333">
        <v>6181849115</v>
      </c>
      <c r="BE107" s="1333">
        <v>6447344724</v>
      </c>
      <c r="BF107" s="1334">
        <v>211602793</v>
      </c>
    </row>
    <row r="108" spans="29:58" x14ac:dyDescent="0.3">
      <c r="AC108" s="1330" t="s">
        <v>2665</v>
      </c>
      <c r="AD108" s="1333"/>
      <c r="AE108" s="1333">
        <v>-1979515665</v>
      </c>
      <c r="AF108" s="1331"/>
      <c r="AG108" s="1333">
        <v>-100000000</v>
      </c>
      <c r="AH108" s="1334">
        <v>-37462240252</v>
      </c>
      <c r="BA108" s="1330" t="s">
        <v>2762</v>
      </c>
      <c r="BB108" s="1333"/>
      <c r="BC108" s="1333">
        <v>16685000</v>
      </c>
      <c r="BD108" s="1331"/>
      <c r="BE108" s="1331"/>
      <c r="BF108" s="1332"/>
    </row>
    <row r="109" spans="29:58" x14ac:dyDescent="0.3">
      <c r="AC109" s="1330" t="s">
        <v>2666</v>
      </c>
      <c r="AD109" s="1333"/>
      <c r="AE109" s="1333">
        <v>-41356800</v>
      </c>
      <c r="AF109" s="1333">
        <v>-130560000</v>
      </c>
      <c r="AG109" s="1333">
        <v>-264000000</v>
      </c>
      <c r="AH109" s="1334">
        <v>-6979257350</v>
      </c>
      <c r="BA109" s="1330" t="s">
        <v>2660</v>
      </c>
      <c r="BB109" s="1333"/>
      <c r="BC109" s="1333">
        <v>142720183</v>
      </c>
      <c r="BD109" s="1333">
        <v>128530867</v>
      </c>
      <c r="BE109" s="1333">
        <v>198731006</v>
      </c>
      <c r="BF109" s="1334">
        <v>484651721</v>
      </c>
    </row>
    <row r="110" spans="29:58" x14ac:dyDescent="0.3">
      <c r="AC110" s="1330" t="s">
        <v>2667</v>
      </c>
      <c r="AD110" s="1333"/>
      <c r="AE110" s="1333">
        <v>52087089613</v>
      </c>
      <c r="AF110" s="1331"/>
      <c r="AG110" s="1331"/>
      <c r="AH110" s="1332"/>
      <c r="BA110" s="1330" t="s">
        <v>2763</v>
      </c>
      <c r="BB110" s="1331"/>
      <c r="BC110" s="1331"/>
      <c r="BD110" s="1333">
        <v>50000000</v>
      </c>
      <c r="BE110" s="1333">
        <v>50000000</v>
      </c>
      <c r="BF110" s="1332"/>
    </row>
    <row r="111" spans="29:58" x14ac:dyDescent="0.3">
      <c r="AC111" s="1330" t="s">
        <v>2668</v>
      </c>
      <c r="AD111" s="1333"/>
      <c r="AE111" s="1333">
        <v>-2450221295</v>
      </c>
      <c r="AF111" s="1333">
        <v>-2356690682</v>
      </c>
      <c r="AG111" s="1333">
        <v>-2647326339</v>
      </c>
      <c r="AH111" s="1334">
        <v>-4818986199</v>
      </c>
      <c r="BA111" s="1330" t="s">
        <v>2764</v>
      </c>
      <c r="BB111" s="1331"/>
      <c r="BC111" s="1331"/>
      <c r="BD111" s="1331"/>
      <c r="BE111" s="1331"/>
      <c r="BF111" s="1332"/>
    </row>
    <row r="112" spans="29:58" x14ac:dyDescent="0.3">
      <c r="AC112" s="1330" t="s">
        <v>2669</v>
      </c>
      <c r="AD112" s="1333"/>
      <c r="AE112" s="1333">
        <v>-315758926</v>
      </c>
      <c r="AF112" s="1333">
        <v>-1544546909</v>
      </c>
      <c r="AG112" s="1333">
        <v>-1939909773</v>
      </c>
      <c r="AH112" s="1334">
        <v>-932055794</v>
      </c>
      <c r="BA112" s="1330" t="s">
        <v>2765</v>
      </c>
      <c r="BB112" s="1331"/>
      <c r="BC112" s="1331"/>
      <c r="BD112" s="1331"/>
      <c r="BE112" s="1331"/>
      <c r="BF112" s="1332"/>
    </row>
    <row r="113" spans="29:58" x14ac:dyDescent="0.3">
      <c r="AC113" s="1330" t="s">
        <v>2670</v>
      </c>
      <c r="AD113" s="1333"/>
      <c r="AE113" s="1333">
        <v>-67617572797</v>
      </c>
      <c r="AF113" s="1333">
        <v>-71174722594</v>
      </c>
      <c r="AG113" s="1333">
        <v>-124553192947</v>
      </c>
      <c r="AH113" s="1334">
        <v>4616598583</v>
      </c>
      <c r="BA113" s="1330" t="s">
        <v>2766</v>
      </c>
      <c r="BB113" s="1331"/>
      <c r="BC113" s="1331"/>
      <c r="BD113" s="1331"/>
      <c r="BE113" s="1331"/>
      <c r="BF113" s="1334">
        <v>40000000</v>
      </c>
    </row>
    <row r="114" spans="29:58" x14ac:dyDescent="0.3">
      <c r="AC114" s="1330" t="s">
        <v>2671</v>
      </c>
      <c r="AD114" s="1333"/>
      <c r="AE114" s="1333">
        <v>56638271600</v>
      </c>
      <c r="AF114" s="1333">
        <v>181616537796</v>
      </c>
      <c r="AG114" s="1333">
        <v>201890244069</v>
      </c>
      <c r="AH114" s="1334">
        <v>39521495246</v>
      </c>
      <c r="BA114" s="1330" t="s">
        <v>2767</v>
      </c>
      <c r="BB114" s="1333"/>
      <c r="BC114" s="1333">
        <v>225863047</v>
      </c>
      <c r="BD114" s="1333">
        <v>183252750</v>
      </c>
      <c r="BE114" s="1333">
        <v>233669738</v>
      </c>
      <c r="BF114" s="1334">
        <v>474134000</v>
      </c>
    </row>
    <row r="115" spans="29:58" x14ac:dyDescent="0.3">
      <c r="AC115" s="1330" t="s">
        <v>2672</v>
      </c>
      <c r="AD115" s="1331"/>
      <c r="AE115" s="1331"/>
      <c r="AF115" s="1331"/>
      <c r="AG115" s="1333">
        <v>99615007636</v>
      </c>
      <c r="AH115" s="1334">
        <v>129296600000</v>
      </c>
      <c r="BA115" s="1330" t="s">
        <v>2768</v>
      </c>
      <c r="BB115" s="1333"/>
      <c r="BC115" s="1333">
        <v>1150000</v>
      </c>
      <c r="BD115" s="1331"/>
      <c r="BE115" s="1333">
        <v>3000000</v>
      </c>
      <c r="BF115" s="1334">
        <v>15000000</v>
      </c>
    </row>
    <row r="116" spans="29:58" x14ac:dyDescent="0.3">
      <c r="AC116" s="1330" t="s">
        <v>2673</v>
      </c>
      <c r="AD116" s="1333"/>
      <c r="AE116" s="1333">
        <v>35000000000</v>
      </c>
      <c r="AF116" s="1333">
        <v>99542400000</v>
      </c>
      <c r="AG116" s="1331"/>
      <c r="AH116" s="1332"/>
      <c r="BA116" s="1330" t="s">
        <v>2769</v>
      </c>
      <c r="BB116" s="1333"/>
      <c r="BC116" s="1333">
        <v>2545455</v>
      </c>
      <c r="BD116" s="1331"/>
      <c r="BE116" s="1333">
        <v>6727273</v>
      </c>
      <c r="BF116" s="1332"/>
    </row>
    <row r="117" spans="29:58" x14ac:dyDescent="0.3">
      <c r="AC117" s="1330" t="s">
        <v>2674</v>
      </c>
      <c r="AD117" s="1331"/>
      <c r="AE117" s="1331"/>
      <c r="AF117" s="1331"/>
      <c r="AG117" s="1331"/>
      <c r="AH117" s="1334">
        <v>63000000000</v>
      </c>
      <c r="BA117" s="1330" t="s">
        <v>2770</v>
      </c>
      <c r="BB117" s="1331"/>
      <c r="BC117" s="1331"/>
      <c r="BD117" s="1333">
        <v>4560000</v>
      </c>
      <c r="BE117" s="1333">
        <v>4560000</v>
      </c>
      <c r="BF117" s="1334">
        <v>4233000</v>
      </c>
    </row>
    <row r="118" spans="29:58" x14ac:dyDescent="0.3">
      <c r="AC118" s="1330" t="s">
        <v>2675</v>
      </c>
      <c r="AD118" s="1331"/>
      <c r="AE118" s="1331"/>
      <c r="AF118" s="1331"/>
      <c r="AG118" s="1331"/>
      <c r="AH118" s="1334">
        <v>-1719829200</v>
      </c>
      <c r="BA118" s="1330" t="s">
        <v>2771</v>
      </c>
      <c r="BB118" s="1331"/>
      <c r="BC118" s="1331"/>
      <c r="BD118" s="1331"/>
      <c r="BE118" s="1331"/>
      <c r="BF118" s="1332"/>
    </row>
    <row r="119" spans="29:58" x14ac:dyDescent="0.3">
      <c r="AC119" s="1330" t="s">
        <v>2676</v>
      </c>
      <c r="AD119" s="1333"/>
      <c r="AE119" s="1333">
        <v>-84255844397</v>
      </c>
      <c r="AF119" s="1333">
        <v>-187331524609</v>
      </c>
      <c r="AG119" s="1333">
        <v>-213056308871</v>
      </c>
      <c r="AH119" s="1334">
        <v>-65205471997</v>
      </c>
      <c r="BA119" s="1330" t="s">
        <v>2772</v>
      </c>
      <c r="BB119" s="1333"/>
      <c r="BC119" s="1333">
        <v>-99824006</v>
      </c>
      <c r="BD119" s="1331"/>
      <c r="BE119" s="1331"/>
      <c r="BF119" s="1334">
        <v>-1366417089</v>
      </c>
    </row>
    <row r="120" spans="29:58" x14ac:dyDescent="0.3">
      <c r="AC120" s="1330" t="s">
        <v>2677</v>
      </c>
      <c r="AD120" s="1333"/>
      <c r="AE120" s="1333">
        <v>-55000000000</v>
      </c>
      <c r="AF120" s="1333">
        <v>-130000000000</v>
      </c>
      <c r="AG120" s="1333">
        <v>-130000000000</v>
      </c>
      <c r="AH120" s="1332"/>
      <c r="BA120" s="1330" t="s">
        <v>2773</v>
      </c>
      <c r="BB120" s="1333"/>
      <c r="BC120" s="1333">
        <v>-57344060</v>
      </c>
      <c r="BD120" s="1333">
        <v>-12229000</v>
      </c>
      <c r="BE120" s="1333">
        <v>-41661940</v>
      </c>
      <c r="BF120" s="1332"/>
    </row>
    <row r="121" spans="29:58" x14ac:dyDescent="0.3">
      <c r="AC121" s="1330" t="s">
        <v>2678</v>
      </c>
      <c r="AD121" s="1333"/>
      <c r="AE121" s="1333">
        <v>-20000000000</v>
      </c>
      <c r="AF121" s="1333">
        <v>-35000000000</v>
      </c>
      <c r="AG121" s="1333">
        <v>-83000000000</v>
      </c>
      <c r="AH121" s="1334">
        <v>-160077450000</v>
      </c>
      <c r="BA121" s="1330" t="s">
        <v>2774</v>
      </c>
      <c r="BB121" s="1331"/>
      <c r="BC121" s="1331"/>
      <c r="BD121" s="1331"/>
      <c r="BE121" s="1331"/>
      <c r="BF121" s="1332"/>
    </row>
    <row r="122" spans="29:58" x14ac:dyDescent="0.3">
      <c r="AC122" s="1330" t="s">
        <v>2679</v>
      </c>
      <c r="AD122" s="1331"/>
      <c r="AE122" s="1331"/>
      <c r="AF122" s="1333">
        <v>-2135781</v>
      </c>
      <c r="AG122" s="1333">
        <v>-2135781</v>
      </c>
      <c r="AH122" s="1334">
        <v>-198745466</v>
      </c>
      <c r="BA122" s="1330" t="s">
        <v>2665</v>
      </c>
      <c r="BB122" s="1333"/>
      <c r="BC122" s="1333">
        <v>-147545000</v>
      </c>
      <c r="BD122" s="1333">
        <v>-139105000</v>
      </c>
      <c r="BE122" s="1333">
        <v>-213590680</v>
      </c>
      <c r="BF122" s="1334">
        <v>-507980000</v>
      </c>
    </row>
    <row r="123" spans="29:58" x14ac:dyDescent="0.3">
      <c r="AC123" s="1330" t="s">
        <v>2680</v>
      </c>
      <c r="AD123" s="1333"/>
      <c r="AE123" s="1333">
        <v>1086552880</v>
      </c>
      <c r="AF123" s="1333">
        <v>3485105327</v>
      </c>
      <c r="AG123" s="1333">
        <v>4847384610</v>
      </c>
      <c r="AH123" s="1334">
        <v>-10725903763</v>
      </c>
      <c r="BA123" s="1330" t="s">
        <v>2775</v>
      </c>
      <c r="BB123" s="1331"/>
      <c r="BC123" s="1331"/>
      <c r="BD123" s="1333">
        <v>-60000000</v>
      </c>
      <c r="BE123" s="1333">
        <v>-60000000</v>
      </c>
      <c r="BF123" s="1332"/>
    </row>
    <row r="124" spans="29:58" x14ac:dyDescent="0.3">
      <c r="AC124" s="1330" t="s">
        <v>2681</v>
      </c>
      <c r="AD124" s="1331"/>
      <c r="AE124" s="1331"/>
      <c r="AF124" s="1331"/>
      <c r="AG124" s="1333">
        <v>-4248455764</v>
      </c>
      <c r="AH124" s="1332"/>
      <c r="BA124" s="1330" t="s">
        <v>2776</v>
      </c>
      <c r="BB124" s="1331"/>
      <c r="BC124" s="1331"/>
      <c r="BD124" s="1333">
        <v>-84000000</v>
      </c>
      <c r="BE124" s="1333">
        <v>-84000000</v>
      </c>
      <c r="BF124" s="1332"/>
    </row>
    <row r="125" spans="29:58" x14ac:dyDescent="0.3">
      <c r="AC125" s="1330" t="s">
        <v>2682</v>
      </c>
      <c r="AD125" s="1333"/>
      <c r="AE125" s="1333">
        <v>3734320003</v>
      </c>
      <c r="AF125" s="1333">
        <v>3181645878</v>
      </c>
      <c r="AG125" s="1333">
        <v>3181645878</v>
      </c>
      <c r="AH125" s="1334">
        <v>14031456894</v>
      </c>
      <c r="BA125" s="1330" t="s">
        <v>2777</v>
      </c>
      <c r="BB125" s="1333"/>
      <c r="BC125" s="1333">
        <v>-1095291268</v>
      </c>
      <c r="BD125" s="1333">
        <v>-30780500</v>
      </c>
      <c r="BE125" s="1333">
        <v>-595780500</v>
      </c>
      <c r="BF125" s="1334">
        <v>-602266000</v>
      </c>
    </row>
    <row r="126" spans="29:58" x14ac:dyDescent="0.3">
      <c r="AC126" s="1330" t="s">
        <v>2683</v>
      </c>
      <c r="AD126" s="1333"/>
      <c r="AE126" s="1333">
        <v>12428463</v>
      </c>
      <c r="AF126" s="1333">
        <v>-44038324</v>
      </c>
      <c r="AG126" s="1333">
        <v>-46254721</v>
      </c>
      <c r="AH126" s="1334">
        <v>-123907253</v>
      </c>
      <c r="BA126" s="1330" t="s">
        <v>2778</v>
      </c>
      <c r="BB126" s="1331"/>
      <c r="BC126" s="1331"/>
      <c r="BD126" s="1331"/>
      <c r="BE126" s="1331"/>
      <c r="BF126" s="1334">
        <v>-517500</v>
      </c>
    </row>
    <row r="127" spans="29:58" x14ac:dyDescent="0.3">
      <c r="AC127" s="1335" t="s">
        <v>2684</v>
      </c>
      <c r="AD127" s="1336"/>
      <c r="AE127" s="1336">
        <v>4833301346</v>
      </c>
      <c r="AF127" s="1336">
        <v>6622712881</v>
      </c>
      <c r="AG127" s="1336">
        <v>3734320003</v>
      </c>
      <c r="AH127" s="1337">
        <v>3181645878</v>
      </c>
      <c r="BA127" s="1330" t="s">
        <v>2779</v>
      </c>
      <c r="BB127" s="1333"/>
      <c r="BC127" s="1333">
        <v>-48098246</v>
      </c>
      <c r="BD127" s="1333">
        <v>-8515000</v>
      </c>
      <c r="BE127" s="1333">
        <v>-8515000</v>
      </c>
      <c r="BF127" s="1334">
        <v>-101134259</v>
      </c>
    </row>
    <row r="128" spans="29:58" x14ac:dyDescent="0.3">
      <c r="BA128" s="1330" t="s">
        <v>2780</v>
      </c>
      <c r="BB128" s="1333"/>
      <c r="BC128" s="1333">
        <v>-4067662416</v>
      </c>
      <c r="BD128" s="1333">
        <v>-412420000</v>
      </c>
      <c r="BE128" s="1333">
        <v>-930280000</v>
      </c>
      <c r="BF128" s="1334">
        <v>-7300000</v>
      </c>
    </row>
    <row r="129" spans="53:58" x14ac:dyDescent="0.3">
      <c r="BA129" s="1330" t="s">
        <v>2781</v>
      </c>
      <c r="BB129" s="1331"/>
      <c r="BC129" s="1331"/>
      <c r="BD129" s="1331"/>
      <c r="BE129" s="1331"/>
      <c r="BF129" s="1332"/>
    </row>
    <row r="130" spans="53:58" x14ac:dyDescent="0.3">
      <c r="BA130" s="1330" t="s">
        <v>2782</v>
      </c>
      <c r="BB130" s="1331"/>
      <c r="BC130" s="1331"/>
      <c r="BD130" s="1331"/>
      <c r="BE130" s="1333">
        <v>-29569000</v>
      </c>
      <c r="BF130" s="1334">
        <v>-1592500</v>
      </c>
    </row>
    <row r="131" spans="53:58" x14ac:dyDescent="0.3">
      <c r="BA131" s="1330" t="s">
        <v>2783</v>
      </c>
      <c r="BB131" s="1333"/>
      <c r="BC131" s="1333">
        <v>-53221080</v>
      </c>
      <c r="BD131" s="1333">
        <v>-250000000</v>
      </c>
      <c r="BE131" s="1331"/>
      <c r="BF131" s="1332"/>
    </row>
    <row r="132" spans="53:58" x14ac:dyDescent="0.3">
      <c r="BA132" s="1330" t="s">
        <v>2784</v>
      </c>
      <c r="BB132" s="1331"/>
      <c r="BC132" s="1331"/>
      <c r="BD132" s="1331"/>
      <c r="BE132" s="1333">
        <v>-289458757</v>
      </c>
      <c r="BF132" s="1334">
        <v>-43172750</v>
      </c>
    </row>
    <row r="133" spans="53:58" x14ac:dyDescent="0.3">
      <c r="BA133" s="1330" t="s">
        <v>2785</v>
      </c>
      <c r="BB133" s="1331"/>
      <c r="BC133" s="1331"/>
      <c r="BD133" s="1331"/>
      <c r="BE133" s="1331"/>
      <c r="BF133" s="1332"/>
    </row>
    <row r="134" spans="53:58" x14ac:dyDescent="0.3">
      <c r="BA134" s="1330" t="s">
        <v>2786</v>
      </c>
      <c r="BB134" s="1333"/>
      <c r="BC134" s="1333">
        <v>-2622800</v>
      </c>
      <c r="BD134" s="1331"/>
      <c r="BE134" s="1331"/>
      <c r="BF134" s="1332"/>
    </row>
    <row r="135" spans="53:58" x14ac:dyDescent="0.3">
      <c r="BA135" s="1330" t="s">
        <v>2787</v>
      </c>
      <c r="BB135" s="1331"/>
      <c r="BC135" s="1331"/>
      <c r="BD135" s="1331"/>
      <c r="BE135" s="1331"/>
      <c r="BF135" s="1332"/>
    </row>
    <row r="136" spans="53:58" x14ac:dyDescent="0.3">
      <c r="BA136" s="1330" t="s">
        <v>2788</v>
      </c>
      <c r="BB136" s="1331"/>
      <c r="BC136" s="1331"/>
      <c r="BD136" s="1333">
        <v>-2929046187</v>
      </c>
      <c r="BE136" s="1333">
        <v>-3397501345</v>
      </c>
      <c r="BF136" s="1334">
        <v>-1282784767</v>
      </c>
    </row>
    <row r="137" spans="53:58" x14ac:dyDescent="0.3">
      <c r="BA137" s="1330" t="s">
        <v>2789</v>
      </c>
      <c r="BB137" s="1333"/>
      <c r="BC137" s="1333">
        <v>-314072136</v>
      </c>
      <c r="BD137" s="1331"/>
      <c r="BE137" s="1331"/>
      <c r="BF137" s="1332"/>
    </row>
    <row r="138" spans="53:58" x14ac:dyDescent="0.3">
      <c r="BA138" s="1330" t="s">
        <v>2790</v>
      </c>
      <c r="BB138" s="1333"/>
      <c r="BC138" s="1333">
        <v>143145823</v>
      </c>
      <c r="BD138" s="1331"/>
      <c r="BE138" s="1331"/>
      <c r="BF138" s="1332"/>
    </row>
    <row r="139" spans="53:58" x14ac:dyDescent="0.3">
      <c r="BA139" s="1330" t="s">
        <v>2670</v>
      </c>
      <c r="BB139" s="1333"/>
      <c r="BC139" s="1333">
        <v>3770720410</v>
      </c>
      <c r="BD139" s="1333">
        <v>3647423004</v>
      </c>
      <c r="BE139" s="1333">
        <v>3736291004</v>
      </c>
      <c r="BF139" s="1334">
        <v>8463079342</v>
      </c>
    </row>
    <row r="140" spans="53:58" x14ac:dyDescent="0.3">
      <c r="BA140" s="1330" t="s">
        <v>2791</v>
      </c>
      <c r="BB140" s="1331"/>
      <c r="BC140" s="1331"/>
      <c r="BD140" s="1331"/>
      <c r="BE140" s="1331"/>
      <c r="BF140" s="1332"/>
    </row>
    <row r="141" spans="53:58" x14ac:dyDescent="0.3">
      <c r="BA141" s="1330" t="s">
        <v>2673</v>
      </c>
      <c r="BB141" s="1331"/>
      <c r="BC141" s="1331"/>
      <c r="BD141" s="1333">
        <v>10000000000</v>
      </c>
      <c r="BE141" s="1333">
        <v>20000000000</v>
      </c>
      <c r="BF141" s="1334">
        <v>20000000000</v>
      </c>
    </row>
    <row r="142" spans="53:58" x14ac:dyDescent="0.3">
      <c r="BA142" s="1330" t="s">
        <v>2671</v>
      </c>
      <c r="BB142" s="1333"/>
      <c r="BC142" s="1333">
        <v>33100000000</v>
      </c>
      <c r="BD142" s="1333">
        <v>8500000000</v>
      </c>
      <c r="BE142" s="1333">
        <v>47800000000</v>
      </c>
      <c r="BF142" s="1334">
        <v>50000000000</v>
      </c>
    </row>
    <row r="143" spans="53:58" x14ac:dyDescent="0.3">
      <c r="BA143" s="1330" t="s">
        <v>2674</v>
      </c>
      <c r="BB143" s="1331"/>
      <c r="BC143" s="1331"/>
      <c r="BD143" s="1331"/>
      <c r="BE143" s="1331"/>
      <c r="BF143" s="1332"/>
    </row>
    <row r="144" spans="53:58" x14ac:dyDescent="0.3">
      <c r="BA144" s="1330" t="s">
        <v>2792</v>
      </c>
      <c r="BB144" s="1333"/>
      <c r="BC144" s="1333">
        <v>3391059300</v>
      </c>
      <c r="BD144" s="1331"/>
      <c r="BE144" s="1331"/>
      <c r="BF144" s="1332"/>
    </row>
    <row r="145" spans="53:58" x14ac:dyDescent="0.3">
      <c r="BA145" s="1330" t="s">
        <v>2677</v>
      </c>
      <c r="BB145" s="1331"/>
      <c r="BC145" s="1331"/>
      <c r="BD145" s="1331"/>
      <c r="BE145" s="1331"/>
      <c r="BF145" s="1332"/>
    </row>
    <row r="146" spans="53:58" x14ac:dyDescent="0.3">
      <c r="BA146" s="1330" t="s">
        <v>2793</v>
      </c>
      <c r="BB146" s="1333"/>
      <c r="BC146" s="1333">
        <v>-820338890</v>
      </c>
      <c r="BD146" s="1333">
        <v>-10052576996</v>
      </c>
      <c r="BE146" s="1333">
        <v>-20052576996</v>
      </c>
      <c r="BF146" s="1334">
        <v>-41536920658</v>
      </c>
    </row>
    <row r="147" spans="53:58" x14ac:dyDescent="0.3">
      <c r="BA147" s="1330" t="s">
        <v>2794</v>
      </c>
      <c r="BB147" s="1331"/>
      <c r="BC147" s="1331"/>
      <c r="BD147" s="1331"/>
      <c r="BE147" s="1331"/>
      <c r="BF147" s="1332"/>
    </row>
    <row r="148" spans="53:58" x14ac:dyDescent="0.3">
      <c r="BA148" s="1330" t="s">
        <v>2676</v>
      </c>
      <c r="BB148" s="1333"/>
      <c r="BC148" s="1333">
        <v>-31900000000</v>
      </c>
      <c r="BD148" s="1333">
        <v>-4800000000</v>
      </c>
      <c r="BE148" s="1333">
        <v>-44000000000</v>
      </c>
      <c r="BF148" s="1334">
        <v>-20000000000</v>
      </c>
    </row>
    <row r="149" spans="53:58" x14ac:dyDescent="0.3">
      <c r="BA149" s="1330" t="s">
        <v>2795</v>
      </c>
      <c r="BB149" s="1331"/>
      <c r="BC149" s="1331"/>
      <c r="BD149" s="1331"/>
      <c r="BE149" s="1331"/>
      <c r="BF149" s="1332"/>
    </row>
    <row r="150" spans="53:58" x14ac:dyDescent="0.3">
      <c r="BA150" s="1330" t="s">
        <v>2796</v>
      </c>
      <c r="BB150" s="1331"/>
      <c r="BC150" s="1331"/>
      <c r="BD150" s="1331"/>
      <c r="BE150" s="1331"/>
      <c r="BF150" s="1332"/>
    </row>
    <row r="151" spans="53:58" x14ac:dyDescent="0.3">
      <c r="BA151" s="1330" t="s">
        <v>2797</v>
      </c>
      <c r="BB151" s="1331"/>
      <c r="BC151" s="1331"/>
      <c r="BD151" s="1331"/>
      <c r="BE151" s="1331"/>
      <c r="BF151" s="1332"/>
    </row>
    <row r="152" spans="53:58" x14ac:dyDescent="0.3">
      <c r="BA152" s="1330" t="s">
        <v>2798</v>
      </c>
      <c r="BB152" s="1331"/>
      <c r="BC152" s="1331"/>
      <c r="BD152" s="1331"/>
      <c r="BE152" s="1333">
        <v>-11132000</v>
      </c>
      <c r="BF152" s="1332"/>
    </row>
    <row r="153" spans="53:58" x14ac:dyDescent="0.3">
      <c r="BA153" s="1330" t="s">
        <v>2799</v>
      </c>
      <c r="BB153" s="1333"/>
      <c r="BC153" s="1333">
        <v>-1049248831</v>
      </c>
      <c r="BD153" s="1333">
        <v>-1760588751</v>
      </c>
      <c r="BE153" s="1333">
        <v>425763554</v>
      </c>
      <c r="BF153" s="1334">
        <v>2011632744</v>
      </c>
    </row>
    <row r="154" spans="53:58" x14ac:dyDescent="0.3">
      <c r="BA154" s="1330" t="s">
        <v>2800</v>
      </c>
      <c r="BB154" s="1333"/>
      <c r="BC154" s="1333">
        <v>122352347</v>
      </c>
      <c r="BD154" s="1333">
        <v>10150737</v>
      </c>
      <c r="BE154" s="1333">
        <v>56953124</v>
      </c>
      <c r="BF154" s="1334">
        <v>-89319443</v>
      </c>
    </row>
    <row r="155" spans="53:58" x14ac:dyDescent="0.3">
      <c r="BA155" s="1330" t="s">
        <v>2801</v>
      </c>
      <c r="BB155" s="1333"/>
      <c r="BC155" s="1333">
        <v>-926896484</v>
      </c>
      <c r="BD155" s="1333">
        <v>-1750438014</v>
      </c>
      <c r="BE155" s="1333">
        <v>482716678</v>
      </c>
      <c r="BF155" s="1334">
        <v>1922313301</v>
      </c>
    </row>
    <row r="156" spans="53:58" x14ac:dyDescent="0.3">
      <c r="BA156" s="1330" t="s">
        <v>2723</v>
      </c>
      <c r="BB156" s="1333"/>
      <c r="BC156" s="1333">
        <v>3266519571</v>
      </c>
      <c r="BD156" s="1333">
        <v>2783802893</v>
      </c>
      <c r="BE156" s="1333">
        <v>2783802893</v>
      </c>
      <c r="BF156" s="1334">
        <v>861489592</v>
      </c>
    </row>
    <row r="157" spans="53:58" x14ac:dyDescent="0.3">
      <c r="BA157" s="1335" t="s">
        <v>2724</v>
      </c>
      <c r="BB157" s="1336"/>
      <c r="BC157" s="1336">
        <v>2339623087</v>
      </c>
      <c r="BD157" s="1336">
        <v>1033364879</v>
      </c>
      <c r="BE157" s="1336">
        <v>3266519571</v>
      </c>
      <c r="BF157" s="1337">
        <v>2783802893</v>
      </c>
    </row>
  </sheetData>
  <mergeCells count="35">
    <mergeCell ref="BT7:BT8"/>
    <mergeCell ref="BN7:BN8"/>
    <mergeCell ref="BH7:BH8"/>
    <mergeCell ref="BB7:BB8"/>
    <mergeCell ref="BM7:BM8"/>
    <mergeCell ref="BO7:BP7"/>
    <mergeCell ref="BQ7:BR7"/>
    <mergeCell ref="BS7:BS8"/>
    <mergeCell ref="BG7:BG8"/>
    <mergeCell ref="AV7:AV8"/>
    <mergeCell ref="AP7:AP8"/>
    <mergeCell ref="BA7:BA8"/>
    <mergeCell ref="BC7:BD7"/>
    <mergeCell ref="BE7:BF7"/>
    <mergeCell ref="AO7:AO8"/>
    <mergeCell ref="AQ7:AR7"/>
    <mergeCell ref="AS7:AT7"/>
    <mergeCell ref="AU7:AU8"/>
    <mergeCell ref="AC7:AC8"/>
    <mergeCell ref="AE7:AF7"/>
    <mergeCell ref="AG7:AH7"/>
    <mergeCell ref="X7:X8"/>
    <mergeCell ref="S7:T7"/>
    <mergeCell ref="U7:V7"/>
    <mergeCell ref="W7:W8"/>
    <mergeCell ref="J32:L32"/>
    <mergeCell ref="J42:L42"/>
    <mergeCell ref="Q7:Q8"/>
    <mergeCell ref="R7:R8"/>
    <mergeCell ref="E7:E8"/>
    <mergeCell ref="G7:H7"/>
    <mergeCell ref="I7:J7"/>
    <mergeCell ref="K7:K8"/>
    <mergeCell ref="L7:L8"/>
    <mergeCell ref="F7:F8"/>
  </mergeCells>
  <phoneticPr fontId="1"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AV72"/>
  <sheetViews>
    <sheetView topLeftCell="AD1" zoomScale="70" zoomScaleNormal="70" workbookViewId="0">
      <selection activeCell="C6" sqref="C6"/>
    </sheetView>
  </sheetViews>
  <sheetFormatPr defaultRowHeight="13.5" x14ac:dyDescent="0.3"/>
  <cols>
    <col min="1" max="1" width="1.625" style="1308" customWidth="1"/>
    <col min="2" max="2" width="9" style="1308"/>
    <col min="3" max="3" width="9" style="1322"/>
    <col min="4" max="4" width="9" style="1323"/>
    <col min="5" max="5" width="25.625" style="1308" customWidth="1"/>
    <col min="6" max="8" width="17.75" style="1308" bestFit="1" customWidth="1"/>
    <col min="9" max="9" width="1.625" style="1347" customWidth="1"/>
    <col min="10" max="10" width="9" style="1308"/>
    <col min="11" max="11" width="9" style="1322"/>
    <col min="12" max="12" width="9" style="1323"/>
    <col min="13" max="13" width="32.25" style="1308" customWidth="1"/>
    <col min="14" max="16" width="17.75" style="1308" bestFit="1" customWidth="1"/>
    <col min="17" max="17" width="1.625" style="1347" customWidth="1"/>
    <col min="18" max="18" width="9" style="1308"/>
    <col min="19" max="19" width="9" style="1322"/>
    <col min="20" max="20" width="9" style="1323"/>
    <col min="21" max="21" width="41.75" style="1308" customWidth="1"/>
    <col min="22" max="24" width="17.75" style="1308" bestFit="1" customWidth="1"/>
    <col min="25" max="25" width="1.625" style="1347" customWidth="1"/>
    <col min="26" max="26" width="9" style="1308"/>
    <col min="27" max="27" width="9" style="1322"/>
    <col min="28" max="28" width="9" style="1323"/>
    <col min="29" max="29" width="41.75" style="1308" customWidth="1"/>
    <col min="30" max="32" width="17.75" style="1308" bestFit="1" customWidth="1"/>
    <col min="33" max="33" width="1.625" style="1347" customWidth="1"/>
    <col min="34" max="34" width="9" style="1308"/>
    <col min="35" max="35" width="9" style="1322"/>
    <col min="36" max="36" width="9" style="1323"/>
    <col min="37" max="37" width="41.75" style="1308" customWidth="1"/>
    <col min="38" max="40" width="17.75" style="1308" bestFit="1" customWidth="1"/>
    <col min="41" max="41" width="1.625" style="1347" customWidth="1"/>
    <col min="42" max="42" width="9" style="1308"/>
    <col min="43" max="43" width="9" style="1322"/>
    <col min="44" max="44" width="9" style="1323"/>
    <col min="45" max="45" width="41.75" style="1308" customWidth="1"/>
    <col min="46" max="48" width="17.75" style="1308" bestFit="1" customWidth="1"/>
    <col min="49" max="16384" width="9" style="1308"/>
  </cols>
  <sheetData>
    <row r="1" spans="2:48" x14ac:dyDescent="0.3">
      <c r="B1" s="1302" t="s">
        <v>2198</v>
      </c>
      <c r="C1" s="1304"/>
      <c r="D1" s="1325"/>
      <c r="J1" s="1302" t="s">
        <v>2251</v>
      </c>
      <c r="K1" s="1304"/>
      <c r="L1" s="1325"/>
      <c r="R1" s="1302" t="s">
        <v>2309</v>
      </c>
      <c r="S1" s="1304"/>
      <c r="T1" s="1325"/>
      <c r="Z1" s="1302" t="s">
        <v>2330</v>
      </c>
      <c r="AA1" s="1304"/>
      <c r="AB1" s="1325"/>
      <c r="AH1" s="1302" t="s">
        <v>2352</v>
      </c>
      <c r="AI1" s="1304"/>
      <c r="AJ1" s="1325"/>
      <c r="AP1" s="1302" t="s">
        <v>2378</v>
      </c>
      <c r="AQ1" s="1304"/>
      <c r="AR1" s="1325"/>
    </row>
    <row r="2" spans="2:48" ht="14.25" thickBot="1" x14ac:dyDescent="0.35">
      <c r="B2" s="1303"/>
      <c r="C2" s="1304" t="s">
        <v>2192</v>
      </c>
      <c r="D2" s="1325"/>
      <c r="J2" s="1303"/>
      <c r="K2" s="1304" t="s">
        <v>2192</v>
      </c>
      <c r="L2" s="1325"/>
      <c r="R2" s="1303"/>
      <c r="S2" s="1304" t="s">
        <v>2192</v>
      </c>
      <c r="T2" s="1325"/>
      <c r="Z2" s="1303"/>
      <c r="AA2" s="1304" t="s">
        <v>2192</v>
      </c>
      <c r="AB2" s="1325"/>
      <c r="AH2" s="1303"/>
      <c r="AI2" s="1304" t="s">
        <v>2192</v>
      </c>
      <c r="AJ2" s="1325"/>
      <c r="AP2" s="1303"/>
      <c r="AQ2" s="1304" t="s">
        <v>2192</v>
      </c>
      <c r="AR2" s="1325"/>
    </row>
    <row r="3" spans="2:48" x14ac:dyDescent="0.3">
      <c r="B3" s="1305" t="s">
        <v>1107</v>
      </c>
      <c r="C3" s="1320">
        <f>SUMIF($D:$D,$B3,$F:$F)/10^6</f>
        <v>1794921.3658090001</v>
      </c>
      <c r="D3" s="1326"/>
      <c r="J3" s="1305" t="s">
        <v>1107</v>
      </c>
      <c r="K3" s="1320">
        <f>SUMIF($L:$L,$J3,$N:$N)/10^6+N65/10^3</f>
        <v>67864.48109500001</v>
      </c>
      <c r="L3" s="1326"/>
      <c r="R3" s="1305" t="s">
        <v>1107</v>
      </c>
      <c r="S3" s="1320">
        <f t="shared" ref="S3:S5" si="0">SUMIF($T:$T,$R3,$V:$V)/10^6</f>
        <v>4833.3013460000002</v>
      </c>
      <c r="T3" s="1326"/>
      <c r="Z3" s="1305" t="s">
        <v>1107</v>
      </c>
      <c r="AA3" s="1320">
        <f>SUMIF($AB:$AB,$R3,$AD:$AD)/10^6</f>
        <v>94207.520118</v>
      </c>
      <c r="AB3" s="1326"/>
      <c r="AH3" s="1305" t="s">
        <v>1107</v>
      </c>
      <c r="AI3" s="1320">
        <f>SUMIF($AJ:$AJ,$R3,$AL:$AL)/10^6</f>
        <v>3539.3462159999999</v>
      </c>
      <c r="AJ3" s="1326"/>
      <c r="AP3" s="1305" t="s">
        <v>1107</v>
      </c>
      <c r="AQ3" s="1320">
        <f>SUMIF($AR:$AR,$R3,$AT:$AT)/10^6</f>
        <v>9287.8654409999999</v>
      </c>
      <c r="AR3" s="1326"/>
    </row>
    <row r="4" spans="2:48" x14ac:dyDescent="0.3">
      <c r="B4" s="1306" t="s">
        <v>36</v>
      </c>
      <c r="C4" s="1321">
        <f>SUMIF($D:$D,$B4,$F:$F)/10^6</f>
        <v>14363.156931</v>
      </c>
      <c r="D4" s="1326"/>
      <c r="J4" s="1306" t="s">
        <v>36</v>
      </c>
      <c r="K4" s="1321">
        <f>SUMIF($L:$L,$J4,$N:$N)/10^6</f>
        <v>40486.303609000002</v>
      </c>
      <c r="L4" s="1326"/>
      <c r="R4" s="1306" t="s">
        <v>36</v>
      </c>
      <c r="S4" s="1321">
        <f t="shared" si="0"/>
        <v>59995.437983000003</v>
      </c>
      <c r="T4" s="1326"/>
      <c r="Z4" s="1306" t="s">
        <v>36</v>
      </c>
      <c r="AA4" s="1321">
        <f t="shared" ref="AA4:AA6" si="1">SUMIF($AB:$AB,$R4,$AD:$AD)/10^6</f>
        <v>0</v>
      </c>
      <c r="AB4" s="1326"/>
      <c r="AH4" s="1306" t="s">
        <v>36</v>
      </c>
      <c r="AI4" s="1321">
        <f t="shared" ref="AI4:AI6" si="2">SUMIF($AJ:$AJ,$R4,$AL:$AL)/10^6</f>
        <v>71570.720409999994</v>
      </c>
      <c r="AJ4" s="1326"/>
      <c r="AP4" s="1306" t="s">
        <v>36</v>
      </c>
      <c r="AQ4" s="1321">
        <f t="shared" ref="AQ4:AQ6" si="3">SUMIF($AR:$AR,$R4,$AT:$AT)/10^6</f>
        <v>500</v>
      </c>
      <c r="AR4" s="1326"/>
    </row>
    <row r="5" spans="2:48" x14ac:dyDescent="0.3">
      <c r="B5" s="1306" t="s">
        <v>2193</v>
      </c>
      <c r="C5" s="1321">
        <f>SUMIF($D:$D,$B5,$F:$F)/10^6</f>
        <v>4558746.7821920002</v>
      </c>
      <c r="D5" s="1326"/>
      <c r="J5" s="1306" t="s">
        <v>2193</v>
      </c>
      <c r="K5" s="1321">
        <f>SUMIF($L:$L,$J5,$N:$N)/10^6</f>
        <v>376233.15636299999</v>
      </c>
      <c r="L5" s="1326"/>
      <c r="R5" s="1306" t="s">
        <v>2193</v>
      </c>
      <c r="S5" s="1321">
        <f t="shared" si="0"/>
        <v>188299.55055499999</v>
      </c>
      <c r="T5" s="1326"/>
      <c r="Z5" s="1306" t="s">
        <v>2193</v>
      </c>
      <c r="AA5" s="1321">
        <f t="shared" si="1"/>
        <v>168494.10434699999</v>
      </c>
      <c r="AB5" s="1326"/>
      <c r="AH5" s="1306" t="s">
        <v>2193</v>
      </c>
      <c r="AI5" s="1321">
        <f t="shared" si="2"/>
        <v>25725.035233999999</v>
      </c>
      <c r="AJ5" s="1326"/>
      <c r="AP5" s="1306" t="s">
        <v>2193</v>
      </c>
      <c r="AQ5" s="1321">
        <f t="shared" si="3"/>
        <v>32002.201446999999</v>
      </c>
      <c r="AR5" s="1326"/>
    </row>
    <row r="6" spans="2:48" x14ac:dyDescent="0.3">
      <c r="B6" s="1306" t="s">
        <v>166</v>
      </c>
      <c r="C6" s="1321">
        <f>SUMIF($D:$D,$B6,$F:$F)/10^6</f>
        <v>170549.24450100001</v>
      </c>
      <c r="D6" s="1326"/>
      <c r="J6" s="1306" t="s">
        <v>166</v>
      </c>
      <c r="K6" s="1321">
        <f>SUMIF($L:$L,$J6,$N:$N)/10^6</f>
        <v>1131.9433739999999</v>
      </c>
      <c r="L6" s="1326"/>
      <c r="R6" s="1306" t="s">
        <v>166</v>
      </c>
      <c r="S6" s="1321">
        <f>SUMIF($T:$T,$R6,$V:$V)/10^6</f>
        <v>0</v>
      </c>
      <c r="T6" s="1326"/>
      <c r="Z6" s="1306" t="s">
        <v>166</v>
      </c>
      <c r="AA6" s="1321">
        <f t="shared" si="1"/>
        <v>0</v>
      </c>
      <c r="AB6" s="1326"/>
      <c r="AH6" s="1306" t="s">
        <v>166</v>
      </c>
      <c r="AI6" s="1321">
        <f t="shared" si="2"/>
        <v>0</v>
      </c>
      <c r="AJ6" s="1326"/>
      <c r="AP6" s="1306" t="s">
        <v>166</v>
      </c>
      <c r="AQ6" s="1321">
        <f t="shared" si="3"/>
        <v>26.040323999999998</v>
      </c>
      <c r="AR6" s="1326"/>
    </row>
    <row r="7" spans="2:48" ht="16.5" customHeight="1" x14ac:dyDescent="0.3">
      <c r="E7" s="1317"/>
      <c r="F7" s="1318" t="s">
        <v>2199</v>
      </c>
      <c r="G7" s="1318" t="s">
        <v>2200</v>
      </c>
      <c r="H7" s="1319" t="s">
        <v>2201</v>
      </c>
      <c r="M7" s="1338"/>
      <c r="N7" s="1339" t="s">
        <v>2252</v>
      </c>
      <c r="O7" s="1339" t="s">
        <v>2253</v>
      </c>
      <c r="P7" s="1340" t="s">
        <v>2254</v>
      </c>
      <c r="U7" s="1338"/>
      <c r="V7" s="1339" t="s">
        <v>2310</v>
      </c>
      <c r="W7" s="1339" t="s">
        <v>2311</v>
      </c>
      <c r="X7" s="1340" t="s">
        <v>2312</v>
      </c>
      <c r="AC7" s="1338"/>
      <c r="AD7" s="1339" t="s">
        <v>2331</v>
      </c>
      <c r="AE7" s="1339" t="s">
        <v>2332</v>
      </c>
      <c r="AF7" s="1340" t="s">
        <v>2333</v>
      </c>
      <c r="AK7" s="1338"/>
      <c r="AL7" s="1339" t="s">
        <v>2252</v>
      </c>
      <c r="AM7" s="1339" t="s">
        <v>2253</v>
      </c>
      <c r="AN7" s="1340" t="s">
        <v>2254</v>
      </c>
      <c r="AS7" s="1338"/>
      <c r="AT7" s="1339" t="s">
        <v>2368</v>
      </c>
      <c r="AU7" s="1339" t="s">
        <v>2333</v>
      </c>
      <c r="AV7" s="1340" t="s">
        <v>2369</v>
      </c>
    </row>
    <row r="8" spans="2:48" ht="16.5" customHeight="1" x14ac:dyDescent="0.3">
      <c r="E8" s="1309" t="s">
        <v>1671</v>
      </c>
      <c r="F8" s="1310"/>
      <c r="G8" s="1310"/>
      <c r="H8" s="1311"/>
      <c r="M8" s="1330" t="s">
        <v>1671</v>
      </c>
      <c r="N8" s="1331"/>
      <c r="O8" s="1331"/>
      <c r="P8" s="1332"/>
      <c r="U8" s="1330" t="s">
        <v>1671</v>
      </c>
      <c r="V8" s="1331"/>
      <c r="W8" s="1331"/>
      <c r="X8" s="1332"/>
      <c r="AC8" s="1330" t="s">
        <v>1671</v>
      </c>
      <c r="AD8" s="1331"/>
      <c r="AE8" s="1331"/>
      <c r="AF8" s="1332"/>
      <c r="AK8" s="1330" t="s">
        <v>1671</v>
      </c>
      <c r="AL8" s="1331"/>
      <c r="AM8" s="1331"/>
      <c r="AN8" s="1332"/>
      <c r="AS8" s="1330" t="s">
        <v>1671</v>
      </c>
      <c r="AT8" s="1331"/>
      <c r="AU8" s="1331"/>
      <c r="AV8" s="1332"/>
    </row>
    <row r="9" spans="2:48" ht="16.5" customHeight="1" x14ac:dyDescent="0.3">
      <c r="E9" s="1309" t="s">
        <v>2202</v>
      </c>
      <c r="F9" s="1312">
        <v>3613472589658</v>
      </c>
      <c r="G9" s="1312">
        <v>3228074452628</v>
      </c>
      <c r="H9" s="1313">
        <v>2928998231778</v>
      </c>
      <c r="M9" s="1330" t="s">
        <v>2202</v>
      </c>
      <c r="N9" s="1333">
        <v>391995819896</v>
      </c>
      <c r="O9" s="1333">
        <v>428895727345</v>
      </c>
      <c r="P9" s="1334">
        <v>422214453569</v>
      </c>
      <c r="U9" s="1330" t="s">
        <v>2202</v>
      </c>
      <c r="V9" s="1333">
        <v>148646302331</v>
      </c>
      <c r="W9" s="1333">
        <v>137506857679</v>
      </c>
      <c r="X9" s="1334">
        <v>186036731597</v>
      </c>
      <c r="AC9" s="1330" t="s">
        <v>2202</v>
      </c>
      <c r="AD9" s="1333">
        <v>146686534178</v>
      </c>
      <c r="AE9" s="1333">
        <v>154087256389</v>
      </c>
      <c r="AF9" s="1334">
        <v>142024591500</v>
      </c>
      <c r="AK9" s="1330" t="s">
        <v>2202</v>
      </c>
      <c r="AL9" s="1333">
        <v>32816193217</v>
      </c>
      <c r="AM9" s="1333">
        <v>40286092539</v>
      </c>
      <c r="AN9" s="1334">
        <v>41303872151</v>
      </c>
      <c r="AS9" s="1330" t="s">
        <v>2202</v>
      </c>
      <c r="AT9" s="1333">
        <v>30459501992</v>
      </c>
      <c r="AU9" s="1333">
        <v>33075881752</v>
      </c>
      <c r="AV9" s="1334">
        <v>30360067322</v>
      </c>
    </row>
    <row r="10" spans="2:48" ht="16.5" customHeight="1" x14ac:dyDescent="0.3">
      <c r="C10" s="1308"/>
      <c r="D10" s="1323" t="s">
        <v>1107</v>
      </c>
      <c r="E10" s="1309" t="s">
        <v>2203</v>
      </c>
      <c r="F10" s="1312">
        <v>794620297578</v>
      </c>
      <c r="G10" s="1312">
        <v>816692801929</v>
      </c>
      <c r="H10" s="1313">
        <v>716808988201</v>
      </c>
      <c r="K10" s="1308"/>
      <c r="L10" s="1323" t="s">
        <v>1107</v>
      </c>
      <c r="M10" s="1330" t="s">
        <v>2203</v>
      </c>
      <c r="N10" s="1333">
        <v>66070858095</v>
      </c>
      <c r="O10" s="1333">
        <v>18394537442</v>
      </c>
      <c r="P10" s="1334">
        <v>16578770569</v>
      </c>
      <c r="S10" s="1308"/>
      <c r="T10" s="1323" t="s">
        <v>1107</v>
      </c>
      <c r="U10" s="1330" t="s">
        <v>2313</v>
      </c>
      <c r="V10" s="1333">
        <v>4833301346</v>
      </c>
      <c r="W10" s="1333">
        <v>3734320003</v>
      </c>
      <c r="X10" s="1334">
        <v>3181645878</v>
      </c>
      <c r="AA10" s="1308"/>
      <c r="AB10" s="1323" t="s">
        <v>1107</v>
      </c>
      <c r="AC10" s="1330" t="s">
        <v>2203</v>
      </c>
      <c r="AD10" s="1333">
        <v>19207520118</v>
      </c>
      <c r="AE10" s="1333">
        <v>20717509865</v>
      </c>
      <c r="AF10" s="1334">
        <v>24019860485</v>
      </c>
      <c r="AI10" s="1308"/>
      <c r="AJ10" s="1323" t="s">
        <v>1107</v>
      </c>
      <c r="AK10" s="1330" t="s">
        <v>2203</v>
      </c>
      <c r="AL10" s="1333">
        <v>2339623087</v>
      </c>
      <c r="AM10" s="1333">
        <v>3266519571</v>
      </c>
      <c r="AN10" s="1334">
        <v>2783802893</v>
      </c>
      <c r="AQ10" s="1308"/>
      <c r="AR10" s="1323" t="s">
        <v>1107</v>
      </c>
      <c r="AS10" s="1330" t="s">
        <v>2203</v>
      </c>
      <c r="AT10" s="1333">
        <v>7635259961</v>
      </c>
      <c r="AU10" s="1333">
        <v>11554409538</v>
      </c>
      <c r="AV10" s="1334">
        <v>3719672491</v>
      </c>
    </row>
    <row r="11" spans="2:48" ht="16.5" customHeight="1" x14ac:dyDescent="0.3">
      <c r="D11" s="1323" t="s">
        <v>1107</v>
      </c>
      <c r="E11" s="1309" t="s">
        <v>2204</v>
      </c>
      <c r="F11" s="1312">
        <v>1000301068231</v>
      </c>
      <c r="G11" s="1312">
        <v>835061147155</v>
      </c>
      <c r="H11" s="1313">
        <v>354559759029</v>
      </c>
      <c r="M11" s="1330" t="s">
        <v>2255</v>
      </c>
      <c r="N11" s="1333">
        <v>12602184720</v>
      </c>
      <c r="O11" s="1333">
        <v>69477615855</v>
      </c>
      <c r="P11" s="1334">
        <v>79161156915</v>
      </c>
      <c r="U11" s="1330" t="s">
        <v>2314</v>
      </c>
      <c r="V11" s="1333">
        <v>35473401441</v>
      </c>
      <c r="W11" s="1333">
        <v>45494337308</v>
      </c>
      <c r="X11" s="1334">
        <v>137102832031</v>
      </c>
      <c r="AC11" s="1330" t="s">
        <v>2334</v>
      </c>
      <c r="AD11" s="1333">
        <v>75000000000</v>
      </c>
      <c r="AE11" s="1333">
        <v>80000000000</v>
      </c>
      <c r="AF11" s="1334">
        <v>70800000000</v>
      </c>
      <c r="AJ11" s="1323" t="s">
        <v>1107</v>
      </c>
      <c r="AK11" s="1330" t="s">
        <v>2204</v>
      </c>
      <c r="AL11" s="1333">
        <v>1199723129</v>
      </c>
      <c r="AM11" s="1333">
        <v>1099899123</v>
      </c>
      <c r="AN11" s="1334">
        <v>7547243847</v>
      </c>
      <c r="AR11" s="1323" t="s">
        <v>1107</v>
      </c>
      <c r="AS11" s="1330" t="s">
        <v>2204</v>
      </c>
      <c r="AT11" s="1333">
        <v>1652605480</v>
      </c>
      <c r="AU11" s="1333">
        <v>791982000</v>
      </c>
      <c r="AV11" s="1334">
        <v>1509979900</v>
      </c>
    </row>
    <row r="12" spans="2:48" ht="16.5" customHeight="1" x14ac:dyDescent="0.3">
      <c r="E12" s="1309" t="s">
        <v>2205</v>
      </c>
      <c r="F12" s="1312">
        <v>888152706693</v>
      </c>
      <c r="G12" s="1312">
        <v>883605188299</v>
      </c>
      <c r="H12" s="1313">
        <v>1094487662180</v>
      </c>
      <c r="M12" s="1330" t="s">
        <v>2205</v>
      </c>
      <c r="N12" s="1333">
        <v>272751010256</v>
      </c>
      <c r="O12" s="1333">
        <v>308010256140</v>
      </c>
      <c r="P12" s="1334">
        <v>280014044873</v>
      </c>
      <c r="U12" s="1330" t="s">
        <v>2315</v>
      </c>
      <c r="V12" s="1331">
        <v>0</v>
      </c>
      <c r="W12" s="1331">
        <v>0</v>
      </c>
      <c r="X12" s="1334">
        <v>11225219800</v>
      </c>
      <c r="AB12" s="1323" t="s">
        <v>1107</v>
      </c>
      <c r="AC12" s="1330" t="s">
        <v>2335</v>
      </c>
      <c r="AD12" s="1333">
        <v>75000000000</v>
      </c>
      <c r="AE12" s="1333">
        <v>80000000000</v>
      </c>
      <c r="AF12" s="1334">
        <v>70800000000</v>
      </c>
      <c r="AK12" s="1330" t="s">
        <v>2337</v>
      </c>
      <c r="AL12" s="1333">
        <v>12027670641</v>
      </c>
      <c r="AM12" s="1333">
        <v>19576870036</v>
      </c>
      <c r="AN12" s="1334">
        <v>12946139609</v>
      </c>
      <c r="AS12" s="1330" t="s">
        <v>2205</v>
      </c>
      <c r="AT12" s="1333">
        <v>15736008476</v>
      </c>
      <c r="AU12" s="1333">
        <v>17321309154</v>
      </c>
      <c r="AV12" s="1334">
        <v>21687251813</v>
      </c>
    </row>
    <row r="13" spans="2:48" ht="16.5" customHeight="1" x14ac:dyDescent="0.3">
      <c r="E13" s="1309" t="s">
        <v>2206</v>
      </c>
      <c r="F13" s="1312">
        <v>651514639070</v>
      </c>
      <c r="G13" s="1312">
        <v>468261236158</v>
      </c>
      <c r="H13" s="1313">
        <v>500896286227</v>
      </c>
      <c r="M13" s="1330" t="s">
        <v>2209</v>
      </c>
      <c r="N13" s="1333">
        <v>12456147972</v>
      </c>
      <c r="O13" s="1333">
        <v>14688782076</v>
      </c>
      <c r="P13" s="1334">
        <v>22679686893</v>
      </c>
      <c r="U13" s="1330" t="s">
        <v>2258</v>
      </c>
      <c r="V13" s="1333">
        <v>23023466360</v>
      </c>
      <c r="W13" s="1333">
        <v>3452866969</v>
      </c>
      <c r="X13" s="1334">
        <v>1780482708</v>
      </c>
      <c r="AC13" s="1330" t="s">
        <v>2336</v>
      </c>
      <c r="AD13" s="1331">
        <v>0</v>
      </c>
      <c r="AE13" s="1331">
        <v>0</v>
      </c>
      <c r="AF13" s="1332">
        <v>0</v>
      </c>
      <c r="AK13" s="1330" t="s">
        <v>2353</v>
      </c>
      <c r="AL13" s="1331"/>
      <c r="AM13" s="1331"/>
      <c r="AN13" s="1332"/>
      <c r="AS13" s="1330" t="s">
        <v>2370</v>
      </c>
      <c r="AT13" s="1333">
        <v>892911817</v>
      </c>
      <c r="AU13" s="1333">
        <v>845114940</v>
      </c>
      <c r="AV13" s="1334">
        <v>112113832</v>
      </c>
    </row>
    <row r="14" spans="2:48" ht="16.5" customHeight="1" x14ac:dyDescent="0.3">
      <c r="E14" s="1309" t="s">
        <v>2207</v>
      </c>
      <c r="F14" s="1312">
        <v>45668054719</v>
      </c>
      <c r="G14" s="1312">
        <v>48326342404</v>
      </c>
      <c r="H14" s="1313">
        <v>112051374544</v>
      </c>
      <c r="M14" s="1330" t="s">
        <v>2256</v>
      </c>
      <c r="N14" s="1333">
        <v>8202982256</v>
      </c>
      <c r="O14" s="1333">
        <v>3727509362</v>
      </c>
      <c r="P14" s="1332"/>
      <c r="U14" s="1330" t="s">
        <v>2209</v>
      </c>
      <c r="V14" s="1333">
        <v>1054791196</v>
      </c>
      <c r="W14" s="1333">
        <v>10136177313</v>
      </c>
      <c r="X14" s="1334">
        <v>12021094693</v>
      </c>
      <c r="AC14" s="1330" t="s">
        <v>2337</v>
      </c>
      <c r="AD14" s="1333">
        <v>34076130872</v>
      </c>
      <c r="AE14" s="1333">
        <v>34572536257</v>
      </c>
      <c r="AF14" s="1334">
        <v>33478775779</v>
      </c>
      <c r="AK14" s="1330" t="s">
        <v>2209</v>
      </c>
      <c r="AL14" s="1333">
        <v>1179626565</v>
      </c>
      <c r="AM14" s="1333">
        <v>323868726</v>
      </c>
      <c r="AN14" s="1334">
        <v>55304000</v>
      </c>
      <c r="AS14" s="1330" t="s">
        <v>2209</v>
      </c>
      <c r="AT14" s="1333">
        <v>3560870379</v>
      </c>
      <c r="AU14" s="1333">
        <v>1980029254</v>
      </c>
      <c r="AV14" s="1334">
        <v>2592782628</v>
      </c>
    </row>
    <row r="15" spans="2:48" ht="16.5" customHeight="1" x14ac:dyDescent="0.3">
      <c r="E15" s="1309" t="s">
        <v>2208</v>
      </c>
      <c r="F15" s="1312">
        <v>139925586836</v>
      </c>
      <c r="G15" s="1312">
        <v>104171881255</v>
      </c>
      <c r="H15" s="1313">
        <v>82671229037</v>
      </c>
      <c r="M15" s="1330" t="s">
        <v>2211</v>
      </c>
      <c r="N15" s="1333">
        <v>19912636597</v>
      </c>
      <c r="O15" s="1333">
        <v>14597026470</v>
      </c>
      <c r="P15" s="1334">
        <v>23780794319</v>
      </c>
      <c r="U15" s="1330" t="s">
        <v>2316</v>
      </c>
      <c r="V15" s="1333">
        <v>4058604634</v>
      </c>
      <c r="W15" s="1333">
        <v>5108670866</v>
      </c>
      <c r="X15" s="1334">
        <v>18280457137</v>
      </c>
      <c r="AC15" s="1330" t="s">
        <v>2209</v>
      </c>
      <c r="AD15" s="1333">
        <v>12190097802</v>
      </c>
      <c r="AE15" s="1333">
        <v>11466965115</v>
      </c>
      <c r="AF15" s="1334">
        <v>10270203238</v>
      </c>
      <c r="AK15" s="1330" t="s">
        <v>2256</v>
      </c>
      <c r="AL15" s="1333">
        <v>4717951</v>
      </c>
      <c r="AM15" s="1333">
        <v>13652781</v>
      </c>
      <c r="AN15" s="1334">
        <v>11068981</v>
      </c>
      <c r="AS15" s="1330" t="s">
        <v>2256</v>
      </c>
      <c r="AT15" s="1331"/>
      <c r="AU15" s="1331"/>
      <c r="AV15" s="1334">
        <v>2938940</v>
      </c>
    </row>
    <row r="16" spans="2:48" ht="16.5" customHeight="1" x14ac:dyDescent="0.3">
      <c r="E16" s="1309" t="s">
        <v>2209</v>
      </c>
      <c r="F16" s="1312">
        <v>33818559788</v>
      </c>
      <c r="G16" s="1312">
        <v>35712914119</v>
      </c>
      <c r="H16" s="1313">
        <v>35968699107</v>
      </c>
      <c r="M16" s="1330" t="s">
        <v>2257</v>
      </c>
      <c r="N16" s="1333">
        <v>108541015675</v>
      </c>
      <c r="O16" s="1331"/>
      <c r="P16" s="1332"/>
      <c r="U16" s="1330" t="s">
        <v>2211</v>
      </c>
      <c r="V16" s="1333">
        <v>2472497054</v>
      </c>
      <c r="W16" s="1333">
        <v>3670821789</v>
      </c>
      <c r="X16" s="1334">
        <v>2444999350</v>
      </c>
      <c r="AC16" s="1330" t="s">
        <v>2338</v>
      </c>
      <c r="AD16" s="1333">
        <v>1514218032</v>
      </c>
      <c r="AE16" s="1333">
        <v>1599910144</v>
      </c>
      <c r="AF16" s="1334">
        <v>1370477184</v>
      </c>
      <c r="AK16" s="1330" t="s">
        <v>2316</v>
      </c>
      <c r="AL16" s="1333">
        <v>15368811525</v>
      </c>
      <c r="AM16" s="1333">
        <v>15443933198</v>
      </c>
      <c r="AN16" s="1334">
        <v>17001626041</v>
      </c>
      <c r="AS16" s="1330" t="s">
        <v>2211</v>
      </c>
      <c r="AT16" s="1333">
        <v>981845879</v>
      </c>
      <c r="AU16" s="1333">
        <v>583036866</v>
      </c>
      <c r="AV16" s="1334">
        <v>735327718</v>
      </c>
    </row>
    <row r="17" spans="5:48" ht="16.5" customHeight="1" x14ac:dyDescent="0.3">
      <c r="E17" s="1309" t="s">
        <v>2210</v>
      </c>
      <c r="F17" s="1310">
        <v>0</v>
      </c>
      <c r="G17" s="1310">
        <v>0</v>
      </c>
      <c r="H17" s="1313">
        <v>3333802092</v>
      </c>
      <c r="M17" s="1330" t="s">
        <v>2212</v>
      </c>
      <c r="N17" s="1333">
        <v>279544447169</v>
      </c>
      <c r="O17" s="1333">
        <v>395525342627</v>
      </c>
      <c r="P17" s="1334">
        <v>420415639420</v>
      </c>
      <c r="U17" s="1330" t="s">
        <v>2317</v>
      </c>
      <c r="V17" s="1333">
        <v>77730240300</v>
      </c>
      <c r="W17" s="1333">
        <v>65909663431</v>
      </c>
      <c r="X17" s="1332">
        <v>0</v>
      </c>
      <c r="AC17" s="1330" t="s">
        <v>2211</v>
      </c>
      <c r="AD17" s="1333">
        <v>4698567354</v>
      </c>
      <c r="AE17" s="1333">
        <v>5730335008</v>
      </c>
      <c r="AF17" s="1334">
        <v>2085274814</v>
      </c>
      <c r="AK17" s="1330" t="s">
        <v>2354</v>
      </c>
      <c r="AL17" s="1333">
        <v>44424232</v>
      </c>
      <c r="AM17" s="1331"/>
      <c r="AN17" s="1334">
        <v>151499865</v>
      </c>
      <c r="AS17" s="1330" t="s">
        <v>2212</v>
      </c>
      <c r="AT17" s="1333">
        <v>18437792060</v>
      </c>
      <c r="AU17" s="1333">
        <v>18961224011</v>
      </c>
      <c r="AV17" s="1334">
        <v>20063004546</v>
      </c>
    </row>
    <row r="18" spans="5:48" ht="16.5" customHeight="1" x14ac:dyDescent="0.3">
      <c r="E18" s="1309" t="s">
        <v>2211</v>
      </c>
      <c r="F18" s="1312">
        <v>59471676743</v>
      </c>
      <c r="G18" s="1312">
        <v>36242941309</v>
      </c>
      <c r="H18" s="1313">
        <v>28220431361</v>
      </c>
      <c r="M18" s="1330" t="s">
        <v>2258</v>
      </c>
      <c r="N18" s="1333">
        <v>52675427634</v>
      </c>
      <c r="O18" s="1333">
        <v>47451296277</v>
      </c>
      <c r="P18" s="1334">
        <v>45037882291</v>
      </c>
      <c r="U18" s="1330" t="s">
        <v>2212</v>
      </c>
      <c r="V18" s="1333">
        <v>158516402393</v>
      </c>
      <c r="W18" s="1333">
        <v>228346508641</v>
      </c>
      <c r="X18" s="1334">
        <v>452320024826</v>
      </c>
      <c r="AC18" s="1330" t="s">
        <v>2212</v>
      </c>
      <c r="AD18" s="1333">
        <v>76909865597</v>
      </c>
      <c r="AE18" s="1333">
        <v>54801389042</v>
      </c>
      <c r="AF18" s="1334">
        <v>52815596628</v>
      </c>
      <c r="AK18" s="1330" t="s">
        <v>2211</v>
      </c>
      <c r="AL18" s="1333">
        <v>651596087</v>
      </c>
      <c r="AM18" s="1333">
        <v>561349104</v>
      </c>
      <c r="AN18" s="1334">
        <v>807186915</v>
      </c>
      <c r="AS18" s="1330" t="s">
        <v>2371</v>
      </c>
      <c r="AT18" s="1331"/>
      <c r="AU18" s="1331"/>
      <c r="AV18" s="1334">
        <v>331982000</v>
      </c>
    </row>
    <row r="19" spans="5:48" ht="16.5" customHeight="1" x14ac:dyDescent="0.3">
      <c r="E19" s="1309" t="s">
        <v>2212</v>
      </c>
      <c r="F19" s="1312">
        <v>2482666679408</v>
      </c>
      <c r="G19" s="1312">
        <v>2317970707500</v>
      </c>
      <c r="H19" s="1313">
        <v>2371101563574</v>
      </c>
      <c r="M19" s="1330" t="s">
        <v>2259</v>
      </c>
      <c r="N19" s="1333">
        <v>5871336939</v>
      </c>
      <c r="O19" s="1333">
        <v>6810603615</v>
      </c>
      <c r="P19" s="1334">
        <v>8678857295</v>
      </c>
      <c r="U19" s="1330" t="s">
        <v>2314</v>
      </c>
      <c r="V19" s="1333">
        <v>6283602374</v>
      </c>
      <c r="W19" s="1333">
        <v>5968594596</v>
      </c>
      <c r="X19" s="1334">
        <v>7271799321</v>
      </c>
      <c r="AC19" s="1330" t="s">
        <v>2339</v>
      </c>
      <c r="AD19" s="1333">
        <v>7124345675</v>
      </c>
      <c r="AE19" s="1333">
        <v>6791085071</v>
      </c>
      <c r="AF19" s="1334">
        <v>6987691494</v>
      </c>
      <c r="AK19" s="1330" t="s">
        <v>2212</v>
      </c>
      <c r="AL19" s="1333">
        <v>105882128696</v>
      </c>
      <c r="AM19" s="1333">
        <v>108152980880</v>
      </c>
      <c r="AN19" s="1334">
        <v>108943404473</v>
      </c>
      <c r="AS19" s="1330" t="s">
        <v>2315</v>
      </c>
      <c r="AT19" s="1333">
        <v>3171906420</v>
      </c>
      <c r="AU19" s="1333">
        <v>2792750670</v>
      </c>
      <c r="AV19" s="1334">
        <v>1899197968</v>
      </c>
    </row>
    <row r="20" spans="5:48" ht="16.5" customHeight="1" x14ac:dyDescent="0.3">
      <c r="E20" s="1309" t="s">
        <v>2213</v>
      </c>
      <c r="F20" s="1312">
        <v>4470248808</v>
      </c>
      <c r="G20" s="1312">
        <v>11365528879</v>
      </c>
      <c r="H20" s="1313">
        <v>84380355366</v>
      </c>
      <c r="M20" s="1330" t="s">
        <v>2260</v>
      </c>
      <c r="N20" s="1333">
        <v>4317577973</v>
      </c>
      <c r="O20" s="1333">
        <v>4244676276</v>
      </c>
      <c r="P20" s="1332"/>
      <c r="U20" s="1330" t="s">
        <v>2315</v>
      </c>
      <c r="V20" s="1333">
        <v>73965823759</v>
      </c>
      <c r="W20" s="1333">
        <v>91671775861</v>
      </c>
      <c r="X20" s="1334">
        <v>102814648092</v>
      </c>
      <c r="AC20" s="1330" t="s">
        <v>2340</v>
      </c>
      <c r="AD20" s="1333">
        <v>2500000</v>
      </c>
      <c r="AE20" s="1333">
        <v>2500000</v>
      </c>
      <c r="AF20" s="1334">
        <v>2500000</v>
      </c>
      <c r="AK20" s="1330" t="s">
        <v>2355</v>
      </c>
      <c r="AL20" s="1333">
        <v>5000000</v>
      </c>
      <c r="AM20" s="1333">
        <v>5000000</v>
      </c>
      <c r="AN20" s="1334">
        <v>5000000</v>
      </c>
      <c r="AS20" s="1330" t="s">
        <v>2216</v>
      </c>
      <c r="AT20" s="1333">
        <v>7134757908</v>
      </c>
      <c r="AU20" s="1333">
        <v>8083195344</v>
      </c>
      <c r="AV20" s="1334">
        <v>9811492764</v>
      </c>
    </row>
    <row r="21" spans="5:48" ht="16.5" customHeight="1" x14ac:dyDescent="0.3">
      <c r="E21" s="1309" t="s">
        <v>2214</v>
      </c>
      <c r="F21" s="1312">
        <v>3493114407</v>
      </c>
      <c r="G21" s="1310">
        <v>0</v>
      </c>
      <c r="H21" s="1311">
        <v>0</v>
      </c>
      <c r="M21" s="1330" t="s">
        <v>2216</v>
      </c>
      <c r="N21" s="1333">
        <v>145691851747</v>
      </c>
      <c r="O21" s="1333">
        <v>172415932786</v>
      </c>
      <c r="P21" s="1334">
        <v>189414197995</v>
      </c>
      <c r="U21" s="1330" t="s">
        <v>2318</v>
      </c>
      <c r="V21" s="1333">
        <v>16288306696</v>
      </c>
      <c r="W21" s="1333">
        <v>7629239333</v>
      </c>
      <c r="X21" s="1334">
        <v>225746527688</v>
      </c>
      <c r="AC21" s="1330" t="s">
        <v>2341</v>
      </c>
      <c r="AD21" s="1333">
        <v>7121845675</v>
      </c>
      <c r="AE21" s="1333">
        <v>6788585071</v>
      </c>
      <c r="AF21" s="1334">
        <v>6985191494</v>
      </c>
      <c r="AK21" s="1330" t="s">
        <v>2340</v>
      </c>
      <c r="AL21" s="1333">
        <v>5000000</v>
      </c>
      <c r="AM21" s="1333">
        <v>5000000</v>
      </c>
      <c r="AN21" s="1334">
        <v>5000000</v>
      </c>
      <c r="AS21" s="1330" t="s">
        <v>2217</v>
      </c>
      <c r="AT21" s="1333">
        <v>1111689127</v>
      </c>
      <c r="AU21" s="1333">
        <v>1182342087</v>
      </c>
      <c r="AV21" s="1334">
        <v>590908100</v>
      </c>
    </row>
    <row r="22" spans="5:48" ht="16.5" customHeight="1" x14ac:dyDescent="0.3">
      <c r="E22" s="1309" t="s">
        <v>2215</v>
      </c>
      <c r="F22" s="1312">
        <v>37763738910</v>
      </c>
      <c r="G22" s="1312">
        <v>34210770508</v>
      </c>
      <c r="H22" s="1313">
        <v>31247847122</v>
      </c>
      <c r="M22" s="1330" t="s">
        <v>2217</v>
      </c>
      <c r="N22" s="1333">
        <v>36170184857</v>
      </c>
      <c r="O22" s="1333">
        <v>129020099517</v>
      </c>
      <c r="P22" s="1334">
        <v>140999301054</v>
      </c>
      <c r="U22" s="1330" t="s">
        <v>2258</v>
      </c>
      <c r="V22" s="1333">
        <v>29090000</v>
      </c>
      <c r="W22" s="1333">
        <v>32820000</v>
      </c>
      <c r="X22" s="1334">
        <v>34100000</v>
      </c>
      <c r="AC22" s="1330" t="s">
        <v>2261</v>
      </c>
      <c r="AD22" s="1333">
        <v>17411175130</v>
      </c>
      <c r="AE22" s="1333">
        <v>10026779061</v>
      </c>
      <c r="AF22" s="1334">
        <v>10329762280</v>
      </c>
      <c r="AK22" s="1330" t="s">
        <v>2356</v>
      </c>
      <c r="AL22" s="1333">
        <v>139798072</v>
      </c>
      <c r="AM22" s="1333">
        <v>164005469</v>
      </c>
      <c r="AN22" s="1334">
        <v>96414000</v>
      </c>
      <c r="AS22" s="1330" t="s">
        <v>2258</v>
      </c>
      <c r="AT22" s="1333">
        <v>5114180552</v>
      </c>
      <c r="AU22" s="1333">
        <v>5195208784</v>
      </c>
      <c r="AV22" s="1334">
        <v>5895780801</v>
      </c>
    </row>
    <row r="23" spans="5:48" ht="16.5" customHeight="1" x14ac:dyDescent="0.3">
      <c r="E23" s="1309" t="s">
        <v>2216</v>
      </c>
      <c r="F23" s="1312">
        <v>1237401687595</v>
      </c>
      <c r="G23" s="1312">
        <v>1137681361325</v>
      </c>
      <c r="H23" s="1313">
        <v>1058745602205</v>
      </c>
      <c r="M23" s="1330" t="s">
        <v>2261</v>
      </c>
      <c r="N23" s="1331"/>
      <c r="O23" s="1333">
        <v>1533270200</v>
      </c>
      <c r="P23" s="1334">
        <v>1745204039</v>
      </c>
      <c r="U23" s="1330" t="s">
        <v>2216</v>
      </c>
      <c r="V23" s="1333">
        <v>5847808458</v>
      </c>
      <c r="W23" s="1333">
        <v>60637831052</v>
      </c>
      <c r="X23" s="1334">
        <v>65961159565</v>
      </c>
      <c r="AC23" s="1330" t="s">
        <v>2216</v>
      </c>
      <c r="AD23" s="1333">
        <v>42930745238</v>
      </c>
      <c r="AE23" s="1333">
        <v>33480953793</v>
      </c>
      <c r="AF23" s="1334">
        <v>32197309473</v>
      </c>
      <c r="AK23" s="1330" t="s">
        <v>2315</v>
      </c>
      <c r="AL23" s="1333">
        <v>5686959929</v>
      </c>
      <c r="AM23" s="1333">
        <v>5516429253</v>
      </c>
      <c r="AN23" s="1334">
        <v>4301391934</v>
      </c>
      <c r="AS23" s="1330" t="s">
        <v>2220</v>
      </c>
      <c r="AT23" s="1333">
        <v>1840319667</v>
      </c>
      <c r="AU23" s="1333">
        <v>1704650496</v>
      </c>
      <c r="AV23" s="1334">
        <v>1322347927</v>
      </c>
    </row>
    <row r="24" spans="5:48" ht="16.5" customHeight="1" x14ac:dyDescent="0.3">
      <c r="E24" s="1309" t="s">
        <v>2217</v>
      </c>
      <c r="F24" s="1312">
        <v>1085192152701</v>
      </c>
      <c r="G24" s="1312">
        <v>1009872571986</v>
      </c>
      <c r="H24" s="1313">
        <v>1057486068976</v>
      </c>
      <c r="M24" s="1330" t="s">
        <v>2220</v>
      </c>
      <c r="N24" s="1333">
        <v>34165698300</v>
      </c>
      <c r="O24" s="1333">
        <v>33574178706</v>
      </c>
      <c r="P24" s="1334">
        <v>34156693839</v>
      </c>
      <c r="U24" s="1330" t="s">
        <v>2217</v>
      </c>
      <c r="V24" s="1333">
        <v>22392181203</v>
      </c>
      <c r="W24" s="1333">
        <v>24166847770</v>
      </c>
      <c r="X24" s="1334">
        <v>49773739217</v>
      </c>
      <c r="AC24" s="1330" t="s">
        <v>2217</v>
      </c>
      <c r="AD24" s="1333">
        <v>3348868273</v>
      </c>
      <c r="AE24" s="1333">
        <v>3607349146</v>
      </c>
      <c r="AF24" s="1334">
        <v>2205791738</v>
      </c>
      <c r="AK24" s="1330" t="s">
        <v>2214</v>
      </c>
      <c r="AL24" s="1331"/>
      <c r="AM24" s="1331"/>
      <c r="AN24" s="1334">
        <v>50000000</v>
      </c>
      <c r="AS24" s="1330" t="s">
        <v>2221</v>
      </c>
      <c r="AT24" s="1333">
        <v>64938386</v>
      </c>
      <c r="AU24" s="1333">
        <v>3076630</v>
      </c>
      <c r="AV24" s="1334">
        <v>211294986</v>
      </c>
    </row>
    <row r="25" spans="5:48" ht="16.5" customHeight="1" x14ac:dyDescent="0.3">
      <c r="E25" s="1309" t="s">
        <v>2218</v>
      </c>
      <c r="F25" s="1312">
        <v>78403047641</v>
      </c>
      <c r="G25" s="1312">
        <v>85829352242</v>
      </c>
      <c r="H25" s="1313">
        <v>99807347318</v>
      </c>
      <c r="M25" s="1330" t="s">
        <v>2221</v>
      </c>
      <c r="N25" s="1333">
        <v>652369719</v>
      </c>
      <c r="O25" s="1333">
        <v>475285250</v>
      </c>
      <c r="P25" s="1334">
        <v>383502907</v>
      </c>
      <c r="U25" s="1330" t="s">
        <v>2221</v>
      </c>
      <c r="V25" s="1331">
        <v>0</v>
      </c>
      <c r="W25" s="1333">
        <v>186520781</v>
      </c>
      <c r="X25" s="1334">
        <v>718050943</v>
      </c>
      <c r="AC25" s="1330" t="s">
        <v>2342</v>
      </c>
      <c r="AD25" s="1333">
        <v>4080494742</v>
      </c>
      <c r="AE25" s="1331">
        <v>0</v>
      </c>
      <c r="AF25" s="1332">
        <v>0</v>
      </c>
      <c r="AK25" s="1330" t="s">
        <v>2260</v>
      </c>
      <c r="AL25" s="1333">
        <v>143533098</v>
      </c>
      <c r="AM25" s="1333">
        <v>130789854</v>
      </c>
      <c r="AN25" s="1332"/>
      <c r="AS25" s="1330" t="s">
        <v>2222</v>
      </c>
      <c r="AT25" s="1333">
        <v>48897294052</v>
      </c>
      <c r="AU25" s="1333">
        <v>52037105763</v>
      </c>
      <c r="AV25" s="1334">
        <v>50423071868</v>
      </c>
    </row>
    <row r="26" spans="5:48" ht="16.5" customHeight="1" x14ac:dyDescent="0.3">
      <c r="E26" s="1309" t="s">
        <v>2219</v>
      </c>
      <c r="F26" s="1312">
        <v>590720826</v>
      </c>
      <c r="G26" s="1312">
        <v>528291619</v>
      </c>
      <c r="H26" s="1313">
        <v>833621949</v>
      </c>
      <c r="M26" s="1330" t="s">
        <v>2222</v>
      </c>
      <c r="N26" s="1333">
        <v>780081282740</v>
      </c>
      <c r="O26" s="1333">
        <v>824421069972</v>
      </c>
      <c r="P26" s="1334">
        <v>842630092989</v>
      </c>
      <c r="U26" s="1330" t="s">
        <v>2220</v>
      </c>
      <c r="V26" s="1333">
        <v>33709589903</v>
      </c>
      <c r="W26" s="1333">
        <v>38052879248</v>
      </c>
      <c r="X26" s="1332">
        <v>0</v>
      </c>
      <c r="AC26" s="1330" t="s">
        <v>2343</v>
      </c>
      <c r="AD26" s="1333">
        <v>1852471688</v>
      </c>
      <c r="AE26" s="1333">
        <v>613267740</v>
      </c>
      <c r="AF26" s="1334">
        <v>672104600</v>
      </c>
      <c r="AK26" s="1330" t="s">
        <v>2216</v>
      </c>
      <c r="AL26" s="1333">
        <v>64861058516</v>
      </c>
      <c r="AM26" s="1333">
        <v>64333391433</v>
      </c>
      <c r="AN26" s="1334">
        <v>68753322888</v>
      </c>
      <c r="AS26" s="1330" t="s">
        <v>1700</v>
      </c>
      <c r="AT26" s="1331"/>
      <c r="AU26" s="1331"/>
      <c r="AV26" s="1332"/>
    </row>
    <row r="27" spans="5:48" ht="16.5" customHeight="1" x14ac:dyDescent="0.3">
      <c r="E27" s="1309" t="s">
        <v>2220</v>
      </c>
      <c r="F27" s="1312">
        <v>5852707632</v>
      </c>
      <c r="G27" s="1312">
        <v>7519584598</v>
      </c>
      <c r="H27" s="1313">
        <v>2647957058</v>
      </c>
      <c r="M27" s="1330" t="s">
        <v>1700</v>
      </c>
      <c r="N27" s="1331"/>
      <c r="O27" s="1331"/>
      <c r="P27" s="1332"/>
      <c r="U27" s="1330" t="s">
        <v>2222</v>
      </c>
      <c r="V27" s="1333">
        <v>307162704724</v>
      </c>
      <c r="W27" s="1333">
        <v>365853366320</v>
      </c>
      <c r="X27" s="1334">
        <v>638356756423</v>
      </c>
      <c r="AC27" s="1330" t="s">
        <v>2344</v>
      </c>
      <c r="AD27" s="1333">
        <v>1671432100</v>
      </c>
      <c r="AE27" s="1333">
        <v>613267740</v>
      </c>
      <c r="AF27" s="1334">
        <v>672104600</v>
      </c>
      <c r="AK27" s="1330" t="s">
        <v>2261</v>
      </c>
      <c r="AL27" s="1333">
        <v>29200430935</v>
      </c>
      <c r="AM27" s="1333">
        <v>30115174788</v>
      </c>
      <c r="AN27" s="1334">
        <v>31334833257</v>
      </c>
      <c r="AS27" s="1330" t="s">
        <v>2223</v>
      </c>
      <c r="AT27" s="1333">
        <v>15158591799</v>
      </c>
      <c r="AU27" s="1333">
        <v>18102392912</v>
      </c>
      <c r="AV27" s="1334">
        <v>17380359441</v>
      </c>
    </row>
    <row r="28" spans="5:48" ht="16.5" customHeight="1" x14ac:dyDescent="0.3">
      <c r="E28" s="1309" t="s">
        <v>2221</v>
      </c>
      <c r="F28" s="1312">
        <v>29499260888</v>
      </c>
      <c r="G28" s="1312">
        <v>30963246343</v>
      </c>
      <c r="H28" s="1313">
        <v>35952763580</v>
      </c>
      <c r="M28" s="1330" t="s">
        <v>2223</v>
      </c>
      <c r="N28" s="1333">
        <v>271741421290</v>
      </c>
      <c r="O28" s="1333">
        <v>337621384044</v>
      </c>
      <c r="P28" s="1334">
        <v>384950230432</v>
      </c>
      <c r="U28" s="1330" t="s">
        <v>1700</v>
      </c>
      <c r="V28" s="1331"/>
      <c r="W28" s="1331"/>
      <c r="X28" s="1332"/>
      <c r="AC28" s="1330" t="s">
        <v>2345</v>
      </c>
      <c r="AD28" s="1333">
        <v>181039588</v>
      </c>
      <c r="AE28" s="1331">
        <v>0</v>
      </c>
      <c r="AF28" s="1332">
        <v>0</v>
      </c>
      <c r="AK28" s="1330" t="s">
        <v>2357</v>
      </c>
      <c r="AL28" s="1333">
        <v>5781835738</v>
      </c>
      <c r="AM28" s="1333">
        <v>6709924960</v>
      </c>
      <c r="AN28" s="1334">
        <v>4368152083</v>
      </c>
      <c r="AS28" s="1330" t="s">
        <v>2224</v>
      </c>
      <c r="AT28" s="1333">
        <v>12395507518</v>
      </c>
      <c r="AU28" s="1333">
        <v>13503549285</v>
      </c>
      <c r="AV28" s="1334">
        <v>13785106848</v>
      </c>
    </row>
    <row r="29" spans="5:48" ht="16.5" customHeight="1" x14ac:dyDescent="0.3">
      <c r="E29" s="1309" t="s">
        <v>2222</v>
      </c>
      <c r="F29" s="1312">
        <v>6096139269066</v>
      </c>
      <c r="G29" s="1312">
        <v>5546045160128</v>
      </c>
      <c r="H29" s="1313">
        <v>5300099795352</v>
      </c>
      <c r="M29" s="1330" t="s">
        <v>2224</v>
      </c>
      <c r="N29" s="1333">
        <v>64990947461</v>
      </c>
      <c r="O29" s="1333">
        <v>74596749834</v>
      </c>
      <c r="P29" s="1334">
        <v>109481884725</v>
      </c>
      <c r="U29" s="1330" t="s">
        <v>2223</v>
      </c>
      <c r="V29" s="1333">
        <v>75363773157</v>
      </c>
      <c r="W29" s="1333">
        <v>247019030041</v>
      </c>
      <c r="X29" s="1334">
        <v>378025445945</v>
      </c>
      <c r="AC29" s="1330" t="s">
        <v>2220</v>
      </c>
      <c r="AD29" s="1333">
        <v>161764851</v>
      </c>
      <c r="AE29" s="1333">
        <v>281954231</v>
      </c>
      <c r="AF29" s="1334">
        <v>422937043</v>
      </c>
      <c r="AK29" s="1330" t="s">
        <v>2358</v>
      </c>
      <c r="AL29" s="1333">
        <v>5781835738</v>
      </c>
      <c r="AM29" s="1333">
        <v>6709924960</v>
      </c>
      <c r="AN29" s="1334">
        <v>4368152083</v>
      </c>
      <c r="AS29" s="1330" t="s">
        <v>2372</v>
      </c>
      <c r="AT29" s="1333">
        <v>1547859236</v>
      </c>
      <c r="AU29" s="1333">
        <v>2354927498</v>
      </c>
      <c r="AV29" s="1334">
        <v>2897513686</v>
      </c>
    </row>
    <row r="30" spans="5:48" ht="16.5" customHeight="1" x14ac:dyDescent="0.3">
      <c r="E30" s="1309" t="s">
        <v>1700</v>
      </c>
      <c r="F30" s="1310"/>
      <c r="G30" s="1310"/>
      <c r="H30" s="1311"/>
      <c r="L30" s="1323" t="s">
        <v>36</v>
      </c>
      <c r="M30" s="1330" t="s">
        <v>2226</v>
      </c>
      <c r="N30" s="1333">
        <v>36896808153</v>
      </c>
      <c r="O30" s="1333">
        <v>91209708535</v>
      </c>
      <c r="P30" s="1334">
        <v>64077152751</v>
      </c>
      <c r="U30" s="1330" t="s">
        <v>2319</v>
      </c>
      <c r="V30" s="1333">
        <v>28111249463</v>
      </c>
      <c r="W30" s="1333">
        <v>53178732130</v>
      </c>
      <c r="X30" s="1334">
        <v>109196372501</v>
      </c>
      <c r="AC30" s="1330" t="s">
        <v>2222</v>
      </c>
      <c r="AD30" s="1333">
        <v>223596399775</v>
      </c>
      <c r="AE30" s="1333">
        <v>208888645431</v>
      </c>
      <c r="AF30" s="1334">
        <v>194840188128</v>
      </c>
      <c r="AK30" s="1330" t="s">
        <v>2221</v>
      </c>
      <c r="AL30" s="1333">
        <v>63512408</v>
      </c>
      <c r="AM30" s="1333">
        <v>1178265123</v>
      </c>
      <c r="AN30" s="1334">
        <v>34290311</v>
      </c>
      <c r="AR30" s="1323" t="s">
        <v>36</v>
      </c>
      <c r="AS30" s="1330" t="s">
        <v>2226</v>
      </c>
      <c r="AT30" s="1331"/>
      <c r="AU30" s="1333">
        <v>2000000000</v>
      </c>
      <c r="AV30" s="1334">
        <v>400000000</v>
      </c>
    </row>
    <row r="31" spans="5:48" ht="16.5" customHeight="1" x14ac:dyDescent="0.3">
      <c r="E31" s="1309" t="s">
        <v>2223</v>
      </c>
      <c r="F31" s="1312">
        <v>1230883221576</v>
      </c>
      <c r="G31" s="1312">
        <v>1117969279565</v>
      </c>
      <c r="H31" s="1313">
        <v>1219483709269</v>
      </c>
      <c r="L31" s="1323" t="s">
        <v>36</v>
      </c>
      <c r="M31" s="1330" t="s">
        <v>2231</v>
      </c>
      <c r="N31" s="1333">
        <v>1272315457</v>
      </c>
      <c r="O31" s="1333">
        <v>5243323747</v>
      </c>
      <c r="P31" s="1334">
        <v>4003670125</v>
      </c>
      <c r="T31" s="1323" t="s">
        <v>36</v>
      </c>
      <c r="U31" s="1330" t="s">
        <v>2226</v>
      </c>
      <c r="V31" s="1331">
        <v>0</v>
      </c>
      <c r="W31" s="1333">
        <v>28337977430</v>
      </c>
      <c r="X31" s="1334">
        <v>39504795691</v>
      </c>
      <c r="AC31" s="1330" t="s">
        <v>1700</v>
      </c>
      <c r="AD31" s="1331"/>
      <c r="AE31" s="1331"/>
      <c r="AF31" s="1332"/>
      <c r="AK31" s="1330" t="s">
        <v>2222</v>
      </c>
      <c r="AL31" s="1333">
        <v>138698321913</v>
      </c>
      <c r="AM31" s="1333">
        <v>148439073419</v>
      </c>
      <c r="AN31" s="1334">
        <v>150247276624</v>
      </c>
      <c r="AR31" s="1323" t="s">
        <v>36</v>
      </c>
      <c r="AS31" s="1330" t="s">
        <v>2231</v>
      </c>
      <c r="AT31" s="1333">
        <v>500000000</v>
      </c>
      <c r="AU31" s="1331"/>
      <c r="AV31" s="1332"/>
    </row>
    <row r="32" spans="5:48" ht="16.5" customHeight="1" x14ac:dyDescent="0.3">
      <c r="E32" s="1309" t="s">
        <v>2224</v>
      </c>
      <c r="F32" s="1312">
        <v>328217131047</v>
      </c>
      <c r="G32" s="1312">
        <v>361941382382</v>
      </c>
      <c r="H32" s="1313">
        <v>383512384311</v>
      </c>
      <c r="L32" s="1323" t="s">
        <v>36</v>
      </c>
      <c r="M32" s="1330" t="s">
        <v>2262</v>
      </c>
      <c r="N32" s="1331"/>
      <c r="O32" s="1331"/>
      <c r="P32" s="1334">
        <v>29974929109</v>
      </c>
      <c r="T32" s="1323" t="s">
        <v>36</v>
      </c>
      <c r="U32" s="1330" t="s">
        <v>2320</v>
      </c>
      <c r="V32" s="1331">
        <v>0</v>
      </c>
      <c r="W32" s="1333">
        <v>54948576089</v>
      </c>
      <c r="X32" s="1334">
        <v>129735822677</v>
      </c>
      <c r="AC32" s="1330" t="s">
        <v>2223</v>
      </c>
      <c r="AD32" s="1333">
        <v>48388332695</v>
      </c>
      <c r="AE32" s="1333">
        <v>42195549564</v>
      </c>
      <c r="AF32" s="1334">
        <v>36951841813</v>
      </c>
      <c r="AK32" s="1330" t="s">
        <v>1700</v>
      </c>
      <c r="AL32" s="1331"/>
      <c r="AM32" s="1331"/>
      <c r="AN32" s="1332"/>
      <c r="AS32" s="1330" t="s">
        <v>2264</v>
      </c>
      <c r="AT32" s="1333">
        <v>522074905</v>
      </c>
      <c r="AU32" s="1333">
        <v>222525889</v>
      </c>
      <c r="AV32" s="1334">
        <v>127365732</v>
      </c>
    </row>
    <row r="33" spans="4:48" ht="16.5" customHeight="1" x14ac:dyDescent="0.3">
      <c r="E33" s="1309" t="s">
        <v>2225</v>
      </c>
      <c r="F33" s="1312">
        <v>45646463432</v>
      </c>
      <c r="G33" s="1312">
        <v>58034618001</v>
      </c>
      <c r="H33" s="1313">
        <v>65766658215</v>
      </c>
      <c r="M33" s="1330" t="s">
        <v>2263</v>
      </c>
      <c r="N33" s="1333">
        <v>47504097223</v>
      </c>
      <c r="O33" s="1333">
        <v>18911090315</v>
      </c>
      <c r="P33" s="1334">
        <v>22243402645</v>
      </c>
      <c r="T33" s="1323" t="s">
        <v>36</v>
      </c>
      <c r="U33" s="1330" t="s">
        <v>2321</v>
      </c>
      <c r="V33" s="1333">
        <v>24994380711</v>
      </c>
      <c r="W33" s="1333">
        <v>44894575790</v>
      </c>
      <c r="X33" s="1334">
        <v>82962189704</v>
      </c>
      <c r="AC33" s="1330" t="s">
        <v>2346</v>
      </c>
      <c r="AD33" s="1333">
        <v>27381289920</v>
      </c>
      <c r="AE33" s="1333">
        <v>26335259191</v>
      </c>
      <c r="AF33" s="1334">
        <v>25727416164</v>
      </c>
      <c r="AK33" s="1330" t="s">
        <v>2223</v>
      </c>
      <c r="AL33" s="1333">
        <v>88670301022</v>
      </c>
      <c r="AM33" s="1333">
        <v>75291629126</v>
      </c>
      <c r="AN33" s="1334">
        <v>92695296607</v>
      </c>
      <c r="AS33" s="1330" t="s">
        <v>2233</v>
      </c>
      <c r="AT33" s="1333">
        <v>193150140</v>
      </c>
      <c r="AU33" s="1333">
        <v>21390240</v>
      </c>
      <c r="AV33" s="1334">
        <v>170373175</v>
      </c>
    </row>
    <row r="34" spans="4:48" ht="16.5" customHeight="1" x14ac:dyDescent="0.3">
      <c r="D34" s="1323" t="s">
        <v>36</v>
      </c>
      <c r="E34" s="1309" t="s">
        <v>2226</v>
      </c>
      <c r="F34" s="1312">
        <v>3814481640</v>
      </c>
      <c r="G34" s="1312">
        <v>4287945060</v>
      </c>
      <c r="H34" s="1313">
        <v>6553538764</v>
      </c>
      <c r="M34" s="1330" t="s">
        <v>2264</v>
      </c>
      <c r="N34" s="1333">
        <v>88455213</v>
      </c>
      <c r="O34" s="1333">
        <v>3413363730</v>
      </c>
      <c r="P34" s="1334">
        <v>10059504601</v>
      </c>
      <c r="U34" s="1330" t="s">
        <v>2322</v>
      </c>
      <c r="V34" s="1333">
        <v>90090260</v>
      </c>
      <c r="W34" s="1333">
        <v>725280537</v>
      </c>
      <c r="X34" s="1334">
        <v>2426114337</v>
      </c>
      <c r="AC34" s="1330" t="s">
        <v>2240</v>
      </c>
      <c r="AD34" s="1333">
        <v>74334384</v>
      </c>
      <c r="AE34" s="1333">
        <v>217232991</v>
      </c>
      <c r="AF34" s="1334">
        <v>246540177</v>
      </c>
      <c r="AK34" s="1330" t="s">
        <v>2359</v>
      </c>
      <c r="AL34" s="1333">
        <v>7225381645</v>
      </c>
      <c r="AM34" s="1333">
        <v>16929823049</v>
      </c>
      <c r="AN34" s="1334">
        <v>18806209833</v>
      </c>
      <c r="AS34" s="1330" t="s">
        <v>2234</v>
      </c>
      <c r="AT34" s="1333">
        <v>1736500806</v>
      </c>
      <c r="AU34" s="1333">
        <v>2061924465</v>
      </c>
      <c r="AV34" s="1334">
        <v>1383014841</v>
      </c>
    </row>
    <row r="35" spans="4:48" ht="16.5" customHeight="1" x14ac:dyDescent="0.3">
      <c r="E35" s="1309" t="s">
        <v>2227</v>
      </c>
      <c r="F35" s="1312">
        <v>203334743748</v>
      </c>
      <c r="G35" s="1312">
        <v>186835415284</v>
      </c>
      <c r="H35" s="1313">
        <v>271146152436</v>
      </c>
      <c r="M35" s="1330" t="s">
        <v>2265</v>
      </c>
      <c r="N35" s="1333">
        <v>21341536511</v>
      </c>
      <c r="O35" s="1333">
        <v>33210903074</v>
      </c>
      <c r="P35" s="1334">
        <v>42899091386</v>
      </c>
      <c r="U35" s="1330" t="s">
        <v>2323</v>
      </c>
      <c r="V35" s="1333">
        <v>806891011</v>
      </c>
      <c r="W35" s="1333">
        <v>798182386</v>
      </c>
      <c r="X35" s="1334">
        <v>4822019237</v>
      </c>
      <c r="AC35" s="1330" t="s">
        <v>2264</v>
      </c>
      <c r="AD35" s="1333">
        <v>1125048610</v>
      </c>
      <c r="AE35" s="1333">
        <v>1355330569</v>
      </c>
      <c r="AF35" s="1334">
        <v>1877697812</v>
      </c>
      <c r="AK35" s="1330" t="s">
        <v>2323</v>
      </c>
      <c r="AL35" s="1333">
        <v>8024521136</v>
      </c>
      <c r="AM35" s="1333">
        <v>7990028769</v>
      </c>
      <c r="AN35" s="1334">
        <v>7843535272</v>
      </c>
      <c r="AR35" s="1323" t="s">
        <v>36</v>
      </c>
      <c r="AS35" s="1330" t="s">
        <v>2237</v>
      </c>
      <c r="AT35" s="1331"/>
      <c r="AU35" s="1333">
        <v>1000000000</v>
      </c>
      <c r="AV35" s="1332"/>
    </row>
    <row r="36" spans="4:48" ht="16.5" customHeight="1" x14ac:dyDescent="0.3">
      <c r="E36" s="1309" t="s">
        <v>2228</v>
      </c>
      <c r="F36" s="1312">
        <v>12355431200</v>
      </c>
      <c r="G36" s="1312">
        <v>11954989515</v>
      </c>
      <c r="H36" s="1313">
        <v>10234521955</v>
      </c>
      <c r="M36" s="1330" t="s">
        <v>2233</v>
      </c>
      <c r="N36" s="1333">
        <v>99647261272</v>
      </c>
      <c r="O36" s="1333">
        <v>111036244809</v>
      </c>
      <c r="P36" s="1334">
        <v>102210595090</v>
      </c>
      <c r="U36" s="1330" t="s">
        <v>2233</v>
      </c>
      <c r="V36" s="1333">
        <v>3445519856</v>
      </c>
      <c r="W36" s="1333">
        <v>54242178929</v>
      </c>
      <c r="X36" s="1334">
        <v>6829365876</v>
      </c>
      <c r="AC36" s="1330" t="s">
        <v>2322</v>
      </c>
      <c r="AD36" s="1333">
        <v>5819721595</v>
      </c>
      <c r="AE36" s="1333">
        <v>2752185305</v>
      </c>
      <c r="AF36" s="1334">
        <v>2289422361</v>
      </c>
      <c r="AJ36" s="1323" t="s">
        <v>36</v>
      </c>
      <c r="AK36" s="1330" t="s">
        <v>2360</v>
      </c>
      <c r="AL36" s="1333">
        <v>49000000000</v>
      </c>
      <c r="AM36" s="1333">
        <v>47800000000</v>
      </c>
      <c r="AN36" s="1334">
        <v>44000000000</v>
      </c>
      <c r="AS36" s="1330" t="s">
        <v>2325</v>
      </c>
      <c r="AT36" s="1333">
        <v>1661196914</v>
      </c>
      <c r="AU36" s="1333">
        <v>989138214</v>
      </c>
      <c r="AV36" s="1334">
        <v>1345165782</v>
      </c>
    </row>
    <row r="37" spans="4:48" ht="16.5" customHeight="1" x14ac:dyDescent="0.3">
      <c r="E37" s="1309" t="s">
        <v>2229</v>
      </c>
      <c r="F37" s="1312">
        <v>426553163463</v>
      </c>
      <c r="G37" s="1312">
        <v>333820324618</v>
      </c>
      <c r="H37" s="1313">
        <v>345718920239</v>
      </c>
      <c r="M37" s="1330" t="s">
        <v>2266</v>
      </c>
      <c r="N37" s="1333">
        <v>78528313390</v>
      </c>
      <c r="O37" s="1331"/>
      <c r="P37" s="1332"/>
      <c r="U37" s="1330" t="s">
        <v>2264</v>
      </c>
      <c r="V37" s="1333">
        <v>17915641856</v>
      </c>
      <c r="W37" s="1333">
        <v>3696346637</v>
      </c>
      <c r="X37" s="1334">
        <v>2548765922</v>
      </c>
      <c r="AC37" s="1330" t="s">
        <v>2233</v>
      </c>
      <c r="AD37" s="1333">
        <v>13987938186</v>
      </c>
      <c r="AE37" s="1333">
        <v>11535541508</v>
      </c>
      <c r="AF37" s="1334">
        <v>6810765299</v>
      </c>
      <c r="AJ37" s="1323" t="s">
        <v>36</v>
      </c>
      <c r="AK37" s="1330" t="s">
        <v>2361</v>
      </c>
      <c r="AL37" s="1333">
        <v>20000000000</v>
      </c>
      <c r="AM37" s="1331"/>
      <c r="AN37" s="1334">
        <v>20000000000</v>
      </c>
      <c r="AS37" s="1330" t="s">
        <v>2236</v>
      </c>
      <c r="AT37" s="1333">
        <v>10561445</v>
      </c>
      <c r="AU37" s="1333">
        <v>18314631</v>
      </c>
      <c r="AV37" s="1332"/>
    </row>
    <row r="38" spans="4:48" ht="16.5" customHeight="1" x14ac:dyDescent="0.3">
      <c r="E38" s="1309" t="s">
        <v>2230</v>
      </c>
      <c r="F38" s="1312">
        <v>97752702886</v>
      </c>
      <c r="G38" s="1312">
        <v>55348847665</v>
      </c>
      <c r="H38" s="1313">
        <v>34050693960</v>
      </c>
      <c r="M38" s="1330" t="s">
        <v>2234</v>
      </c>
      <c r="N38" s="1333">
        <v>53578391697</v>
      </c>
      <c r="O38" s="1333">
        <v>98792978596</v>
      </c>
      <c r="P38" s="1334">
        <v>89037089442</v>
      </c>
      <c r="U38" s="1330" t="s">
        <v>2324</v>
      </c>
      <c r="V38" s="1331">
        <v>0</v>
      </c>
      <c r="W38" s="1333">
        <v>6197180113</v>
      </c>
      <c r="X38" s="1332">
        <v>0</v>
      </c>
      <c r="AC38" s="1330" t="s">
        <v>2234</v>
      </c>
      <c r="AD38" s="1333">
        <v>6713962733</v>
      </c>
      <c r="AE38" s="1333">
        <v>5237849768</v>
      </c>
      <c r="AF38" s="1334">
        <v>4826463234</v>
      </c>
      <c r="AJ38" s="1323" t="s">
        <v>36</v>
      </c>
      <c r="AK38" s="1330" t="s">
        <v>2362</v>
      </c>
      <c r="AL38" s="1333">
        <v>1695390090</v>
      </c>
      <c r="AM38" s="1331"/>
      <c r="AN38" s="1334">
        <v>52576996</v>
      </c>
      <c r="AS38" s="1330" t="s">
        <v>2326</v>
      </c>
      <c r="AT38" s="1333">
        <v>64742447</v>
      </c>
      <c r="AU38" s="1333">
        <v>54471620</v>
      </c>
      <c r="AV38" s="1334">
        <v>37849059</v>
      </c>
    </row>
    <row r="39" spans="4:48" ht="16.5" customHeight="1" x14ac:dyDescent="0.3">
      <c r="D39" s="1323" t="s">
        <v>36</v>
      </c>
      <c r="E39" s="1309" t="s">
        <v>2231</v>
      </c>
      <c r="F39" s="1312">
        <v>6955119191</v>
      </c>
      <c r="G39" s="1312">
        <v>8141607591</v>
      </c>
      <c r="H39" s="1313">
        <v>9615444989</v>
      </c>
      <c r="M39" s="1330" t="s">
        <v>2267</v>
      </c>
      <c r="N39" s="1333">
        <v>143579745</v>
      </c>
      <c r="O39" s="1331"/>
      <c r="P39" s="1332"/>
      <c r="U39" s="1330" t="s">
        <v>2234</v>
      </c>
      <c r="V39" s="1333">
        <v>43499381012</v>
      </c>
      <c r="W39" s="1333">
        <v>8584822863</v>
      </c>
      <c r="X39" s="1334">
        <v>14054324942</v>
      </c>
      <c r="AC39" s="1330" t="s">
        <v>2325</v>
      </c>
      <c r="AD39" s="1333">
        <v>4673793053</v>
      </c>
      <c r="AE39" s="1333">
        <v>2476220088</v>
      </c>
      <c r="AF39" s="1334">
        <v>2063545554</v>
      </c>
      <c r="AK39" s="1330" t="s">
        <v>2363</v>
      </c>
      <c r="AL39" s="1333">
        <v>6806629</v>
      </c>
      <c r="AM39" s="1333">
        <v>138568403</v>
      </c>
      <c r="AN39" s="1334">
        <v>125815</v>
      </c>
      <c r="AS39" s="1330" t="s">
        <v>2241</v>
      </c>
      <c r="AT39" s="1333">
        <v>16895092605</v>
      </c>
      <c r="AU39" s="1333">
        <v>20164317377</v>
      </c>
      <c r="AV39" s="1334">
        <v>18763374282</v>
      </c>
    </row>
    <row r="40" spans="4:48" ht="16.5" customHeight="1" x14ac:dyDescent="0.3">
      <c r="E40" s="1309" t="s">
        <v>2232</v>
      </c>
      <c r="F40" s="1312">
        <v>22124491319</v>
      </c>
      <c r="G40" s="1312">
        <v>25731927866</v>
      </c>
      <c r="H40" s="1313">
        <v>1808356736</v>
      </c>
      <c r="L40" s="1323" t="s">
        <v>36</v>
      </c>
      <c r="M40" s="1330" t="s">
        <v>2237</v>
      </c>
      <c r="N40" s="1333">
        <v>2317179999</v>
      </c>
      <c r="O40" s="1333">
        <v>13164341475</v>
      </c>
      <c r="P40" s="1334">
        <v>8397652931</v>
      </c>
      <c r="U40" s="1330" t="s">
        <v>2322</v>
      </c>
      <c r="V40" s="1333">
        <v>382421791</v>
      </c>
      <c r="W40" s="1333">
        <v>512752282</v>
      </c>
      <c r="X40" s="1334">
        <v>686526268</v>
      </c>
      <c r="AC40" s="1330" t="s">
        <v>2347</v>
      </c>
      <c r="AD40" s="1333">
        <v>2040169680</v>
      </c>
      <c r="AE40" s="1333">
        <v>2761629680</v>
      </c>
      <c r="AF40" s="1334">
        <v>2762917680</v>
      </c>
      <c r="AK40" s="1330" t="s">
        <v>2364</v>
      </c>
      <c r="AL40" s="1333">
        <v>2718201522</v>
      </c>
      <c r="AM40" s="1333">
        <v>2433208905</v>
      </c>
      <c r="AN40" s="1334">
        <v>1992848691</v>
      </c>
      <c r="AS40" s="1330" t="s">
        <v>1715</v>
      </c>
      <c r="AT40" s="1331"/>
      <c r="AU40" s="1331"/>
      <c r="AV40" s="1332"/>
    </row>
    <row r="41" spans="4:48" ht="16.5" customHeight="1" x14ac:dyDescent="0.3">
      <c r="E41" s="1309" t="s">
        <v>2233</v>
      </c>
      <c r="F41" s="1312">
        <v>84129493650</v>
      </c>
      <c r="G41" s="1312">
        <v>71872221583</v>
      </c>
      <c r="H41" s="1313">
        <v>91077037664</v>
      </c>
      <c r="L41" s="1323" t="s">
        <v>36</v>
      </c>
      <c r="M41" s="1330" t="s">
        <v>2238</v>
      </c>
      <c r="N41" s="1331"/>
      <c r="O41" s="1333">
        <v>30000000000</v>
      </c>
      <c r="P41" s="1334">
        <v>30000000000</v>
      </c>
      <c r="T41" s="1323" t="s">
        <v>36</v>
      </c>
      <c r="U41" s="1330" t="s">
        <v>2238</v>
      </c>
      <c r="V41" s="1333">
        <v>35001057272</v>
      </c>
      <c r="W41" s="1331">
        <v>0</v>
      </c>
      <c r="X41" s="1332">
        <v>0</v>
      </c>
      <c r="AC41" s="1330" t="s">
        <v>2241</v>
      </c>
      <c r="AD41" s="1333">
        <v>55102295428</v>
      </c>
      <c r="AE41" s="1333">
        <v>47433399332</v>
      </c>
      <c r="AF41" s="1334">
        <v>41778305047</v>
      </c>
      <c r="AK41" s="1330" t="s">
        <v>2234</v>
      </c>
      <c r="AL41" s="1333">
        <v>24302985657</v>
      </c>
      <c r="AM41" s="1333">
        <v>44522092379</v>
      </c>
      <c r="AN41" s="1334">
        <v>23432495388</v>
      </c>
      <c r="AS41" s="1330" t="s">
        <v>2373</v>
      </c>
      <c r="AT41" s="1333">
        <v>31976161123</v>
      </c>
      <c r="AU41" s="1333">
        <v>31854579760</v>
      </c>
      <c r="AV41" s="1334">
        <v>31659697586</v>
      </c>
    </row>
    <row r="42" spans="4:48" ht="16.5" customHeight="1" x14ac:dyDescent="0.3">
      <c r="E42" s="1309" t="s">
        <v>2234</v>
      </c>
      <c r="F42" s="1312">
        <v>306509265298</v>
      </c>
      <c r="G42" s="1312">
        <v>214051251595</v>
      </c>
      <c r="H42" s="1313">
        <v>197236584143</v>
      </c>
      <c r="M42" s="1330" t="s">
        <v>2268</v>
      </c>
      <c r="N42" s="1333">
        <v>6323530424</v>
      </c>
      <c r="O42" s="1333">
        <v>9895192656</v>
      </c>
      <c r="P42" s="1334">
        <v>9882982856</v>
      </c>
      <c r="U42" s="1330" t="s">
        <v>2325</v>
      </c>
      <c r="V42" s="1333">
        <v>6979489109</v>
      </c>
      <c r="W42" s="1333">
        <v>6224639113</v>
      </c>
      <c r="X42" s="1334">
        <v>9816832216</v>
      </c>
      <c r="AC42" s="1330" t="s">
        <v>1715</v>
      </c>
      <c r="AD42" s="1331"/>
      <c r="AE42" s="1331"/>
      <c r="AF42" s="1332"/>
      <c r="AK42" s="1330" t="s">
        <v>2365</v>
      </c>
      <c r="AL42" s="1331"/>
      <c r="AM42" s="1331"/>
      <c r="AN42" s="1334">
        <v>25000000</v>
      </c>
      <c r="AS42" s="1330" t="s">
        <v>2348</v>
      </c>
      <c r="AT42" s="1333">
        <v>5977113500</v>
      </c>
      <c r="AU42" s="1333">
        <v>5977113500</v>
      </c>
      <c r="AV42" s="1334">
        <v>5977113500</v>
      </c>
    </row>
    <row r="43" spans="4:48" ht="16.5" customHeight="1" x14ac:dyDescent="0.3">
      <c r="E43" s="1309" t="s">
        <v>2235</v>
      </c>
      <c r="F43" s="1312">
        <v>138957190428</v>
      </c>
      <c r="G43" s="1312">
        <v>28715603615</v>
      </c>
      <c r="H43" s="1313">
        <v>15920220595</v>
      </c>
      <c r="M43" s="1330" t="s">
        <v>2269</v>
      </c>
      <c r="N43" s="1333">
        <v>44555090317</v>
      </c>
      <c r="O43" s="1333">
        <v>43996633409</v>
      </c>
      <c r="P43" s="1334">
        <v>40054196028</v>
      </c>
      <c r="U43" s="1330" t="s">
        <v>2326</v>
      </c>
      <c r="V43" s="1333">
        <v>1136412840</v>
      </c>
      <c r="W43" s="1333">
        <v>1847431468</v>
      </c>
      <c r="X43" s="1334">
        <v>2592762480</v>
      </c>
      <c r="AC43" s="1330" t="s">
        <v>2243</v>
      </c>
      <c r="AD43" s="1333">
        <v>8600000000</v>
      </c>
      <c r="AE43" s="1333">
        <v>8600000000</v>
      </c>
      <c r="AF43" s="1334">
        <v>8600000000</v>
      </c>
      <c r="AJ43" s="1323" t="s">
        <v>36</v>
      </c>
      <c r="AK43" s="1330" t="s">
        <v>2366</v>
      </c>
      <c r="AL43" s="1331"/>
      <c r="AM43" s="1333">
        <v>20000000000</v>
      </c>
      <c r="AN43" s="1332"/>
      <c r="AS43" s="1330" t="s">
        <v>2374</v>
      </c>
      <c r="AT43" s="1333">
        <v>17572387983</v>
      </c>
      <c r="AU43" s="1333">
        <v>19049312950</v>
      </c>
      <c r="AV43" s="1334">
        <v>19044876089</v>
      </c>
    </row>
    <row r="44" spans="4:48" ht="16.5" customHeight="1" x14ac:dyDescent="0.3">
      <c r="E44" s="1309" t="s">
        <v>2236</v>
      </c>
      <c r="F44" s="1312">
        <v>132184635084</v>
      </c>
      <c r="G44" s="1312">
        <v>137392870323</v>
      </c>
      <c r="H44" s="1313">
        <v>115558777034</v>
      </c>
      <c r="M44" s="1330" t="s">
        <v>2270</v>
      </c>
      <c r="N44" s="1333">
        <v>239011212</v>
      </c>
      <c r="O44" s="1333">
        <v>1736811056</v>
      </c>
      <c r="P44" s="1334">
        <v>702257627</v>
      </c>
      <c r="U44" s="1330" t="s">
        <v>2236</v>
      </c>
      <c r="V44" s="1331">
        <v>0</v>
      </c>
      <c r="W44" s="1331">
        <v>0</v>
      </c>
      <c r="X44" s="1334">
        <v>958203978</v>
      </c>
      <c r="AC44" s="1330" t="s">
        <v>2348</v>
      </c>
      <c r="AD44" s="1333">
        <v>8600000000</v>
      </c>
      <c r="AE44" s="1333">
        <v>8600000000</v>
      </c>
      <c r="AF44" s="1334">
        <v>8600000000</v>
      </c>
      <c r="AJ44" s="1323" t="s">
        <v>36</v>
      </c>
      <c r="AK44" s="1330" t="s">
        <v>2367</v>
      </c>
      <c r="AL44" s="1333">
        <v>875330320</v>
      </c>
      <c r="AM44" s="1331"/>
      <c r="AN44" s="1332"/>
      <c r="AS44" s="1330" t="s">
        <v>2375</v>
      </c>
      <c r="AT44" s="1333">
        <v>-455110578</v>
      </c>
      <c r="AU44" s="1333">
        <v>-260219934</v>
      </c>
      <c r="AV44" s="1334">
        <v>-289385095</v>
      </c>
    </row>
    <row r="45" spans="4:48" ht="16.5" customHeight="1" x14ac:dyDescent="0.3">
      <c r="D45" s="1323" t="s">
        <v>36</v>
      </c>
      <c r="E45" s="1309" t="s">
        <v>2237</v>
      </c>
      <c r="F45" s="1312">
        <v>3583556100</v>
      </c>
      <c r="G45" s="1312">
        <v>7810409963</v>
      </c>
      <c r="H45" s="1313">
        <v>37140025134</v>
      </c>
      <c r="M45" s="1330" t="s">
        <v>2241</v>
      </c>
      <c r="N45" s="1333">
        <v>403848126377</v>
      </c>
      <c r="O45" s="1333">
        <v>436414362640</v>
      </c>
      <c r="P45" s="1334">
        <v>473987319874</v>
      </c>
      <c r="U45" s="1330" t="s">
        <v>2241</v>
      </c>
      <c r="V45" s="1333">
        <v>118863154169</v>
      </c>
      <c r="W45" s="1333">
        <v>255603852904</v>
      </c>
      <c r="X45" s="1334">
        <v>392079770887</v>
      </c>
      <c r="AC45" s="1330" t="s">
        <v>2328</v>
      </c>
      <c r="AD45" s="1333">
        <v>5119644273</v>
      </c>
      <c r="AE45" s="1333">
        <v>4930248064</v>
      </c>
      <c r="AF45" s="1334">
        <v>5122446162</v>
      </c>
      <c r="AK45" s="1330" t="s">
        <v>2325</v>
      </c>
      <c r="AL45" s="1333">
        <v>17489383337</v>
      </c>
      <c r="AM45" s="1333">
        <v>18666333591</v>
      </c>
      <c r="AN45" s="1334">
        <v>18106701518</v>
      </c>
      <c r="AS45" s="1330" t="s">
        <v>2376</v>
      </c>
      <c r="AT45" s="1333">
        <v>8881770218</v>
      </c>
      <c r="AU45" s="1333">
        <v>7088373244</v>
      </c>
      <c r="AV45" s="1334">
        <v>6927093092</v>
      </c>
    </row>
    <row r="46" spans="4:48" ht="16.5" customHeight="1" x14ac:dyDescent="0.3">
      <c r="D46" s="1323" t="s">
        <v>36</v>
      </c>
      <c r="E46" s="1309" t="s">
        <v>2238</v>
      </c>
      <c r="F46" s="1312">
        <v>10000000</v>
      </c>
      <c r="G46" s="1310">
        <v>0</v>
      </c>
      <c r="H46" s="1311">
        <v>0</v>
      </c>
      <c r="M46" s="1330" t="s">
        <v>1715</v>
      </c>
      <c r="N46" s="1331"/>
      <c r="O46" s="1331"/>
      <c r="P46" s="1332"/>
      <c r="U46" s="1330" t="s">
        <v>1715</v>
      </c>
      <c r="V46" s="1331"/>
      <c r="W46" s="1331"/>
      <c r="X46" s="1332"/>
      <c r="AC46" s="1330" t="s">
        <v>2349</v>
      </c>
      <c r="AD46" s="1333">
        <v>4081817415</v>
      </c>
      <c r="AE46" s="1333">
        <v>4081817415</v>
      </c>
      <c r="AF46" s="1334">
        <v>4081817415</v>
      </c>
      <c r="AK46" s="1330" t="s">
        <v>2236</v>
      </c>
      <c r="AL46" s="1333">
        <v>5916932000</v>
      </c>
      <c r="AM46" s="1333">
        <v>5745009628</v>
      </c>
      <c r="AN46" s="1334">
        <v>5279453870</v>
      </c>
      <c r="AR46" s="1323" t="s">
        <v>166</v>
      </c>
      <c r="AS46" s="1330" t="s">
        <v>2377</v>
      </c>
      <c r="AT46" s="1333">
        <v>26040324</v>
      </c>
      <c r="AU46" s="1333">
        <v>18208626</v>
      </c>
      <c r="AV46" s="1332"/>
    </row>
    <row r="47" spans="4:48" ht="16.5" customHeight="1" x14ac:dyDescent="0.3">
      <c r="E47" s="1309" t="s">
        <v>2239</v>
      </c>
      <c r="F47" s="1312">
        <v>17615882532</v>
      </c>
      <c r="G47" s="1312">
        <v>26011393401</v>
      </c>
      <c r="H47" s="1313">
        <v>15866512346</v>
      </c>
      <c r="M47" s="1330" t="s">
        <v>2271</v>
      </c>
      <c r="N47" s="1333">
        <v>76017364500</v>
      </c>
      <c r="O47" s="1333">
        <v>76017364500</v>
      </c>
      <c r="P47" s="1334">
        <v>76017364500</v>
      </c>
      <c r="U47" s="1330" t="s">
        <v>2271</v>
      </c>
      <c r="V47" s="1333">
        <v>91063160000</v>
      </c>
      <c r="W47" s="1333">
        <v>91063160000</v>
      </c>
      <c r="X47" s="1334">
        <v>91063160000</v>
      </c>
      <c r="AC47" s="1330" t="s">
        <v>2350</v>
      </c>
      <c r="AD47" s="1333">
        <v>-23212761</v>
      </c>
      <c r="AE47" s="1331">
        <v>0</v>
      </c>
      <c r="AF47" s="1332">
        <v>0</v>
      </c>
      <c r="AK47" s="1330" t="s">
        <v>2270</v>
      </c>
      <c r="AL47" s="1333">
        <v>21340000</v>
      </c>
      <c r="AM47" s="1333">
        <v>110749160</v>
      </c>
      <c r="AN47" s="1334">
        <v>21340000</v>
      </c>
      <c r="AR47" s="1323" t="s">
        <v>2193</v>
      </c>
      <c r="AS47" s="1330" t="s">
        <v>2249</v>
      </c>
      <c r="AT47" s="1333">
        <v>32002201447</v>
      </c>
      <c r="AU47" s="1333">
        <v>31872788386</v>
      </c>
      <c r="AV47" s="1334">
        <v>31659697586</v>
      </c>
    </row>
    <row r="48" spans="4:48" ht="16.5" customHeight="1" x14ac:dyDescent="0.3">
      <c r="E48" s="1309" t="s">
        <v>2240</v>
      </c>
      <c r="F48" s="1312">
        <v>14158001154</v>
      </c>
      <c r="G48" s="1312">
        <v>14120974293</v>
      </c>
      <c r="H48" s="1313">
        <v>12751049034</v>
      </c>
      <c r="M48" s="1330" t="s">
        <v>2272</v>
      </c>
      <c r="N48" s="1333">
        <v>224409643851</v>
      </c>
      <c r="O48" s="1333">
        <v>224409643851</v>
      </c>
      <c r="P48" s="1334">
        <v>224419299661</v>
      </c>
      <c r="U48" s="1330" t="s">
        <v>2327</v>
      </c>
      <c r="V48" s="1333">
        <v>109182184696</v>
      </c>
      <c r="W48" s="1333">
        <v>109182184696</v>
      </c>
      <c r="X48" s="1334">
        <v>109182184696</v>
      </c>
      <c r="AC48" s="1330" t="s">
        <v>2351</v>
      </c>
      <c r="AD48" s="1333">
        <v>1061039619</v>
      </c>
      <c r="AE48" s="1333">
        <v>848430649</v>
      </c>
      <c r="AF48" s="1334">
        <v>1040628747</v>
      </c>
      <c r="AK48" s="1330" t="s">
        <v>2241</v>
      </c>
      <c r="AL48" s="1333">
        <v>112973286679</v>
      </c>
      <c r="AM48" s="1333">
        <v>119813721505</v>
      </c>
      <c r="AN48" s="1334">
        <v>116127791995</v>
      </c>
      <c r="AS48" s="1335" t="s">
        <v>2250</v>
      </c>
      <c r="AT48" s="1336">
        <v>48897294052</v>
      </c>
      <c r="AU48" s="1336">
        <v>52037105763</v>
      </c>
      <c r="AV48" s="1337">
        <v>50423071868</v>
      </c>
    </row>
    <row r="49" spans="4:48" ht="16.5" customHeight="1" x14ac:dyDescent="0.3">
      <c r="E49" s="1309" t="s">
        <v>2241</v>
      </c>
      <c r="F49" s="1312">
        <v>1537392486874</v>
      </c>
      <c r="G49" s="1312">
        <v>1332020531160</v>
      </c>
      <c r="H49" s="1313">
        <v>1416720293412</v>
      </c>
      <c r="M49" s="1330" t="s">
        <v>2247</v>
      </c>
      <c r="N49" s="1333">
        <v>-1134446971</v>
      </c>
      <c r="O49" s="1333">
        <v>-1134446971</v>
      </c>
      <c r="P49" s="1334">
        <v>-1134446971</v>
      </c>
      <c r="U49" s="1330" t="s">
        <v>2246</v>
      </c>
      <c r="V49" s="1333">
        <v>-56334155073</v>
      </c>
      <c r="W49" s="1333">
        <v>-94117445971</v>
      </c>
      <c r="X49" s="1334">
        <v>30341571980</v>
      </c>
      <c r="AC49" s="1330" t="s">
        <v>2246</v>
      </c>
      <c r="AD49" s="1333">
        <v>154774460074</v>
      </c>
      <c r="AE49" s="1333">
        <v>147924998035</v>
      </c>
      <c r="AF49" s="1334">
        <v>139339436919</v>
      </c>
      <c r="AK49" s="1330" t="s">
        <v>1715</v>
      </c>
      <c r="AL49" s="1331"/>
      <c r="AM49" s="1331"/>
      <c r="AN49" s="1332"/>
    </row>
    <row r="50" spans="4:48" ht="16.5" customHeight="1" x14ac:dyDescent="0.3">
      <c r="E50" s="1309" t="s">
        <v>1715</v>
      </c>
      <c r="F50" s="1310"/>
      <c r="G50" s="1310"/>
      <c r="H50" s="1311"/>
      <c r="M50" s="1330" t="s">
        <v>2273</v>
      </c>
      <c r="N50" s="1333">
        <v>2757471889</v>
      </c>
      <c r="O50" s="1333">
        <v>1452501583</v>
      </c>
      <c r="P50" s="1334">
        <v>-1061611078</v>
      </c>
      <c r="U50" s="1330" t="s">
        <v>2328</v>
      </c>
      <c r="V50" s="1333">
        <v>179870729</v>
      </c>
      <c r="W50" s="1333">
        <v>698346958</v>
      </c>
      <c r="X50" s="1334">
        <v>15690068860</v>
      </c>
      <c r="AB50" s="1323" t="s">
        <v>2193</v>
      </c>
      <c r="AC50" s="1330" t="s">
        <v>2249</v>
      </c>
      <c r="AD50" s="1333">
        <v>168494104347</v>
      </c>
      <c r="AE50" s="1333">
        <v>161455246099</v>
      </c>
      <c r="AF50" s="1334">
        <v>153061883081</v>
      </c>
      <c r="AK50" s="1330" t="s">
        <v>2271</v>
      </c>
      <c r="AL50" s="1333">
        <v>50333330000</v>
      </c>
      <c r="AM50" s="1333">
        <v>50333330000</v>
      </c>
      <c r="AN50" s="1334">
        <v>50333330000</v>
      </c>
    </row>
    <row r="51" spans="4:48" ht="16.5" customHeight="1" x14ac:dyDescent="0.3">
      <c r="E51" s="1309" t="s">
        <v>2242</v>
      </c>
      <c r="F51" s="1312">
        <v>4388197537691</v>
      </c>
      <c r="G51" s="1312">
        <v>4112259405115</v>
      </c>
      <c r="H51" s="1313">
        <v>3802735149758</v>
      </c>
      <c r="M51" s="1330" t="s">
        <v>2274</v>
      </c>
      <c r="N51" s="1333">
        <v>72885798990</v>
      </c>
      <c r="O51" s="1333">
        <v>86347802099</v>
      </c>
      <c r="P51" s="1334">
        <v>67780642249</v>
      </c>
      <c r="U51" s="1330" t="s">
        <v>2329</v>
      </c>
      <c r="V51" s="1333">
        <v>44208490203</v>
      </c>
      <c r="W51" s="1333">
        <v>3423267733</v>
      </c>
      <c r="X51" s="1332">
        <v>0</v>
      </c>
      <c r="AC51" s="1335" t="s">
        <v>1722</v>
      </c>
      <c r="AD51" s="1336">
        <v>223596399775</v>
      </c>
      <c r="AE51" s="1336">
        <v>208888645431</v>
      </c>
      <c r="AF51" s="1337">
        <v>194840188128</v>
      </c>
      <c r="AK51" s="1330" t="s">
        <v>2327</v>
      </c>
      <c r="AL51" s="1333">
        <v>-27788683</v>
      </c>
      <c r="AM51" s="1333">
        <v>-27788683</v>
      </c>
      <c r="AN51" s="1334">
        <v>-19844723</v>
      </c>
    </row>
    <row r="52" spans="4:48" ht="16.5" customHeight="1" x14ac:dyDescent="0.3">
      <c r="E52" s="1309" t="s">
        <v>2243</v>
      </c>
      <c r="F52" s="1312">
        <v>38688900000</v>
      </c>
      <c r="G52" s="1312">
        <v>38688900000</v>
      </c>
      <c r="H52" s="1313">
        <v>38688900000</v>
      </c>
      <c r="M52" s="1330" t="s">
        <v>2275</v>
      </c>
      <c r="N52" s="1333">
        <v>165380730</v>
      </c>
      <c r="O52" s="1331"/>
      <c r="P52" s="1332"/>
      <c r="T52" s="1323" t="s">
        <v>2193</v>
      </c>
      <c r="U52" s="1330" t="s">
        <v>2249</v>
      </c>
      <c r="V52" s="1333">
        <v>188299550555</v>
      </c>
      <c r="W52" s="1333">
        <v>110249513416</v>
      </c>
      <c r="X52" s="1334">
        <v>246276985536</v>
      </c>
      <c r="AC52" s="1349"/>
      <c r="AD52" s="1349"/>
      <c r="AE52" s="1349"/>
      <c r="AF52" s="1349"/>
      <c r="AK52" s="1330" t="s">
        <v>2274</v>
      </c>
      <c r="AL52" s="1333">
        <v>-25497312364</v>
      </c>
      <c r="AM52" s="1333">
        <v>-22438957706</v>
      </c>
      <c r="AN52" s="1334">
        <v>-15873611802</v>
      </c>
    </row>
    <row r="53" spans="4:48" ht="16.5" customHeight="1" x14ac:dyDescent="0.3">
      <c r="E53" s="1309" t="s">
        <v>2244</v>
      </c>
      <c r="F53" s="1312">
        <v>38688900000</v>
      </c>
      <c r="G53" s="1312">
        <v>38688900000</v>
      </c>
      <c r="H53" s="1313">
        <v>38688900000</v>
      </c>
      <c r="M53" s="1330" t="s">
        <v>2276</v>
      </c>
      <c r="N53" s="1333">
        <v>375101212989</v>
      </c>
      <c r="O53" s="1333">
        <v>387092865062</v>
      </c>
      <c r="P53" s="1334">
        <v>366021248361</v>
      </c>
      <c r="U53" s="1335" t="s">
        <v>2250</v>
      </c>
      <c r="V53" s="1336">
        <v>307162704724</v>
      </c>
      <c r="W53" s="1336">
        <v>365853366320</v>
      </c>
      <c r="X53" s="1337">
        <v>638356756423</v>
      </c>
      <c r="AC53" s="1349"/>
      <c r="AD53" s="1349"/>
      <c r="AE53" s="1349"/>
      <c r="AF53" s="1349"/>
      <c r="AK53" s="1330" t="s">
        <v>2328</v>
      </c>
      <c r="AL53" s="1333">
        <v>916806281</v>
      </c>
      <c r="AM53" s="1333">
        <v>758768303</v>
      </c>
      <c r="AN53" s="1334">
        <v>-323576886</v>
      </c>
    </row>
    <row r="54" spans="4:48" ht="16.5" customHeight="1" x14ac:dyDescent="0.3">
      <c r="E54" s="1309" t="s">
        <v>2245</v>
      </c>
      <c r="F54" s="1312">
        <v>1297466852618</v>
      </c>
      <c r="G54" s="1312">
        <v>1297466852618</v>
      </c>
      <c r="H54" s="1313">
        <v>1297466852618</v>
      </c>
      <c r="L54" s="1323" t="s">
        <v>166</v>
      </c>
      <c r="M54" s="1330" t="s">
        <v>2248</v>
      </c>
      <c r="N54" s="1333">
        <v>1131943374</v>
      </c>
      <c r="O54" s="1333">
        <v>913842270</v>
      </c>
      <c r="P54" s="1334">
        <v>2621524754</v>
      </c>
      <c r="U54" s="1349"/>
      <c r="V54" s="1349"/>
      <c r="W54" s="1349"/>
      <c r="X54" s="1349"/>
      <c r="AC54" s="1349"/>
      <c r="AD54" s="1349"/>
      <c r="AE54" s="1349"/>
      <c r="AF54" s="1349"/>
      <c r="AK54" s="1330" t="s">
        <v>2276</v>
      </c>
      <c r="AL54" s="1333">
        <v>25725035234</v>
      </c>
      <c r="AM54" s="1333">
        <v>28625351914</v>
      </c>
      <c r="AN54" s="1334">
        <v>34116296589</v>
      </c>
    </row>
    <row r="55" spans="4:48" ht="16.5" customHeight="1" x14ac:dyDescent="0.3">
      <c r="E55" s="1309" t="s">
        <v>2246</v>
      </c>
      <c r="F55" s="1312">
        <v>3319533080763</v>
      </c>
      <c r="G55" s="1312">
        <v>3050103208135</v>
      </c>
      <c r="H55" s="1313">
        <v>2656560532237</v>
      </c>
      <c r="L55" s="1323" t="s">
        <v>2193</v>
      </c>
      <c r="M55" s="1330" t="s">
        <v>2249</v>
      </c>
      <c r="N55" s="1333">
        <v>376233156363</v>
      </c>
      <c r="O55" s="1333">
        <v>388006707332</v>
      </c>
      <c r="P55" s="1334">
        <v>368642773115</v>
      </c>
      <c r="U55" s="1349"/>
      <c r="V55" s="1349"/>
      <c r="W55" s="1349"/>
      <c r="X55" s="1349"/>
      <c r="AC55" s="1349"/>
      <c r="AD55" s="1349"/>
      <c r="AE55" s="1349"/>
      <c r="AF55" s="1349"/>
      <c r="AJ55" s="1323" t="s">
        <v>166</v>
      </c>
      <c r="AK55" s="1330" t="s">
        <v>2248</v>
      </c>
      <c r="AL55" s="1331"/>
      <c r="AM55" s="1331"/>
      <c r="AN55" s="1334">
        <v>3188040</v>
      </c>
    </row>
    <row r="56" spans="4:48" ht="16.5" customHeight="1" x14ac:dyDescent="0.3">
      <c r="E56" s="1309" t="s">
        <v>2247</v>
      </c>
      <c r="F56" s="1312">
        <v>-267491295690</v>
      </c>
      <c r="G56" s="1312">
        <v>-273999555638</v>
      </c>
      <c r="H56" s="1313">
        <v>-189981135097</v>
      </c>
      <c r="M56" s="1335" t="s">
        <v>2250</v>
      </c>
      <c r="N56" s="1336">
        <v>780081282740</v>
      </c>
      <c r="O56" s="1336">
        <v>824421069972</v>
      </c>
      <c r="P56" s="1337">
        <v>842630092989</v>
      </c>
      <c r="U56" s="1349"/>
      <c r="V56" s="1349"/>
      <c r="W56" s="1349"/>
      <c r="X56" s="1349"/>
      <c r="AC56" s="1349"/>
      <c r="AD56" s="1349"/>
      <c r="AE56" s="1349"/>
      <c r="AF56" s="1349"/>
      <c r="AJ56" s="1323" t="s">
        <v>2193</v>
      </c>
      <c r="AK56" s="1330" t="s">
        <v>2249</v>
      </c>
      <c r="AL56" s="1333">
        <v>25725035234</v>
      </c>
      <c r="AM56" s="1333">
        <v>28625351914</v>
      </c>
      <c r="AN56" s="1334">
        <v>34119484629</v>
      </c>
    </row>
    <row r="57" spans="4:48" ht="16.5" customHeight="1" x14ac:dyDescent="0.3">
      <c r="D57" s="1323" t="s">
        <v>166</v>
      </c>
      <c r="E57" s="1309" t="s">
        <v>2248</v>
      </c>
      <c r="F57" s="1312">
        <v>170549244501</v>
      </c>
      <c r="G57" s="1312">
        <v>101765223853</v>
      </c>
      <c r="H57" s="1313">
        <v>80644352182</v>
      </c>
      <c r="M57" s="1309" t="s">
        <v>2248</v>
      </c>
      <c r="N57" s="1312">
        <v>170549244501</v>
      </c>
      <c r="O57" s="1312">
        <v>101765223853</v>
      </c>
      <c r="P57" s="1313">
        <v>80644352182</v>
      </c>
      <c r="AK57" s="1335" t="s">
        <v>2250</v>
      </c>
      <c r="AL57" s="1336">
        <v>138698321913</v>
      </c>
      <c r="AM57" s="1336">
        <v>148439073419</v>
      </c>
      <c r="AN57" s="1337">
        <v>150247276624</v>
      </c>
    </row>
    <row r="58" spans="4:48" ht="16.5" customHeight="1" x14ac:dyDescent="0.3">
      <c r="D58" s="1323" t="s">
        <v>2193</v>
      </c>
      <c r="E58" s="1309" t="s">
        <v>2249</v>
      </c>
      <c r="F58" s="1312">
        <v>4558746782192</v>
      </c>
      <c r="G58" s="1312">
        <v>4214024628968</v>
      </c>
      <c r="H58" s="1313">
        <v>3883379501940</v>
      </c>
      <c r="M58" s="1309" t="s">
        <v>2249</v>
      </c>
      <c r="N58" s="1312">
        <v>4558746782192</v>
      </c>
      <c r="O58" s="1312">
        <v>4214024628968</v>
      </c>
      <c r="P58" s="1313">
        <v>3883379501940</v>
      </c>
      <c r="U58" s="1349"/>
      <c r="V58" s="1350"/>
      <c r="W58" s="1350"/>
      <c r="X58" s="1350"/>
      <c r="AC58" s="1349"/>
      <c r="AD58" s="1350"/>
      <c r="AE58" s="1350"/>
      <c r="AF58" s="1350"/>
      <c r="AK58" s="1349"/>
      <c r="AL58" s="1350"/>
      <c r="AM58" s="1350"/>
      <c r="AN58" s="1350"/>
      <c r="AS58" s="1349"/>
      <c r="AT58" s="1350"/>
      <c r="AU58" s="1350"/>
      <c r="AV58" s="1350"/>
    </row>
    <row r="59" spans="4:48" ht="16.5" customHeight="1" x14ac:dyDescent="0.3">
      <c r="E59" s="1314" t="s">
        <v>2250</v>
      </c>
      <c r="F59" s="1315">
        <v>6096139269066</v>
      </c>
      <c r="G59" s="1315">
        <v>5546045160128</v>
      </c>
      <c r="H59" s="1316">
        <v>5300099795352</v>
      </c>
      <c r="M59" s="1314" t="s">
        <v>2250</v>
      </c>
      <c r="N59" s="1315">
        <v>6096139269066</v>
      </c>
      <c r="O59" s="1315">
        <v>5546045160128</v>
      </c>
      <c r="P59" s="1316">
        <v>5300099795352</v>
      </c>
      <c r="U59" s="1349"/>
      <c r="V59" s="1350"/>
      <c r="W59" s="1350"/>
      <c r="X59" s="1350"/>
      <c r="AC59" s="1349"/>
      <c r="AD59" s="1350"/>
      <c r="AE59" s="1350"/>
      <c r="AF59" s="1350"/>
      <c r="AK59" s="1349"/>
      <c r="AL59" s="1350"/>
      <c r="AM59" s="1350"/>
      <c r="AN59" s="1350"/>
      <c r="AS59" s="1349"/>
      <c r="AT59" s="1350"/>
      <c r="AU59" s="1350"/>
      <c r="AV59" s="1350"/>
    </row>
    <row r="64" spans="4:48" x14ac:dyDescent="0.3">
      <c r="M64" s="1327" t="s">
        <v>2277</v>
      </c>
      <c r="N64" s="1328" t="s">
        <v>2278</v>
      </c>
      <c r="O64" s="1329" t="s">
        <v>2279</v>
      </c>
      <c r="U64" s="1349"/>
      <c r="V64" s="1349"/>
      <c r="W64" s="1349"/>
      <c r="X64" s="1349"/>
      <c r="AC64" s="1349"/>
      <c r="AD64" s="1349"/>
      <c r="AE64" s="1349"/>
      <c r="AF64" s="1349"/>
      <c r="AK64" s="1349"/>
      <c r="AL64" s="1349"/>
      <c r="AM64" s="1349"/>
      <c r="AN64" s="1349"/>
      <c r="AS64" s="1349"/>
      <c r="AT64" s="1349"/>
      <c r="AU64" s="1349"/>
      <c r="AV64" s="1349"/>
    </row>
    <row r="65" spans="13:48" x14ac:dyDescent="0.3">
      <c r="M65" s="1341" t="s">
        <v>2280</v>
      </c>
      <c r="N65" s="1342">
        <v>1793623</v>
      </c>
      <c r="O65" s="1343">
        <v>55910383</v>
      </c>
      <c r="U65" s="1349"/>
      <c r="V65" s="1349"/>
      <c r="W65" s="1349"/>
      <c r="X65" s="1349"/>
      <c r="AC65" s="1349"/>
      <c r="AD65" s="1349"/>
      <c r="AE65" s="1349"/>
      <c r="AF65" s="1349"/>
      <c r="AK65" s="1349"/>
      <c r="AL65" s="1349"/>
      <c r="AM65" s="1349"/>
      <c r="AN65" s="1349"/>
      <c r="AS65" s="1349"/>
      <c r="AT65" s="1349"/>
      <c r="AU65" s="1349"/>
      <c r="AV65" s="1349"/>
    </row>
    <row r="66" spans="13:48" x14ac:dyDescent="0.3">
      <c r="M66" s="1341" t="s">
        <v>2281</v>
      </c>
      <c r="N66" s="1342">
        <v>1621419</v>
      </c>
      <c r="O66" s="1343">
        <v>2278957</v>
      </c>
      <c r="U66" s="1349"/>
      <c r="V66" s="1349"/>
      <c r="W66" s="1349"/>
      <c r="X66" s="1349"/>
      <c r="AC66" s="1349"/>
      <c r="AD66" s="1349"/>
      <c r="AE66" s="1349"/>
      <c r="AF66" s="1349"/>
      <c r="AK66" s="1349"/>
      <c r="AL66" s="1349"/>
      <c r="AM66" s="1349"/>
      <c r="AN66" s="1349"/>
      <c r="AS66" s="1349"/>
      <c r="AT66" s="1349"/>
      <c r="AU66" s="1349"/>
      <c r="AV66" s="1349"/>
    </row>
    <row r="67" spans="13:48" x14ac:dyDescent="0.3">
      <c r="M67" s="1341" t="s">
        <v>2282</v>
      </c>
      <c r="N67" s="1342">
        <v>8677523</v>
      </c>
      <c r="O67" s="1343">
        <v>9811534</v>
      </c>
      <c r="U67" s="1349"/>
      <c r="V67" s="1349"/>
      <c r="W67" s="1349"/>
      <c r="X67" s="1349"/>
      <c r="AC67" s="1349"/>
      <c r="AD67" s="1349"/>
      <c r="AE67" s="1349"/>
      <c r="AF67" s="1349"/>
      <c r="AK67" s="1349"/>
      <c r="AL67" s="1349"/>
      <c r="AM67" s="1349"/>
      <c r="AN67" s="1349"/>
      <c r="AS67" s="1349"/>
      <c r="AT67" s="1349"/>
      <c r="AU67" s="1349"/>
      <c r="AV67" s="1349"/>
    </row>
    <row r="68" spans="13:48" x14ac:dyDescent="0.3">
      <c r="M68" s="1341" t="s">
        <v>2283</v>
      </c>
      <c r="N68" s="1342">
        <v>492401</v>
      </c>
      <c r="O68" s="1343">
        <v>515501</v>
      </c>
      <c r="U68" s="1349"/>
      <c r="V68" s="1349"/>
      <c r="W68" s="1349"/>
      <c r="X68" s="1349"/>
      <c r="AC68" s="1349"/>
      <c r="AD68" s="1349"/>
      <c r="AE68" s="1349"/>
      <c r="AF68" s="1349"/>
      <c r="AK68" s="1349"/>
      <c r="AL68" s="1349"/>
      <c r="AM68" s="1349"/>
      <c r="AN68" s="1349"/>
      <c r="AS68" s="1349"/>
      <c r="AT68" s="1349"/>
      <c r="AU68" s="1349"/>
      <c r="AV68" s="1349"/>
    </row>
    <row r="69" spans="13:48" x14ac:dyDescent="0.3">
      <c r="M69" s="1341" t="s">
        <v>2284</v>
      </c>
      <c r="N69" s="1342">
        <v>6592</v>
      </c>
      <c r="O69" s="1343">
        <v>959393</v>
      </c>
      <c r="U69" s="1349"/>
      <c r="V69" s="1349"/>
      <c r="W69" s="1349"/>
      <c r="X69" s="1349"/>
      <c r="AC69" s="1349"/>
      <c r="AD69" s="1349"/>
      <c r="AE69" s="1349"/>
      <c r="AF69" s="1349"/>
      <c r="AK69" s="1349"/>
      <c r="AL69" s="1349"/>
      <c r="AM69" s="1349"/>
      <c r="AN69" s="1349"/>
      <c r="AS69" s="1349"/>
      <c r="AT69" s="1349"/>
      <c r="AU69" s="1349"/>
      <c r="AV69" s="1349"/>
    </row>
    <row r="70" spans="13:48" x14ac:dyDescent="0.3">
      <c r="M70" s="1341" t="s">
        <v>2285</v>
      </c>
      <c r="N70" s="1342">
        <v>10627</v>
      </c>
      <c r="O70" s="1343">
        <v>1848</v>
      </c>
      <c r="U70" s="1349"/>
      <c r="V70" s="1349"/>
      <c r="W70" s="1349"/>
      <c r="X70" s="1349"/>
      <c r="AC70" s="1349"/>
      <c r="AD70" s="1349"/>
      <c r="AE70" s="1349"/>
      <c r="AF70" s="1349"/>
      <c r="AK70" s="1349"/>
      <c r="AL70" s="1349"/>
      <c r="AM70" s="1349"/>
      <c r="AN70" s="1349"/>
      <c r="AS70" s="1349"/>
      <c r="AT70" s="1349"/>
      <c r="AU70" s="1349"/>
      <c r="AV70" s="1349"/>
    </row>
    <row r="71" spans="13:48" x14ac:dyDescent="0.3">
      <c r="M71" s="1344" t="s">
        <v>2286</v>
      </c>
      <c r="N71" s="1345">
        <v>12602185</v>
      </c>
      <c r="O71" s="1346">
        <v>69477616</v>
      </c>
      <c r="U71" s="1349"/>
      <c r="V71" s="1349"/>
      <c r="W71" s="1349"/>
      <c r="X71" s="1349"/>
      <c r="AC71" s="1349"/>
      <c r="AD71" s="1349"/>
      <c r="AE71" s="1349"/>
      <c r="AF71" s="1349"/>
      <c r="AK71" s="1349"/>
      <c r="AL71" s="1349"/>
      <c r="AM71" s="1349"/>
      <c r="AN71" s="1349"/>
      <c r="AS71" s="1349"/>
      <c r="AT71" s="1349"/>
      <c r="AU71" s="1349"/>
      <c r="AV71" s="1349"/>
    </row>
    <row r="72" spans="13:48" x14ac:dyDescent="0.3">
      <c r="U72" s="1349"/>
      <c r="V72" s="1349"/>
      <c r="W72" s="1349"/>
      <c r="X72" s="1349"/>
      <c r="AC72" s="1349"/>
      <c r="AD72" s="1349"/>
      <c r="AE72" s="1349"/>
      <c r="AF72" s="1349"/>
      <c r="AK72" s="1349"/>
      <c r="AL72" s="1349"/>
      <c r="AM72" s="1349"/>
      <c r="AN72" s="1349"/>
      <c r="AS72" s="1349"/>
      <c r="AT72" s="1349"/>
      <c r="AU72" s="1349"/>
      <c r="AV72" s="1349"/>
    </row>
  </sheetData>
  <phoneticPr fontId="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sheetPr>
  <dimension ref="B2:M291"/>
  <sheetViews>
    <sheetView showGridLines="0" topLeftCell="A28" zoomScaleNormal="100" workbookViewId="0">
      <selection activeCell="E257" sqref="E257"/>
    </sheetView>
  </sheetViews>
  <sheetFormatPr defaultRowHeight="12" x14ac:dyDescent="0.3"/>
  <cols>
    <col min="1" max="1" width="2.625" style="339" customWidth="1"/>
    <col min="2" max="2" width="12.625" style="339" customWidth="1"/>
    <col min="3" max="3" width="20.625" style="339" customWidth="1"/>
    <col min="4" max="13" width="12.25" style="339" customWidth="1"/>
    <col min="14" max="16384" width="9" style="339"/>
  </cols>
  <sheetData>
    <row r="2" spans="2:10" x14ac:dyDescent="0.3">
      <c r="B2" s="1385" t="s">
        <v>1960</v>
      </c>
    </row>
    <row r="3" spans="2:10" x14ac:dyDescent="0.3">
      <c r="B3" s="1385"/>
    </row>
    <row r="4" spans="2:10" s="1385" customFormat="1" x14ac:dyDescent="0.3">
      <c r="B4" s="1386" t="s">
        <v>2490</v>
      </c>
      <c r="C4" s="1386" t="s">
        <v>2491</v>
      </c>
      <c r="D4" s="1386">
        <v>2008</v>
      </c>
      <c r="E4" s="1386">
        <f t="shared" ref="E4:J4" si="0">D4+1</f>
        <v>2009</v>
      </c>
      <c r="F4" s="1386">
        <f t="shared" si="0"/>
        <v>2010</v>
      </c>
      <c r="G4" s="1386">
        <f t="shared" si="0"/>
        <v>2011</v>
      </c>
      <c r="H4" s="1386">
        <f t="shared" si="0"/>
        <v>2012</v>
      </c>
      <c r="I4" s="1386">
        <f t="shared" si="0"/>
        <v>2013</v>
      </c>
      <c r="J4" s="1386">
        <f t="shared" si="0"/>
        <v>2014</v>
      </c>
    </row>
    <row r="5" spans="2:10" x14ac:dyDescent="0.3">
      <c r="B5" s="1441">
        <v>820717</v>
      </c>
      <c r="C5" s="1387" t="s">
        <v>2492</v>
      </c>
      <c r="D5" s="1388">
        <v>1960286.6140000001</v>
      </c>
      <c r="E5" s="1388">
        <v>2107418.5430000001</v>
      </c>
      <c r="F5" s="1388">
        <v>3653482.8689999999</v>
      </c>
      <c r="G5" s="1388">
        <v>4063874.87</v>
      </c>
      <c r="H5" s="1388">
        <v>4465407.18</v>
      </c>
      <c r="I5" s="1388">
        <v>5300099.8</v>
      </c>
      <c r="J5" s="1388">
        <v>5546045.1600000001</v>
      </c>
    </row>
    <row r="6" spans="2:10" x14ac:dyDescent="0.3">
      <c r="B6" s="1441">
        <v>812536</v>
      </c>
      <c r="C6" s="1387" t="s">
        <v>2493</v>
      </c>
      <c r="D6" s="1388">
        <v>996526.59900000005</v>
      </c>
      <c r="E6" s="1388">
        <v>1224812.8459999999</v>
      </c>
      <c r="F6" s="1388">
        <v>1437316.2890000001</v>
      </c>
      <c r="G6" s="1388">
        <v>1685162.416</v>
      </c>
      <c r="H6" s="1388">
        <v>1954635.902</v>
      </c>
      <c r="I6" s="1388">
        <v>2063945.96</v>
      </c>
      <c r="J6" s="1388">
        <v>2236091.8560000001</v>
      </c>
    </row>
    <row r="7" spans="2:10" x14ac:dyDescent="0.3">
      <c r="B7" s="1441">
        <v>814261</v>
      </c>
      <c r="C7" s="1387" t="s">
        <v>2494</v>
      </c>
      <c r="D7" s="1388">
        <v>2869702.3820000002</v>
      </c>
      <c r="E7" s="1388">
        <v>3193216.5720000002</v>
      </c>
      <c r="F7" s="1388">
        <v>3624584.031</v>
      </c>
      <c r="G7" s="1388">
        <v>4621266.0489999996</v>
      </c>
      <c r="H7" s="1388">
        <v>5121976.18</v>
      </c>
      <c r="I7" s="1388">
        <v>5292929.7750000004</v>
      </c>
      <c r="J7" s="1388">
        <v>5307038.7149999999</v>
      </c>
    </row>
    <row r="8" spans="2:10" x14ac:dyDescent="0.3">
      <c r="B8" s="1441">
        <v>159613</v>
      </c>
      <c r="C8" s="1387" t="s">
        <v>2495</v>
      </c>
      <c r="D8" s="1388">
        <v>218266.49900000001</v>
      </c>
      <c r="E8" s="1388">
        <v>251460.745</v>
      </c>
      <c r="F8" s="1388">
        <v>308295.49699999997</v>
      </c>
      <c r="G8" s="1388">
        <v>393965.06400000001</v>
      </c>
      <c r="H8" s="1388">
        <v>447487.549</v>
      </c>
      <c r="I8" s="1388">
        <v>483306.53</v>
      </c>
      <c r="J8" s="1388">
        <v>624959.73499999999</v>
      </c>
    </row>
    <row r="9" spans="2:10" s="406" customFormat="1" x14ac:dyDescent="0.3">
      <c r="B9" s="1442">
        <v>813605</v>
      </c>
      <c r="C9" s="1427" t="s">
        <v>2812</v>
      </c>
      <c r="D9" s="1428">
        <v>308566.989</v>
      </c>
      <c r="E9" s="1428">
        <v>283433.57299999997</v>
      </c>
      <c r="F9" s="1428">
        <v>639049.85</v>
      </c>
      <c r="G9" s="1428">
        <v>708547.36499999999</v>
      </c>
      <c r="H9" s="1428">
        <v>908415.62100000004</v>
      </c>
      <c r="I9" s="1428">
        <v>842630.09299999999</v>
      </c>
      <c r="J9" s="1428">
        <v>824421.07</v>
      </c>
    </row>
    <row r="10" spans="2:10" x14ac:dyDescent="0.3">
      <c r="B10" s="1441">
        <v>138533</v>
      </c>
      <c r="C10" s="1387" t="s">
        <v>2497</v>
      </c>
      <c r="D10" s="1388">
        <v>514603.05699999997</v>
      </c>
      <c r="E10" s="1388">
        <v>708957.51300000004</v>
      </c>
      <c r="F10" s="1388">
        <v>1200962.29</v>
      </c>
      <c r="G10" s="1388">
        <v>1236727.878</v>
      </c>
      <c r="H10" s="1388">
        <v>1266656.601</v>
      </c>
      <c r="I10" s="1388">
        <v>1282370.9210000001</v>
      </c>
      <c r="J10" s="1388">
        <v>1079299.486</v>
      </c>
    </row>
    <row r="11" spans="2:10" x14ac:dyDescent="0.3">
      <c r="B11" s="1441">
        <v>767778</v>
      </c>
      <c r="C11" s="1387" t="s">
        <v>2813</v>
      </c>
      <c r="D11" s="1388">
        <v>312202.47899999999</v>
      </c>
      <c r="E11" s="1388">
        <v>321429.86900000001</v>
      </c>
      <c r="F11" s="1388">
        <v>332210.78399999999</v>
      </c>
      <c r="G11" s="1388">
        <v>321393.788</v>
      </c>
      <c r="H11" s="1388">
        <v>324370.125</v>
      </c>
      <c r="I11" s="1388">
        <v>354576.58799999999</v>
      </c>
      <c r="J11" s="1388">
        <v>390680.74300000002</v>
      </c>
    </row>
    <row r="12" spans="2:10" x14ac:dyDescent="0.3">
      <c r="B12" s="1441">
        <v>165442</v>
      </c>
      <c r="C12" s="1387" t="s">
        <v>2496</v>
      </c>
      <c r="D12" s="1388">
        <v>349458.20299999998</v>
      </c>
      <c r="E12" s="1388">
        <v>955206.60400000005</v>
      </c>
      <c r="F12" s="1388">
        <v>1085505.4210000001</v>
      </c>
      <c r="G12" s="1388">
        <v>1133604.52</v>
      </c>
      <c r="H12" s="1388">
        <v>1192906.81</v>
      </c>
      <c r="I12" s="1388">
        <v>1195778.4820000001</v>
      </c>
      <c r="J12" s="1388">
        <v>1218222.311</v>
      </c>
    </row>
    <row r="13" spans="2:10" x14ac:dyDescent="0.3">
      <c r="B13" s="1441" t="s">
        <v>2826</v>
      </c>
      <c r="C13" s="1387" t="s">
        <v>2498</v>
      </c>
      <c r="D13" s="1388">
        <v>41861.110999999997</v>
      </c>
      <c r="E13" s="1388">
        <v>131421.704</v>
      </c>
      <c r="F13" s="1388">
        <v>147950.29300000001</v>
      </c>
      <c r="G13" s="1388">
        <v>146235.66699999999</v>
      </c>
      <c r="H13" s="1388">
        <v>171545.614</v>
      </c>
      <c r="I13" s="1388">
        <v>189983.16</v>
      </c>
      <c r="J13" s="1388">
        <v>92448.269</v>
      </c>
    </row>
    <row r="14" spans="2:10" x14ac:dyDescent="0.3">
      <c r="B14" s="1441">
        <v>46305</v>
      </c>
      <c r="C14" s="1387" t="s">
        <v>2814</v>
      </c>
      <c r="D14" s="1388">
        <v>75579.256999999998</v>
      </c>
      <c r="E14" s="1388">
        <v>118299.095</v>
      </c>
      <c r="F14" s="1388">
        <v>153357.70800000001</v>
      </c>
      <c r="G14" s="1388">
        <v>192708.016</v>
      </c>
      <c r="H14" s="1388">
        <v>240421.788</v>
      </c>
      <c r="I14" s="1388">
        <v>289651.283</v>
      </c>
      <c r="J14" s="1388">
        <v>573032.09600000002</v>
      </c>
    </row>
    <row r="15" spans="2:10" x14ac:dyDescent="0.3">
      <c r="B15" s="1441">
        <v>267171</v>
      </c>
      <c r="C15" s="1387" t="s">
        <v>2815</v>
      </c>
      <c r="D15" s="1388">
        <v>238480.53200000001</v>
      </c>
      <c r="E15" s="1388">
        <v>221875.62700000001</v>
      </c>
      <c r="F15" s="1388">
        <v>220469.02100000001</v>
      </c>
      <c r="G15" s="1388">
        <v>264215.26199999999</v>
      </c>
      <c r="H15" s="1388">
        <v>334878.34399999998</v>
      </c>
      <c r="I15" s="1388">
        <v>332222.81300000002</v>
      </c>
      <c r="J15" s="1388">
        <v>246580.02799999999</v>
      </c>
    </row>
    <row r="16" spans="2:10" x14ac:dyDescent="0.3">
      <c r="B16" s="1441">
        <v>352098</v>
      </c>
      <c r="C16" s="1387" t="s">
        <v>2816</v>
      </c>
      <c r="D16" s="1388">
        <v>101989.55100000001</v>
      </c>
      <c r="E16" s="1388">
        <v>123772.561</v>
      </c>
      <c r="F16" s="1388">
        <v>679304.59499999997</v>
      </c>
      <c r="G16" s="1388">
        <v>686746.43099999998</v>
      </c>
      <c r="H16" s="1388">
        <v>693327.54299999995</v>
      </c>
      <c r="I16" s="1388">
        <v>638356.75600000005</v>
      </c>
      <c r="J16" s="1388">
        <v>365853.36599999998</v>
      </c>
    </row>
    <row r="17" spans="2:10" x14ac:dyDescent="0.3">
      <c r="B17" s="1441">
        <v>820377</v>
      </c>
      <c r="C17" s="1387" t="s">
        <v>2817</v>
      </c>
      <c r="D17" s="1388">
        <v>265447.00599999999</v>
      </c>
      <c r="E17" s="1388">
        <v>297938.92800000001</v>
      </c>
      <c r="F17" s="1388">
        <v>339782.24</v>
      </c>
      <c r="G17" s="1388">
        <v>399412.07500000001</v>
      </c>
      <c r="H17" s="1388">
        <v>401763.27399999998</v>
      </c>
      <c r="I17" s="1388">
        <v>426150.01899999997</v>
      </c>
      <c r="J17" s="1388">
        <v>435855.908</v>
      </c>
    </row>
    <row r="18" spans="2:10" x14ac:dyDescent="0.3">
      <c r="B18" s="1441">
        <v>54419</v>
      </c>
      <c r="C18" s="1387" t="s">
        <v>2499</v>
      </c>
      <c r="D18" s="1388">
        <v>44324.061000000002</v>
      </c>
      <c r="E18" s="1388">
        <v>80528.012000000002</v>
      </c>
      <c r="F18" s="1388">
        <v>144221.666</v>
      </c>
      <c r="G18" s="1388">
        <v>153719.77299999999</v>
      </c>
      <c r="H18" s="1388">
        <v>210514.052</v>
      </c>
      <c r="I18" s="1388">
        <v>213335.307</v>
      </c>
      <c r="J18" s="1388">
        <v>299266.554</v>
      </c>
    </row>
    <row r="19" spans="2:10" x14ac:dyDescent="0.3">
      <c r="B19" s="1441">
        <v>385861</v>
      </c>
      <c r="C19" s="1387" t="s">
        <v>2818</v>
      </c>
      <c r="D19" s="1388">
        <v>26825.383000000002</v>
      </c>
      <c r="E19" s="1388">
        <v>30181.585999999999</v>
      </c>
      <c r="F19" s="1388">
        <v>44156.45</v>
      </c>
      <c r="G19" s="1388">
        <v>40864.885999999999</v>
      </c>
      <c r="H19" s="1388">
        <v>73955.341</v>
      </c>
      <c r="I19" s="1388">
        <v>78495.180999999997</v>
      </c>
      <c r="J19" s="1388">
        <v>107674.5</v>
      </c>
    </row>
    <row r="20" spans="2:10" x14ac:dyDescent="0.3">
      <c r="B20" s="1441">
        <v>790681</v>
      </c>
      <c r="C20" s="1387" t="s">
        <v>2819</v>
      </c>
      <c r="D20" s="1388">
        <v>105221.71400000001</v>
      </c>
      <c r="E20" s="1388">
        <v>125475.28</v>
      </c>
      <c r="F20" s="1388">
        <v>172998.274</v>
      </c>
      <c r="G20" s="1388">
        <v>189169.00599999999</v>
      </c>
      <c r="H20" s="1388">
        <v>167926.60500000001</v>
      </c>
      <c r="I20" s="1388">
        <v>134450.041</v>
      </c>
      <c r="J20" s="1388">
        <v>153122.89600000001</v>
      </c>
    </row>
    <row r="21" spans="2:10" x14ac:dyDescent="0.3">
      <c r="B21" s="1441">
        <v>538787</v>
      </c>
      <c r="C21" s="1387" t="s">
        <v>2820</v>
      </c>
      <c r="D21" s="1388">
        <v>174741.67199999999</v>
      </c>
      <c r="E21" s="1388">
        <v>192061.19099999999</v>
      </c>
      <c r="F21" s="1388">
        <v>197245.86300000001</v>
      </c>
      <c r="G21" s="1388">
        <v>182771.51800000001</v>
      </c>
      <c r="H21" s="1388">
        <v>190095.81700000001</v>
      </c>
      <c r="I21" s="1388">
        <v>194840.18799999999</v>
      </c>
      <c r="J21" s="1388">
        <v>208888.64499999999</v>
      </c>
    </row>
    <row r="22" spans="2:10" x14ac:dyDescent="0.3">
      <c r="B22" s="1441">
        <v>830798</v>
      </c>
      <c r="C22" s="1387" t="s">
        <v>2500</v>
      </c>
      <c r="D22" s="1388">
        <v>26802.17</v>
      </c>
      <c r="E22" s="1388">
        <v>25061.012999999999</v>
      </c>
      <c r="F22" s="1388">
        <v>41327.017</v>
      </c>
      <c r="G22" s="1388">
        <v>84826.122000000003</v>
      </c>
      <c r="H22" s="1388">
        <v>82521.048999999999</v>
      </c>
      <c r="I22" s="1388">
        <v>75740.186000000002</v>
      </c>
      <c r="J22" s="1388">
        <v>80834.34</v>
      </c>
    </row>
    <row r="23" spans="2:10" x14ac:dyDescent="0.3">
      <c r="B23" s="1441">
        <v>384194</v>
      </c>
      <c r="C23" s="1387" t="s">
        <v>2821</v>
      </c>
      <c r="D23" s="1388">
        <v>100068.961</v>
      </c>
      <c r="E23" s="1388">
        <v>101690.421</v>
      </c>
      <c r="F23" s="1388">
        <v>141393.54300000001</v>
      </c>
      <c r="G23" s="1388">
        <v>102473.997</v>
      </c>
      <c r="H23" s="1388">
        <v>123897.398</v>
      </c>
      <c r="I23" s="1388">
        <v>113415.107</v>
      </c>
      <c r="J23" s="1388">
        <v>93198.148000000001</v>
      </c>
    </row>
    <row r="24" spans="2:10" x14ac:dyDescent="0.3">
      <c r="B24" s="1441">
        <v>813796</v>
      </c>
      <c r="C24" s="1387" t="s">
        <v>2501</v>
      </c>
      <c r="D24" s="1388">
        <v>116935.425</v>
      </c>
      <c r="E24" s="1388">
        <v>129859.482</v>
      </c>
      <c r="F24" s="1388">
        <v>123474.302</v>
      </c>
      <c r="G24" s="1388">
        <v>123287.52</v>
      </c>
      <c r="H24" s="1388">
        <v>119533.12</v>
      </c>
      <c r="I24" s="1388">
        <v>113331.924</v>
      </c>
      <c r="J24" s="1388">
        <v>115372.99400000001</v>
      </c>
    </row>
    <row r="25" spans="2:10" x14ac:dyDescent="0.3">
      <c r="B25" s="1441">
        <v>102411</v>
      </c>
      <c r="C25" s="1387" t="s">
        <v>2822</v>
      </c>
      <c r="D25" s="1388">
        <v>60133.447999999997</v>
      </c>
      <c r="E25" s="1388">
        <v>62631.368999999999</v>
      </c>
      <c r="F25" s="1388">
        <v>63724.608999999997</v>
      </c>
      <c r="G25" s="1388">
        <v>76509.107000000004</v>
      </c>
      <c r="H25" s="1388">
        <v>68033.051999999996</v>
      </c>
      <c r="I25" s="1388">
        <v>69771.498000000007</v>
      </c>
      <c r="J25" s="1388">
        <v>72062.634999999995</v>
      </c>
    </row>
    <row r="26" spans="2:10" x14ac:dyDescent="0.3">
      <c r="B26" s="1441">
        <v>99090</v>
      </c>
      <c r="C26" s="1387" t="s">
        <v>2823</v>
      </c>
      <c r="D26" s="1388">
        <v>207075.06</v>
      </c>
      <c r="E26" s="1388">
        <v>209087.62899999999</v>
      </c>
      <c r="F26" s="1388">
        <v>183547.07199999999</v>
      </c>
      <c r="G26" s="1388">
        <v>169156.68299999999</v>
      </c>
      <c r="H26" s="1388">
        <v>156135.50399999999</v>
      </c>
      <c r="I26" s="1388">
        <v>150247.277</v>
      </c>
      <c r="J26" s="1388">
        <v>148439.073</v>
      </c>
    </row>
    <row r="27" spans="2:10" x14ac:dyDescent="0.3">
      <c r="B27" s="1441">
        <v>814083</v>
      </c>
      <c r="C27" s="1387" t="s">
        <v>2824</v>
      </c>
      <c r="D27" s="1388">
        <v>57552.747000000003</v>
      </c>
      <c r="E27" s="1388">
        <v>72965.649000000005</v>
      </c>
      <c r="F27" s="1388">
        <v>85390.743000000002</v>
      </c>
      <c r="G27" s="1388">
        <v>113784.621</v>
      </c>
      <c r="H27" s="1388">
        <v>356263.51500000001</v>
      </c>
      <c r="I27" s="1388">
        <v>223836.86900000001</v>
      </c>
      <c r="J27" s="1388">
        <v>127822.38400000001</v>
      </c>
    </row>
    <row r="28" spans="2:10" x14ac:dyDescent="0.3">
      <c r="B28" s="1441">
        <v>126293</v>
      </c>
      <c r="C28" s="1387" t="s">
        <v>2825</v>
      </c>
      <c r="D28" s="1388">
        <v>33712.775999999998</v>
      </c>
      <c r="E28" s="1388">
        <v>31739.356</v>
      </c>
      <c r="F28" s="1388">
        <v>32404.748</v>
      </c>
      <c r="G28" s="1388">
        <v>37068.940999999999</v>
      </c>
      <c r="H28" s="1388">
        <v>43771.298000000003</v>
      </c>
      <c r="I28" s="1388">
        <v>50423.072</v>
      </c>
      <c r="J28" s="1388">
        <v>52037.106</v>
      </c>
    </row>
    <row r="29" spans="2:10" s="406" customFormat="1" x14ac:dyDescent="0.3">
      <c r="B29" s="1391" t="s">
        <v>2502</v>
      </c>
      <c r="C29" s="1391"/>
      <c r="D29" s="1392">
        <f t="shared" ref="D29:J29" si="1">SUM(D5:D28)</f>
        <v>9206363.6960000023</v>
      </c>
      <c r="E29" s="1392">
        <f t="shared" si="1"/>
        <v>11000525.168000003</v>
      </c>
      <c r="F29" s="1392">
        <f t="shared" si="1"/>
        <v>15052155.174999997</v>
      </c>
      <c r="G29" s="1392">
        <f t="shared" si="1"/>
        <v>17127491.574999996</v>
      </c>
      <c r="H29" s="1392">
        <f t="shared" si="1"/>
        <v>19116439.282000002</v>
      </c>
      <c r="I29" s="1392">
        <f t="shared" si="1"/>
        <v>20109888.830000006</v>
      </c>
      <c r="J29" s="1392">
        <f t="shared" si="1"/>
        <v>20399248.018000003</v>
      </c>
    </row>
    <row r="30" spans="2:10" s="1396" customFormat="1" x14ac:dyDescent="0.3">
      <c r="B30" s="1393" t="s">
        <v>2503</v>
      </c>
      <c r="C30" s="1394"/>
      <c r="D30" s="1395" t="s">
        <v>2504</v>
      </c>
      <c r="E30" s="1395">
        <f t="shared" ref="E30:J30" si="2">E29/D29-1</f>
        <v>0.19488274972012376</v>
      </c>
      <c r="F30" s="1395">
        <f t="shared" si="2"/>
        <v>0.36831241646407853</v>
      </c>
      <c r="G30" s="1395">
        <f t="shared" si="2"/>
        <v>0.13787636227979561</v>
      </c>
      <c r="H30" s="1395">
        <f t="shared" si="2"/>
        <v>0.11612603622022255</v>
      </c>
      <c r="I30" s="1395">
        <f t="shared" si="2"/>
        <v>5.196833643258203E-2</v>
      </c>
      <c r="J30" s="1395">
        <f t="shared" si="2"/>
        <v>1.4388900428347062E-2</v>
      </c>
    </row>
    <row r="31" spans="2:10" s="406" customFormat="1" x14ac:dyDescent="0.3">
      <c r="B31" s="1391" t="s">
        <v>2811</v>
      </c>
      <c r="C31" s="1391"/>
      <c r="D31" s="1392">
        <f>D19</f>
        <v>26825.383000000002</v>
      </c>
      <c r="E31" s="1392">
        <f t="shared" ref="E31:J31" si="3">E19</f>
        <v>30181.585999999999</v>
      </c>
      <c r="F31" s="1392">
        <f t="shared" si="3"/>
        <v>44156.45</v>
      </c>
      <c r="G31" s="1392">
        <f t="shared" si="3"/>
        <v>40864.885999999999</v>
      </c>
      <c r="H31" s="1392">
        <f t="shared" si="3"/>
        <v>73955.341</v>
      </c>
      <c r="I31" s="1392">
        <f t="shared" si="3"/>
        <v>78495.180999999997</v>
      </c>
      <c r="J31" s="1392">
        <f t="shared" si="3"/>
        <v>107674.5</v>
      </c>
    </row>
    <row r="32" spans="2:10" s="1396" customFormat="1" x14ac:dyDescent="0.3">
      <c r="B32" s="1393" t="s">
        <v>2505</v>
      </c>
      <c r="C32" s="1394"/>
      <c r="D32" s="1395" t="s">
        <v>2506</v>
      </c>
      <c r="E32" s="1395">
        <f t="shared" ref="E32:J32" si="4">E31/D31-1</f>
        <v>0.12511295738070172</v>
      </c>
      <c r="F32" s="1395">
        <f t="shared" si="4"/>
        <v>0.46302616436392707</v>
      </c>
      <c r="G32" s="1395">
        <f t="shared" si="4"/>
        <v>-7.4543220752574024E-2</v>
      </c>
      <c r="H32" s="1395">
        <f t="shared" si="4"/>
        <v>0.80975277895061315</v>
      </c>
      <c r="I32" s="1395">
        <f t="shared" si="4"/>
        <v>6.1386235782483922E-2</v>
      </c>
      <c r="J32" s="1395">
        <f t="shared" si="4"/>
        <v>0.37173389026263925</v>
      </c>
    </row>
    <row r="35" spans="2:13" x14ac:dyDescent="0.3">
      <c r="B35" s="1385" t="s">
        <v>71</v>
      </c>
    </row>
    <row r="36" spans="2:13" x14ac:dyDescent="0.3">
      <c r="B36" s="1385"/>
    </row>
    <row r="37" spans="2:13" s="1385" customFormat="1" x14ac:dyDescent="0.3">
      <c r="B37" s="1386" t="s">
        <v>2490</v>
      </c>
      <c r="C37" s="1386" t="s">
        <v>2491</v>
      </c>
      <c r="D37" s="1386">
        <v>2008</v>
      </c>
      <c r="E37" s="1386">
        <f t="shared" ref="E37:J37" si="5">D37+1</f>
        <v>2009</v>
      </c>
      <c r="F37" s="1386">
        <f t="shared" si="5"/>
        <v>2010</v>
      </c>
      <c r="G37" s="1386">
        <f t="shared" si="5"/>
        <v>2011</v>
      </c>
      <c r="H37" s="1386">
        <f t="shared" si="5"/>
        <v>2012</v>
      </c>
      <c r="I37" s="1386">
        <f t="shared" si="5"/>
        <v>2013</v>
      </c>
      <c r="J37" s="1386">
        <f t="shared" si="5"/>
        <v>2014</v>
      </c>
      <c r="L37" s="1386" t="s">
        <v>2507</v>
      </c>
      <c r="M37" s="1386" t="s">
        <v>2508</v>
      </c>
    </row>
    <row r="38" spans="2:13" x14ac:dyDescent="0.3">
      <c r="B38" s="1441">
        <v>820717</v>
      </c>
      <c r="C38" s="1387" t="s">
        <v>2492</v>
      </c>
      <c r="D38" s="1388">
        <v>2950202.9840000002</v>
      </c>
      <c r="E38" s="1388">
        <v>3002292.85</v>
      </c>
      <c r="F38" s="1388">
        <v>4329993.5990000004</v>
      </c>
      <c r="G38" s="1388">
        <v>4765232.6349999998</v>
      </c>
      <c r="H38" s="1388">
        <v>6105858.3039999995</v>
      </c>
      <c r="I38" s="1388">
        <v>7046832.5209999997</v>
      </c>
      <c r="J38" s="1388">
        <v>7897747.5920000002</v>
      </c>
      <c r="L38" s="1397">
        <f>(J38/G38)^(1/3)-1</f>
        <v>0.18342220575138435</v>
      </c>
      <c r="M38" s="1397">
        <f>(J38/E38)^(1/5)-1</f>
        <v>0.21341690063618035</v>
      </c>
    </row>
    <row r="39" spans="2:13" x14ac:dyDescent="0.3">
      <c r="B39" s="1441">
        <v>812536</v>
      </c>
      <c r="C39" s="1387" t="s">
        <v>2493</v>
      </c>
      <c r="D39" s="1388">
        <v>2001581.2109999999</v>
      </c>
      <c r="E39" s="1388">
        <v>2526806.2590000001</v>
      </c>
      <c r="F39" s="1388">
        <v>2806600.6009999998</v>
      </c>
      <c r="G39" s="1388">
        <v>3191239.5830000001</v>
      </c>
      <c r="H39" s="1388">
        <v>3249587.9619999998</v>
      </c>
      <c r="I39" s="1388">
        <v>3196662.8169999998</v>
      </c>
      <c r="J39" s="1388">
        <v>3317560.3130000001</v>
      </c>
      <c r="L39" s="1397">
        <f t="shared" ref="L39:L61" si="6">(J39/G39)^(1/3)-1</f>
        <v>1.3024165803533938E-2</v>
      </c>
      <c r="M39" s="1397">
        <f t="shared" ref="M39:M61" si="7">(J39/E39)^(1/5)-1</f>
        <v>5.5964642292499756E-2</v>
      </c>
    </row>
    <row r="40" spans="2:13" x14ac:dyDescent="0.3">
      <c r="B40" s="1441">
        <v>814261</v>
      </c>
      <c r="C40" s="1387" t="s">
        <v>2494</v>
      </c>
      <c r="D40" s="1388">
        <v>1275185.4779999999</v>
      </c>
      <c r="E40" s="1388">
        <v>1312563.1880000001</v>
      </c>
      <c r="F40" s="1388">
        <v>1475223.452</v>
      </c>
      <c r="G40" s="1388">
        <v>1701763.9210000001</v>
      </c>
      <c r="H40" s="1388">
        <v>2241803.02</v>
      </c>
      <c r="I40" s="1388">
        <v>2301754.7400000002</v>
      </c>
      <c r="J40" s="1388">
        <v>2425966.5279999999</v>
      </c>
      <c r="L40" s="1397">
        <f t="shared" si="6"/>
        <v>0.12545593957111589</v>
      </c>
      <c r="M40" s="1397">
        <f t="shared" si="7"/>
        <v>0.13071438392325829</v>
      </c>
    </row>
    <row r="41" spans="2:13" x14ac:dyDescent="0.3">
      <c r="B41" s="1441">
        <v>159613</v>
      </c>
      <c r="C41" s="1387" t="s">
        <v>2495</v>
      </c>
      <c r="D41" s="1388">
        <v>493472.864</v>
      </c>
      <c r="E41" s="1388">
        <v>536872.51</v>
      </c>
      <c r="F41" s="1388">
        <v>606895.76100000006</v>
      </c>
      <c r="G41" s="1388">
        <v>732651.79099999997</v>
      </c>
      <c r="H41" s="1388">
        <v>922020.99600000004</v>
      </c>
      <c r="I41" s="1388">
        <v>1033867.128</v>
      </c>
      <c r="J41" s="1388">
        <v>1121866.138</v>
      </c>
      <c r="L41" s="1397">
        <f t="shared" si="6"/>
        <v>0.15260670418530164</v>
      </c>
      <c r="M41" s="1397">
        <f t="shared" si="7"/>
        <v>0.15881464339102758</v>
      </c>
    </row>
    <row r="42" spans="2:13" s="406" customFormat="1" x14ac:dyDescent="0.3">
      <c r="B42" s="1442">
        <v>813605</v>
      </c>
      <c r="C42" s="1427" t="s">
        <v>2812</v>
      </c>
      <c r="D42" s="1428">
        <v>371019.07199999999</v>
      </c>
      <c r="E42" s="1428">
        <v>368643.86800000002</v>
      </c>
      <c r="F42" s="1428">
        <v>830129.55900000001</v>
      </c>
      <c r="G42" s="1428">
        <v>1006448.074</v>
      </c>
      <c r="H42" s="1428">
        <v>1128387.879</v>
      </c>
      <c r="I42" s="1428">
        <v>1207033.0190000001</v>
      </c>
      <c r="J42" s="1428">
        <v>1064975.4839999999</v>
      </c>
      <c r="L42" s="1429">
        <f t="shared" si="6"/>
        <v>1.9020088882967023E-2</v>
      </c>
      <c r="M42" s="1429">
        <f t="shared" si="7"/>
        <v>0.23636447902193303</v>
      </c>
    </row>
    <row r="43" spans="2:13" x14ac:dyDescent="0.3">
      <c r="B43" s="1441">
        <v>138533</v>
      </c>
      <c r="C43" s="1387" t="s">
        <v>2497</v>
      </c>
      <c r="D43" s="1388">
        <v>298701.21500000003</v>
      </c>
      <c r="E43" s="1388">
        <v>336655.73200000002</v>
      </c>
      <c r="F43" s="1388">
        <v>412561.20299999998</v>
      </c>
      <c r="G43" s="1388">
        <v>659256.50699999998</v>
      </c>
      <c r="H43" s="1388">
        <v>719212.11699999997</v>
      </c>
      <c r="I43" s="1388">
        <v>780295.52</v>
      </c>
      <c r="J43" s="1388">
        <v>717409.58100000001</v>
      </c>
      <c r="L43" s="1397">
        <f t="shared" si="6"/>
        <v>2.8578832182707181E-2</v>
      </c>
      <c r="M43" s="1397">
        <f t="shared" si="7"/>
        <v>0.1633656374585859</v>
      </c>
    </row>
    <row r="44" spans="2:13" x14ac:dyDescent="0.3">
      <c r="B44" s="1441">
        <v>767778</v>
      </c>
      <c r="C44" s="1387" t="s">
        <v>2813</v>
      </c>
      <c r="D44" s="1388">
        <v>409582.58299999998</v>
      </c>
      <c r="E44" s="1388">
        <v>408507.95</v>
      </c>
      <c r="F44" s="1388">
        <v>420024.44099999999</v>
      </c>
      <c r="G44" s="1388">
        <v>371810.99099999998</v>
      </c>
      <c r="H44" s="1388">
        <v>338768.78399999999</v>
      </c>
      <c r="I44" s="1388">
        <v>372830.48300000001</v>
      </c>
      <c r="J44" s="1388">
        <v>458959.77399999998</v>
      </c>
      <c r="L44" s="1397">
        <f t="shared" si="6"/>
        <v>7.2714455648651644E-2</v>
      </c>
      <c r="M44" s="1397">
        <f t="shared" si="7"/>
        <v>2.3563573959414885E-2</v>
      </c>
    </row>
    <row r="45" spans="2:13" x14ac:dyDescent="0.3">
      <c r="B45" s="1441">
        <v>165442</v>
      </c>
      <c r="C45" s="1387" t="s">
        <v>2496</v>
      </c>
      <c r="D45" s="1388">
        <v>343147.75199999998</v>
      </c>
      <c r="E45" s="1388">
        <v>421140.53899999999</v>
      </c>
      <c r="F45" s="1388">
        <v>771402.13699999999</v>
      </c>
      <c r="G45" s="1388">
        <v>959933.64599999995</v>
      </c>
      <c r="H45" s="1388">
        <v>1129865.067</v>
      </c>
      <c r="I45" s="1388">
        <v>966435.59</v>
      </c>
      <c r="J45" s="1388">
        <v>938653.353</v>
      </c>
      <c r="L45" s="1397">
        <f t="shared" si="6"/>
        <v>-7.444788714937145E-3</v>
      </c>
      <c r="M45" s="1397">
        <f t="shared" si="7"/>
        <v>0.17385819830023119</v>
      </c>
    </row>
    <row r="46" spans="2:13" x14ac:dyDescent="0.3">
      <c r="B46" s="1441" t="s">
        <v>2826</v>
      </c>
      <c r="C46" s="1387" t="s">
        <v>2498</v>
      </c>
      <c r="D46" s="1388">
        <v>58905.294000000002</v>
      </c>
      <c r="E46" s="1388">
        <v>256220.75700000001</v>
      </c>
      <c r="F46" s="1388">
        <v>355541.78399999999</v>
      </c>
      <c r="G46" s="1388">
        <v>497964.88500000001</v>
      </c>
      <c r="H46" s="1388">
        <v>570750.34</v>
      </c>
      <c r="I46" s="1388">
        <v>573398.00199999998</v>
      </c>
      <c r="J46" s="1388">
        <v>353414.05</v>
      </c>
      <c r="L46" s="1397">
        <f t="shared" si="6"/>
        <v>-0.10800648408468849</v>
      </c>
      <c r="M46" s="1397">
        <f t="shared" si="7"/>
        <v>6.643379718657938E-2</v>
      </c>
    </row>
    <row r="47" spans="2:13" x14ac:dyDescent="0.3">
      <c r="B47" s="1441">
        <v>46305</v>
      </c>
      <c r="C47" s="1387" t="s">
        <v>2814</v>
      </c>
      <c r="D47" s="1388">
        <v>128318.936</v>
      </c>
      <c r="E47" s="1388">
        <v>140193.63699999999</v>
      </c>
      <c r="F47" s="1388">
        <v>205722.389</v>
      </c>
      <c r="G47" s="1388">
        <v>257207.20300000001</v>
      </c>
      <c r="H47" s="1388">
        <v>286048.28200000001</v>
      </c>
      <c r="I47" s="1388">
        <v>357197.46299999999</v>
      </c>
      <c r="J47" s="1388">
        <v>421262.26</v>
      </c>
      <c r="L47" s="1397">
        <f t="shared" si="6"/>
        <v>0.17875389883581616</v>
      </c>
      <c r="M47" s="1397">
        <f t="shared" si="7"/>
        <v>0.2461342998382805</v>
      </c>
    </row>
    <row r="48" spans="2:13" x14ac:dyDescent="0.3">
      <c r="B48" s="1441">
        <v>267171</v>
      </c>
      <c r="C48" s="1387" t="s">
        <v>2815</v>
      </c>
      <c r="D48" s="1388">
        <v>269156.51500000001</v>
      </c>
      <c r="E48" s="1388">
        <v>280690.67300000001</v>
      </c>
      <c r="F48" s="1388">
        <v>281787.22499999998</v>
      </c>
      <c r="G48" s="1388">
        <v>284300.63</v>
      </c>
      <c r="H48" s="1388">
        <v>308312.49200000003</v>
      </c>
      <c r="I48" s="1388">
        <v>311336.90399999998</v>
      </c>
      <c r="J48" s="1388">
        <v>289355.80300000001</v>
      </c>
      <c r="L48" s="1397">
        <f t="shared" si="6"/>
        <v>5.8922408583543806E-3</v>
      </c>
      <c r="M48" s="1397">
        <f t="shared" si="7"/>
        <v>6.0992909744439494E-3</v>
      </c>
    </row>
    <row r="49" spans="2:13" x14ac:dyDescent="0.3">
      <c r="B49" s="1441">
        <v>352098</v>
      </c>
      <c r="C49" s="1387" t="s">
        <v>2816</v>
      </c>
      <c r="D49" s="1388">
        <v>189304.141</v>
      </c>
      <c r="E49" s="1388">
        <v>208665.046</v>
      </c>
      <c r="F49" s="1388">
        <v>192315.364</v>
      </c>
      <c r="G49" s="1388">
        <v>511077.05</v>
      </c>
      <c r="H49" s="1388">
        <v>544542.76800000004</v>
      </c>
      <c r="I49" s="1388">
        <v>442931.28899999999</v>
      </c>
      <c r="J49" s="1388">
        <v>283311.32199999999</v>
      </c>
      <c r="L49" s="1397">
        <f t="shared" si="6"/>
        <v>-0.17852846896213193</v>
      </c>
      <c r="M49" s="1397">
        <f t="shared" si="7"/>
        <v>6.3072405162903022E-2</v>
      </c>
    </row>
    <row r="50" spans="2:13" x14ac:dyDescent="0.3">
      <c r="B50" s="1441">
        <v>820377</v>
      </c>
      <c r="C50" s="1387" t="s">
        <v>2817</v>
      </c>
      <c r="D50" s="1388">
        <v>245270.38099999999</v>
      </c>
      <c r="E50" s="1388">
        <v>246667.21599999999</v>
      </c>
      <c r="F50" s="1388">
        <v>274950.83799999999</v>
      </c>
      <c r="G50" s="1388">
        <v>297523.39600000001</v>
      </c>
      <c r="H50" s="1388">
        <v>298013.20299999998</v>
      </c>
      <c r="I50" s="1388">
        <v>315494.01500000001</v>
      </c>
      <c r="J50" s="1388">
        <v>280303.67099999997</v>
      </c>
      <c r="L50" s="1397">
        <f t="shared" si="6"/>
        <v>-1.967693457668318E-2</v>
      </c>
      <c r="M50" s="1397">
        <f t="shared" si="7"/>
        <v>2.5896316954784115E-2</v>
      </c>
    </row>
    <row r="51" spans="2:13" x14ac:dyDescent="0.3">
      <c r="B51" s="1441">
        <v>54419</v>
      </c>
      <c r="C51" s="1387" t="s">
        <v>2499</v>
      </c>
      <c r="D51" s="1388">
        <v>174116.08600000001</v>
      </c>
      <c r="E51" s="1388">
        <v>211821.60399999999</v>
      </c>
      <c r="F51" s="1388">
        <v>178579.43700000001</v>
      </c>
      <c r="G51" s="1388">
        <v>196328.27799999999</v>
      </c>
      <c r="H51" s="1388">
        <v>289646.53999999998</v>
      </c>
      <c r="I51" s="1388">
        <v>278721.96399999998</v>
      </c>
      <c r="J51" s="1388">
        <v>267640.83</v>
      </c>
      <c r="L51" s="1397">
        <f t="shared" si="6"/>
        <v>0.10880839024915212</v>
      </c>
      <c r="M51" s="1397">
        <f t="shared" si="7"/>
        <v>4.7891754682146015E-2</v>
      </c>
    </row>
    <row r="52" spans="2:13" x14ac:dyDescent="0.3">
      <c r="B52" s="1441">
        <v>385861</v>
      </c>
      <c r="C52" s="1387" t="s">
        <v>2818</v>
      </c>
      <c r="D52" s="1388">
        <v>75107.839000000007</v>
      </c>
      <c r="E52" s="1388">
        <v>67926.434999999998</v>
      </c>
      <c r="F52" s="1388">
        <v>101202.82799999999</v>
      </c>
      <c r="G52" s="1388">
        <v>120090.94500000001</v>
      </c>
      <c r="H52" s="1388">
        <v>182279.26699999999</v>
      </c>
      <c r="I52" s="1388">
        <v>211683.36900000001</v>
      </c>
      <c r="J52" s="1388">
        <v>251810.747</v>
      </c>
      <c r="L52" s="1397">
        <f t="shared" si="6"/>
        <v>0.27993524936646175</v>
      </c>
      <c r="M52" s="1397">
        <f t="shared" si="7"/>
        <v>0.29959217539264049</v>
      </c>
    </row>
    <row r="53" spans="2:13" x14ac:dyDescent="0.3">
      <c r="B53" s="1441">
        <v>790681</v>
      </c>
      <c r="C53" s="1387" t="s">
        <v>2819</v>
      </c>
      <c r="D53" s="1388">
        <v>240647.929</v>
      </c>
      <c r="E53" s="1388">
        <v>245138.08300000001</v>
      </c>
      <c r="F53" s="1388">
        <v>294263.48700000002</v>
      </c>
      <c r="G53" s="1388">
        <v>324586.70600000001</v>
      </c>
      <c r="H53" s="1388">
        <v>248512.826</v>
      </c>
      <c r="I53" s="1388">
        <v>236839.18100000001</v>
      </c>
      <c r="J53" s="1388">
        <v>235039.679</v>
      </c>
      <c r="L53" s="1397">
        <f t="shared" si="6"/>
        <v>-0.10201278757286536</v>
      </c>
      <c r="M53" s="1397">
        <f t="shared" si="7"/>
        <v>-8.3781677135802424E-3</v>
      </c>
    </row>
    <row r="54" spans="2:13" x14ac:dyDescent="0.3">
      <c r="B54" s="1441">
        <v>538787</v>
      </c>
      <c r="C54" s="1387" t="s">
        <v>2820</v>
      </c>
      <c r="D54" s="1388">
        <v>267306.17499999999</v>
      </c>
      <c r="E54" s="1388">
        <v>254860.31099999999</v>
      </c>
      <c r="F54" s="1388">
        <v>303693.98200000002</v>
      </c>
      <c r="G54" s="1388">
        <v>337064.82</v>
      </c>
      <c r="H54" s="1388">
        <v>297112.7</v>
      </c>
      <c r="I54" s="1388">
        <v>239782.31299999999</v>
      </c>
      <c r="J54" s="1388">
        <v>228062.49100000001</v>
      </c>
      <c r="L54" s="1397">
        <f t="shared" si="6"/>
        <v>-0.12209643577334495</v>
      </c>
      <c r="M54" s="1397">
        <f t="shared" si="7"/>
        <v>-2.1974156124099364E-2</v>
      </c>
    </row>
    <row r="55" spans="2:13" x14ac:dyDescent="0.3">
      <c r="B55" s="1441">
        <v>830798</v>
      </c>
      <c r="C55" s="1387" t="s">
        <v>2500</v>
      </c>
      <c r="D55" s="1388">
        <v>71013.012000000002</v>
      </c>
      <c r="E55" s="1388">
        <v>60898.224000000002</v>
      </c>
      <c r="F55" s="1388">
        <v>106041.311</v>
      </c>
      <c r="G55" s="1388">
        <v>200854.30900000001</v>
      </c>
      <c r="H55" s="1388">
        <v>233215.837</v>
      </c>
      <c r="I55" s="1388">
        <v>204271.715</v>
      </c>
      <c r="J55" s="1388">
        <v>176936.06</v>
      </c>
      <c r="L55" s="1397">
        <f t="shared" si="6"/>
        <v>-4.1383132726884098E-2</v>
      </c>
      <c r="M55" s="1397">
        <f t="shared" si="7"/>
        <v>0.23777681895300096</v>
      </c>
    </row>
    <row r="56" spans="2:13" x14ac:dyDescent="0.3">
      <c r="B56" s="1441">
        <v>384194</v>
      </c>
      <c r="C56" s="1387" t="s">
        <v>2821</v>
      </c>
      <c r="D56" s="1388">
        <v>201319.16500000001</v>
      </c>
      <c r="E56" s="1388">
        <v>190019.231</v>
      </c>
      <c r="F56" s="1388">
        <v>238251.79199999999</v>
      </c>
      <c r="G56" s="1388">
        <v>224450.33900000001</v>
      </c>
      <c r="H56" s="1388">
        <v>196491.28200000001</v>
      </c>
      <c r="I56" s="1388">
        <v>185137.54800000001</v>
      </c>
      <c r="J56" s="1388">
        <v>179994.28200000001</v>
      </c>
      <c r="L56" s="1397">
        <f t="shared" si="6"/>
        <v>-7.093489691724264E-2</v>
      </c>
      <c r="M56" s="1397">
        <f t="shared" si="7"/>
        <v>-1.0781498311845494E-2</v>
      </c>
    </row>
    <row r="57" spans="2:13" x14ac:dyDescent="0.3">
      <c r="B57" s="1441">
        <v>813796</v>
      </c>
      <c r="C57" s="1387" t="s">
        <v>2501</v>
      </c>
      <c r="D57" s="1388">
        <v>218688.46400000001</v>
      </c>
      <c r="E57" s="1388">
        <v>221955.68299999999</v>
      </c>
      <c r="F57" s="1388">
        <v>230917.44399999999</v>
      </c>
      <c r="G57" s="1388">
        <v>241412.91</v>
      </c>
      <c r="H57" s="1388">
        <v>209049.09400000001</v>
      </c>
      <c r="I57" s="1388">
        <v>198307.63200000001</v>
      </c>
      <c r="J57" s="1388">
        <v>203886.80300000001</v>
      </c>
      <c r="L57" s="1397">
        <f t="shared" si="6"/>
        <v>-5.4758294759055137E-2</v>
      </c>
      <c r="M57" s="1397">
        <f t="shared" si="7"/>
        <v>-1.6839165893334784E-2</v>
      </c>
    </row>
    <row r="58" spans="2:13" x14ac:dyDescent="0.3">
      <c r="B58" s="1441">
        <v>102411</v>
      </c>
      <c r="C58" s="1387" t="s">
        <v>2822</v>
      </c>
      <c r="D58" s="1388">
        <v>103967.75199999999</v>
      </c>
      <c r="E58" s="1388">
        <v>104075.84600000001</v>
      </c>
      <c r="F58" s="1388">
        <v>105219.546</v>
      </c>
      <c r="G58" s="1388">
        <v>119296.15700000001</v>
      </c>
      <c r="H58" s="1388">
        <v>128051.05499999999</v>
      </c>
      <c r="I58" s="1388">
        <v>131080.878</v>
      </c>
      <c r="J58" s="1388">
        <v>147694.516</v>
      </c>
      <c r="L58" s="1397">
        <f t="shared" si="6"/>
        <v>7.3773394012614846E-2</v>
      </c>
      <c r="M58" s="1397">
        <f t="shared" si="7"/>
        <v>7.2513787854839196E-2</v>
      </c>
    </row>
    <row r="59" spans="2:13" x14ac:dyDescent="0.3">
      <c r="B59" s="1441">
        <v>99090</v>
      </c>
      <c r="C59" s="1387" t="s">
        <v>2823</v>
      </c>
      <c r="D59" s="1388">
        <v>226219.3</v>
      </c>
      <c r="E59" s="1388">
        <v>233893.35200000001</v>
      </c>
      <c r="F59" s="1388">
        <v>184766.48699999999</v>
      </c>
      <c r="G59" s="1388">
        <v>186596.503</v>
      </c>
      <c r="H59" s="1388">
        <v>189480.33199999999</v>
      </c>
      <c r="I59" s="1388">
        <v>151632.86799999999</v>
      </c>
      <c r="J59" s="1388">
        <v>142055.94699999999</v>
      </c>
      <c r="L59" s="1397">
        <f t="shared" si="6"/>
        <v>-8.6899375613574081E-2</v>
      </c>
      <c r="M59" s="1397">
        <f t="shared" si="7"/>
        <v>-9.4917207068015097E-2</v>
      </c>
    </row>
    <row r="60" spans="2:13" x14ac:dyDescent="0.3">
      <c r="B60" s="1441">
        <v>814083</v>
      </c>
      <c r="C60" s="1387" t="s">
        <v>2824</v>
      </c>
      <c r="D60" s="1388">
        <v>132966.57999999999</v>
      </c>
      <c r="E60" s="1388">
        <v>124159.974</v>
      </c>
      <c r="F60" s="1388">
        <v>172114.27100000001</v>
      </c>
      <c r="G60" s="1388">
        <v>159914.101</v>
      </c>
      <c r="H60" s="1388">
        <v>322005.35499999998</v>
      </c>
      <c r="I60" s="1388">
        <v>491688.16600000003</v>
      </c>
      <c r="J60" s="1388">
        <v>143033.549</v>
      </c>
      <c r="L60" s="1397">
        <f t="shared" si="6"/>
        <v>-3.6502960445481181E-2</v>
      </c>
      <c r="M60" s="1397">
        <f t="shared" si="7"/>
        <v>2.8705970249230939E-2</v>
      </c>
    </row>
    <row r="61" spans="2:13" x14ac:dyDescent="0.3">
      <c r="B61" s="1441">
        <v>126293</v>
      </c>
      <c r="C61" s="1387" t="s">
        <v>2825</v>
      </c>
      <c r="D61" s="1388">
        <v>24754.787</v>
      </c>
      <c r="E61" s="1388">
        <v>31092.688999999998</v>
      </c>
      <c r="F61" s="1388">
        <v>38758.296999999999</v>
      </c>
      <c r="G61" s="1388">
        <v>57750.053</v>
      </c>
      <c r="H61" s="1388">
        <v>88497.255000000005</v>
      </c>
      <c r="I61" s="1388">
        <v>85813.543999999994</v>
      </c>
      <c r="J61" s="1388">
        <v>88086.157999999996</v>
      </c>
      <c r="L61" s="1397">
        <f t="shared" si="6"/>
        <v>0.15111424138922414</v>
      </c>
      <c r="M61" s="1397">
        <f t="shared" si="7"/>
        <v>0.23154384208912648</v>
      </c>
    </row>
    <row r="62" spans="2:13" s="406" customFormat="1" x14ac:dyDescent="0.3">
      <c r="B62" s="1391" t="s">
        <v>2509</v>
      </c>
      <c r="C62" s="1391"/>
      <c r="D62" s="1392">
        <f t="shared" ref="D62:I62" si="8">SUM(D38:D61)</f>
        <v>10769955.514999999</v>
      </c>
      <c r="E62" s="1392">
        <f t="shared" si="8"/>
        <v>11791761.657000002</v>
      </c>
      <c r="F62" s="1392">
        <f t="shared" si="8"/>
        <v>14916957.235000001</v>
      </c>
      <c r="G62" s="1392">
        <f t="shared" si="8"/>
        <v>17404755.433000002</v>
      </c>
      <c r="H62" s="1392">
        <f t="shared" si="8"/>
        <v>20227512.756999999</v>
      </c>
      <c r="I62" s="1392">
        <f t="shared" si="8"/>
        <v>21321028.669000003</v>
      </c>
      <c r="J62" s="1392">
        <f t="shared" ref="J62" si="9">SUM(J38:J61)</f>
        <v>21635026.931000002</v>
      </c>
      <c r="L62" s="1399">
        <f t="shared" ref="L62" si="10">(J62/G62)^(1/3)-1</f>
        <v>7.5217947559005571E-2</v>
      </c>
      <c r="M62" s="1399">
        <f t="shared" ref="M62" si="11">(J62/E62)^(1/5)-1</f>
        <v>0.12905669294962929</v>
      </c>
    </row>
    <row r="63" spans="2:13" s="1396" customFormat="1" x14ac:dyDescent="0.3">
      <c r="B63" s="1393" t="s">
        <v>2505</v>
      </c>
      <c r="C63" s="1394"/>
      <c r="D63" s="1395" t="s">
        <v>2506</v>
      </c>
      <c r="E63" s="1395">
        <f t="shared" ref="E63:J63" si="12">E62/D62-1</f>
        <v>9.4875613977872808E-2</v>
      </c>
      <c r="F63" s="1395">
        <f t="shared" si="12"/>
        <v>0.26503211894083489</v>
      </c>
      <c r="G63" s="1395">
        <f t="shared" si="12"/>
        <v>0.16677651875027322</v>
      </c>
      <c r="H63" s="1395">
        <f t="shared" si="12"/>
        <v>0.16218310764930099</v>
      </c>
      <c r="I63" s="1395">
        <f t="shared" si="12"/>
        <v>5.4060819297794271E-2</v>
      </c>
      <c r="J63" s="1395">
        <f t="shared" si="12"/>
        <v>1.4727162881054578E-2</v>
      </c>
    </row>
    <row r="64" spans="2:13" s="406" customFormat="1" x14ac:dyDescent="0.3">
      <c r="B64" s="1389" t="s">
        <v>2810</v>
      </c>
      <c r="C64" s="1389"/>
      <c r="D64" s="1390">
        <f>D52</f>
        <v>75107.839000000007</v>
      </c>
      <c r="E64" s="1390">
        <f t="shared" ref="E64:J64" si="13">E52</f>
        <v>67926.434999999998</v>
      </c>
      <c r="F64" s="1390">
        <f t="shared" si="13"/>
        <v>101202.82799999999</v>
      </c>
      <c r="G64" s="1390">
        <f t="shared" si="13"/>
        <v>120090.94500000001</v>
      </c>
      <c r="H64" s="1390">
        <f t="shared" si="13"/>
        <v>182279.26699999999</v>
      </c>
      <c r="I64" s="1390">
        <f t="shared" si="13"/>
        <v>211683.36900000001</v>
      </c>
      <c r="J64" s="1390">
        <f t="shared" si="13"/>
        <v>251810.747</v>
      </c>
    </row>
    <row r="65" spans="2:13" s="1396" customFormat="1" x14ac:dyDescent="0.3">
      <c r="B65" s="1400" t="s">
        <v>2510</v>
      </c>
      <c r="C65" s="1401"/>
      <c r="D65" s="1402" t="s">
        <v>2511</v>
      </c>
      <c r="E65" s="1402">
        <f t="shared" ref="E65:J65" si="14">E64/D64-1</f>
        <v>-9.5614573599967501E-2</v>
      </c>
      <c r="F65" s="1402">
        <f t="shared" si="14"/>
        <v>0.48988870091592474</v>
      </c>
      <c r="G65" s="1402">
        <f t="shared" si="14"/>
        <v>0.18663625684452234</v>
      </c>
      <c r="H65" s="1402">
        <f t="shared" si="14"/>
        <v>0.51784355598167697</v>
      </c>
      <c r="I65" s="1402">
        <f t="shared" si="14"/>
        <v>0.16131347510849947</v>
      </c>
      <c r="J65" s="1402">
        <f t="shared" si="14"/>
        <v>0.18956320560071971</v>
      </c>
    </row>
    <row r="66" spans="2:13" s="1396" customFormat="1" x14ac:dyDescent="0.3">
      <c r="B66" s="1400" t="s">
        <v>2512</v>
      </c>
      <c r="C66" s="1401"/>
      <c r="D66" s="1402">
        <f t="shared" ref="D66:I66" si="15">D64/D62</f>
        <v>6.9738300121474561E-3</v>
      </c>
      <c r="E66" s="1402">
        <f t="shared" si="15"/>
        <v>5.7604993194275171E-3</v>
      </c>
      <c r="F66" s="1402">
        <f t="shared" si="15"/>
        <v>6.784414971878143E-3</v>
      </c>
      <c r="G66" s="1402">
        <f t="shared" si="15"/>
        <v>6.8998927024451909E-3</v>
      </c>
      <c r="H66" s="1402">
        <f t="shared" si="15"/>
        <v>9.0114523317712317E-3</v>
      </c>
      <c r="I66" s="1402">
        <f t="shared" si="15"/>
        <v>9.9283844267692347E-3</v>
      </c>
      <c r="J66" s="1402">
        <f t="shared" ref="J66" si="16">J64/J62</f>
        <v>1.163903090128305E-2</v>
      </c>
    </row>
    <row r="69" spans="2:13" x14ac:dyDescent="0.3">
      <c r="B69" s="1385" t="s">
        <v>2513</v>
      </c>
    </row>
    <row r="70" spans="2:13" x14ac:dyDescent="0.3">
      <c r="B70" s="1385"/>
    </row>
    <row r="71" spans="2:13" s="1385" customFormat="1" x14ac:dyDescent="0.3">
      <c r="B71" s="1386" t="s">
        <v>2514</v>
      </c>
      <c r="C71" s="1386" t="s">
        <v>2515</v>
      </c>
      <c r="D71" s="1386">
        <v>2008</v>
      </c>
      <c r="E71" s="1386">
        <f t="shared" ref="E71:J71" si="17">D71+1</f>
        <v>2009</v>
      </c>
      <c r="F71" s="1386">
        <f t="shared" si="17"/>
        <v>2010</v>
      </c>
      <c r="G71" s="1386">
        <f t="shared" si="17"/>
        <v>2011</v>
      </c>
      <c r="H71" s="1386">
        <f t="shared" si="17"/>
        <v>2012</v>
      </c>
      <c r="I71" s="1386">
        <f t="shared" si="17"/>
        <v>2013</v>
      </c>
      <c r="J71" s="1386">
        <f t="shared" si="17"/>
        <v>2014</v>
      </c>
      <c r="L71" s="1386" t="s">
        <v>2516</v>
      </c>
      <c r="M71" s="1386" t="s">
        <v>2517</v>
      </c>
    </row>
    <row r="72" spans="2:13" x14ac:dyDescent="0.3">
      <c r="B72" s="1441">
        <v>820717</v>
      </c>
      <c r="C72" s="1387" t="s">
        <v>2492</v>
      </c>
      <c r="D72" s="1443">
        <v>580604.97400000005</v>
      </c>
      <c r="E72" s="1443">
        <v>587770.84199999995</v>
      </c>
      <c r="F72" s="1443">
        <v>782678.33600000001</v>
      </c>
      <c r="G72" s="1443">
        <v>899888.28099999996</v>
      </c>
      <c r="H72" s="1443">
        <v>1120794.4639999999</v>
      </c>
      <c r="I72" s="1443">
        <v>1131911.645</v>
      </c>
      <c r="J72" s="1443">
        <v>1292731.8910000001</v>
      </c>
      <c r="L72" s="1397">
        <f t="shared" ref="L72:L96" si="18">(J72/G72)^(1/3)-1</f>
        <v>0.12833992529051774</v>
      </c>
      <c r="M72" s="1397">
        <f t="shared" ref="M72:M96" si="19">(J72/E72)^(1/5)-1</f>
        <v>0.17073899739048093</v>
      </c>
    </row>
    <row r="73" spans="2:13" x14ac:dyDescent="0.3">
      <c r="B73" s="1441">
        <v>812536</v>
      </c>
      <c r="C73" s="1387" t="s">
        <v>2493</v>
      </c>
      <c r="D73" s="1443">
        <v>289533.74800000002</v>
      </c>
      <c r="E73" s="1443">
        <v>431567.18199999997</v>
      </c>
      <c r="F73" s="1443">
        <v>395753.12300000002</v>
      </c>
      <c r="G73" s="1443">
        <v>399518.27600000001</v>
      </c>
      <c r="H73" s="1443">
        <v>416085.07299999997</v>
      </c>
      <c r="I73" s="1443">
        <v>430063.391</v>
      </c>
      <c r="J73" s="1443">
        <v>426658.69199999998</v>
      </c>
      <c r="L73" s="1397">
        <f t="shared" si="18"/>
        <v>2.2150037463604999E-2</v>
      </c>
      <c r="M73" s="1397">
        <f t="shared" si="19"/>
        <v>-2.2851480744864316E-3</v>
      </c>
    </row>
    <row r="74" spans="2:13" x14ac:dyDescent="0.3">
      <c r="B74" s="1441">
        <v>814261</v>
      </c>
      <c r="C74" s="1387" t="s">
        <v>2494</v>
      </c>
      <c r="D74" s="1443">
        <v>465268.46399999998</v>
      </c>
      <c r="E74" s="1443">
        <v>517505.88299999997</v>
      </c>
      <c r="F74" s="1443">
        <v>569855.09499999997</v>
      </c>
      <c r="G74" s="1443">
        <v>670837.92099999997</v>
      </c>
      <c r="H74" s="1443">
        <v>799574.02</v>
      </c>
      <c r="I74" s="1443">
        <v>848391.74</v>
      </c>
      <c r="J74" s="1443">
        <v>872938.52800000005</v>
      </c>
      <c r="L74" s="1397">
        <f t="shared" si="18"/>
        <v>9.1747030148793929E-2</v>
      </c>
      <c r="M74" s="1397">
        <f t="shared" si="19"/>
        <v>0.11023182969883538</v>
      </c>
    </row>
    <row r="75" spans="2:13" x14ac:dyDescent="0.3">
      <c r="B75" s="1441">
        <v>159613</v>
      </c>
      <c r="C75" s="1387" t="s">
        <v>2495</v>
      </c>
      <c r="D75" s="1443">
        <v>46056.745000000003</v>
      </c>
      <c r="E75" s="1443">
        <v>52749.978000000003</v>
      </c>
      <c r="F75" s="1443">
        <v>72798.497000000003</v>
      </c>
      <c r="G75" s="1443">
        <v>75501.748999999996</v>
      </c>
      <c r="H75" s="1443">
        <v>86847.17</v>
      </c>
      <c r="I75" s="1443">
        <v>95352.909</v>
      </c>
      <c r="J75" s="1443">
        <v>113707.432</v>
      </c>
      <c r="L75" s="1397">
        <f t="shared" si="18"/>
        <v>0.14624453939290194</v>
      </c>
      <c r="M75" s="1397">
        <f t="shared" si="19"/>
        <v>0.16603963736986338</v>
      </c>
    </row>
    <row r="76" spans="2:13" s="406" customFormat="1" x14ac:dyDescent="0.3">
      <c r="B76" s="1442">
        <v>813605</v>
      </c>
      <c r="C76" s="1427" t="s">
        <v>2812</v>
      </c>
      <c r="D76" s="1443">
        <v>47651.173000000003</v>
      </c>
      <c r="E76" s="1443">
        <v>50111.837</v>
      </c>
      <c r="F76" s="1443">
        <v>101108.624</v>
      </c>
      <c r="G76" s="1443">
        <v>117379.675</v>
      </c>
      <c r="H76" s="1443">
        <v>128142.09299999999</v>
      </c>
      <c r="I76" s="1443">
        <v>151294.976</v>
      </c>
      <c r="J76" s="1443">
        <v>130606.549</v>
      </c>
      <c r="L76" s="1397">
        <f t="shared" si="18"/>
        <v>3.6232837190767642E-2</v>
      </c>
      <c r="M76" s="1397">
        <f t="shared" si="19"/>
        <v>0.21116950113575039</v>
      </c>
    </row>
    <row r="77" spans="2:13" x14ac:dyDescent="0.3">
      <c r="B77" s="1441">
        <v>138533</v>
      </c>
      <c r="C77" s="1387" t="s">
        <v>2497</v>
      </c>
      <c r="D77" s="1443">
        <v>26545.819</v>
      </c>
      <c r="E77" s="1443">
        <v>26544.591</v>
      </c>
      <c r="F77" s="1443">
        <v>31755.631000000001</v>
      </c>
      <c r="G77" s="1443">
        <v>35150.144999999997</v>
      </c>
      <c r="H77" s="1443">
        <v>32925.951999999997</v>
      </c>
      <c r="I77" s="1443">
        <v>33824.925999999999</v>
      </c>
      <c r="J77" s="1443">
        <v>48302.478999999999</v>
      </c>
      <c r="L77" s="1397">
        <f t="shared" si="18"/>
        <v>0.11176782139943797</v>
      </c>
      <c r="M77" s="1397">
        <f t="shared" si="19"/>
        <v>0.12719402095539589</v>
      </c>
    </row>
    <row r="78" spans="2:13" x14ac:dyDescent="0.3">
      <c r="B78" s="1441">
        <v>767778</v>
      </c>
      <c r="C78" s="1387" t="s">
        <v>2813</v>
      </c>
      <c r="D78" s="1443">
        <v>63012.27</v>
      </c>
      <c r="E78" s="1443">
        <v>76293.990999999995</v>
      </c>
      <c r="F78" s="1443">
        <v>60540.531999999999</v>
      </c>
      <c r="G78" s="1443">
        <v>47755.332999999999</v>
      </c>
      <c r="H78" s="1443">
        <v>39174.794999999998</v>
      </c>
      <c r="I78" s="1443">
        <v>45800.343999999997</v>
      </c>
      <c r="J78" s="1443">
        <v>66464.645999999993</v>
      </c>
      <c r="L78" s="1397">
        <f t="shared" si="18"/>
        <v>0.11649368946509986</v>
      </c>
      <c r="M78" s="1397">
        <f t="shared" si="19"/>
        <v>-2.7207816266633045E-2</v>
      </c>
    </row>
    <row r="79" spans="2:13" x14ac:dyDescent="0.3">
      <c r="B79" s="1441">
        <v>165442</v>
      </c>
      <c r="C79" s="1387" t="s">
        <v>2496</v>
      </c>
      <c r="D79" s="1443">
        <v>47585.417999999998</v>
      </c>
      <c r="E79" s="1443">
        <v>56044.947</v>
      </c>
      <c r="F79" s="1443">
        <v>98183.4</v>
      </c>
      <c r="G79" s="1443">
        <v>126572.08500000001</v>
      </c>
      <c r="H79" s="1443">
        <v>228310.15700000001</v>
      </c>
      <c r="I79" s="1443">
        <v>238511.34299999999</v>
      </c>
      <c r="J79" s="1443">
        <v>249575.739</v>
      </c>
      <c r="L79" s="1397">
        <f t="shared" si="18"/>
        <v>0.25397287955587222</v>
      </c>
      <c r="M79" s="1397">
        <f t="shared" si="19"/>
        <v>0.34813436886539173</v>
      </c>
    </row>
    <row r="80" spans="2:13" x14ac:dyDescent="0.3">
      <c r="B80" s="1441" t="s">
        <v>2826</v>
      </c>
      <c r="C80" s="1387" t="s">
        <v>2498</v>
      </c>
      <c r="D80" s="1443">
        <v>26351.985000000001</v>
      </c>
      <c r="E80" s="1443">
        <v>102060.58199999999</v>
      </c>
      <c r="F80" s="1443">
        <v>105929.864</v>
      </c>
      <c r="G80" s="1443">
        <v>114281.504</v>
      </c>
      <c r="H80" s="1443">
        <v>133711.45300000001</v>
      </c>
      <c r="I80" s="1443">
        <v>133069.45300000001</v>
      </c>
      <c r="J80" s="1443">
        <v>116102.58900000001</v>
      </c>
      <c r="L80" s="1397">
        <f t="shared" si="18"/>
        <v>5.2837266620686663E-3</v>
      </c>
      <c r="M80" s="1397">
        <f t="shared" si="19"/>
        <v>2.6116740059019428E-2</v>
      </c>
    </row>
    <row r="81" spans="2:13" x14ac:dyDescent="0.3">
      <c r="B81" s="1441">
        <v>46305</v>
      </c>
      <c r="C81" s="1387" t="s">
        <v>2814</v>
      </c>
      <c r="D81" s="1443">
        <v>24079.89</v>
      </c>
      <c r="E81" s="1443">
        <v>23745.903999999999</v>
      </c>
      <c r="F81" s="1443">
        <v>36094.235999999997</v>
      </c>
      <c r="G81" s="1443">
        <v>38264.934000000001</v>
      </c>
      <c r="H81" s="1443">
        <v>45822.462</v>
      </c>
      <c r="I81" s="1443">
        <v>57785.186999999998</v>
      </c>
      <c r="J81" s="1443">
        <v>88123.566000000006</v>
      </c>
      <c r="L81" s="1397">
        <f t="shared" si="18"/>
        <v>0.32057690593563204</v>
      </c>
      <c r="M81" s="1397">
        <f t="shared" si="19"/>
        <v>0.29987224588471206</v>
      </c>
    </row>
    <row r="82" spans="2:13" x14ac:dyDescent="0.3">
      <c r="B82" s="1441">
        <v>267171</v>
      </c>
      <c r="C82" s="1387" t="s">
        <v>2815</v>
      </c>
      <c r="D82" s="1443">
        <v>25747.751</v>
      </c>
      <c r="E82" s="1443">
        <v>22223.609</v>
      </c>
      <c r="F82" s="1443">
        <v>23785.308000000001</v>
      </c>
      <c r="G82" s="1443">
        <v>20557.241999999998</v>
      </c>
      <c r="H82" s="1443">
        <v>21280.574000000001</v>
      </c>
      <c r="I82" s="1443">
        <v>22812.795999999998</v>
      </c>
      <c r="J82" s="1443">
        <v>17769.796999999999</v>
      </c>
      <c r="L82" s="1397">
        <f t="shared" si="18"/>
        <v>-4.7410318958345798E-2</v>
      </c>
      <c r="M82" s="1397">
        <f t="shared" si="19"/>
        <v>-4.374531526322778E-2</v>
      </c>
    </row>
    <row r="83" spans="2:13" x14ac:dyDescent="0.3">
      <c r="B83" s="1441">
        <v>352098</v>
      </c>
      <c r="C83" s="1387" t="s">
        <v>2816</v>
      </c>
      <c r="D83" s="1443">
        <v>24560.021000000001</v>
      </c>
      <c r="E83" s="1443">
        <v>20299.425999999999</v>
      </c>
      <c r="F83" s="1443">
        <v>19830.721000000001</v>
      </c>
      <c r="G83" s="1443">
        <v>52265.288</v>
      </c>
      <c r="H83" s="1443">
        <v>61138.43</v>
      </c>
      <c r="I83" s="1443">
        <v>47030.553999999996</v>
      </c>
      <c r="J83" s="1443">
        <v>32804.614999999998</v>
      </c>
      <c r="L83" s="1397">
        <f t="shared" si="18"/>
        <v>-0.14380267671198221</v>
      </c>
      <c r="M83" s="1397">
        <f t="shared" si="19"/>
        <v>0.10075391177691873</v>
      </c>
    </row>
    <row r="84" spans="2:13" x14ac:dyDescent="0.3">
      <c r="B84" s="1441">
        <v>820377</v>
      </c>
      <c r="C84" s="1387" t="s">
        <v>2817</v>
      </c>
      <c r="D84" s="1443">
        <v>121433.652</v>
      </c>
      <c r="E84" s="1443">
        <v>137059.584</v>
      </c>
      <c r="F84" s="1443">
        <v>151870.57399999999</v>
      </c>
      <c r="G84" s="1443">
        <v>155654.902</v>
      </c>
      <c r="H84" s="1443">
        <v>143434.43700000001</v>
      </c>
      <c r="I84" s="1443">
        <v>130090.764</v>
      </c>
      <c r="J84" s="1443">
        <v>123063.77499999999</v>
      </c>
      <c r="L84" s="1397">
        <f t="shared" si="18"/>
        <v>-7.5324941287638225E-2</v>
      </c>
      <c r="M84" s="1397">
        <f t="shared" si="19"/>
        <v>-2.131222218362161E-2</v>
      </c>
    </row>
    <row r="85" spans="2:13" x14ac:dyDescent="0.3">
      <c r="B85" s="1441">
        <v>54419</v>
      </c>
      <c r="C85" s="1387" t="s">
        <v>2499</v>
      </c>
      <c r="D85" s="1443">
        <v>29900.576000000001</v>
      </c>
      <c r="E85" s="1443">
        <v>32747.375</v>
      </c>
      <c r="F85" s="1443">
        <v>27739.151999999998</v>
      </c>
      <c r="G85" s="1443">
        <v>30861.304</v>
      </c>
      <c r="H85" s="1443">
        <v>40112.921999999999</v>
      </c>
      <c r="I85" s="1443">
        <v>32487.022000000001</v>
      </c>
      <c r="J85" s="1443">
        <v>34164.822</v>
      </c>
      <c r="L85" s="1397">
        <f t="shared" si="18"/>
        <v>3.4478883384110537E-2</v>
      </c>
      <c r="M85" s="1397">
        <f t="shared" si="19"/>
        <v>8.5107546914948706E-3</v>
      </c>
    </row>
    <row r="86" spans="2:13" x14ac:dyDescent="0.3">
      <c r="B86" s="1441">
        <v>385861</v>
      </c>
      <c r="C86" s="1387" t="s">
        <v>2818</v>
      </c>
      <c r="D86" s="1443">
        <v>10786.386</v>
      </c>
      <c r="E86" s="1443">
        <v>11171.043</v>
      </c>
      <c r="F86" s="1443">
        <v>15100.945</v>
      </c>
      <c r="G86" s="1443">
        <v>13721.446</v>
      </c>
      <c r="H86" s="1443">
        <v>16638.310000000001</v>
      </c>
      <c r="I86" s="1443">
        <v>17654.178</v>
      </c>
      <c r="J86" s="1443">
        <v>18128.764999999999</v>
      </c>
      <c r="L86" s="1397">
        <f t="shared" si="18"/>
        <v>9.729343155732284E-2</v>
      </c>
      <c r="M86" s="1397">
        <f t="shared" si="19"/>
        <v>0.10167856391467511</v>
      </c>
    </row>
    <row r="87" spans="2:13" x14ac:dyDescent="0.3">
      <c r="B87" s="1441">
        <v>790681</v>
      </c>
      <c r="C87" s="1387" t="s">
        <v>2819</v>
      </c>
      <c r="D87" s="1443">
        <v>77934.657000000007</v>
      </c>
      <c r="E87" s="1443">
        <v>72987.206999999995</v>
      </c>
      <c r="F87" s="1443">
        <v>82558.434999999998</v>
      </c>
      <c r="G87" s="1443">
        <v>79129.679999999993</v>
      </c>
      <c r="H87" s="1443">
        <v>71551.831999999995</v>
      </c>
      <c r="I87" s="1443">
        <v>63292.472000000002</v>
      </c>
      <c r="J87" s="1443">
        <v>28059.940999999999</v>
      </c>
      <c r="L87" s="1397">
        <f t="shared" si="18"/>
        <v>-0.29219148756555613</v>
      </c>
      <c r="M87" s="1397">
        <f t="shared" si="19"/>
        <v>-0.17402290959761868</v>
      </c>
    </row>
    <row r="88" spans="2:13" x14ac:dyDescent="0.3">
      <c r="B88" s="1441">
        <v>538787</v>
      </c>
      <c r="C88" s="1387" t="s">
        <v>2820</v>
      </c>
      <c r="D88" s="1443">
        <v>81295.525999999998</v>
      </c>
      <c r="E88" s="1443">
        <v>48684.175000000003</v>
      </c>
      <c r="F88" s="1443">
        <v>52622.944000000003</v>
      </c>
      <c r="G88" s="1443">
        <v>61364.667000000001</v>
      </c>
      <c r="H88" s="1443">
        <v>55352.767</v>
      </c>
      <c r="I88" s="1443">
        <v>51567.481</v>
      </c>
      <c r="J88" s="1443">
        <v>46615.177000000003</v>
      </c>
      <c r="L88" s="1397">
        <f t="shared" si="18"/>
        <v>-8.7562795514241065E-2</v>
      </c>
      <c r="M88" s="1397">
        <f t="shared" si="19"/>
        <v>-8.6479601615792046E-3</v>
      </c>
    </row>
    <row r="89" spans="2:13" x14ac:dyDescent="0.3">
      <c r="B89" s="1441">
        <v>830798</v>
      </c>
      <c r="C89" s="1387" t="s">
        <v>2500</v>
      </c>
      <c r="D89" s="1443">
        <v>9223.5169999999998</v>
      </c>
      <c r="E89" s="1443">
        <v>8945.5540000000001</v>
      </c>
      <c r="F89" s="1443">
        <v>12761.407999999999</v>
      </c>
      <c r="G89" s="1443">
        <v>19587.296999999999</v>
      </c>
      <c r="H89" s="1443">
        <v>21540.49</v>
      </c>
      <c r="I89" s="1443">
        <v>18898.133999999998</v>
      </c>
      <c r="J89" s="1443">
        <v>17825.75</v>
      </c>
      <c r="L89" s="1397">
        <f t="shared" si="18"/>
        <v>-3.0924157100551963E-2</v>
      </c>
      <c r="M89" s="1397">
        <f t="shared" si="19"/>
        <v>0.14785786403225165</v>
      </c>
    </row>
    <row r="90" spans="2:13" x14ac:dyDescent="0.3">
      <c r="B90" s="1441">
        <v>384194</v>
      </c>
      <c r="C90" s="1387" t="s">
        <v>2821</v>
      </c>
      <c r="D90" s="1443">
        <v>21315.903999999999</v>
      </c>
      <c r="E90" s="1443">
        <v>17595.79</v>
      </c>
      <c r="F90" s="1443">
        <v>27598.245999999999</v>
      </c>
      <c r="G90" s="1443">
        <v>25170.339</v>
      </c>
      <c r="H90" s="1443">
        <v>25796.821</v>
      </c>
      <c r="I90" s="1443">
        <v>21739.897000000001</v>
      </c>
      <c r="J90" s="1443">
        <v>13600.222</v>
      </c>
      <c r="L90" s="1397">
        <f t="shared" si="18"/>
        <v>-0.18551021064727902</v>
      </c>
      <c r="M90" s="1397">
        <f t="shared" si="19"/>
        <v>-5.0210322068448332E-2</v>
      </c>
    </row>
    <row r="91" spans="2:13" x14ac:dyDescent="0.3">
      <c r="B91" s="1441">
        <v>813796</v>
      </c>
      <c r="C91" s="1387" t="s">
        <v>2501</v>
      </c>
      <c r="D91" s="1443">
        <v>21587.758000000002</v>
      </c>
      <c r="E91" s="1443">
        <v>17636.994999999999</v>
      </c>
      <c r="F91" s="1443">
        <v>14365.325000000001</v>
      </c>
      <c r="G91" s="1443">
        <v>9473.3420000000006</v>
      </c>
      <c r="H91" s="1443">
        <v>9447.6970000000001</v>
      </c>
      <c r="I91" s="1443">
        <v>7389.9830000000002</v>
      </c>
      <c r="J91" s="1443">
        <v>6618.2179999999998</v>
      </c>
      <c r="L91" s="1397">
        <f t="shared" si="18"/>
        <v>-0.11268201543107659</v>
      </c>
      <c r="M91" s="1397">
        <f t="shared" si="19"/>
        <v>-0.17801613003670935</v>
      </c>
    </row>
    <row r="92" spans="2:13" x14ac:dyDescent="0.3">
      <c r="B92" s="1441">
        <v>102411</v>
      </c>
      <c r="C92" s="1387" t="s">
        <v>2822</v>
      </c>
      <c r="D92" s="1443">
        <v>16802.025000000001</v>
      </c>
      <c r="E92" s="1443">
        <v>15061.705</v>
      </c>
      <c r="F92" s="1443">
        <v>11562.558999999999</v>
      </c>
      <c r="G92" s="1443">
        <v>13748.031000000001</v>
      </c>
      <c r="H92" s="1443">
        <v>11784.691999999999</v>
      </c>
      <c r="I92" s="1443">
        <v>6028.0690000000004</v>
      </c>
      <c r="J92" s="1443">
        <v>8898.9670000000006</v>
      </c>
      <c r="L92" s="1397">
        <f t="shared" si="18"/>
        <v>-0.13496629176998165</v>
      </c>
      <c r="M92" s="1397">
        <f t="shared" si="19"/>
        <v>-9.9895170697339553E-2</v>
      </c>
    </row>
    <row r="93" spans="2:13" x14ac:dyDescent="0.3">
      <c r="B93" s="1441">
        <v>99090</v>
      </c>
      <c r="C93" s="1387" t="s">
        <v>2823</v>
      </c>
      <c r="D93" s="1443">
        <v>12190.825999999999</v>
      </c>
      <c r="E93" s="1443">
        <v>19777.117999999999</v>
      </c>
      <c r="F93" s="1443">
        <v>-1898.104</v>
      </c>
      <c r="G93" s="1443">
        <v>6282.5450000000001</v>
      </c>
      <c r="H93" s="1443">
        <v>610.255</v>
      </c>
      <c r="I93" s="1443">
        <v>-11302.300999999999</v>
      </c>
      <c r="J93" s="1443">
        <v>-3023.0129999999999</v>
      </c>
      <c r="L93" s="1397">
        <f t="shared" si="18"/>
        <v>-1.7836127053211968</v>
      </c>
      <c r="M93" s="1397">
        <f t="shared" si="19"/>
        <v>-1.6868397192179101</v>
      </c>
    </row>
    <row r="94" spans="2:13" x14ac:dyDescent="0.3">
      <c r="B94" s="1441">
        <v>814083</v>
      </c>
      <c r="C94" s="1387" t="s">
        <v>2824</v>
      </c>
      <c r="D94" s="1443">
        <v>15743.806</v>
      </c>
      <c r="E94" s="1443">
        <v>14308.713</v>
      </c>
      <c r="F94" s="1443">
        <v>13570.924999999999</v>
      </c>
      <c r="G94" s="1443">
        <v>11809.324000000001</v>
      </c>
      <c r="H94" s="1443">
        <v>14328.582</v>
      </c>
      <c r="I94" s="1443">
        <v>31241.334999999999</v>
      </c>
      <c r="J94" s="1443">
        <v>14935.021000000001</v>
      </c>
      <c r="L94" s="1397">
        <f t="shared" si="18"/>
        <v>8.1418014442609321E-2</v>
      </c>
      <c r="M94" s="1397">
        <f t="shared" si="19"/>
        <v>8.604851789351331E-3</v>
      </c>
    </row>
    <row r="95" spans="2:13" x14ac:dyDescent="0.3">
      <c r="B95" s="1441">
        <v>126293</v>
      </c>
      <c r="C95" s="1387" t="s">
        <v>2825</v>
      </c>
      <c r="D95" s="1443">
        <v>3181.4650000000001</v>
      </c>
      <c r="E95" s="1443">
        <v>1989.9079999999999</v>
      </c>
      <c r="F95" s="1443">
        <v>1237.921</v>
      </c>
      <c r="G95" s="1443">
        <v>3401.558</v>
      </c>
      <c r="H95" s="1443">
        <v>6119.348</v>
      </c>
      <c r="I95" s="1443">
        <v>5101.165</v>
      </c>
      <c r="J95" s="1443">
        <v>2970.7689999999998</v>
      </c>
      <c r="L95" s="1397">
        <f t="shared" si="18"/>
        <v>-4.413402891248841E-2</v>
      </c>
      <c r="M95" s="1397">
        <f t="shared" si="19"/>
        <v>8.3445766846212743E-2</v>
      </c>
    </row>
    <row r="96" spans="2:13" s="406" customFormat="1" x14ac:dyDescent="0.3">
      <c r="B96" s="1391" t="s">
        <v>2518</v>
      </c>
      <c r="C96" s="1391"/>
      <c r="D96" s="1392">
        <f t="shared" ref="D96:I96" si="20">SUM(D72:D95)</f>
        <v>2088394.3560000001</v>
      </c>
      <c r="E96" s="1392">
        <f t="shared" si="20"/>
        <v>2364883.9389999993</v>
      </c>
      <c r="F96" s="1392">
        <f t="shared" si="20"/>
        <v>2707403.6969999997</v>
      </c>
      <c r="G96" s="1392">
        <f t="shared" si="20"/>
        <v>3028176.8680000012</v>
      </c>
      <c r="H96" s="1392">
        <f t="shared" si="20"/>
        <v>3530524.7960000001</v>
      </c>
      <c r="I96" s="1392">
        <f t="shared" si="20"/>
        <v>3610037.463</v>
      </c>
      <c r="J96" s="1392">
        <f t="shared" ref="J96" si="21">SUM(J72:J95)</f>
        <v>3767644.9370000013</v>
      </c>
      <c r="L96" s="1399">
        <f t="shared" si="18"/>
        <v>7.5547454701880401E-2</v>
      </c>
      <c r="M96" s="1399">
        <f t="shared" si="19"/>
        <v>9.7620039032856987E-2</v>
      </c>
    </row>
    <row r="97" spans="2:10" s="1396" customFormat="1" x14ac:dyDescent="0.3">
      <c r="B97" s="1393" t="s">
        <v>2519</v>
      </c>
      <c r="C97" s="1394"/>
      <c r="D97" s="1395" t="s">
        <v>2520</v>
      </c>
      <c r="E97" s="1395">
        <f t="shared" ref="E97:J97" si="22">E96/D96-1</f>
        <v>0.13239337781470195</v>
      </c>
      <c r="F97" s="1395">
        <f t="shared" si="22"/>
        <v>0.1448357580477444</v>
      </c>
      <c r="G97" s="1395">
        <f t="shared" si="22"/>
        <v>0.1184799929746132</v>
      </c>
      <c r="H97" s="1395">
        <f t="shared" si="22"/>
        <v>0.16589121108100313</v>
      </c>
      <c r="I97" s="1395">
        <f t="shared" si="22"/>
        <v>2.2521486632833154E-2</v>
      </c>
      <c r="J97" s="1395">
        <f t="shared" si="22"/>
        <v>4.3658126990468116E-2</v>
      </c>
    </row>
    <row r="98" spans="2:10" s="406" customFormat="1" x14ac:dyDescent="0.3">
      <c r="B98" s="1389" t="s">
        <v>2810</v>
      </c>
      <c r="C98" s="1389"/>
      <c r="D98" s="1390">
        <f>D86</f>
        <v>10786.386</v>
      </c>
      <c r="E98" s="1390">
        <f t="shared" ref="E98:J98" si="23">E86</f>
        <v>11171.043</v>
      </c>
      <c r="F98" s="1390">
        <f t="shared" si="23"/>
        <v>15100.945</v>
      </c>
      <c r="G98" s="1390">
        <f t="shared" si="23"/>
        <v>13721.446</v>
      </c>
      <c r="H98" s="1390">
        <f t="shared" si="23"/>
        <v>16638.310000000001</v>
      </c>
      <c r="I98" s="1390">
        <f t="shared" si="23"/>
        <v>17654.178</v>
      </c>
      <c r="J98" s="1390">
        <f t="shared" si="23"/>
        <v>18128.764999999999</v>
      </c>
    </row>
    <row r="99" spans="2:10" s="1396" customFormat="1" x14ac:dyDescent="0.3">
      <c r="B99" s="1400" t="s">
        <v>2521</v>
      </c>
      <c r="C99" s="1401"/>
      <c r="D99" s="1402" t="s">
        <v>2522</v>
      </c>
      <c r="E99" s="1402">
        <f t="shared" ref="E99:J99" si="24">E98/D98-1</f>
        <v>3.5661341991654938E-2</v>
      </c>
      <c r="F99" s="1402">
        <f t="shared" si="24"/>
        <v>0.35179365078086255</v>
      </c>
      <c r="G99" s="1402">
        <f t="shared" si="24"/>
        <v>-9.1351832617097783E-2</v>
      </c>
      <c r="H99" s="1402">
        <f t="shared" si="24"/>
        <v>0.21257701265595497</v>
      </c>
      <c r="I99" s="1402">
        <f t="shared" si="24"/>
        <v>6.1055960611384075E-2</v>
      </c>
      <c r="J99" s="1402">
        <f t="shared" si="24"/>
        <v>2.6882418428091137E-2</v>
      </c>
    </row>
    <row r="100" spans="2:10" s="1396" customFormat="1" x14ac:dyDescent="0.3">
      <c r="B100" s="1400" t="s">
        <v>2523</v>
      </c>
      <c r="C100" s="1401"/>
      <c r="D100" s="1402">
        <f t="shared" ref="D100:I100" si="25">D98/D96</f>
        <v>5.164918191341827E-3</v>
      </c>
      <c r="E100" s="1402">
        <f t="shared" si="25"/>
        <v>4.7237172259386737E-3</v>
      </c>
      <c r="F100" s="1402">
        <f t="shared" si="25"/>
        <v>5.5776480680487161E-3</v>
      </c>
      <c r="G100" s="1402">
        <f t="shared" si="25"/>
        <v>4.5312564616024256E-3</v>
      </c>
      <c r="H100" s="1402">
        <f t="shared" si="25"/>
        <v>4.7127016410848628E-3</v>
      </c>
      <c r="I100" s="1402">
        <f t="shared" si="25"/>
        <v>4.8903032671935463E-3</v>
      </c>
      <c r="J100" s="1402">
        <f t="shared" ref="J100" si="26">J98/J96</f>
        <v>4.8116967769354308E-3</v>
      </c>
    </row>
    <row r="103" spans="2:10" x14ac:dyDescent="0.3">
      <c r="B103" s="1385" t="s">
        <v>2524</v>
      </c>
    </row>
    <row r="104" spans="2:10" x14ac:dyDescent="0.3">
      <c r="B104" s="1385"/>
    </row>
    <row r="105" spans="2:10" s="1385" customFormat="1" x14ac:dyDescent="0.3">
      <c r="B105" s="1386" t="s">
        <v>2525</v>
      </c>
      <c r="C105" s="1386" t="s">
        <v>2526</v>
      </c>
      <c r="D105" s="1386">
        <v>2008</v>
      </c>
      <c r="E105" s="1386">
        <f t="shared" ref="E105:J105" si="27">D105+1</f>
        <v>2009</v>
      </c>
      <c r="F105" s="1386">
        <f t="shared" si="27"/>
        <v>2010</v>
      </c>
      <c r="G105" s="1386">
        <f t="shared" si="27"/>
        <v>2011</v>
      </c>
      <c r="H105" s="1386">
        <f t="shared" si="27"/>
        <v>2012</v>
      </c>
      <c r="I105" s="1386">
        <f t="shared" si="27"/>
        <v>2013</v>
      </c>
      <c r="J105" s="1386">
        <f t="shared" si="27"/>
        <v>2014</v>
      </c>
    </row>
    <row r="106" spans="2:10" x14ac:dyDescent="0.3">
      <c r="B106" s="1441">
        <v>820717</v>
      </c>
      <c r="C106" s="1387" t="s">
        <v>2492</v>
      </c>
      <c r="D106" s="1429">
        <f t="shared" ref="D106:I121" si="28">D72/D38</f>
        <v>0.19680170386540427</v>
      </c>
      <c r="E106" s="1429">
        <f t="shared" si="28"/>
        <v>0.19577398720447939</v>
      </c>
      <c r="F106" s="1429">
        <f t="shared" si="28"/>
        <v>0.18075738869007965</v>
      </c>
      <c r="G106" s="1429">
        <f t="shared" si="28"/>
        <v>0.18884456435357222</v>
      </c>
      <c r="H106" s="1429">
        <f t="shared" si="28"/>
        <v>0.18356050995578427</v>
      </c>
      <c r="I106" s="1429">
        <f t="shared" si="28"/>
        <v>0.16062701101904051</v>
      </c>
      <c r="J106" s="1429">
        <f t="shared" ref="J106" si="29">J72/J38</f>
        <v>0.16368361687191282</v>
      </c>
    </row>
    <row r="107" spans="2:10" x14ac:dyDescent="0.3">
      <c r="B107" s="1441">
        <v>812536</v>
      </c>
      <c r="C107" s="1387" t="s">
        <v>2493</v>
      </c>
      <c r="D107" s="1429">
        <f t="shared" si="28"/>
        <v>0.14465251092927053</v>
      </c>
      <c r="E107" s="1429">
        <f t="shared" si="28"/>
        <v>0.1707955172514079</v>
      </c>
      <c r="F107" s="1429">
        <f t="shared" si="28"/>
        <v>0.1410079948172861</v>
      </c>
      <c r="G107" s="1429">
        <f t="shared" si="28"/>
        <v>0.12519219118748315</v>
      </c>
      <c r="H107" s="1429">
        <f t="shared" si="28"/>
        <v>0.12804240964257979</v>
      </c>
      <c r="I107" s="1429">
        <f t="shared" si="28"/>
        <v>0.13453511227799914</v>
      </c>
      <c r="J107" s="1429">
        <f t="shared" ref="J107" si="30">J73/J39</f>
        <v>0.12860615987239776</v>
      </c>
    </row>
    <row r="108" spans="2:10" x14ac:dyDescent="0.3">
      <c r="B108" s="1441">
        <v>814261</v>
      </c>
      <c r="C108" s="1387" t="s">
        <v>2494</v>
      </c>
      <c r="D108" s="1429">
        <f t="shared" si="28"/>
        <v>0.36486336460616436</v>
      </c>
      <c r="E108" s="1429">
        <f t="shared" si="28"/>
        <v>0.39427121507844692</v>
      </c>
      <c r="F108" s="1429">
        <f t="shared" si="28"/>
        <v>0.38628391802437256</v>
      </c>
      <c r="G108" s="1429">
        <f t="shared" si="28"/>
        <v>0.3942015180377067</v>
      </c>
      <c r="H108" s="1429">
        <f t="shared" si="28"/>
        <v>0.35666560035234496</v>
      </c>
      <c r="I108" s="1429">
        <f t="shared" si="28"/>
        <v>0.36858476937469015</v>
      </c>
      <c r="J108" s="1429">
        <f t="shared" ref="J108" si="31">J74/J40</f>
        <v>0.35983123341757833</v>
      </c>
    </row>
    <row r="109" spans="2:10" x14ac:dyDescent="0.3">
      <c r="B109" s="1441">
        <v>159613</v>
      </c>
      <c r="C109" s="1387" t="s">
        <v>2495</v>
      </c>
      <c r="D109" s="1429">
        <f t="shared" si="28"/>
        <v>9.3331869612186022E-2</v>
      </c>
      <c r="E109" s="1429">
        <f t="shared" si="28"/>
        <v>9.8254198189436079E-2</v>
      </c>
      <c r="F109" s="1429">
        <f t="shared" si="28"/>
        <v>0.11995222520593614</v>
      </c>
      <c r="G109" s="1429">
        <f t="shared" si="28"/>
        <v>0.10305270515608417</v>
      </c>
      <c r="H109" s="1429">
        <f t="shared" si="28"/>
        <v>9.4192182582358452E-2</v>
      </c>
      <c r="I109" s="1429">
        <f t="shared" si="28"/>
        <v>9.2229365280680431E-2</v>
      </c>
      <c r="J109" s="1429">
        <f t="shared" ref="J109" si="32">J75/J41</f>
        <v>0.10135561467494797</v>
      </c>
    </row>
    <row r="110" spans="2:10" s="406" customFormat="1" x14ac:dyDescent="0.3">
      <c r="B110" s="1442">
        <v>813605</v>
      </c>
      <c r="C110" s="1427" t="s">
        <v>2812</v>
      </c>
      <c r="D110" s="1429">
        <f t="shared" si="28"/>
        <v>0.12843321703958119</v>
      </c>
      <c r="E110" s="1429">
        <f t="shared" si="28"/>
        <v>0.13593563151306778</v>
      </c>
      <c r="F110" s="1429">
        <f t="shared" si="28"/>
        <v>0.12179860710152111</v>
      </c>
      <c r="G110" s="1429">
        <f t="shared" si="28"/>
        <v>0.11662765127413817</v>
      </c>
      <c r="H110" s="1429">
        <f t="shared" si="28"/>
        <v>0.11356209631883152</v>
      </c>
      <c r="I110" s="1429">
        <f t="shared" si="28"/>
        <v>0.12534452133326435</v>
      </c>
      <c r="J110" s="1429">
        <f t="shared" ref="J110" si="33">J76/J42</f>
        <v>0.12263808037105951</v>
      </c>
    </row>
    <row r="111" spans="2:10" x14ac:dyDescent="0.3">
      <c r="B111" s="1441">
        <v>138533</v>
      </c>
      <c r="C111" s="1387" t="s">
        <v>2497</v>
      </c>
      <c r="D111" s="1429">
        <f t="shared" si="28"/>
        <v>8.8870810250972695E-2</v>
      </c>
      <c r="E111" s="1429">
        <f t="shared" si="28"/>
        <v>7.884788071869217E-2</v>
      </c>
      <c r="F111" s="1429">
        <f t="shared" si="28"/>
        <v>7.6971927483932612E-2</v>
      </c>
      <c r="G111" s="1429">
        <f t="shared" si="28"/>
        <v>5.3317858264234012E-2</v>
      </c>
      <c r="H111" s="1429">
        <f t="shared" si="28"/>
        <v>4.5780585757289181E-2</v>
      </c>
      <c r="I111" s="1429">
        <f t="shared" si="28"/>
        <v>4.3348866080892015E-2</v>
      </c>
      <c r="J111" s="1429">
        <f t="shared" ref="J111" si="34">J77/J43</f>
        <v>6.7329012992370388E-2</v>
      </c>
    </row>
    <row r="112" spans="2:10" x14ac:dyDescent="0.3">
      <c r="B112" s="1441">
        <v>767778</v>
      </c>
      <c r="C112" s="1387" t="s">
        <v>2813</v>
      </c>
      <c r="D112" s="1429">
        <f t="shared" si="28"/>
        <v>0.15384509160146587</v>
      </c>
      <c r="E112" s="1429">
        <f t="shared" si="28"/>
        <v>0.18676256116925016</v>
      </c>
      <c r="F112" s="1429">
        <f t="shared" si="28"/>
        <v>0.14413573613922148</v>
      </c>
      <c r="G112" s="1429">
        <f t="shared" si="28"/>
        <v>0.12843980989254833</v>
      </c>
      <c r="H112" s="1429">
        <f t="shared" si="28"/>
        <v>0.11563873901675663</v>
      </c>
      <c r="I112" s="1429">
        <f t="shared" si="28"/>
        <v>0.12284495525007808</v>
      </c>
      <c r="J112" s="1429">
        <f t="shared" ref="J112" si="35">J78/J44</f>
        <v>0.1448158417473859</v>
      </c>
    </row>
    <row r="113" spans="2:10" x14ac:dyDescent="0.3">
      <c r="B113" s="1441">
        <v>165442</v>
      </c>
      <c r="C113" s="1387" t="s">
        <v>2496</v>
      </c>
      <c r="D113" s="1429">
        <f t="shared" si="28"/>
        <v>0.13867326165668717</v>
      </c>
      <c r="E113" s="1429">
        <f t="shared" si="28"/>
        <v>0.13307896488207704</v>
      </c>
      <c r="F113" s="1429">
        <f t="shared" si="28"/>
        <v>0.12727913923318571</v>
      </c>
      <c r="G113" s="1429">
        <f t="shared" si="28"/>
        <v>0.13185503553023706</v>
      </c>
      <c r="H113" s="1429">
        <f t="shared" si="28"/>
        <v>0.20206851567347378</v>
      </c>
      <c r="I113" s="1429">
        <f t="shared" si="28"/>
        <v>0.24679486710542189</v>
      </c>
      <c r="J113" s="1429">
        <f t="shared" ref="J113" si="36">J79/J45</f>
        <v>0.26588701590671249</v>
      </c>
    </row>
    <row r="114" spans="2:10" x14ac:dyDescent="0.3">
      <c r="B114" s="1441" t="s">
        <v>2826</v>
      </c>
      <c r="C114" s="1387" t="s">
        <v>2498</v>
      </c>
      <c r="D114" s="1429">
        <f t="shared" si="28"/>
        <v>0.44736191283588195</v>
      </c>
      <c r="E114" s="1429">
        <f t="shared" si="28"/>
        <v>0.39833065515453142</v>
      </c>
      <c r="F114" s="1429">
        <f t="shared" si="28"/>
        <v>0.29793928243325685</v>
      </c>
      <c r="G114" s="1429">
        <f t="shared" si="28"/>
        <v>0.22949711403847281</v>
      </c>
      <c r="H114" s="1429">
        <f t="shared" si="28"/>
        <v>0.23427310266692092</v>
      </c>
      <c r="I114" s="1429">
        <f t="shared" si="28"/>
        <v>0.23207170680026196</v>
      </c>
      <c r="J114" s="1429">
        <f t="shared" ref="J114" si="37">J80/J46</f>
        <v>0.3285171854373079</v>
      </c>
    </row>
    <row r="115" spans="2:10" x14ac:dyDescent="0.3">
      <c r="B115" s="1441">
        <v>46305</v>
      </c>
      <c r="C115" s="1387" t="s">
        <v>2814</v>
      </c>
      <c r="D115" s="1429">
        <f t="shared" si="28"/>
        <v>0.18765655912234183</v>
      </c>
      <c r="E115" s="1429">
        <f t="shared" si="28"/>
        <v>0.16937932782213219</v>
      </c>
      <c r="F115" s="1429">
        <f t="shared" si="28"/>
        <v>0.17545118047409025</v>
      </c>
      <c r="G115" s="1429">
        <f t="shared" si="28"/>
        <v>0.14877084915852842</v>
      </c>
      <c r="H115" s="1429">
        <f t="shared" si="28"/>
        <v>0.160191355388039</v>
      </c>
      <c r="I115" s="1429">
        <f t="shared" si="28"/>
        <v>0.16177378897005212</v>
      </c>
      <c r="J115" s="1429">
        <f t="shared" ref="J115" si="38">J81/J47</f>
        <v>0.20918932068588342</v>
      </c>
    </row>
    <row r="116" spans="2:10" x14ac:dyDescent="0.3">
      <c r="B116" s="1441">
        <v>267171</v>
      </c>
      <c r="C116" s="1387" t="s">
        <v>2815</v>
      </c>
      <c r="D116" s="1429">
        <f t="shared" si="28"/>
        <v>9.5660887123612814E-2</v>
      </c>
      <c r="E116" s="1429">
        <f t="shared" si="28"/>
        <v>7.9174732678060869E-2</v>
      </c>
      <c r="F116" s="1429">
        <f t="shared" si="28"/>
        <v>8.4408752029124109E-2</v>
      </c>
      <c r="G116" s="1429">
        <f t="shared" si="28"/>
        <v>7.2308112718568365E-2</v>
      </c>
      <c r="H116" s="1429">
        <f t="shared" si="28"/>
        <v>6.902274332757169E-2</v>
      </c>
      <c r="I116" s="1429">
        <f t="shared" si="28"/>
        <v>7.3273664981264156E-2</v>
      </c>
      <c r="J116" s="1429">
        <f t="shared" ref="J116" si="39">J82/J48</f>
        <v>6.1411579846560045E-2</v>
      </c>
    </row>
    <row r="117" spans="2:10" x14ac:dyDescent="0.3">
      <c r="B117" s="1441">
        <v>352098</v>
      </c>
      <c r="C117" s="1387" t="s">
        <v>2816</v>
      </c>
      <c r="D117" s="1429">
        <f t="shared" si="28"/>
        <v>0.12973842447535261</v>
      </c>
      <c r="E117" s="1429">
        <f t="shared" si="28"/>
        <v>9.7282349819145075E-2</v>
      </c>
      <c r="F117" s="1429">
        <f t="shared" si="28"/>
        <v>0.103115635628571</v>
      </c>
      <c r="G117" s="1429">
        <f t="shared" si="28"/>
        <v>0.10226498724605224</v>
      </c>
      <c r="H117" s="1429">
        <f t="shared" si="28"/>
        <v>0.11227479932301662</v>
      </c>
      <c r="I117" s="1429">
        <f t="shared" si="28"/>
        <v>0.10618024774492731</v>
      </c>
      <c r="J117" s="1429">
        <f t="shared" ref="J117" si="40">J83/J49</f>
        <v>0.11578998950137262</v>
      </c>
    </row>
    <row r="118" spans="2:10" x14ac:dyDescent="0.3">
      <c r="B118" s="1441">
        <v>820377</v>
      </c>
      <c r="C118" s="1387" t="s">
        <v>2817</v>
      </c>
      <c r="D118" s="1429">
        <f t="shared" si="28"/>
        <v>0.49510116755597983</v>
      </c>
      <c r="E118" s="1429">
        <f t="shared" si="28"/>
        <v>0.55564572472411577</v>
      </c>
      <c r="F118" s="1429">
        <f t="shared" si="28"/>
        <v>0.5523553778003033</v>
      </c>
      <c r="G118" s="1429">
        <f t="shared" si="28"/>
        <v>0.52316861158710359</v>
      </c>
      <c r="H118" s="1429">
        <f t="shared" si="28"/>
        <v>0.48130228981834744</v>
      </c>
      <c r="I118" s="1429">
        <f t="shared" si="28"/>
        <v>0.41233987909406139</v>
      </c>
      <c r="J118" s="1429">
        <f t="shared" ref="J118" si="41">J84/J50</f>
        <v>0.43903732891175729</v>
      </c>
    </row>
    <row r="119" spans="2:10" x14ac:dyDescent="0.3">
      <c r="B119" s="1441">
        <v>54419</v>
      </c>
      <c r="C119" s="1387" t="s">
        <v>2499</v>
      </c>
      <c r="D119" s="1429">
        <f t="shared" si="28"/>
        <v>0.17172782071381962</v>
      </c>
      <c r="E119" s="1429">
        <f t="shared" si="28"/>
        <v>0.15459884346829891</v>
      </c>
      <c r="F119" s="1429">
        <f t="shared" si="28"/>
        <v>0.15533228498194895</v>
      </c>
      <c r="G119" s="1429">
        <f t="shared" si="28"/>
        <v>0.15719235310564891</v>
      </c>
      <c r="H119" s="1429">
        <f t="shared" si="28"/>
        <v>0.13848921516549101</v>
      </c>
      <c r="I119" s="1429">
        <f t="shared" si="28"/>
        <v>0.11655709343379915</v>
      </c>
      <c r="J119" s="1429">
        <f t="shared" ref="J119" si="42">J85/J51</f>
        <v>0.12765175627351028</v>
      </c>
    </row>
    <row r="120" spans="2:10" x14ac:dyDescent="0.3">
      <c r="B120" s="1441">
        <v>385861</v>
      </c>
      <c r="C120" s="1387" t="s">
        <v>2818</v>
      </c>
      <c r="D120" s="1429">
        <f t="shared" si="28"/>
        <v>0.1436119870257484</v>
      </c>
      <c r="E120" s="1429">
        <f t="shared" si="28"/>
        <v>0.16445796102798566</v>
      </c>
      <c r="F120" s="1429">
        <f t="shared" si="28"/>
        <v>0.14921465435728734</v>
      </c>
      <c r="G120" s="1429">
        <f t="shared" si="28"/>
        <v>0.11425878945327643</v>
      </c>
      <c r="H120" s="1429">
        <f t="shared" si="28"/>
        <v>9.1279223763830492E-2</v>
      </c>
      <c r="I120" s="1429">
        <f t="shared" si="28"/>
        <v>8.339898445210403E-2</v>
      </c>
      <c r="J120" s="1429">
        <f t="shared" ref="J120" si="43">J86/J52</f>
        <v>7.1993611138447558E-2</v>
      </c>
    </row>
    <row r="121" spans="2:10" x14ac:dyDescent="0.3">
      <c r="B121" s="1441">
        <v>790681</v>
      </c>
      <c r="C121" s="1387" t="s">
        <v>2819</v>
      </c>
      <c r="D121" s="1429">
        <f t="shared" si="28"/>
        <v>0.3238534290482093</v>
      </c>
      <c r="E121" s="1429">
        <f t="shared" si="28"/>
        <v>0.29773916034090875</v>
      </c>
      <c r="F121" s="1429">
        <f t="shared" si="28"/>
        <v>0.28055956191397946</v>
      </c>
      <c r="G121" s="1429">
        <f t="shared" si="28"/>
        <v>0.24378595468416994</v>
      </c>
      <c r="H121" s="1429">
        <f t="shared" si="28"/>
        <v>0.28792007701043165</v>
      </c>
      <c r="I121" s="1429">
        <f t="shared" si="28"/>
        <v>0.26723818133790961</v>
      </c>
      <c r="J121" s="1429">
        <f t="shared" ref="J121" si="44">J87/J53</f>
        <v>0.11938384667382054</v>
      </c>
    </row>
    <row r="122" spans="2:10" x14ac:dyDescent="0.3">
      <c r="B122" s="1441">
        <v>538787</v>
      </c>
      <c r="C122" s="1387" t="s">
        <v>2820</v>
      </c>
      <c r="D122" s="1429">
        <f t="shared" ref="D122:J129" si="45">D88/D54</f>
        <v>0.30412887394015498</v>
      </c>
      <c r="E122" s="1429">
        <f t="shared" si="45"/>
        <v>0.19102297571943247</v>
      </c>
      <c r="F122" s="1429">
        <f t="shared" si="45"/>
        <v>0.17327621592448941</v>
      </c>
      <c r="G122" s="1429">
        <f t="shared" si="45"/>
        <v>0.1820559825851894</v>
      </c>
      <c r="H122" s="1429">
        <f t="shared" si="45"/>
        <v>0.18630225836862577</v>
      </c>
      <c r="I122" s="1429">
        <f t="shared" si="45"/>
        <v>0.2150595694687456</v>
      </c>
      <c r="J122" s="1429">
        <f t="shared" si="45"/>
        <v>0.20439650902523906</v>
      </c>
    </row>
    <row r="123" spans="2:10" x14ac:dyDescent="0.3">
      <c r="B123" s="1441">
        <v>830798</v>
      </c>
      <c r="C123" s="1387" t="s">
        <v>2500</v>
      </c>
      <c r="D123" s="1429">
        <f t="shared" si="45"/>
        <v>0.12988488644869758</v>
      </c>
      <c r="E123" s="1429">
        <f t="shared" si="45"/>
        <v>0.14689351203411122</v>
      </c>
      <c r="F123" s="1429">
        <f t="shared" si="45"/>
        <v>0.1203437403749186</v>
      </c>
      <c r="G123" s="1429">
        <f t="shared" si="45"/>
        <v>9.7519924255147536E-2</v>
      </c>
      <c r="H123" s="1429">
        <f t="shared" si="45"/>
        <v>9.2362895578142076E-2</v>
      </c>
      <c r="I123" s="1429">
        <f t="shared" si="45"/>
        <v>9.2514688095706246E-2</v>
      </c>
      <c r="J123" s="1429">
        <f t="shared" si="45"/>
        <v>0.10074684606405275</v>
      </c>
    </row>
    <row r="124" spans="2:10" x14ac:dyDescent="0.3">
      <c r="B124" s="1441">
        <v>384194</v>
      </c>
      <c r="C124" s="1387" t="s">
        <v>2821</v>
      </c>
      <c r="D124" s="1429">
        <f t="shared" si="45"/>
        <v>0.10588114648697255</v>
      </c>
      <c r="E124" s="1429">
        <f t="shared" si="45"/>
        <v>9.2600048465620838E-2</v>
      </c>
      <c r="F124" s="1429">
        <f t="shared" si="45"/>
        <v>0.1158364676644279</v>
      </c>
      <c r="G124" s="1429">
        <f t="shared" si="45"/>
        <v>0.11214212957816026</v>
      </c>
      <c r="H124" s="1429">
        <f t="shared" si="45"/>
        <v>0.13128735655559517</v>
      </c>
      <c r="I124" s="1429">
        <f t="shared" si="45"/>
        <v>0.11742565046826697</v>
      </c>
      <c r="J124" s="1429">
        <f t="shared" si="45"/>
        <v>7.555918915246429E-2</v>
      </c>
    </row>
    <row r="125" spans="2:10" x14ac:dyDescent="0.3">
      <c r="B125" s="1441">
        <v>813796</v>
      </c>
      <c r="C125" s="1387" t="s">
        <v>2501</v>
      </c>
      <c r="D125" s="1429">
        <f t="shared" si="45"/>
        <v>9.8714662882263424E-2</v>
      </c>
      <c r="E125" s="1429">
        <f t="shared" si="45"/>
        <v>7.9461786071952034E-2</v>
      </c>
      <c r="F125" s="1429">
        <f t="shared" si="45"/>
        <v>6.2209786974777019E-2</v>
      </c>
      <c r="G125" s="1429">
        <f t="shared" si="45"/>
        <v>3.9241240246845124E-2</v>
      </c>
      <c r="H125" s="1429">
        <f t="shared" si="45"/>
        <v>4.5193675893185167E-2</v>
      </c>
      <c r="I125" s="1429">
        <f t="shared" si="45"/>
        <v>3.7265247562433705E-2</v>
      </c>
      <c r="J125" s="1429">
        <f t="shared" si="45"/>
        <v>3.2460256880873256E-2</v>
      </c>
    </row>
    <row r="126" spans="2:10" x14ac:dyDescent="0.3">
      <c r="B126" s="1441">
        <v>102411</v>
      </c>
      <c r="C126" s="1387" t="s">
        <v>2822</v>
      </c>
      <c r="D126" s="1429">
        <f t="shared" si="45"/>
        <v>0.16160804361721703</v>
      </c>
      <c r="E126" s="1429">
        <f t="shared" si="45"/>
        <v>0.14471854497344178</v>
      </c>
      <c r="F126" s="1429">
        <f t="shared" si="45"/>
        <v>0.10988983928898532</v>
      </c>
      <c r="G126" s="1429">
        <f t="shared" si="45"/>
        <v>0.11524286570270659</v>
      </c>
      <c r="H126" s="1429">
        <f t="shared" si="45"/>
        <v>9.2031198024881564E-2</v>
      </c>
      <c r="I126" s="1429">
        <f t="shared" si="45"/>
        <v>4.5987401762749867E-2</v>
      </c>
      <c r="J126" s="1429">
        <f t="shared" si="45"/>
        <v>6.02525214951109E-2</v>
      </c>
    </row>
    <row r="127" spans="2:10" x14ac:dyDescent="0.3">
      <c r="B127" s="1441">
        <v>99090</v>
      </c>
      <c r="C127" s="1387" t="s">
        <v>2823</v>
      </c>
      <c r="D127" s="1429">
        <f t="shared" si="45"/>
        <v>5.3889416155031865E-2</v>
      </c>
      <c r="E127" s="1429">
        <f t="shared" si="45"/>
        <v>8.4556135652799555E-2</v>
      </c>
      <c r="F127" s="1429">
        <f t="shared" si="45"/>
        <v>-1.0272988520910721E-2</v>
      </c>
      <c r="G127" s="1429">
        <f t="shared" si="45"/>
        <v>3.3669146522001009E-2</v>
      </c>
      <c r="H127" s="1429">
        <f t="shared" si="45"/>
        <v>3.2206772785261955E-3</v>
      </c>
      <c r="I127" s="1429">
        <f t="shared" si="45"/>
        <v>-7.453727644325768E-2</v>
      </c>
      <c r="J127" s="1429">
        <f t="shared" si="45"/>
        <v>-2.1280439600321697E-2</v>
      </c>
    </row>
    <row r="128" spans="2:10" x14ac:dyDescent="0.3">
      <c r="B128" s="1441">
        <v>814083</v>
      </c>
      <c r="C128" s="1387" t="s">
        <v>2824</v>
      </c>
      <c r="D128" s="1429">
        <f t="shared" si="45"/>
        <v>0.11840423360516607</v>
      </c>
      <c r="E128" s="1429">
        <f t="shared" si="45"/>
        <v>0.11524416878502246</v>
      </c>
      <c r="F128" s="1429">
        <f t="shared" si="45"/>
        <v>7.8848342564225821E-2</v>
      </c>
      <c r="G128" s="1429">
        <f t="shared" si="45"/>
        <v>7.3847921641381709E-2</v>
      </c>
      <c r="H128" s="1429">
        <f t="shared" si="45"/>
        <v>4.4497961842901654E-2</v>
      </c>
      <c r="I128" s="1429">
        <f t="shared" si="45"/>
        <v>6.3538919909656724E-2</v>
      </c>
      <c r="J128" s="1429">
        <f t="shared" si="45"/>
        <v>0.10441620937476703</v>
      </c>
    </row>
    <row r="129" spans="2:13" x14ac:dyDescent="0.3">
      <c r="B129" s="1441">
        <v>126293</v>
      </c>
      <c r="C129" s="1387" t="s">
        <v>2825</v>
      </c>
      <c r="D129" s="1429">
        <f t="shared" si="45"/>
        <v>0.12851918297660975</v>
      </c>
      <c r="E129" s="1429">
        <f t="shared" si="45"/>
        <v>6.3999225026822218E-2</v>
      </c>
      <c r="F129" s="1429">
        <f t="shared" si="45"/>
        <v>3.1939509622933127E-2</v>
      </c>
      <c r="G129" s="1429">
        <f t="shared" si="45"/>
        <v>5.8901383172756568E-2</v>
      </c>
      <c r="H129" s="1429">
        <f t="shared" si="45"/>
        <v>6.914731988014769E-2</v>
      </c>
      <c r="I129" s="1429">
        <f t="shared" si="45"/>
        <v>5.9444753849112679E-2</v>
      </c>
      <c r="J129" s="1429">
        <f t="shared" si="45"/>
        <v>3.3725718858120701E-2</v>
      </c>
    </row>
    <row r="130" spans="2:13" s="406" customFormat="1" x14ac:dyDescent="0.3">
      <c r="B130" s="1403" t="s">
        <v>2527</v>
      </c>
      <c r="C130" s="1403"/>
      <c r="D130" s="1404">
        <f>AVERAGE(D106:D117,D119:D129)</f>
        <v>0.1700049259138614</v>
      </c>
      <c r="E130" s="1404">
        <f t="shared" ref="E130:J130" si="46">AVERAGE(E106:E117,E119:E129)</f>
        <v>0.15970345143683146</v>
      </c>
      <c r="F130" s="1404">
        <f t="shared" si="46"/>
        <v>0.14027300880033219</v>
      </c>
      <c r="G130" s="1404">
        <f t="shared" si="46"/>
        <v>0.1314013081654308</v>
      </c>
      <c r="H130" s="1404">
        <f t="shared" si="46"/>
        <v>0.13030454345072717</v>
      </c>
      <c r="I130" s="1404">
        <f t="shared" si="46"/>
        <v>0.12571748217894779</v>
      </c>
      <c r="J130" s="1404">
        <f t="shared" si="46"/>
        <v>0.12949394246354665</v>
      </c>
    </row>
    <row r="131" spans="2:13" s="406" customFormat="1" x14ac:dyDescent="0.3">
      <c r="B131" s="1403" t="s">
        <v>2528</v>
      </c>
      <c r="C131" s="1403"/>
      <c r="D131" s="1404">
        <f>MEDIAN(D106:D117,D119:D129)</f>
        <v>0.13867326165668717</v>
      </c>
      <c r="E131" s="1404">
        <f t="shared" ref="E131:J131" si="47">MEDIAN(E106:E117,E119:E129)</f>
        <v>0.14471854497344178</v>
      </c>
      <c r="F131" s="1404">
        <f t="shared" si="47"/>
        <v>0.12179860710152111</v>
      </c>
      <c r="G131" s="1404">
        <f t="shared" si="47"/>
        <v>0.11524286570270659</v>
      </c>
      <c r="H131" s="1404">
        <f t="shared" si="47"/>
        <v>0.11356209631883152</v>
      </c>
      <c r="I131" s="1404">
        <f t="shared" si="47"/>
        <v>0.11655709343379915</v>
      </c>
      <c r="J131" s="1404">
        <f t="shared" si="47"/>
        <v>0.11578998950137262</v>
      </c>
    </row>
    <row r="132" spans="2:13" s="406" customFormat="1" x14ac:dyDescent="0.3">
      <c r="B132" s="1389" t="s">
        <v>2811</v>
      </c>
      <c r="C132" s="1389"/>
      <c r="D132" s="1398">
        <f>D120</f>
        <v>0.1436119870257484</v>
      </c>
      <c r="E132" s="1398">
        <f t="shared" ref="E132:J132" si="48">E120</f>
        <v>0.16445796102798566</v>
      </c>
      <c r="F132" s="1398">
        <f t="shared" si="48"/>
        <v>0.14921465435728734</v>
      </c>
      <c r="G132" s="1398">
        <f t="shared" si="48"/>
        <v>0.11425878945327643</v>
      </c>
      <c r="H132" s="1398">
        <f t="shared" si="48"/>
        <v>9.1279223763830492E-2</v>
      </c>
      <c r="I132" s="1398">
        <f t="shared" si="48"/>
        <v>8.339898445210403E-2</v>
      </c>
      <c r="J132" s="1398">
        <f t="shared" si="48"/>
        <v>7.1993611138447558E-2</v>
      </c>
    </row>
    <row r="135" spans="2:13" x14ac:dyDescent="0.3">
      <c r="B135" s="1385" t="s">
        <v>115</v>
      </c>
    </row>
    <row r="136" spans="2:13" x14ac:dyDescent="0.3">
      <c r="B136" s="1385"/>
    </row>
    <row r="137" spans="2:13" s="1385" customFormat="1" x14ac:dyDescent="0.3">
      <c r="B137" s="1386" t="s">
        <v>2490</v>
      </c>
      <c r="C137" s="1386" t="s">
        <v>2491</v>
      </c>
      <c r="D137" s="1386">
        <v>2008</v>
      </c>
      <c r="E137" s="1386">
        <f t="shared" ref="E137:J137" si="49">D137+1</f>
        <v>2009</v>
      </c>
      <c r="F137" s="1386">
        <f t="shared" si="49"/>
        <v>2010</v>
      </c>
      <c r="G137" s="1386">
        <f t="shared" si="49"/>
        <v>2011</v>
      </c>
      <c r="H137" s="1386">
        <f t="shared" si="49"/>
        <v>2012</v>
      </c>
      <c r="I137" s="1386">
        <f t="shared" si="49"/>
        <v>2013</v>
      </c>
      <c r="J137" s="1386">
        <f t="shared" si="49"/>
        <v>2014</v>
      </c>
      <c r="L137" s="1386" t="s">
        <v>2529</v>
      </c>
      <c r="M137" s="1386" t="s">
        <v>2530</v>
      </c>
    </row>
    <row r="138" spans="2:13" x14ac:dyDescent="0.3">
      <c r="B138" s="1441">
        <v>820717</v>
      </c>
      <c r="C138" s="1387" t="s">
        <v>2492</v>
      </c>
      <c r="D138" s="1443">
        <v>280351.04800000001</v>
      </c>
      <c r="E138" s="1443">
        <v>295736.26199999999</v>
      </c>
      <c r="F138" s="1443">
        <v>387736.39899999998</v>
      </c>
      <c r="G138" s="1443">
        <v>413655.77299999999</v>
      </c>
      <c r="H138" s="1443">
        <v>558005.54599999997</v>
      </c>
      <c r="I138" s="1443">
        <v>505628.87400000001</v>
      </c>
      <c r="J138" s="1443">
        <v>593419.18200000003</v>
      </c>
      <c r="L138" s="1397">
        <f t="shared" ref="L138:L162" si="50">(J138/G138)^(1/3)-1</f>
        <v>0.12782269681271852</v>
      </c>
      <c r="M138" s="1397">
        <f t="shared" ref="M138:M162" si="51">(J138/E138)^(1/5)-1</f>
        <v>0.14945348215344678</v>
      </c>
    </row>
    <row r="139" spans="2:13" x14ac:dyDescent="0.3">
      <c r="B139" s="1441">
        <v>812536</v>
      </c>
      <c r="C139" s="1387" t="s">
        <v>2493</v>
      </c>
      <c r="D139" s="1443">
        <v>142102.62299999999</v>
      </c>
      <c r="E139" s="1443">
        <v>167355.02299999999</v>
      </c>
      <c r="F139" s="1443">
        <v>156831.57500000001</v>
      </c>
      <c r="G139" s="1443">
        <v>120142.568</v>
      </c>
      <c r="H139" s="1443">
        <v>137203.46799999999</v>
      </c>
      <c r="I139" s="1443">
        <v>147932.73499999999</v>
      </c>
      <c r="J139" s="1443">
        <v>153371.50200000001</v>
      </c>
      <c r="L139" s="1397">
        <f t="shared" si="50"/>
        <v>8.4798943064343657E-2</v>
      </c>
      <c r="M139" s="1397">
        <f t="shared" si="51"/>
        <v>-1.7299484701827184E-2</v>
      </c>
    </row>
    <row r="140" spans="2:13" x14ac:dyDescent="0.3">
      <c r="B140" s="1441">
        <v>814261</v>
      </c>
      <c r="C140" s="1387" t="s">
        <v>2494</v>
      </c>
      <c r="D140" s="1443">
        <v>89214.035000000003</v>
      </c>
      <c r="E140" s="1443">
        <v>127642.43399999999</v>
      </c>
      <c r="F140" s="1443">
        <v>162300.864</v>
      </c>
      <c r="G140" s="1443">
        <v>175731.878</v>
      </c>
      <c r="H140" s="1443">
        <v>200727.33300000001</v>
      </c>
      <c r="I140" s="1443">
        <v>225192.92199999999</v>
      </c>
      <c r="J140" s="1443">
        <v>271541.72399999999</v>
      </c>
      <c r="L140" s="1397">
        <f t="shared" si="50"/>
        <v>0.15609983777154923</v>
      </c>
      <c r="M140" s="1397">
        <f t="shared" si="51"/>
        <v>0.16296942954104132</v>
      </c>
    </row>
    <row r="141" spans="2:13" x14ac:dyDescent="0.3">
      <c r="B141" s="1441">
        <v>159613</v>
      </c>
      <c r="C141" s="1387" t="s">
        <v>2495</v>
      </c>
      <c r="D141" s="1443">
        <v>22912.437000000002</v>
      </c>
      <c r="E141" s="1443">
        <v>30297.213</v>
      </c>
      <c r="F141" s="1443">
        <v>39166.968999999997</v>
      </c>
      <c r="G141" s="1443">
        <v>42674.345999999998</v>
      </c>
      <c r="H141" s="1443">
        <v>49859.815999999999</v>
      </c>
      <c r="I141" s="1443">
        <v>54044.046000000002</v>
      </c>
      <c r="J141" s="1443">
        <v>65174.716999999997</v>
      </c>
      <c r="L141" s="1397">
        <f t="shared" si="50"/>
        <v>0.15160646239637954</v>
      </c>
      <c r="M141" s="1397">
        <f t="shared" si="51"/>
        <v>0.16556177129519112</v>
      </c>
    </row>
    <row r="142" spans="2:13" s="406" customFormat="1" x14ac:dyDescent="0.3">
      <c r="B142" s="1442">
        <v>813605</v>
      </c>
      <c r="C142" s="1427" t="s">
        <v>2812</v>
      </c>
      <c r="D142" s="1443">
        <v>20476.537</v>
      </c>
      <c r="E142" s="1443">
        <v>9664.3690000000006</v>
      </c>
      <c r="F142" s="1443">
        <v>21990.263999999999</v>
      </c>
      <c r="G142" s="1443">
        <v>31249.434000000001</v>
      </c>
      <c r="H142" s="1443">
        <v>30545.856</v>
      </c>
      <c r="I142" s="1443">
        <v>65923.747000000003</v>
      </c>
      <c r="J142" s="1443">
        <v>44660.976000000002</v>
      </c>
      <c r="L142" s="1397">
        <f t="shared" si="50"/>
        <v>0.12640702759321298</v>
      </c>
      <c r="M142" s="1397">
        <f t="shared" si="51"/>
        <v>0.35816001743050152</v>
      </c>
    </row>
    <row r="143" spans="2:13" x14ac:dyDescent="0.3">
      <c r="B143" s="1441">
        <v>138533</v>
      </c>
      <c r="C143" s="1387" t="s">
        <v>2497</v>
      </c>
      <c r="D143" s="1443">
        <v>15608.413</v>
      </c>
      <c r="E143" s="1443">
        <v>14741.564</v>
      </c>
      <c r="F143" s="1443">
        <v>14943.795</v>
      </c>
      <c r="G143" s="1443">
        <v>12061.476000000001</v>
      </c>
      <c r="H143" s="1443">
        <v>9930.4339999999993</v>
      </c>
      <c r="I143" s="1443">
        <v>10155.415000000001</v>
      </c>
      <c r="J143" s="1443">
        <v>28398.576000000001</v>
      </c>
      <c r="L143" s="1397">
        <f t="shared" si="50"/>
        <v>0.33034833026535315</v>
      </c>
      <c r="M143" s="1397">
        <f t="shared" si="51"/>
        <v>0.14012009485241506</v>
      </c>
    </row>
    <row r="144" spans="2:13" x14ac:dyDescent="0.3">
      <c r="B144" s="1441">
        <v>767778</v>
      </c>
      <c r="C144" s="1387" t="s">
        <v>2813</v>
      </c>
      <c r="D144" s="1443">
        <v>28708.184000000001</v>
      </c>
      <c r="E144" s="1443">
        <v>42796.7</v>
      </c>
      <c r="F144" s="1443">
        <v>24182.754000000001</v>
      </c>
      <c r="G144" s="1443">
        <v>8298.4830000000002</v>
      </c>
      <c r="H144" s="1443">
        <v>461.78399999999999</v>
      </c>
      <c r="I144" s="1443">
        <v>4472.9089999999997</v>
      </c>
      <c r="J144" s="1443">
        <v>18244.953000000001</v>
      </c>
      <c r="L144" s="1397">
        <f t="shared" si="50"/>
        <v>0.30031332623527218</v>
      </c>
      <c r="M144" s="1397">
        <f t="shared" si="51"/>
        <v>-0.15676913780919199</v>
      </c>
    </row>
    <row r="145" spans="2:13" x14ac:dyDescent="0.3">
      <c r="B145" s="1441">
        <v>165442</v>
      </c>
      <c r="C145" s="1387" t="s">
        <v>2496</v>
      </c>
      <c r="D145" s="1443">
        <v>16887.43</v>
      </c>
      <c r="E145" s="1443">
        <v>22084.276999999998</v>
      </c>
      <c r="F145" s="1443">
        <v>53434.038999999997</v>
      </c>
      <c r="G145" s="1443">
        <v>75973.245999999999</v>
      </c>
      <c r="H145" s="1443">
        <v>169157.05100000001</v>
      </c>
      <c r="I145" s="1443">
        <v>182906.69699999999</v>
      </c>
      <c r="J145" s="1443">
        <v>186365.54699999999</v>
      </c>
      <c r="L145" s="1397">
        <f t="shared" si="50"/>
        <v>0.34865742799429134</v>
      </c>
      <c r="M145" s="1397">
        <f t="shared" si="51"/>
        <v>0.5319919685183907</v>
      </c>
    </row>
    <row r="146" spans="2:13" x14ac:dyDescent="0.3">
      <c r="B146" s="1441" t="s">
        <v>2826</v>
      </c>
      <c r="C146" s="1387" t="s">
        <v>2498</v>
      </c>
      <c r="D146" s="1443">
        <v>172.69399999999999</v>
      </c>
      <c r="E146" s="1443">
        <v>9216.2960000000003</v>
      </c>
      <c r="F146" s="1443">
        <v>9767</v>
      </c>
      <c r="G146" s="1443">
        <v>13798.102000000001</v>
      </c>
      <c r="H146" s="1443">
        <v>20472.103999999999</v>
      </c>
      <c r="I146" s="1443">
        <v>20851.803</v>
      </c>
      <c r="J146" s="1443">
        <v>-11923.451999999999</v>
      </c>
      <c r="L146" s="1397">
        <f t="shared" si="50"/>
        <v>-1.9524910105058451</v>
      </c>
      <c r="M146" s="1397">
        <f t="shared" si="51"/>
        <v>-2.0528563447505546</v>
      </c>
    </row>
    <row r="147" spans="2:13" x14ac:dyDescent="0.3">
      <c r="B147" s="1441">
        <v>46305</v>
      </c>
      <c r="C147" s="1387" t="s">
        <v>2814</v>
      </c>
      <c r="D147" s="1443">
        <v>8337.7489999999998</v>
      </c>
      <c r="E147" s="1443">
        <v>10202.962</v>
      </c>
      <c r="F147" s="1443">
        <v>19171.114000000001</v>
      </c>
      <c r="G147" s="1443">
        <v>19965.576000000001</v>
      </c>
      <c r="H147" s="1443">
        <v>25848.578000000001</v>
      </c>
      <c r="I147" s="1443">
        <v>32827.156999999999</v>
      </c>
      <c r="J147" s="1443">
        <v>41380.944000000003</v>
      </c>
      <c r="L147" s="1397">
        <f t="shared" si="50"/>
        <v>0.27498825245561886</v>
      </c>
      <c r="M147" s="1397">
        <f t="shared" si="51"/>
        <v>0.32316749950620216</v>
      </c>
    </row>
    <row r="148" spans="2:13" x14ac:dyDescent="0.3">
      <c r="B148" s="1441">
        <v>267171</v>
      </c>
      <c r="C148" s="1387" t="s">
        <v>2815</v>
      </c>
      <c r="D148" s="1443">
        <v>12565.54</v>
      </c>
      <c r="E148" s="1443">
        <v>10976.901</v>
      </c>
      <c r="F148" s="1443">
        <v>9920.116</v>
      </c>
      <c r="G148" s="1443">
        <v>3635.527</v>
      </c>
      <c r="H148" s="1443">
        <v>630.03399999999999</v>
      </c>
      <c r="I148" s="1443">
        <v>4153.8950000000004</v>
      </c>
      <c r="J148" s="1443">
        <v>1609.539</v>
      </c>
      <c r="L148" s="1397">
        <f t="shared" si="50"/>
        <v>-0.23784253100278552</v>
      </c>
      <c r="M148" s="1397">
        <f t="shared" si="51"/>
        <v>-0.31884750553772534</v>
      </c>
    </row>
    <row r="149" spans="2:13" x14ac:dyDescent="0.3">
      <c r="B149" s="1441">
        <v>352098</v>
      </c>
      <c r="C149" s="1387" t="s">
        <v>2816</v>
      </c>
      <c r="D149" s="1443">
        <v>5966.0950000000003</v>
      </c>
      <c r="E149" s="1443">
        <v>5208.7129999999997</v>
      </c>
      <c r="F149" s="1443">
        <v>-3978.9949999999999</v>
      </c>
      <c r="G149" s="1443">
        <v>14451.262000000001</v>
      </c>
      <c r="H149" s="1443">
        <v>21835.953000000001</v>
      </c>
      <c r="I149" s="1443">
        <v>10813.085999999999</v>
      </c>
      <c r="J149" s="1443">
        <v>-14430.984</v>
      </c>
      <c r="L149" s="1397">
        <f t="shared" si="50"/>
        <v>-1.999532047971722</v>
      </c>
      <c r="M149" s="1397">
        <f t="shared" si="51"/>
        <v>-2.2260638943757169</v>
      </c>
    </row>
    <row r="150" spans="2:13" x14ac:dyDescent="0.3">
      <c r="B150" s="1441">
        <v>820377</v>
      </c>
      <c r="C150" s="1387" t="s">
        <v>2817</v>
      </c>
      <c r="D150" s="1443">
        <v>43473.063000000002</v>
      </c>
      <c r="E150" s="1443">
        <v>43706.591</v>
      </c>
      <c r="F150" s="1443">
        <v>52134.576999999997</v>
      </c>
      <c r="G150" s="1443">
        <v>50937.633999999998</v>
      </c>
      <c r="H150" s="1443">
        <v>24245.123</v>
      </c>
      <c r="I150" s="1443">
        <v>9083.9089999999997</v>
      </c>
      <c r="J150" s="1443">
        <v>4143.6239999999998</v>
      </c>
      <c r="L150" s="1397">
        <f t="shared" si="50"/>
        <v>-0.56670814649980561</v>
      </c>
      <c r="M150" s="1397">
        <f t="shared" si="51"/>
        <v>-0.37573831370166777</v>
      </c>
    </row>
    <row r="151" spans="2:13" x14ac:dyDescent="0.3">
      <c r="B151" s="1441">
        <v>54419</v>
      </c>
      <c r="C151" s="1387" t="s">
        <v>2499</v>
      </c>
      <c r="D151" s="1443">
        <v>17520.187999999998</v>
      </c>
      <c r="E151" s="1443">
        <v>22309.353999999999</v>
      </c>
      <c r="F151" s="1443">
        <v>17607.377</v>
      </c>
      <c r="G151" s="1443">
        <v>19317.537</v>
      </c>
      <c r="H151" s="1443">
        <v>26877.166000000001</v>
      </c>
      <c r="I151" s="1443">
        <v>17807.025000000001</v>
      </c>
      <c r="J151" s="1443">
        <v>20982.895</v>
      </c>
      <c r="L151" s="1397">
        <f t="shared" si="50"/>
        <v>2.7948171165583569E-2</v>
      </c>
      <c r="M151" s="1397">
        <f t="shared" si="51"/>
        <v>-1.21848501953018E-2</v>
      </c>
    </row>
    <row r="152" spans="2:13" x14ac:dyDescent="0.3">
      <c r="B152" s="1441">
        <v>385861</v>
      </c>
      <c r="C152" s="1387" t="s">
        <v>2818</v>
      </c>
      <c r="D152" s="1443">
        <v>4579.6949999999997</v>
      </c>
      <c r="E152" s="1443">
        <v>5010.6400000000003</v>
      </c>
      <c r="F152" s="1443">
        <v>6163.2489999999998</v>
      </c>
      <c r="G152" s="1443">
        <v>6523.0820000000003</v>
      </c>
      <c r="H152" s="1443">
        <v>8641.9429999999993</v>
      </c>
      <c r="I152" s="1443">
        <v>9212.9639999999999</v>
      </c>
      <c r="J152" s="1443">
        <v>9464.6620000000003</v>
      </c>
      <c r="L152" s="1444">
        <f t="shared" si="50"/>
        <v>0.13209817527044576</v>
      </c>
      <c r="M152" s="1444">
        <f t="shared" si="51"/>
        <v>0.13564444688624122</v>
      </c>
    </row>
    <row r="153" spans="2:13" x14ac:dyDescent="0.3">
      <c r="B153" s="1441">
        <v>790681</v>
      </c>
      <c r="C153" s="1387" t="s">
        <v>2819</v>
      </c>
      <c r="D153" s="1443">
        <v>17588.387999999999</v>
      </c>
      <c r="E153" s="1443">
        <v>15067.413</v>
      </c>
      <c r="F153" s="1443">
        <v>22800.353999999999</v>
      </c>
      <c r="G153" s="1443">
        <v>17029.776000000002</v>
      </c>
      <c r="H153" s="1443">
        <v>9057.1980000000003</v>
      </c>
      <c r="I153" s="1443">
        <v>9673.7420000000002</v>
      </c>
      <c r="J153" s="1443">
        <v>14360.942999999999</v>
      </c>
      <c r="L153" s="1397">
        <f t="shared" si="50"/>
        <v>-5.5233089164973714E-2</v>
      </c>
      <c r="M153" s="1397">
        <f t="shared" si="51"/>
        <v>-9.5584453303921846E-3</v>
      </c>
    </row>
    <row r="154" spans="2:13" x14ac:dyDescent="0.3">
      <c r="B154" s="1441">
        <v>538787</v>
      </c>
      <c r="C154" s="1387" t="s">
        <v>2820</v>
      </c>
      <c r="D154" s="1443">
        <v>14243.931</v>
      </c>
      <c r="E154" s="1443">
        <v>18731.877</v>
      </c>
      <c r="F154" s="1443">
        <v>17707.718000000001</v>
      </c>
      <c r="G154" s="1443">
        <v>17558.081999999999</v>
      </c>
      <c r="H154" s="1443">
        <v>18838.153999999999</v>
      </c>
      <c r="I154" s="1443">
        <v>17593.699000000001</v>
      </c>
      <c r="J154" s="1443">
        <v>15507.447</v>
      </c>
      <c r="L154" s="1397">
        <f t="shared" si="50"/>
        <v>-4.0552804938879805E-2</v>
      </c>
      <c r="M154" s="1397">
        <f t="shared" si="51"/>
        <v>-3.707646473366577E-2</v>
      </c>
    </row>
    <row r="155" spans="2:13" x14ac:dyDescent="0.3">
      <c r="B155" s="1441">
        <v>830798</v>
      </c>
      <c r="C155" s="1387" t="s">
        <v>2500</v>
      </c>
      <c r="D155" s="1443">
        <v>3114.761</v>
      </c>
      <c r="E155" s="1443">
        <v>980.66099999999994</v>
      </c>
      <c r="F155" s="1443">
        <v>2046.2639999999999</v>
      </c>
      <c r="G155" s="1443">
        <v>4088.3530000000001</v>
      </c>
      <c r="H155" s="1443">
        <v>4100.777</v>
      </c>
      <c r="I155" s="1443">
        <v>933.87400000000002</v>
      </c>
      <c r="J155" s="1443">
        <v>1215.4649999999999</v>
      </c>
      <c r="L155" s="1397">
        <f t="shared" si="50"/>
        <v>-0.33258183353578963</v>
      </c>
      <c r="M155" s="1397">
        <f t="shared" si="51"/>
        <v>4.3865899966681221E-2</v>
      </c>
    </row>
    <row r="156" spans="2:13" x14ac:dyDescent="0.3">
      <c r="B156" s="1441">
        <v>384194</v>
      </c>
      <c r="C156" s="1387" t="s">
        <v>2821</v>
      </c>
      <c r="D156" s="1443">
        <v>-4067.61</v>
      </c>
      <c r="E156" s="1443">
        <v>-6003.5309999999999</v>
      </c>
      <c r="F156" s="1443">
        <v>3606.56</v>
      </c>
      <c r="G156" s="1443">
        <v>4122.2470000000003</v>
      </c>
      <c r="H156" s="1443">
        <v>4684.5259999999998</v>
      </c>
      <c r="I156" s="1443">
        <v>637.66499999999996</v>
      </c>
      <c r="J156" s="1443">
        <v>-10057.414000000001</v>
      </c>
      <c r="L156" s="1397">
        <f t="shared" si="50"/>
        <v>-2.3462243418262982</v>
      </c>
      <c r="M156" s="1397">
        <f t="shared" si="51"/>
        <v>0.10870476495046644</v>
      </c>
    </row>
    <row r="157" spans="2:13" x14ac:dyDescent="0.3">
      <c r="B157" s="1441">
        <v>813796</v>
      </c>
      <c r="C157" s="1387" t="s">
        <v>2501</v>
      </c>
      <c r="D157" s="1443">
        <v>990.60400000000004</v>
      </c>
      <c r="E157" s="1443">
        <v>3290.665</v>
      </c>
      <c r="F157" s="1443">
        <v>495.23599999999999</v>
      </c>
      <c r="G157" s="1443">
        <v>-6672.1710000000003</v>
      </c>
      <c r="H157" s="1443">
        <v>-261.983</v>
      </c>
      <c r="I157" s="1443">
        <v>1113.01</v>
      </c>
      <c r="J157" s="1443">
        <v>600.14800000000002</v>
      </c>
      <c r="L157" s="1397">
        <f t="shared" si="50"/>
        <v>-1.4480540407145452</v>
      </c>
      <c r="M157" s="1397">
        <f t="shared" si="51"/>
        <v>-0.28846717807059885</v>
      </c>
    </row>
    <row r="158" spans="2:13" x14ac:dyDescent="0.3">
      <c r="B158" s="1441">
        <v>102411</v>
      </c>
      <c r="C158" s="1387" t="s">
        <v>2822</v>
      </c>
      <c r="D158" s="1443">
        <v>9222.8950000000004</v>
      </c>
      <c r="E158" s="1443">
        <v>6980.4480000000003</v>
      </c>
      <c r="F158" s="1443">
        <v>2354.5639999999999</v>
      </c>
      <c r="G158" s="1443">
        <v>3766.0030000000002</v>
      </c>
      <c r="H158" s="1443">
        <v>2069.6370000000002</v>
      </c>
      <c r="I158" s="1443">
        <v>-4178.6779999999999</v>
      </c>
      <c r="J158" s="1443">
        <v>-284.78300000000002</v>
      </c>
      <c r="L158" s="1397">
        <f t="shared" si="50"/>
        <v>-1.4228741453099965</v>
      </c>
      <c r="M158" s="1397">
        <f t="shared" si="51"/>
        <v>-1.5273830322308461</v>
      </c>
    </row>
    <row r="159" spans="2:13" x14ac:dyDescent="0.3">
      <c r="B159" s="1441">
        <v>99090</v>
      </c>
      <c r="C159" s="1387" t="s">
        <v>2823</v>
      </c>
      <c r="D159" s="1443">
        <v>2728.2049999999999</v>
      </c>
      <c r="E159" s="1443">
        <v>4228.6189999999997</v>
      </c>
      <c r="F159" s="1443">
        <v>-10324.644</v>
      </c>
      <c r="G159" s="1443">
        <v>2644.1480000000001</v>
      </c>
      <c r="H159" s="1443">
        <v>-5022.0720000000001</v>
      </c>
      <c r="I159" s="1443">
        <v>-15157.692999999999</v>
      </c>
      <c r="J159" s="1443">
        <v>-6292.8310000000001</v>
      </c>
      <c r="L159" s="1397">
        <f t="shared" si="50"/>
        <v>-2.3351193886807682</v>
      </c>
      <c r="M159" s="1397">
        <f t="shared" si="51"/>
        <v>-2.0827532658331109</v>
      </c>
    </row>
    <row r="160" spans="2:13" x14ac:dyDescent="0.3">
      <c r="B160" s="1441">
        <v>814083</v>
      </c>
      <c r="C160" s="1387" t="s">
        <v>2824</v>
      </c>
      <c r="D160" s="1443">
        <v>4606.8190000000004</v>
      </c>
      <c r="E160" s="1443">
        <v>2670.989</v>
      </c>
      <c r="F160" s="1443">
        <v>1102.0329999999999</v>
      </c>
      <c r="G160" s="1443">
        <v>-9.8940000000000001</v>
      </c>
      <c r="H160" s="1443">
        <v>-7409.7939999999999</v>
      </c>
      <c r="I160" s="1443">
        <v>-74240.111000000004</v>
      </c>
      <c r="J160" s="1443">
        <v>752.47199999999998</v>
      </c>
      <c r="L160" s="1397">
        <f t="shared" si="50"/>
        <v>-5.2368147890866226</v>
      </c>
      <c r="M160" s="1397">
        <f t="shared" si="51"/>
        <v>-0.22381785362551243</v>
      </c>
    </row>
    <row r="161" spans="2:13" x14ac:dyDescent="0.3">
      <c r="B161" s="1441">
        <v>126293</v>
      </c>
      <c r="C161" s="1387" t="s">
        <v>2825</v>
      </c>
      <c r="D161" s="1443">
        <v>1000.641</v>
      </c>
      <c r="E161" s="1443">
        <v>76.84</v>
      </c>
      <c r="F161" s="1443">
        <v>-1389.8620000000001</v>
      </c>
      <c r="G161" s="1443">
        <v>316.24400000000003</v>
      </c>
      <c r="H161" s="1443">
        <v>2509.0100000000002</v>
      </c>
      <c r="I161" s="1443">
        <v>977.42499999999995</v>
      </c>
      <c r="J161" s="1443">
        <v>-3859.0189999999998</v>
      </c>
      <c r="L161" s="1397">
        <f t="shared" si="50"/>
        <v>-3.3022450123289411</v>
      </c>
      <c r="M161" s="1397">
        <f t="shared" si="51"/>
        <v>-3.1886580412026135</v>
      </c>
    </row>
    <row r="162" spans="2:13" s="406" customFormat="1" x14ac:dyDescent="0.3">
      <c r="B162" s="1391" t="s">
        <v>2531</v>
      </c>
      <c r="C162" s="1391"/>
      <c r="D162" s="1392">
        <f t="shared" ref="D162:I162" si="52">SUM(D138:D161)</f>
        <v>758304.36500000011</v>
      </c>
      <c r="E162" s="1392">
        <f t="shared" si="52"/>
        <v>862973.27999999968</v>
      </c>
      <c r="F162" s="1392">
        <f t="shared" si="52"/>
        <v>1009769.3200000003</v>
      </c>
      <c r="G162" s="1392">
        <f t="shared" si="52"/>
        <v>1051258.7120000001</v>
      </c>
      <c r="H162" s="1392">
        <f t="shared" si="52"/>
        <v>1313007.6420000002</v>
      </c>
      <c r="I162" s="1392">
        <f t="shared" si="52"/>
        <v>1238360.1169999999</v>
      </c>
      <c r="J162" s="1392">
        <f t="shared" ref="J162" si="53">SUM(J138:J161)</f>
        <v>1424346.8330000001</v>
      </c>
      <c r="L162" s="1399">
        <f t="shared" si="50"/>
        <v>0.10654407083943052</v>
      </c>
      <c r="M162" s="1399">
        <f t="shared" si="51"/>
        <v>0.10541074318884469</v>
      </c>
    </row>
    <row r="163" spans="2:13" s="1396" customFormat="1" x14ac:dyDescent="0.3">
      <c r="B163" s="1393" t="s">
        <v>2532</v>
      </c>
      <c r="C163" s="1394"/>
      <c r="D163" s="1395" t="s">
        <v>2533</v>
      </c>
      <c r="E163" s="1395">
        <f t="shared" ref="E163:J163" si="54">E162/D162-1</f>
        <v>0.13803021561137863</v>
      </c>
      <c r="F163" s="1395">
        <f t="shared" si="54"/>
        <v>0.17010496547471399</v>
      </c>
      <c r="G163" s="1395">
        <f t="shared" si="54"/>
        <v>4.1087990274847774E-2</v>
      </c>
      <c r="H163" s="1395">
        <f t="shared" si="54"/>
        <v>0.24898621720054792</v>
      </c>
      <c r="I163" s="1395">
        <f t="shared" si="54"/>
        <v>-5.6852315715615886E-2</v>
      </c>
      <c r="J163" s="1395">
        <f t="shared" si="54"/>
        <v>0.15018790854679986</v>
      </c>
    </row>
    <row r="164" spans="2:13" s="406" customFormat="1" x14ac:dyDescent="0.3">
      <c r="B164" s="1389" t="s">
        <v>2810</v>
      </c>
      <c r="C164" s="1389"/>
      <c r="D164" s="1390">
        <f>D152</f>
        <v>4579.6949999999997</v>
      </c>
      <c r="E164" s="1390">
        <f t="shared" ref="E164:J164" si="55">E152</f>
        <v>5010.6400000000003</v>
      </c>
      <c r="F164" s="1390">
        <f t="shared" si="55"/>
        <v>6163.2489999999998</v>
      </c>
      <c r="G164" s="1390">
        <f t="shared" si="55"/>
        <v>6523.0820000000003</v>
      </c>
      <c r="H164" s="1390">
        <f t="shared" si="55"/>
        <v>8641.9429999999993</v>
      </c>
      <c r="I164" s="1390">
        <f t="shared" si="55"/>
        <v>9212.9639999999999</v>
      </c>
      <c r="J164" s="1390">
        <f t="shared" si="55"/>
        <v>9464.6620000000003</v>
      </c>
    </row>
    <row r="165" spans="2:13" s="1396" customFormat="1" x14ac:dyDescent="0.3">
      <c r="B165" s="1400" t="s">
        <v>2534</v>
      </c>
      <c r="C165" s="1401"/>
      <c r="D165" s="1402" t="s">
        <v>2535</v>
      </c>
      <c r="E165" s="1402">
        <f t="shared" ref="E165:J165" si="56">E164/D164-1</f>
        <v>9.4099061182022048E-2</v>
      </c>
      <c r="F165" s="1402">
        <f t="shared" si="56"/>
        <v>0.23003229128414726</v>
      </c>
      <c r="G165" s="1402">
        <f t="shared" si="56"/>
        <v>5.8383654465363977E-2</v>
      </c>
      <c r="H165" s="1402">
        <f t="shared" si="56"/>
        <v>0.32482513633892673</v>
      </c>
      <c r="I165" s="1402">
        <f t="shared" si="56"/>
        <v>6.6075534170961348E-2</v>
      </c>
      <c r="J165" s="1402">
        <f t="shared" si="56"/>
        <v>2.7319980844384029E-2</v>
      </c>
    </row>
    <row r="166" spans="2:13" s="1396" customFormat="1" x14ac:dyDescent="0.3">
      <c r="B166" s="1400" t="s">
        <v>2536</v>
      </c>
      <c r="C166" s="1401"/>
      <c r="D166" s="1402">
        <f t="shared" ref="D166:I166" si="57">D164/D162</f>
        <v>6.0393889464159939E-3</v>
      </c>
      <c r="E166" s="1402">
        <f t="shared" si="57"/>
        <v>5.8062516141867129E-3</v>
      </c>
      <c r="F166" s="1402">
        <f t="shared" si="57"/>
        <v>6.1036207754856303E-3</v>
      </c>
      <c r="G166" s="1402">
        <f t="shared" si="57"/>
        <v>6.2050206343498056E-3</v>
      </c>
      <c r="H166" s="1402">
        <f t="shared" si="57"/>
        <v>6.5817918522061408E-3</v>
      </c>
      <c r="I166" s="1402">
        <f t="shared" si="57"/>
        <v>7.4396485105794156E-3</v>
      </c>
      <c r="J166" s="1402">
        <f t="shared" ref="J166" si="58">J164/J162</f>
        <v>6.6449138515408202E-3</v>
      </c>
    </row>
    <row r="169" spans="2:13" x14ac:dyDescent="0.3">
      <c r="B169" s="1385" t="s">
        <v>2537</v>
      </c>
    </row>
    <row r="170" spans="2:13" x14ac:dyDescent="0.3">
      <c r="B170" s="1385"/>
    </row>
    <row r="171" spans="2:13" s="1385" customFormat="1" x14ac:dyDescent="0.3">
      <c r="B171" s="1386" t="s">
        <v>2538</v>
      </c>
      <c r="C171" s="1386" t="s">
        <v>2539</v>
      </c>
      <c r="D171" s="1386">
        <v>2008</v>
      </c>
      <c r="E171" s="1386">
        <f t="shared" ref="E171:J171" si="59">D171+1</f>
        <v>2009</v>
      </c>
      <c r="F171" s="1386">
        <f t="shared" si="59"/>
        <v>2010</v>
      </c>
      <c r="G171" s="1386">
        <f t="shared" si="59"/>
        <v>2011</v>
      </c>
      <c r="H171" s="1386">
        <f t="shared" si="59"/>
        <v>2012</v>
      </c>
      <c r="I171" s="1386">
        <f t="shared" si="59"/>
        <v>2013</v>
      </c>
      <c r="J171" s="1386">
        <f t="shared" si="59"/>
        <v>2014</v>
      </c>
    </row>
    <row r="172" spans="2:13" x14ac:dyDescent="0.3">
      <c r="B172" s="1441">
        <v>820717</v>
      </c>
      <c r="C172" s="1387" t="s">
        <v>2492</v>
      </c>
      <c r="D172" s="1397">
        <f t="shared" ref="D172:I187" si="60">D138/D38</f>
        <v>9.5027714879431499E-2</v>
      </c>
      <c r="E172" s="1397">
        <f t="shared" si="60"/>
        <v>9.8503469440031466E-2</v>
      </c>
      <c r="F172" s="1397">
        <f t="shared" si="60"/>
        <v>8.9546644847130166E-2</v>
      </c>
      <c r="G172" s="1397">
        <f t="shared" si="60"/>
        <v>8.6807046934446255E-2</v>
      </c>
      <c r="H172" s="1397">
        <f t="shared" si="60"/>
        <v>9.1388551489058598E-2</v>
      </c>
      <c r="I172" s="1397">
        <f t="shared" si="60"/>
        <v>7.1752645247803809E-2</v>
      </c>
      <c r="J172" s="1397">
        <f t="shared" ref="J172" si="61">J138/J38</f>
        <v>7.513777505387767E-2</v>
      </c>
    </row>
    <row r="173" spans="2:13" x14ac:dyDescent="0.3">
      <c r="B173" s="1441">
        <v>812536</v>
      </c>
      <c r="C173" s="1387" t="s">
        <v>2493</v>
      </c>
      <c r="D173" s="1397">
        <f t="shared" si="60"/>
        <v>7.0995182318385586E-2</v>
      </c>
      <c r="E173" s="1397">
        <f t="shared" si="60"/>
        <v>6.6231838077776412E-2</v>
      </c>
      <c r="F173" s="1397">
        <f t="shared" si="60"/>
        <v>5.5879548712460363E-2</v>
      </c>
      <c r="G173" s="1397">
        <f t="shared" si="60"/>
        <v>3.7647617759572018E-2</v>
      </c>
      <c r="H173" s="1397">
        <f t="shared" si="60"/>
        <v>4.2221804611670334E-2</v>
      </c>
      <c r="I173" s="1397">
        <f t="shared" si="60"/>
        <v>4.627724081917145E-2</v>
      </c>
      <c r="J173" s="1397">
        <f t="shared" ref="J173" si="62">J139/J39</f>
        <v>4.6230207601353109E-2</v>
      </c>
    </row>
    <row r="174" spans="2:13" x14ac:dyDescent="0.3">
      <c r="B174" s="1441">
        <v>814261</v>
      </c>
      <c r="C174" s="1387" t="s">
        <v>2494</v>
      </c>
      <c r="D174" s="1397">
        <f t="shared" si="60"/>
        <v>6.996161463501234E-2</v>
      </c>
      <c r="E174" s="1397">
        <f t="shared" si="60"/>
        <v>9.724669651484999E-2</v>
      </c>
      <c r="F174" s="1397">
        <f t="shared" si="60"/>
        <v>0.11001781715167581</v>
      </c>
      <c r="G174" s="1397">
        <f t="shared" si="60"/>
        <v>0.10326454558793058</v>
      </c>
      <c r="H174" s="1397">
        <f t="shared" si="60"/>
        <v>8.9538345344900114E-2</v>
      </c>
      <c r="I174" s="1397">
        <f t="shared" si="60"/>
        <v>9.7835324540267901E-2</v>
      </c>
      <c r="J174" s="1397">
        <f t="shared" ref="J174" si="63">J140/J40</f>
        <v>0.11193135637525169</v>
      </c>
    </row>
    <row r="175" spans="2:13" x14ac:dyDescent="0.3">
      <c r="B175" s="1441">
        <v>159613</v>
      </c>
      <c r="C175" s="1387" t="s">
        <v>2495</v>
      </c>
      <c r="D175" s="1397">
        <f t="shared" si="60"/>
        <v>4.6430996862271236E-2</v>
      </c>
      <c r="E175" s="1397">
        <f t="shared" si="60"/>
        <v>5.6432788857078933E-2</v>
      </c>
      <c r="F175" s="1397">
        <f t="shared" si="60"/>
        <v>6.4536567095910227E-2</v>
      </c>
      <c r="G175" s="1397">
        <f t="shared" si="60"/>
        <v>5.8246422822161636E-2</v>
      </c>
      <c r="H175" s="1397">
        <f t="shared" si="60"/>
        <v>5.4076660093757771E-2</v>
      </c>
      <c r="I175" s="1397">
        <f t="shared" si="60"/>
        <v>5.2273686372587717E-2</v>
      </c>
      <c r="J175" s="1397">
        <f t="shared" ref="J175" si="64">J141/J41</f>
        <v>5.8094914172371601E-2</v>
      </c>
    </row>
    <row r="176" spans="2:13" s="406" customFormat="1" x14ac:dyDescent="0.3">
      <c r="B176" s="1442">
        <v>813605</v>
      </c>
      <c r="C176" s="1427" t="s">
        <v>2812</v>
      </c>
      <c r="D176" s="1429">
        <f t="shared" si="60"/>
        <v>5.5189984950423251E-2</v>
      </c>
      <c r="E176" s="1429">
        <f t="shared" si="60"/>
        <v>2.6216003679735696E-2</v>
      </c>
      <c r="F176" s="1429">
        <f t="shared" si="60"/>
        <v>2.6490158989748731E-2</v>
      </c>
      <c r="G176" s="1429">
        <f t="shared" si="60"/>
        <v>3.1049226291231396E-2</v>
      </c>
      <c r="H176" s="1429">
        <f t="shared" si="60"/>
        <v>2.7070351045484779E-2</v>
      </c>
      <c r="I176" s="1429">
        <f t="shared" si="60"/>
        <v>5.4616357599410456E-2</v>
      </c>
      <c r="J176" s="1429">
        <f t="shared" ref="J176" si="65">J142/J42</f>
        <v>4.193615409084854E-2</v>
      </c>
    </row>
    <row r="177" spans="2:10" x14ac:dyDescent="0.3">
      <c r="B177" s="1441">
        <v>138533</v>
      </c>
      <c r="C177" s="1387" t="s">
        <v>2497</v>
      </c>
      <c r="D177" s="1397">
        <f t="shared" si="60"/>
        <v>5.2254266859945643E-2</v>
      </c>
      <c r="E177" s="1397">
        <f t="shared" si="60"/>
        <v>4.3788245969921577E-2</v>
      </c>
      <c r="F177" s="1397">
        <f t="shared" si="60"/>
        <v>3.6222007525996087E-2</v>
      </c>
      <c r="G177" s="1397">
        <f t="shared" si="60"/>
        <v>1.829557368327955E-2</v>
      </c>
      <c r="H177" s="1397">
        <f t="shared" si="60"/>
        <v>1.380737860955699E-2</v>
      </c>
      <c r="I177" s="1397">
        <f t="shared" si="60"/>
        <v>1.3014831867803112E-2</v>
      </c>
      <c r="J177" s="1397">
        <f t="shared" ref="J177" si="66">J143/J43</f>
        <v>3.9584885332051345E-2</v>
      </c>
    </row>
    <row r="178" spans="2:10" x14ac:dyDescent="0.3">
      <c r="B178" s="1441">
        <v>767778</v>
      </c>
      <c r="C178" s="1387" t="s">
        <v>2813</v>
      </c>
      <c r="D178" s="1397">
        <f t="shared" si="60"/>
        <v>7.0091320264953752E-2</v>
      </c>
      <c r="E178" s="1397">
        <f t="shared" si="60"/>
        <v>0.10476344462818898</v>
      </c>
      <c r="F178" s="1397">
        <f t="shared" si="60"/>
        <v>5.7574635281759712E-2</v>
      </c>
      <c r="G178" s="1397">
        <f t="shared" si="60"/>
        <v>2.2319090077678745E-2</v>
      </c>
      <c r="H178" s="1397">
        <f t="shared" si="60"/>
        <v>1.363124413493777E-3</v>
      </c>
      <c r="I178" s="1397">
        <f t="shared" si="60"/>
        <v>1.1997165478553425E-2</v>
      </c>
      <c r="J178" s="1397">
        <f t="shared" ref="J178" si="67">J144/J44</f>
        <v>3.9752836813973159E-2</v>
      </c>
    </row>
    <row r="179" spans="2:10" x14ac:dyDescent="0.3">
      <c r="B179" s="1441">
        <v>165442</v>
      </c>
      <c r="C179" s="1387" t="s">
        <v>2496</v>
      </c>
      <c r="D179" s="1397">
        <f t="shared" si="60"/>
        <v>4.9213290489514852E-2</v>
      </c>
      <c r="E179" s="1397">
        <f t="shared" si="60"/>
        <v>5.2439209610262667E-2</v>
      </c>
      <c r="F179" s="1397">
        <f t="shared" si="60"/>
        <v>6.9268720472834264E-2</v>
      </c>
      <c r="G179" s="1397">
        <f t="shared" si="60"/>
        <v>7.9144268269559129E-2</v>
      </c>
      <c r="H179" s="1397">
        <f t="shared" si="60"/>
        <v>0.1497143826644213</v>
      </c>
      <c r="I179" s="1397">
        <f t="shared" si="60"/>
        <v>0.18925906588353186</v>
      </c>
      <c r="J179" s="1397">
        <f t="shared" ref="J179" si="68">J145/J45</f>
        <v>0.19854565735514929</v>
      </c>
    </row>
    <row r="180" spans="2:10" x14ac:dyDescent="0.3">
      <c r="B180" s="1441" t="s">
        <v>2826</v>
      </c>
      <c r="C180" s="1387" t="s">
        <v>2498</v>
      </c>
      <c r="D180" s="1397">
        <f t="shared" si="60"/>
        <v>2.9317229110171318E-3</v>
      </c>
      <c r="E180" s="1397">
        <f t="shared" si="60"/>
        <v>3.59701380477929E-2</v>
      </c>
      <c r="F180" s="1397">
        <f t="shared" si="60"/>
        <v>2.7470751510882897E-2</v>
      </c>
      <c r="G180" s="1397">
        <f t="shared" si="60"/>
        <v>2.7708985945866446E-2</v>
      </c>
      <c r="H180" s="1397">
        <f t="shared" si="60"/>
        <v>3.5868754804421144E-2</v>
      </c>
      <c r="I180" s="1397">
        <f t="shared" si="60"/>
        <v>3.6365322040309449E-2</v>
      </c>
      <c r="J180" s="1397">
        <f t="shared" ref="J180" si="69">J146/J46</f>
        <v>-3.3737911664802236E-2</v>
      </c>
    </row>
    <row r="181" spans="2:10" x14ac:dyDescent="0.3">
      <c r="B181" s="1441">
        <v>46305</v>
      </c>
      <c r="C181" s="1387" t="s">
        <v>2814</v>
      </c>
      <c r="D181" s="1397">
        <f t="shared" si="60"/>
        <v>6.4976762276146058E-2</v>
      </c>
      <c r="E181" s="1397">
        <f t="shared" si="60"/>
        <v>7.2777639687028023E-2</v>
      </c>
      <c r="F181" s="1397">
        <f t="shared" si="60"/>
        <v>9.3189244462837745E-2</v>
      </c>
      <c r="G181" s="1397">
        <f t="shared" si="60"/>
        <v>7.7624482390565089E-2</v>
      </c>
      <c r="H181" s="1397">
        <f t="shared" si="60"/>
        <v>9.0364388204925497E-2</v>
      </c>
      <c r="I181" s="1397">
        <f t="shared" si="60"/>
        <v>9.1901988116864092E-2</v>
      </c>
      <c r="J181" s="1397">
        <f t="shared" ref="J181" si="70">J147/J47</f>
        <v>9.8230836059228291E-2</v>
      </c>
    </row>
    <row r="182" spans="2:10" x14ac:dyDescent="0.3">
      <c r="B182" s="1441">
        <v>267171</v>
      </c>
      <c r="C182" s="1387" t="s">
        <v>2815</v>
      </c>
      <c r="D182" s="1397">
        <f t="shared" si="60"/>
        <v>4.6684881471288187E-2</v>
      </c>
      <c r="E182" s="1397">
        <f t="shared" si="60"/>
        <v>3.9106753646922919E-2</v>
      </c>
      <c r="F182" s="1397">
        <f t="shared" si="60"/>
        <v>3.5204278689355065E-2</v>
      </c>
      <c r="G182" s="1397">
        <f t="shared" si="60"/>
        <v>1.2787614997546787E-2</v>
      </c>
      <c r="H182" s="1397">
        <f t="shared" si="60"/>
        <v>2.0434916402933163E-3</v>
      </c>
      <c r="I182" s="1397">
        <f t="shared" si="60"/>
        <v>1.3342122140457852E-2</v>
      </c>
      <c r="J182" s="1397">
        <f t="shared" ref="J182" si="71">J148/J48</f>
        <v>5.5624908272532553E-3</v>
      </c>
    </row>
    <row r="183" spans="2:10" x14ac:dyDescent="0.3">
      <c r="B183" s="1441">
        <v>352098</v>
      </c>
      <c r="C183" s="1387" t="s">
        <v>2816</v>
      </c>
      <c r="D183" s="1397">
        <f t="shared" si="60"/>
        <v>3.1515924419212783E-2</v>
      </c>
      <c r="E183" s="1397">
        <f t="shared" si="60"/>
        <v>2.4962077261373231E-2</v>
      </c>
      <c r="F183" s="1397">
        <f t="shared" si="60"/>
        <v>-2.068994862001769E-2</v>
      </c>
      <c r="G183" s="1397">
        <f t="shared" si="60"/>
        <v>2.8276092616563393E-2</v>
      </c>
      <c r="H183" s="1397">
        <f t="shared" si="60"/>
        <v>4.009961068842989E-2</v>
      </c>
      <c r="I183" s="1397">
        <f t="shared" si="60"/>
        <v>2.4412558490533729E-2</v>
      </c>
      <c r="J183" s="1397">
        <f t="shared" ref="J183" si="72">J149/J49</f>
        <v>-5.0936841839310611E-2</v>
      </c>
    </row>
    <row r="184" spans="2:10" x14ac:dyDescent="0.3">
      <c r="B184" s="1441">
        <v>820377</v>
      </c>
      <c r="C184" s="1387" t="s">
        <v>2817</v>
      </c>
      <c r="D184" s="1397">
        <f t="shared" si="60"/>
        <v>0.17724546609645461</v>
      </c>
      <c r="E184" s="1397">
        <f t="shared" si="60"/>
        <v>0.17718848782888116</v>
      </c>
      <c r="F184" s="1397">
        <f t="shared" si="60"/>
        <v>0.18961417749888801</v>
      </c>
      <c r="G184" s="1397">
        <f t="shared" si="60"/>
        <v>0.17120547387137244</v>
      </c>
      <c r="H184" s="1397">
        <f t="shared" si="60"/>
        <v>8.1355868652571078E-2</v>
      </c>
      <c r="I184" s="1397">
        <f t="shared" si="60"/>
        <v>2.8792650789270912E-2</v>
      </c>
      <c r="J184" s="1397">
        <f t="shared" ref="J184" si="73">J150/J50</f>
        <v>1.4782624805509594E-2</v>
      </c>
    </row>
    <row r="185" spans="2:10" x14ac:dyDescent="0.3">
      <c r="B185" s="1441">
        <v>54419</v>
      </c>
      <c r="C185" s="1387" t="s">
        <v>2499</v>
      </c>
      <c r="D185" s="1397">
        <f t="shared" si="60"/>
        <v>0.10062360349634782</v>
      </c>
      <c r="E185" s="1397">
        <f t="shared" si="60"/>
        <v>0.10532142887559288</v>
      </c>
      <c r="F185" s="1397">
        <f t="shared" si="60"/>
        <v>9.859688940558145E-2</v>
      </c>
      <c r="G185" s="1397">
        <f t="shared" si="60"/>
        <v>9.8394063233213924E-2</v>
      </c>
      <c r="H185" s="1397">
        <f t="shared" si="60"/>
        <v>9.2792981404162478E-2</v>
      </c>
      <c r="I185" s="1397">
        <f t="shared" si="60"/>
        <v>6.3888129749257949E-2</v>
      </c>
      <c r="J185" s="1397">
        <f t="shared" ref="J185" si="74">J151/J51</f>
        <v>7.8399454223781917E-2</v>
      </c>
    </row>
    <row r="186" spans="2:10" x14ac:dyDescent="0.3">
      <c r="B186" s="1441">
        <v>385861</v>
      </c>
      <c r="C186" s="1387" t="s">
        <v>2818</v>
      </c>
      <c r="D186" s="1397">
        <f t="shared" si="60"/>
        <v>6.0974926997966208E-2</v>
      </c>
      <c r="E186" s="1397">
        <f t="shared" si="60"/>
        <v>7.3765684891309261E-2</v>
      </c>
      <c r="F186" s="1397">
        <f t="shared" si="60"/>
        <v>6.0899968131325345E-2</v>
      </c>
      <c r="G186" s="1397">
        <f t="shared" si="60"/>
        <v>5.4317850525699499E-2</v>
      </c>
      <c r="H186" s="1397">
        <f t="shared" si="60"/>
        <v>4.7410455079348109E-2</v>
      </c>
      <c r="I186" s="1397">
        <f t="shared" si="60"/>
        <v>4.3522379880490278E-2</v>
      </c>
      <c r="J186" s="1397">
        <f t="shared" ref="J186" si="75">J152/J52</f>
        <v>3.7586410082807151E-2</v>
      </c>
    </row>
    <row r="187" spans="2:10" x14ac:dyDescent="0.3">
      <c r="B187" s="1441">
        <v>790681</v>
      </c>
      <c r="C187" s="1387" t="s">
        <v>2819</v>
      </c>
      <c r="D187" s="1397">
        <f t="shared" si="60"/>
        <v>7.3087635007239138E-2</v>
      </c>
      <c r="E187" s="1397">
        <f t="shared" si="60"/>
        <v>6.1465002971406932E-2</v>
      </c>
      <c r="F187" s="1397">
        <f t="shared" si="60"/>
        <v>7.7482783312494349E-2</v>
      </c>
      <c r="G187" s="1397">
        <f t="shared" si="60"/>
        <v>5.2466030447962962E-2</v>
      </c>
      <c r="H187" s="1397">
        <f t="shared" si="60"/>
        <v>3.644559576977327E-2</v>
      </c>
      <c r="I187" s="1397">
        <f t="shared" si="60"/>
        <v>4.0845192755501039E-2</v>
      </c>
      <c r="J187" s="1397">
        <f t="shared" ref="J187" si="76">J153/J53</f>
        <v>6.110007919130965E-2</v>
      </c>
    </row>
    <row r="188" spans="2:10" x14ac:dyDescent="0.3">
      <c r="B188" s="1441">
        <v>538787</v>
      </c>
      <c r="C188" s="1387" t="s">
        <v>2820</v>
      </c>
      <c r="D188" s="1397">
        <f t="shared" ref="D188:I195" si="77">D154/D54</f>
        <v>5.3286950815857513E-2</v>
      </c>
      <c r="E188" s="1397">
        <f t="shared" si="77"/>
        <v>7.3498603711583801E-2</v>
      </c>
      <c r="F188" s="1397">
        <f t="shared" si="77"/>
        <v>5.8307767191777937E-2</v>
      </c>
      <c r="G188" s="1397">
        <f t="shared" si="77"/>
        <v>5.2091114106776255E-2</v>
      </c>
      <c r="H188" s="1397">
        <f t="shared" si="77"/>
        <v>6.3404068557150195E-2</v>
      </c>
      <c r="I188" s="1397">
        <f t="shared" si="77"/>
        <v>7.3373631190220445E-2</v>
      </c>
      <c r="J188" s="1397">
        <f t="shared" ref="J188" si="78">J154/J54</f>
        <v>6.7996481718688231E-2</v>
      </c>
    </row>
    <row r="189" spans="2:10" x14ac:dyDescent="0.3">
      <c r="B189" s="1441">
        <v>830798</v>
      </c>
      <c r="C189" s="1387" t="s">
        <v>2500</v>
      </c>
      <c r="D189" s="1397">
        <f t="shared" si="77"/>
        <v>4.386183478599668E-2</v>
      </c>
      <c r="E189" s="1397">
        <f t="shared" si="77"/>
        <v>1.6103277494594916E-2</v>
      </c>
      <c r="F189" s="1397">
        <f t="shared" si="77"/>
        <v>1.9296856863642509E-2</v>
      </c>
      <c r="G189" s="1397">
        <f t="shared" si="77"/>
        <v>2.0354818476909051E-2</v>
      </c>
      <c r="H189" s="1397">
        <f t="shared" si="77"/>
        <v>1.7583612900182247E-2</v>
      </c>
      <c r="I189" s="1397">
        <f t="shared" si="77"/>
        <v>4.571724479818462E-3</v>
      </c>
      <c r="J189" s="1397">
        <f t="shared" ref="J189" si="79">J155/J55</f>
        <v>6.869515462252296E-3</v>
      </c>
    </row>
    <row r="190" spans="2:10" x14ac:dyDescent="0.3">
      <c r="B190" s="1441">
        <v>384194</v>
      </c>
      <c r="C190" s="1387" t="s">
        <v>2821</v>
      </c>
      <c r="D190" s="1397">
        <f t="shared" si="77"/>
        <v>-2.0204782788563622E-2</v>
      </c>
      <c r="E190" s="1397">
        <f t="shared" si="77"/>
        <v>-3.1594333733515632E-2</v>
      </c>
      <c r="F190" s="1397">
        <f t="shared" si="77"/>
        <v>1.5137598629268653E-2</v>
      </c>
      <c r="G190" s="1397">
        <f t="shared" si="77"/>
        <v>1.836596468673634E-2</v>
      </c>
      <c r="H190" s="1397">
        <f t="shared" si="77"/>
        <v>2.3840884706528606E-2</v>
      </c>
      <c r="I190" s="1397">
        <f t="shared" si="77"/>
        <v>3.4442770085731066E-3</v>
      </c>
      <c r="J190" s="1397">
        <f t="shared" ref="J190" si="80">J156/J56</f>
        <v>-5.5876297225930766E-2</v>
      </c>
    </row>
    <row r="191" spans="2:10" x14ac:dyDescent="0.3">
      <c r="B191" s="1441">
        <v>813796</v>
      </c>
      <c r="C191" s="1387" t="s">
        <v>2501</v>
      </c>
      <c r="D191" s="1397">
        <f t="shared" si="77"/>
        <v>4.5297496808062087E-3</v>
      </c>
      <c r="E191" s="1397">
        <f t="shared" si="77"/>
        <v>1.4825774927330877E-2</v>
      </c>
      <c r="F191" s="1397">
        <f t="shared" si="77"/>
        <v>2.1446452525258333E-3</v>
      </c>
      <c r="G191" s="1397">
        <f t="shared" si="77"/>
        <v>-2.7638004115024338E-2</v>
      </c>
      <c r="H191" s="1397">
        <f t="shared" si="77"/>
        <v>-1.2532127979468784E-3</v>
      </c>
      <c r="I191" s="1397">
        <f t="shared" si="77"/>
        <v>5.6125424360873814E-3</v>
      </c>
      <c r="J191" s="1397">
        <f t="shared" ref="J191" si="81">J157/J57</f>
        <v>2.9435352910016444E-3</v>
      </c>
    </row>
    <row r="192" spans="2:10" x14ac:dyDescent="0.3">
      <c r="B192" s="1441">
        <v>102411</v>
      </c>
      <c r="C192" s="1387" t="s">
        <v>2822</v>
      </c>
      <c r="D192" s="1397">
        <f t="shared" si="77"/>
        <v>8.8709189364794591E-2</v>
      </c>
      <c r="E192" s="1397">
        <f t="shared" si="77"/>
        <v>6.7070778362925826E-2</v>
      </c>
      <c r="F192" s="1397">
        <f t="shared" si="77"/>
        <v>2.237762934274588E-2</v>
      </c>
      <c r="G192" s="1397">
        <f t="shared" si="77"/>
        <v>3.1568519009375968E-2</v>
      </c>
      <c r="H192" s="1397">
        <f t="shared" si="77"/>
        <v>1.6162592334752729E-2</v>
      </c>
      <c r="I192" s="1397">
        <f t="shared" si="77"/>
        <v>-3.1878623821851422E-2</v>
      </c>
      <c r="J192" s="1397">
        <f t="shared" ref="J192" si="82">J158/J58</f>
        <v>-1.9281893987180946E-3</v>
      </c>
    </row>
    <row r="193" spans="2:13" x14ac:dyDescent="0.3">
      <c r="B193" s="1441">
        <v>99090</v>
      </c>
      <c r="C193" s="1387" t="s">
        <v>2823</v>
      </c>
      <c r="D193" s="1397">
        <f t="shared" si="77"/>
        <v>1.2060001069758417E-2</v>
      </c>
      <c r="E193" s="1397">
        <f t="shared" si="77"/>
        <v>1.8079261183960454E-2</v>
      </c>
      <c r="F193" s="1397">
        <f t="shared" si="77"/>
        <v>-5.5879419301834758E-2</v>
      </c>
      <c r="G193" s="1397">
        <f t="shared" si="77"/>
        <v>1.417040489767378E-2</v>
      </c>
      <c r="H193" s="1397">
        <f t="shared" si="77"/>
        <v>-2.6504450076644367E-2</v>
      </c>
      <c r="I193" s="1397">
        <f t="shared" si="77"/>
        <v>-9.9963109581228796E-2</v>
      </c>
      <c r="J193" s="1397">
        <f t="shared" ref="J193" si="83">J159/J59</f>
        <v>-4.429825806588724E-2</v>
      </c>
    </row>
    <row r="194" spans="2:13" x14ac:dyDescent="0.3">
      <c r="B194" s="1441">
        <v>814083</v>
      </c>
      <c r="C194" s="1387" t="s">
        <v>2824</v>
      </c>
      <c r="D194" s="1397">
        <f t="shared" si="77"/>
        <v>3.4646442737716505E-2</v>
      </c>
      <c r="E194" s="1397">
        <f t="shared" si="77"/>
        <v>2.1512480342497493E-2</v>
      </c>
      <c r="F194" s="1397">
        <f t="shared" si="77"/>
        <v>6.4029147240207635E-3</v>
      </c>
      <c r="G194" s="1397">
        <f t="shared" si="77"/>
        <v>-6.187071645420437E-5</v>
      </c>
      <c r="H194" s="1397">
        <f t="shared" si="77"/>
        <v>-2.3011399919110043E-2</v>
      </c>
      <c r="I194" s="1397">
        <f t="shared" si="77"/>
        <v>-0.15099023351316535</v>
      </c>
      <c r="J194" s="1397">
        <f t="shared" ref="J194" si="84">J160/J60</f>
        <v>5.2608077284022363E-3</v>
      </c>
    </row>
    <row r="195" spans="2:13" x14ac:dyDescent="0.3">
      <c r="B195" s="1441">
        <v>126293</v>
      </c>
      <c r="C195" s="1387" t="s">
        <v>2825</v>
      </c>
      <c r="D195" s="1397">
        <f t="shared" si="77"/>
        <v>4.0422121184076433E-2</v>
      </c>
      <c r="E195" s="1397">
        <f t="shared" si="77"/>
        <v>2.4713205088180055E-3</v>
      </c>
      <c r="F195" s="1397">
        <f t="shared" si="77"/>
        <v>-3.5859728305400004E-2</v>
      </c>
      <c r="G195" s="1397">
        <f t="shared" si="77"/>
        <v>5.4760815544186601E-3</v>
      </c>
      <c r="H195" s="1397">
        <f t="shared" si="77"/>
        <v>2.8351274850276432E-2</v>
      </c>
      <c r="I195" s="1397">
        <f t="shared" si="77"/>
        <v>1.1390101776940945E-2</v>
      </c>
      <c r="J195" s="1397">
        <f t="shared" ref="J195" si="85">J161/J61</f>
        <v>-4.3809596054808067E-2</v>
      </c>
    </row>
    <row r="196" spans="2:13" s="406" customFormat="1" x14ac:dyDescent="0.3">
      <c r="B196" s="1403" t="s">
        <v>2540</v>
      </c>
      <c r="C196" s="1403"/>
      <c r="D196" s="1404">
        <f t="shared" ref="D196:I196" si="86">AVERAGE(D172:D195)</f>
        <v>5.518820003275221E-2</v>
      </c>
      <c r="E196" s="1404">
        <f t="shared" si="86"/>
        <v>5.4922753032764539E-2</v>
      </c>
      <c r="F196" s="1404">
        <f t="shared" si="86"/>
        <v>4.5968021202733696E-2</v>
      </c>
      <c r="G196" s="1404">
        <f t="shared" si="86"/>
        <v>4.4745058889794222E-2</v>
      </c>
      <c r="H196" s="1404">
        <f t="shared" si="86"/>
        <v>4.1422296461310723E-2</v>
      </c>
      <c r="I196" s="1404">
        <f t="shared" si="86"/>
        <v>2.8985707156133741E-2</v>
      </c>
      <c r="J196" s="1404">
        <f t="shared" ref="J196" si="87">AVERAGE(J172:J195)</f>
        <v>3.1639955330652239E-2</v>
      </c>
    </row>
    <row r="197" spans="2:13" s="406" customFormat="1" x14ac:dyDescent="0.3">
      <c r="B197" s="1403" t="s">
        <v>2541</v>
      </c>
      <c r="C197" s="1403"/>
      <c r="D197" s="1404">
        <f t="shared" ref="D197:I197" si="88">MEDIAN(D172:D195)</f>
        <v>5.2770608837901578E-2</v>
      </c>
      <c r="E197" s="1404">
        <f t="shared" si="88"/>
        <v>5.4435999233670804E-2</v>
      </c>
      <c r="F197" s="1404">
        <f t="shared" si="88"/>
        <v>4.6050778119228225E-2</v>
      </c>
      <c r="G197" s="1404">
        <f t="shared" si="88"/>
        <v>3.130887265030368E-2</v>
      </c>
      <c r="H197" s="1404">
        <f t="shared" si="88"/>
        <v>3.6157175287097207E-2</v>
      </c>
      <c r="I197" s="1404">
        <f t="shared" si="88"/>
        <v>3.2578986414790179E-2</v>
      </c>
      <c r="J197" s="1404">
        <f t="shared" ref="J197" si="89">MEDIAN(J172:J195)</f>
        <v>3.8585647707429248E-2</v>
      </c>
    </row>
    <row r="198" spans="2:13" s="406" customFormat="1" x14ac:dyDescent="0.3">
      <c r="B198" s="1389" t="s">
        <v>2810</v>
      </c>
      <c r="C198" s="1389"/>
      <c r="D198" s="1398">
        <f>D186</f>
        <v>6.0974926997966208E-2</v>
      </c>
      <c r="E198" s="1398">
        <f t="shared" ref="E198:J198" si="90">E186</f>
        <v>7.3765684891309261E-2</v>
      </c>
      <c r="F198" s="1398">
        <f t="shared" si="90"/>
        <v>6.0899968131325345E-2</v>
      </c>
      <c r="G198" s="1398">
        <f t="shared" si="90"/>
        <v>5.4317850525699499E-2</v>
      </c>
      <c r="H198" s="1398">
        <f t="shared" si="90"/>
        <v>4.7410455079348109E-2</v>
      </c>
      <c r="I198" s="1398">
        <f t="shared" si="90"/>
        <v>4.3522379880490278E-2</v>
      </c>
      <c r="J198" s="1398">
        <f t="shared" si="90"/>
        <v>3.7586410082807151E-2</v>
      </c>
    </row>
    <row r="201" spans="2:13" x14ac:dyDescent="0.3">
      <c r="B201" s="1385" t="s">
        <v>2542</v>
      </c>
    </row>
    <row r="202" spans="2:13" x14ac:dyDescent="0.3">
      <c r="B202" s="1385"/>
    </row>
    <row r="203" spans="2:13" s="1385" customFormat="1" x14ac:dyDescent="0.3">
      <c r="B203" s="1386" t="s">
        <v>2543</v>
      </c>
      <c r="C203" s="1386" t="s">
        <v>2544</v>
      </c>
      <c r="D203" s="1386">
        <v>2008</v>
      </c>
      <c r="E203" s="1386">
        <f t="shared" ref="E203:J203" si="91">D203+1</f>
        <v>2009</v>
      </c>
      <c r="F203" s="1386">
        <f t="shared" si="91"/>
        <v>2010</v>
      </c>
      <c r="G203" s="1386">
        <f t="shared" si="91"/>
        <v>2011</v>
      </c>
      <c r="H203" s="1386">
        <f t="shared" si="91"/>
        <v>2012</v>
      </c>
      <c r="I203" s="1386">
        <f t="shared" si="91"/>
        <v>2013</v>
      </c>
      <c r="J203" s="1386">
        <f t="shared" si="91"/>
        <v>2014</v>
      </c>
      <c r="L203" s="1386" t="s">
        <v>2545</v>
      </c>
      <c r="M203" s="1386" t="s">
        <v>2546</v>
      </c>
    </row>
    <row r="204" spans="2:13" x14ac:dyDescent="0.3">
      <c r="B204" s="1441">
        <v>820717</v>
      </c>
      <c r="C204" s="1387" t="s">
        <v>2492</v>
      </c>
      <c r="D204" s="1443">
        <v>232237.69899999999</v>
      </c>
      <c r="E204" s="1443">
        <v>264918.23599999998</v>
      </c>
      <c r="F204" s="1443">
        <v>324831.29800000001</v>
      </c>
      <c r="G204" s="1443">
        <v>326800.038</v>
      </c>
      <c r="H204" s="1443">
        <v>395804.94300000003</v>
      </c>
      <c r="I204" s="1443">
        <v>312372.065</v>
      </c>
      <c r="J204" s="1443">
        <v>412880.223</v>
      </c>
      <c r="L204" s="1397">
        <f t="shared" ref="L204" si="92">(J204/G204)^(1/3)-1</f>
        <v>8.1053849090657604E-2</v>
      </c>
      <c r="M204" s="1397">
        <f t="shared" ref="M204" si="93">(J204/E204)^(1/5)-1</f>
        <v>9.280442580441961E-2</v>
      </c>
    </row>
    <row r="205" spans="2:13" x14ac:dyDescent="0.3">
      <c r="B205" s="1441">
        <v>812536</v>
      </c>
      <c r="C205" s="1387" t="s">
        <v>2493</v>
      </c>
      <c r="D205" s="1443">
        <v>115402.216</v>
      </c>
      <c r="E205" s="1443">
        <v>118394.16099999999</v>
      </c>
      <c r="F205" s="1443">
        <v>123908.352</v>
      </c>
      <c r="G205" s="1443">
        <v>49741.017</v>
      </c>
      <c r="H205" s="1443">
        <v>88258.625</v>
      </c>
      <c r="I205" s="1443">
        <v>93825.941999999995</v>
      </c>
      <c r="J205" s="1443">
        <v>81670.081000000006</v>
      </c>
      <c r="L205" s="1397">
        <f t="shared" ref="L205:L228" si="94">(J205/G205)^(1/3)-1</f>
        <v>0.17973041230372755</v>
      </c>
      <c r="M205" s="1397">
        <f t="shared" ref="M205:M228" si="95">(J205/E205)^(1/5)-1</f>
        <v>-7.1575611220737301E-2</v>
      </c>
    </row>
    <row r="206" spans="2:13" x14ac:dyDescent="0.3">
      <c r="B206" s="1441">
        <v>814261</v>
      </c>
      <c r="C206" s="1387" t="s">
        <v>2494</v>
      </c>
      <c r="D206" s="1443">
        <v>145766.22500000001</v>
      </c>
      <c r="E206" s="1443">
        <v>144369.64199999999</v>
      </c>
      <c r="F206" s="1443">
        <v>261862.927</v>
      </c>
      <c r="G206" s="1443">
        <v>438250.48599999998</v>
      </c>
      <c r="H206" s="1443">
        <v>356117.217</v>
      </c>
      <c r="I206" s="1443">
        <v>202256.098</v>
      </c>
      <c r="J206" s="1443">
        <v>127294.239</v>
      </c>
      <c r="L206" s="1397">
        <f t="shared" si="94"/>
        <v>-0.33773960944337311</v>
      </c>
      <c r="M206" s="1397">
        <f t="shared" si="95"/>
        <v>-2.4860892626874853E-2</v>
      </c>
    </row>
    <row r="207" spans="2:13" x14ac:dyDescent="0.3">
      <c r="B207" s="1441">
        <v>159613</v>
      </c>
      <c r="C207" s="1387" t="s">
        <v>2495</v>
      </c>
      <c r="D207" s="1443">
        <v>21679.665000000001</v>
      </c>
      <c r="E207" s="1443">
        <v>27040.784</v>
      </c>
      <c r="F207" s="1443">
        <v>32810.313000000002</v>
      </c>
      <c r="G207" s="1443">
        <v>36924.048000000003</v>
      </c>
      <c r="H207" s="1443">
        <v>42522.353000000003</v>
      </c>
      <c r="I207" s="1443">
        <v>45503.51</v>
      </c>
      <c r="J207" s="1443">
        <v>52448.542000000001</v>
      </c>
      <c r="L207" s="1397">
        <f t="shared" si="94"/>
        <v>0.12410799762591296</v>
      </c>
      <c r="M207" s="1397">
        <f t="shared" si="95"/>
        <v>0.14167588600141245</v>
      </c>
    </row>
    <row r="208" spans="2:13" s="406" customFormat="1" x14ac:dyDescent="0.3">
      <c r="B208" s="1442">
        <v>813605</v>
      </c>
      <c r="C208" s="1427" t="s">
        <v>2812</v>
      </c>
      <c r="D208" s="1443">
        <v>-78749.368000000002</v>
      </c>
      <c r="E208" s="1443">
        <v>-71203.324999999997</v>
      </c>
      <c r="F208" s="1443">
        <v>17501.105</v>
      </c>
      <c r="G208" s="1443">
        <v>28528.046999999999</v>
      </c>
      <c r="H208" s="1443">
        <v>14528.392</v>
      </c>
      <c r="I208" s="1443">
        <v>25028.901999999998</v>
      </c>
      <c r="J208" s="1443">
        <v>25650.15</v>
      </c>
      <c r="L208" s="1397">
        <f t="shared" si="94"/>
        <v>-3.4825240736441332E-2</v>
      </c>
      <c r="M208" s="1397">
        <f t="shared" si="95"/>
        <v>-1.8153009097698907</v>
      </c>
    </row>
    <row r="209" spans="2:13" x14ac:dyDescent="0.3">
      <c r="B209" s="1441">
        <v>138533</v>
      </c>
      <c r="C209" s="1387" t="s">
        <v>2497</v>
      </c>
      <c r="D209" s="1443">
        <v>112356.02</v>
      </c>
      <c r="E209" s="1443">
        <v>11938.648999999999</v>
      </c>
      <c r="F209" s="1443">
        <v>11072.4</v>
      </c>
      <c r="G209" s="1443">
        <v>-1792.8420000000001</v>
      </c>
      <c r="H209" s="1443">
        <v>3426.6289999999999</v>
      </c>
      <c r="I209" s="1443">
        <v>-12585.841</v>
      </c>
      <c r="J209" s="1443">
        <v>6363.8419999999996</v>
      </c>
      <c r="L209" s="1397">
        <f t="shared" si="94"/>
        <v>-2.5254306102541486</v>
      </c>
      <c r="M209" s="1397">
        <f t="shared" si="95"/>
        <v>-0.11823503130953006</v>
      </c>
    </row>
    <row r="210" spans="2:13" x14ac:dyDescent="0.3">
      <c r="B210" s="1441">
        <v>767778</v>
      </c>
      <c r="C210" s="1387" t="s">
        <v>2813</v>
      </c>
      <c r="D210" s="1443">
        <v>26824.072</v>
      </c>
      <c r="E210" s="1443">
        <v>42778.370999999999</v>
      </c>
      <c r="F210" s="1443">
        <v>27893.567999999999</v>
      </c>
      <c r="G210" s="1443">
        <v>8970.3799999999992</v>
      </c>
      <c r="H210" s="1443">
        <v>3714.1869999999999</v>
      </c>
      <c r="I210" s="1443">
        <v>8561.0810000000001</v>
      </c>
      <c r="J210" s="1443">
        <v>20228.445</v>
      </c>
      <c r="L210" s="1397">
        <f t="shared" si="94"/>
        <v>0.31134576906416123</v>
      </c>
      <c r="M210" s="1397">
        <f t="shared" si="95"/>
        <v>-0.13911002350571533</v>
      </c>
    </row>
    <row r="211" spans="2:13" x14ac:dyDescent="0.3">
      <c r="B211" s="1441">
        <v>165442</v>
      </c>
      <c r="C211" s="1387" t="s">
        <v>2496</v>
      </c>
      <c r="D211" s="1443">
        <v>11483.171</v>
      </c>
      <c r="E211" s="1443">
        <v>9132.759</v>
      </c>
      <c r="F211" s="1443">
        <v>46923.627</v>
      </c>
      <c r="G211" s="1443">
        <v>42215.351000000002</v>
      </c>
      <c r="H211" s="1443">
        <v>67955.942999999999</v>
      </c>
      <c r="I211" s="1443">
        <v>125659.7</v>
      </c>
      <c r="J211" s="1443">
        <v>126230.007</v>
      </c>
      <c r="L211" s="1397">
        <f t="shared" si="94"/>
        <v>0.44066852239170995</v>
      </c>
      <c r="M211" s="1397">
        <f t="shared" si="95"/>
        <v>0.69087740900688122</v>
      </c>
    </row>
    <row r="212" spans="2:13" x14ac:dyDescent="0.3">
      <c r="B212" s="1441" t="s">
        <v>2826</v>
      </c>
      <c r="C212" s="1387" t="s">
        <v>2498</v>
      </c>
      <c r="D212" s="1443">
        <v>527.34500000000003</v>
      </c>
      <c r="E212" s="1443">
        <v>7999.0010000000002</v>
      </c>
      <c r="F212" s="1443">
        <v>8144.1390000000001</v>
      </c>
      <c r="G212" s="1443">
        <v>10297.803</v>
      </c>
      <c r="H212" s="1443">
        <v>17308.365000000002</v>
      </c>
      <c r="I212" s="1443">
        <v>18244.794000000002</v>
      </c>
      <c r="J212" s="1443">
        <v>-11622.014999999999</v>
      </c>
      <c r="L212" s="1397">
        <f t="shared" si="94"/>
        <v>-2.0411475562087196</v>
      </c>
      <c r="M212" s="1397">
        <f t="shared" si="95"/>
        <v>-2.0775790419302318</v>
      </c>
    </row>
    <row r="213" spans="2:13" x14ac:dyDescent="0.3">
      <c r="B213" s="1441">
        <v>46305</v>
      </c>
      <c r="C213" s="1387" t="s">
        <v>2814</v>
      </c>
      <c r="D213" s="1443">
        <v>6525.143</v>
      </c>
      <c r="E213" s="1443">
        <v>7538.7079999999996</v>
      </c>
      <c r="F213" s="1443">
        <v>10935.507</v>
      </c>
      <c r="G213" s="1443">
        <v>9460.5709999999999</v>
      </c>
      <c r="H213" s="1443">
        <v>14252.949000000001</v>
      </c>
      <c r="I213" s="1443">
        <v>17464.741999999998</v>
      </c>
      <c r="J213" s="1443">
        <v>23597.745999999999</v>
      </c>
      <c r="L213" s="1397">
        <f t="shared" si="94"/>
        <v>0.35618121429303784</v>
      </c>
      <c r="M213" s="1397">
        <f t="shared" si="95"/>
        <v>0.25636179120348235</v>
      </c>
    </row>
    <row r="214" spans="2:13" x14ac:dyDescent="0.3">
      <c r="B214" s="1441">
        <v>267171</v>
      </c>
      <c r="C214" s="1387" t="s">
        <v>2815</v>
      </c>
      <c r="D214" s="1443">
        <v>2420.2379999999998</v>
      </c>
      <c r="E214" s="1443">
        <v>1415.73</v>
      </c>
      <c r="F214" s="1443">
        <v>2154.8409999999999</v>
      </c>
      <c r="G214" s="1443">
        <v>-4092.5839999999998</v>
      </c>
      <c r="H214" s="1443">
        <v>-5164.2529999999997</v>
      </c>
      <c r="I214" s="1443">
        <v>-2054.4850000000001</v>
      </c>
      <c r="J214" s="1443">
        <v>-1284.5640000000001</v>
      </c>
      <c r="L214" s="1397">
        <f t="shared" si="94"/>
        <v>-0.32040102544529481</v>
      </c>
      <c r="M214" s="1397">
        <f t="shared" si="95"/>
        <v>-1.9807426505811554</v>
      </c>
    </row>
    <row r="215" spans="2:13" x14ac:dyDescent="0.3">
      <c r="B215" s="1441">
        <v>352098</v>
      </c>
      <c r="C215" s="1387" t="s">
        <v>2816</v>
      </c>
      <c r="D215" s="1443">
        <v>8957.7420000000002</v>
      </c>
      <c r="E215" s="1443">
        <v>5399.6170000000002</v>
      </c>
      <c r="F215" s="1443">
        <v>4221.7579999999998</v>
      </c>
      <c r="G215" s="1443">
        <v>5080.5450000000001</v>
      </c>
      <c r="H215" s="1443">
        <v>2952.3939999999998</v>
      </c>
      <c r="I215" s="1443">
        <v>-63801.966999999997</v>
      </c>
      <c r="J215" s="1443">
        <v>-124525.731</v>
      </c>
      <c r="L215" s="1397">
        <f t="shared" si="94"/>
        <v>-3.904800200038884</v>
      </c>
      <c r="M215" s="1397">
        <f t="shared" si="95"/>
        <v>-2.8731787776948607</v>
      </c>
    </row>
    <row r="216" spans="2:13" x14ac:dyDescent="0.3">
      <c r="B216" s="1441">
        <v>820377</v>
      </c>
      <c r="C216" s="1387" t="s">
        <v>2817</v>
      </c>
      <c r="D216" s="1443">
        <v>43721.362999999998</v>
      </c>
      <c r="E216" s="1443">
        <v>42818.042999999998</v>
      </c>
      <c r="F216" s="1443">
        <v>47080.788999999997</v>
      </c>
      <c r="G216" s="1443">
        <v>39904.813000000002</v>
      </c>
      <c r="H216" s="1443">
        <v>25861.003000000001</v>
      </c>
      <c r="I216" s="1443">
        <v>12325.141</v>
      </c>
      <c r="J216" s="1443">
        <v>9829.4830000000002</v>
      </c>
      <c r="L216" s="1397">
        <f t="shared" si="94"/>
        <v>-0.373143021083569</v>
      </c>
      <c r="M216" s="1397">
        <f t="shared" si="95"/>
        <v>-0.25495797149987309</v>
      </c>
    </row>
    <row r="217" spans="2:13" x14ac:dyDescent="0.3">
      <c r="B217" s="1441">
        <v>54419</v>
      </c>
      <c r="C217" s="1387" t="s">
        <v>2499</v>
      </c>
      <c r="D217" s="1443">
        <v>13138.351000000001</v>
      </c>
      <c r="E217" s="1443">
        <v>13271.405000000001</v>
      </c>
      <c r="F217" s="1443">
        <v>6873.46</v>
      </c>
      <c r="G217" s="1443">
        <v>14138.424999999999</v>
      </c>
      <c r="H217" s="1443">
        <v>23818.821</v>
      </c>
      <c r="I217" s="1443">
        <v>12605.62</v>
      </c>
      <c r="J217" s="1443">
        <v>15706.013999999999</v>
      </c>
      <c r="L217" s="1397">
        <f t="shared" si="94"/>
        <v>3.5670603235228082E-2</v>
      </c>
      <c r="M217" s="1397">
        <f t="shared" si="95"/>
        <v>3.4260206830885709E-2</v>
      </c>
    </row>
    <row r="218" spans="2:13" x14ac:dyDescent="0.3">
      <c r="B218" s="1441">
        <v>385861</v>
      </c>
      <c r="C218" s="1387" t="s">
        <v>2818</v>
      </c>
      <c r="D218" s="1443">
        <v>3654.1970000000001</v>
      </c>
      <c r="E218" s="1443">
        <v>4297.3180000000002</v>
      </c>
      <c r="F218" s="1443">
        <v>5058.7929999999997</v>
      </c>
      <c r="G218" s="1443">
        <v>5437.5519999999997</v>
      </c>
      <c r="H218" s="1443">
        <v>7001.0479999999998</v>
      </c>
      <c r="I218" s="1443">
        <v>7452.2190000000001</v>
      </c>
      <c r="J218" s="1443">
        <v>7430.8019999999997</v>
      </c>
      <c r="L218" s="1397">
        <f t="shared" si="94"/>
        <v>0.10971320866181933</v>
      </c>
      <c r="M218" s="1397">
        <f t="shared" si="95"/>
        <v>0.11575191103021409</v>
      </c>
    </row>
    <row r="219" spans="2:13" x14ac:dyDescent="0.3">
      <c r="B219" s="1441">
        <v>790681</v>
      </c>
      <c r="C219" s="1387" t="s">
        <v>2819</v>
      </c>
      <c r="D219" s="1443">
        <v>12913.708000000001</v>
      </c>
      <c r="E219" s="1443">
        <v>7743.3779999999997</v>
      </c>
      <c r="F219" s="1443">
        <v>17500.967000000001</v>
      </c>
      <c r="G219" s="1443">
        <v>13959.92</v>
      </c>
      <c r="H219" s="1443">
        <v>7719.4560000000001</v>
      </c>
      <c r="I219" s="1443">
        <v>8331.3169999999991</v>
      </c>
      <c r="J219" s="1443">
        <v>8765.0419999999995</v>
      </c>
      <c r="L219" s="1397">
        <f t="shared" si="94"/>
        <v>-0.14370444294714424</v>
      </c>
      <c r="M219" s="1397">
        <f t="shared" si="95"/>
        <v>2.5096399775294653E-2</v>
      </c>
    </row>
    <row r="220" spans="2:13" x14ac:dyDescent="0.3">
      <c r="B220" s="1441">
        <v>538787</v>
      </c>
      <c r="C220" s="1387" t="s">
        <v>2820</v>
      </c>
      <c r="D220" s="1443">
        <v>12057.531999999999</v>
      </c>
      <c r="E220" s="1443">
        <v>13463.288</v>
      </c>
      <c r="F220" s="1443">
        <v>22577.199000000001</v>
      </c>
      <c r="G220" s="1443">
        <v>17147.159</v>
      </c>
      <c r="H220" s="1443">
        <v>15008.355</v>
      </c>
      <c r="I220" s="1443">
        <v>12806.241</v>
      </c>
      <c r="J220" s="1443">
        <v>12106.513000000001</v>
      </c>
      <c r="L220" s="1397">
        <f t="shared" si="94"/>
        <v>-0.10955117345777032</v>
      </c>
      <c r="M220" s="1397">
        <f t="shared" si="95"/>
        <v>-2.1020523388183165E-2</v>
      </c>
    </row>
    <row r="221" spans="2:13" x14ac:dyDescent="0.3">
      <c r="B221" s="1441">
        <v>830798</v>
      </c>
      <c r="C221" s="1387" t="s">
        <v>2500</v>
      </c>
      <c r="D221" s="1443">
        <v>2007.2090000000001</v>
      </c>
      <c r="E221" s="1443">
        <v>700.89800000000002</v>
      </c>
      <c r="F221" s="1443">
        <v>1176.2249999999999</v>
      </c>
      <c r="G221" s="1443">
        <v>2139.877</v>
      </c>
      <c r="H221" s="1443">
        <v>2190.7800000000002</v>
      </c>
      <c r="I221" s="1443">
        <v>262.18200000000002</v>
      </c>
      <c r="J221" s="1443">
        <v>494.27300000000002</v>
      </c>
      <c r="L221" s="1397">
        <f t="shared" si="94"/>
        <v>-0.3864367222104742</v>
      </c>
      <c r="M221" s="1397">
        <f t="shared" si="95"/>
        <v>-6.747085641769679E-2</v>
      </c>
    </row>
    <row r="222" spans="2:13" x14ac:dyDescent="0.3">
      <c r="B222" s="1441">
        <v>384194</v>
      </c>
      <c r="C222" s="1387" t="s">
        <v>2821</v>
      </c>
      <c r="D222" s="1443">
        <v>-2426.5729999999999</v>
      </c>
      <c r="E222" s="1443">
        <v>-4716.3519999999999</v>
      </c>
      <c r="F222" s="1443">
        <v>7209.674</v>
      </c>
      <c r="G222" s="1443">
        <v>4574.7539999999999</v>
      </c>
      <c r="H222" s="1443">
        <v>4993.2860000000001</v>
      </c>
      <c r="I222" s="1443">
        <v>3067.5509999999999</v>
      </c>
      <c r="J222" s="1443">
        <v>-11015.508</v>
      </c>
      <c r="L222" s="1397">
        <f t="shared" si="94"/>
        <v>-2.3403316148432598</v>
      </c>
      <c r="M222" s="1397">
        <f t="shared" si="95"/>
        <v>0.1848944462687121</v>
      </c>
    </row>
    <row r="223" spans="2:13" x14ac:dyDescent="0.3">
      <c r="B223" s="1441">
        <v>813796</v>
      </c>
      <c r="C223" s="1387" t="s">
        <v>2501</v>
      </c>
      <c r="D223" s="1443">
        <v>3518.7939999999999</v>
      </c>
      <c r="E223" s="1443">
        <v>4119.1549999999997</v>
      </c>
      <c r="F223" s="1443">
        <v>2509.44</v>
      </c>
      <c r="G223" s="1443">
        <v>-9246.0480000000007</v>
      </c>
      <c r="H223" s="1443">
        <v>1306.2329999999999</v>
      </c>
      <c r="I223" s="1443">
        <v>2639.7550000000001</v>
      </c>
      <c r="J223" s="1443">
        <v>1473.769</v>
      </c>
      <c r="L223" s="1397">
        <f t="shared" si="94"/>
        <v>-1.5421978084020198</v>
      </c>
      <c r="M223" s="1397">
        <f t="shared" si="95"/>
        <v>-0.18581282609001859</v>
      </c>
    </row>
    <row r="224" spans="2:13" x14ac:dyDescent="0.3">
      <c r="B224" s="1441">
        <v>102411</v>
      </c>
      <c r="C224" s="1387" t="s">
        <v>2822</v>
      </c>
      <c r="D224" s="1443">
        <v>7758.7309999999998</v>
      </c>
      <c r="E224" s="1443">
        <v>5188.4369999999999</v>
      </c>
      <c r="F224" s="1443">
        <v>3186.6750000000002</v>
      </c>
      <c r="G224" s="1443">
        <v>3711.0520000000001</v>
      </c>
      <c r="H224" s="1443">
        <v>3213.7890000000002</v>
      </c>
      <c r="I224" s="1443">
        <v>-2667.3919999999998</v>
      </c>
      <c r="J224" s="1443">
        <v>923.04499999999996</v>
      </c>
      <c r="L224" s="1397">
        <f t="shared" si="94"/>
        <v>-0.37110914700783393</v>
      </c>
      <c r="M224" s="1397">
        <f t="shared" si="95"/>
        <v>-0.29199346667536863</v>
      </c>
    </row>
    <row r="225" spans="2:13" x14ac:dyDescent="0.3">
      <c r="B225" s="1441">
        <v>99090</v>
      </c>
      <c r="C225" s="1387" t="s">
        <v>2823</v>
      </c>
      <c r="D225" s="1443">
        <v>2009.596</v>
      </c>
      <c r="E225" s="1443">
        <v>1028.5250000000001</v>
      </c>
      <c r="F225" s="1443">
        <v>-12369.182000000001</v>
      </c>
      <c r="G225" s="1443">
        <v>4.7629999999999999</v>
      </c>
      <c r="H225" s="1443">
        <v>-6392.1009999999997</v>
      </c>
      <c r="I225" s="1443">
        <v>-18367.368999999999</v>
      </c>
      <c r="J225" s="1443">
        <v>-9296.89</v>
      </c>
      <c r="L225" s="1397">
        <f t="shared" si="94"/>
        <v>-13.497381773695494</v>
      </c>
      <c r="M225" s="1397">
        <f t="shared" si="95"/>
        <v>-2.5531899365994692</v>
      </c>
    </row>
    <row r="226" spans="2:13" x14ac:dyDescent="0.3">
      <c r="B226" s="1441">
        <v>814083</v>
      </c>
      <c r="C226" s="1387" t="s">
        <v>2824</v>
      </c>
      <c r="D226" s="1443">
        <v>3491.3879999999999</v>
      </c>
      <c r="E226" s="1443">
        <v>2615.4720000000002</v>
      </c>
      <c r="F226" s="1443">
        <v>2120.5259999999998</v>
      </c>
      <c r="G226" s="1443">
        <v>651.27499999999998</v>
      </c>
      <c r="H226" s="1443">
        <v>-23063.756000000001</v>
      </c>
      <c r="I226" s="1443">
        <v>-162806.1</v>
      </c>
      <c r="J226" s="1443">
        <v>143301.57800000001</v>
      </c>
      <c r="L226" s="1397">
        <f t="shared" si="94"/>
        <v>5.0371067474378908</v>
      </c>
      <c r="M226" s="1397">
        <f t="shared" si="95"/>
        <v>1.2271023672536487</v>
      </c>
    </row>
    <row r="227" spans="2:13" x14ac:dyDescent="0.3">
      <c r="B227" s="1441">
        <v>126293</v>
      </c>
      <c r="C227" s="1387" t="s">
        <v>2825</v>
      </c>
      <c r="D227" s="1443">
        <v>1388.4780000000001</v>
      </c>
      <c r="E227" s="1443">
        <v>685.37400000000002</v>
      </c>
      <c r="F227" s="1443">
        <v>-852.89200000000005</v>
      </c>
      <c r="G227" s="1443">
        <v>603.18799999999999</v>
      </c>
      <c r="H227" s="1443">
        <v>2263.1129999999998</v>
      </c>
      <c r="I227" s="1443">
        <v>1256.2280000000001</v>
      </c>
      <c r="J227" s="1443">
        <v>-36.433999999999997</v>
      </c>
      <c r="L227" s="1397">
        <f t="shared" si="94"/>
        <v>-1.3923599950131107</v>
      </c>
      <c r="M227" s="1397">
        <f t="shared" si="95"/>
        <v>-1.556052561564458</v>
      </c>
    </row>
    <row r="228" spans="2:13" s="406" customFormat="1" x14ac:dyDescent="0.3">
      <c r="B228" s="1391" t="s">
        <v>2547</v>
      </c>
      <c r="C228" s="1391"/>
      <c r="D228" s="1392">
        <f t="shared" ref="D228:I228" si="96">SUM(D204:D227)</f>
        <v>708662.94200000016</v>
      </c>
      <c r="E228" s="1392">
        <f t="shared" si="96"/>
        <v>660937.27399999998</v>
      </c>
      <c r="F228" s="1392">
        <f t="shared" si="96"/>
        <v>974331.50899999973</v>
      </c>
      <c r="G228" s="1392">
        <f t="shared" si="96"/>
        <v>1043409.5900000001</v>
      </c>
      <c r="H228" s="1392">
        <f t="shared" si="96"/>
        <v>1065597.7709999999</v>
      </c>
      <c r="I228" s="1392">
        <f t="shared" si="96"/>
        <v>647379.93400000012</v>
      </c>
      <c r="J228" s="1392">
        <f t="shared" ref="J228" si="97">SUM(J204:J227)</f>
        <v>918612.652</v>
      </c>
      <c r="L228" s="1399">
        <f t="shared" si="94"/>
        <v>-4.1572647467681967E-2</v>
      </c>
      <c r="M228" s="1399">
        <f t="shared" si="95"/>
        <v>6.8057011896449859E-2</v>
      </c>
    </row>
    <row r="229" spans="2:13" s="1396" customFormat="1" x14ac:dyDescent="0.3">
      <c r="B229" s="1393" t="s">
        <v>2548</v>
      </c>
      <c r="C229" s="1394"/>
      <c r="D229" s="1395" t="s">
        <v>2549</v>
      </c>
      <c r="E229" s="1395">
        <f t="shared" ref="E229:J229" si="98">E228/D228-1</f>
        <v>-6.7346075505667069E-2</v>
      </c>
      <c r="F229" s="1395">
        <f t="shared" si="98"/>
        <v>0.47416638057547322</v>
      </c>
      <c r="G229" s="1395">
        <f t="shared" si="98"/>
        <v>7.0897923716845002E-2</v>
      </c>
      <c r="H229" s="1395">
        <f t="shared" si="98"/>
        <v>2.1265072903920545E-2</v>
      </c>
      <c r="I229" s="1395">
        <f t="shared" si="98"/>
        <v>-0.39247251484725543</v>
      </c>
      <c r="J229" s="1395">
        <f t="shared" si="98"/>
        <v>0.41896991821189156</v>
      </c>
    </row>
    <row r="230" spans="2:13" s="406" customFormat="1" x14ac:dyDescent="0.3">
      <c r="B230" s="1389" t="s">
        <v>2810</v>
      </c>
      <c r="C230" s="1389"/>
      <c r="D230" s="1390">
        <f>D218</f>
        <v>3654.1970000000001</v>
      </c>
      <c r="E230" s="1390">
        <f t="shared" ref="E230:J230" si="99">E218</f>
        <v>4297.3180000000002</v>
      </c>
      <c r="F230" s="1390">
        <f t="shared" si="99"/>
        <v>5058.7929999999997</v>
      </c>
      <c r="G230" s="1390">
        <f t="shared" si="99"/>
        <v>5437.5519999999997</v>
      </c>
      <c r="H230" s="1390">
        <f t="shared" si="99"/>
        <v>7001.0479999999998</v>
      </c>
      <c r="I230" s="1390">
        <f t="shared" si="99"/>
        <v>7452.2190000000001</v>
      </c>
      <c r="J230" s="1390">
        <f t="shared" si="99"/>
        <v>7430.8019999999997</v>
      </c>
    </row>
    <row r="231" spans="2:13" s="1396" customFormat="1" x14ac:dyDescent="0.3">
      <c r="B231" s="1400" t="s">
        <v>2550</v>
      </c>
      <c r="C231" s="1401"/>
      <c r="D231" s="1402" t="s">
        <v>2551</v>
      </c>
      <c r="E231" s="1402">
        <f t="shared" ref="E231:J231" si="100">E230/D230-1</f>
        <v>0.17599516391699743</v>
      </c>
      <c r="F231" s="1402">
        <f t="shared" si="100"/>
        <v>0.17719773123608706</v>
      </c>
      <c r="G231" s="1402">
        <f t="shared" si="100"/>
        <v>7.487141695657451E-2</v>
      </c>
      <c r="H231" s="1402">
        <f t="shared" si="100"/>
        <v>0.28753674447619071</v>
      </c>
      <c r="I231" s="1402">
        <f t="shared" si="100"/>
        <v>6.4443351909599933E-2</v>
      </c>
      <c r="J231" s="1402">
        <f t="shared" si="100"/>
        <v>-2.8739091000948846E-3</v>
      </c>
    </row>
    <row r="232" spans="2:13" s="1396" customFormat="1" x14ac:dyDescent="0.3">
      <c r="B232" s="1400" t="s">
        <v>2552</v>
      </c>
      <c r="C232" s="1401"/>
      <c r="D232" s="1402">
        <f t="shared" ref="D232:I232" si="101">D230/D228</f>
        <v>5.1564668948076578E-3</v>
      </c>
      <c r="E232" s="1402">
        <f t="shared" si="101"/>
        <v>6.5018545163788117E-3</v>
      </c>
      <c r="F232" s="1402">
        <f t="shared" si="101"/>
        <v>5.1920654862040398E-3</v>
      </c>
      <c r="G232" s="1402">
        <f t="shared" si="101"/>
        <v>5.2113302888082517E-3</v>
      </c>
      <c r="H232" s="1402">
        <f t="shared" si="101"/>
        <v>6.5700662956810936E-3</v>
      </c>
      <c r="I232" s="1402">
        <f t="shared" si="101"/>
        <v>1.1511353084354324E-2</v>
      </c>
      <c r="J232" s="1402">
        <f t="shared" ref="J232" si="102">J230/J228</f>
        <v>8.0891570389561747E-3</v>
      </c>
    </row>
    <row r="235" spans="2:13" x14ac:dyDescent="0.3">
      <c r="B235" s="1385" t="s">
        <v>2553</v>
      </c>
    </row>
    <row r="236" spans="2:13" x14ac:dyDescent="0.3">
      <c r="B236" s="1385"/>
    </row>
    <row r="237" spans="2:13" s="1385" customFormat="1" x14ac:dyDescent="0.3">
      <c r="B237" s="1386" t="s">
        <v>2543</v>
      </c>
      <c r="C237" s="1386" t="s">
        <v>2544</v>
      </c>
      <c r="D237" s="1386">
        <v>2008</v>
      </c>
      <c r="E237" s="1386">
        <f t="shared" ref="E237:J237" si="103">D237+1</f>
        <v>2009</v>
      </c>
      <c r="F237" s="1386">
        <f t="shared" si="103"/>
        <v>2010</v>
      </c>
      <c r="G237" s="1386">
        <f t="shared" si="103"/>
        <v>2011</v>
      </c>
      <c r="H237" s="1386">
        <f t="shared" si="103"/>
        <v>2012</v>
      </c>
      <c r="I237" s="1386">
        <f t="shared" si="103"/>
        <v>2013</v>
      </c>
      <c r="J237" s="1386">
        <f t="shared" si="103"/>
        <v>2014</v>
      </c>
    </row>
    <row r="238" spans="2:13" x14ac:dyDescent="0.3">
      <c r="B238" s="1441">
        <v>820717</v>
      </c>
      <c r="C238" s="1387" t="s">
        <v>2492</v>
      </c>
      <c r="D238" s="1429">
        <f t="shared" ref="D238:I253" si="104">D204/D38</f>
        <v>7.8719227205554201E-2</v>
      </c>
      <c r="E238" s="1429">
        <f t="shared" si="104"/>
        <v>8.8238639345259065E-2</v>
      </c>
      <c r="F238" s="1429">
        <f t="shared" si="104"/>
        <v>7.5018886419374584E-2</v>
      </c>
      <c r="G238" s="1429">
        <f t="shared" si="104"/>
        <v>6.8580080560956713E-2</v>
      </c>
      <c r="H238" s="1429">
        <f t="shared" si="104"/>
        <v>6.4823800896379277E-2</v>
      </c>
      <c r="I238" s="1429">
        <f t="shared" si="104"/>
        <v>4.4328010360557286E-2</v>
      </c>
      <c r="J238" s="1429">
        <f t="shared" ref="J238" si="105">J204/J38</f>
        <v>5.227822466980659E-2</v>
      </c>
    </row>
    <row r="239" spans="2:13" x14ac:dyDescent="0.3">
      <c r="B239" s="1441">
        <v>812536</v>
      </c>
      <c r="C239" s="1387" t="s">
        <v>2493</v>
      </c>
      <c r="D239" s="1429">
        <f t="shared" si="104"/>
        <v>5.7655525224652004E-2</v>
      </c>
      <c r="E239" s="1429">
        <f t="shared" si="104"/>
        <v>4.6855258719699089E-2</v>
      </c>
      <c r="F239" s="1429">
        <f t="shared" si="104"/>
        <v>4.4148908097522352E-2</v>
      </c>
      <c r="G239" s="1429">
        <f t="shared" si="104"/>
        <v>1.5586738540401214E-2</v>
      </c>
      <c r="H239" s="1429">
        <f t="shared" si="104"/>
        <v>2.7159943362690241E-2</v>
      </c>
      <c r="I239" s="1429">
        <f t="shared" si="104"/>
        <v>2.9351216368842321E-2</v>
      </c>
      <c r="J239" s="1429">
        <f t="shared" ref="J239" si="106">J205/J39</f>
        <v>2.4617512055462067E-2</v>
      </c>
    </row>
    <row r="240" spans="2:13" x14ac:dyDescent="0.3">
      <c r="B240" s="1441">
        <v>814261</v>
      </c>
      <c r="C240" s="1387" t="s">
        <v>2494</v>
      </c>
      <c r="D240" s="1429">
        <f t="shared" si="104"/>
        <v>0.11430982199438129</v>
      </c>
      <c r="E240" s="1429">
        <f t="shared" si="104"/>
        <v>0.1099906224095628</v>
      </c>
      <c r="F240" s="1429">
        <f t="shared" si="104"/>
        <v>0.17750729670477064</v>
      </c>
      <c r="G240" s="1429">
        <f t="shared" si="104"/>
        <v>0.25752719316229994</v>
      </c>
      <c r="H240" s="1429">
        <f t="shared" si="104"/>
        <v>0.15885303651700852</v>
      </c>
      <c r="I240" s="1429">
        <f t="shared" si="104"/>
        <v>8.787039491444687E-2</v>
      </c>
      <c r="J240" s="1429">
        <f t="shared" ref="J240" si="107">J206/J40</f>
        <v>5.2471556194529659E-2</v>
      </c>
    </row>
    <row r="241" spans="2:10" x14ac:dyDescent="0.3">
      <c r="B241" s="1441">
        <v>159613</v>
      </c>
      <c r="C241" s="1387" t="s">
        <v>2495</v>
      </c>
      <c r="D241" s="1429">
        <f t="shared" si="104"/>
        <v>4.393284125953479E-2</v>
      </c>
      <c r="E241" s="1429">
        <f t="shared" si="104"/>
        <v>5.0367235230576436E-2</v>
      </c>
      <c r="F241" s="1429">
        <f t="shared" si="104"/>
        <v>5.4062517994750009E-2</v>
      </c>
      <c r="G241" s="1429">
        <f t="shared" si="104"/>
        <v>5.039781305878225E-2</v>
      </c>
      <c r="H241" s="1429">
        <f t="shared" si="104"/>
        <v>4.6118638495733347E-2</v>
      </c>
      <c r="I241" s="1429">
        <f t="shared" si="104"/>
        <v>4.401291884386134E-2</v>
      </c>
      <c r="J241" s="1429">
        <f t="shared" ref="J241" si="108">J207/J41</f>
        <v>4.675115882675835E-2</v>
      </c>
    </row>
    <row r="242" spans="2:10" s="406" customFormat="1" x14ac:dyDescent="0.3">
      <c r="B242" s="1442">
        <v>813605</v>
      </c>
      <c r="C242" s="1427" t="s">
        <v>2812</v>
      </c>
      <c r="D242" s="1429">
        <f t="shared" si="104"/>
        <v>-0.21225153622291418</v>
      </c>
      <c r="E242" s="1429">
        <f t="shared" si="104"/>
        <v>-0.19314935410779704</v>
      </c>
      <c r="F242" s="1429">
        <f t="shared" si="104"/>
        <v>2.1082377817123361E-2</v>
      </c>
      <c r="G242" s="1429">
        <f t="shared" si="104"/>
        <v>2.8345274572009364E-2</v>
      </c>
      <c r="H242" s="1429">
        <f t="shared" si="104"/>
        <v>1.2875352766883098E-2</v>
      </c>
      <c r="I242" s="1429">
        <f t="shared" si="104"/>
        <v>2.0735888418972899E-2</v>
      </c>
      <c r="J242" s="1429">
        <f t="shared" ref="J242" si="109">J208/J42</f>
        <v>2.4085202321896832E-2</v>
      </c>
    </row>
    <row r="243" spans="2:10" x14ac:dyDescent="0.3">
      <c r="B243" s="1441">
        <v>138533</v>
      </c>
      <c r="C243" s="1387" t="s">
        <v>2497</v>
      </c>
      <c r="D243" s="1429">
        <f t="shared" si="104"/>
        <v>0.37614852018596573</v>
      </c>
      <c r="E243" s="1429">
        <f t="shared" si="104"/>
        <v>3.5462485456804874E-2</v>
      </c>
      <c r="F243" s="1429">
        <f t="shared" si="104"/>
        <v>2.6838199810077634E-2</v>
      </c>
      <c r="G243" s="1429">
        <f t="shared" si="104"/>
        <v>-2.71949079146518E-3</v>
      </c>
      <c r="H243" s="1429">
        <f t="shared" si="104"/>
        <v>4.7644205638431979E-3</v>
      </c>
      <c r="I243" s="1429">
        <f t="shared" si="104"/>
        <v>-1.6129582545853911E-2</v>
      </c>
      <c r="J243" s="1429">
        <f t="shared" ref="J243" si="110">J209/J43</f>
        <v>8.8705840687678238E-3</v>
      </c>
    </row>
    <row r="244" spans="2:10" x14ac:dyDescent="0.3">
      <c r="B244" s="1441">
        <v>767778</v>
      </c>
      <c r="C244" s="1387" t="s">
        <v>2813</v>
      </c>
      <c r="D244" s="1429">
        <f t="shared" si="104"/>
        <v>6.5491241848045084E-2</v>
      </c>
      <c r="E244" s="1429">
        <f t="shared" si="104"/>
        <v>0.10471857646834046</v>
      </c>
      <c r="F244" s="1429">
        <f t="shared" si="104"/>
        <v>6.6409392590561181E-2</v>
      </c>
      <c r="G244" s="1429">
        <f t="shared" si="104"/>
        <v>2.4126182972358662E-2</v>
      </c>
      <c r="H244" s="1429">
        <f t="shared" si="104"/>
        <v>1.0963781716086333E-2</v>
      </c>
      <c r="I244" s="1429">
        <f t="shared" si="104"/>
        <v>2.2962395486315425E-2</v>
      </c>
      <c r="J244" s="1429">
        <f t="shared" ref="J244" si="111">J210/J44</f>
        <v>4.4074548894997498E-2</v>
      </c>
    </row>
    <row r="245" spans="2:10" x14ac:dyDescent="0.3">
      <c r="B245" s="1441">
        <v>165442</v>
      </c>
      <c r="C245" s="1387" t="s">
        <v>2496</v>
      </c>
      <c r="D245" s="1429">
        <f t="shared" si="104"/>
        <v>3.3464217477956845E-2</v>
      </c>
      <c r="E245" s="1429">
        <f t="shared" si="104"/>
        <v>2.1685775066170962E-2</v>
      </c>
      <c r="F245" s="1429">
        <f t="shared" si="104"/>
        <v>6.0829008307504859E-2</v>
      </c>
      <c r="G245" s="1429">
        <f t="shared" si="104"/>
        <v>4.3977363618734958E-2</v>
      </c>
      <c r="H245" s="1429">
        <f t="shared" si="104"/>
        <v>6.014518457538965E-2</v>
      </c>
      <c r="I245" s="1429">
        <f t="shared" si="104"/>
        <v>0.13002387463814324</v>
      </c>
      <c r="J245" s="1429">
        <f t="shared" ref="J245" si="112">J211/J45</f>
        <v>0.13447989782017003</v>
      </c>
    </row>
    <row r="246" spans="2:10" x14ac:dyDescent="0.3">
      <c r="B246" s="1441" t="s">
        <v>2826</v>
      </c>
      <c r="C246" s="1387" t="s">
        <v>2498</v>
      </c>
      <c r="D246" s="1429">
        <f t="shared" si="104"/>
        <v>8.9524211525028631E-3</v>
      </c>
      <c r="E246" s="1429">
        <f t="shared" si="104"/>
        <v>3.1219176360485112E-2</v>
      </c>
      <c r="F246" s="1429">
        <f t="shared" si="104"/>
        <v>2.2906278154918636E-2</v>
      </c>
      <c r="G246" s="1429">
        <f t="shared" si="104"/>
        <v>2.0679777450572645E-2</v>
      </c>
      <c r="H246" s="1429">
        <f t="shared" si="104"/>
        <v>3.0325632394717458E-2</v>
      </c>
      <c r="I246" s="1429">
        <f t="shared" si="104"/>
        <v>3.1818726148962063E-2</v>
      </c>
      <c r="J246" s="1429">
        <f t="shared" ref="J246" si="113">J212/J46</f>
        <v>-3.2884982925834444E-2</v>
      </c>
    </row>
    <row r="247" spans="2:10" x14ac:dyDescent="0.3">
      <c r="B247" s="1441">
        <v>46305</v>
      </c>
      <c r="C247" s="1387" t="s">
        <v>2814</v>
      </c>
      <c r="D247" s="1429">
        <f t="shared" si="104"/>
        <v>5.0850974948857118E-2</v>
      </c>
      <c r="E247" s="1429">
        <f t="shared" si="104"/>
        <v>5.3773538951700069E-2</v>
      </c>
      <c r="F247" s="1429">
        <f t="shared" si="104"/>
        <v>5.3156620692364209E-2</v>
      </c>
      <c r="G247" s="1429">
        <f t="shared" si="104"/>
        <v>3.678190536522416E-2</v>
      </c>
      <c r="H247" s="1429">
        <f t="shared" si="104"/>
        <v>4.9827074297897726E-2</v>
      </c>
      <c r="I247" s="1429">
        <f t="shared" si="104"/>
        <v>4.8893801913705077E-2</v>
      </c>
      <c r="J247" s="1429">
        <f t="shared" ref="J247" si="114">J213/J47</f>
        <v>5.6016757826822652E-2</v>
      </c>
    </row>
    <row r="248" spans="2:10" x14ac:dyDescent="0.3">
      <c r="B248" s="1441">
        <v>267171</v>
      </c>
      <c r="C248" s="1387" t="s">
        <v>2815</v>
      </c>
      <c r="D248" s="1429">
        <f t="shared" si="104"/>
        <v>8.9919354172051155E-3</v>
      </c>
      <c r="E248" s="1429">
        <f t="shared" si="104"/>
        <v>5.0437372388216122E-3</v>
      </c>
      <c r="F248" s="1429">
        <f t="shared" si="104"/>
        <v>7.6470500037750114E-3</v>
      </c>
      <c r="G248" s="1429">
        <f t="shared" si="104"/>
        <v>-1.439526883918618E-2</v>
      </c>
      <c r="H248" s="1429">
        <f t="shared" si="104"/>
        <v>-1.6750060844112666E-2</v>
      </c>
      <c r="I248" s="1429">
        <f t="shared" si="104"/>
        <v>-6.5989125400951511E-3</v>
      </c>
      <c r="J248" s="1429">
        <f t="shared" ref="J248" si="115">J214/J48</f>
        <v>-4.43939256334873E-3</v>
      </c>
    </row>
    <row r="249" spans="2:10" x14ac:dyDescent="0.3">
      <c r="B249" s="1441">
        <v>352098</v>
      </c>
      <c r="C249" s="1387" t="s">
        <v>2816</v>
      </c>
      <c r="D249" s="1429">
        <f t="shared" si="104"/>
        <v>4.7319313527325324E-2</v>
      </c>
      <c r="E249" s="1429">
        <f t="shared" si="104"/>
        <v>2.5876959766419145E-2</v>
      </c>
      <c r="F249" s="1429">
        <f t="shared" si="104"/>
        <v>2.1952265862648392E-2</v>
      </c>
      <c r="G249" s="1429">
        <f t="shared" si="104"/>
        <v>9.9408592109545904E-3</v>
      </c>
      <c r="H249" s="1429">
        <f t="shared" si="104"/>
        <v>5.4217853463439988E-3</v>
      </c>
      <c r="I249" s="1429">
        <f t="shared" si="104"/>
        <v>-0.14404484077890464</v>
      </c>
      <c r="J249" s="1429">
        <f t="shared" ref="J249" si="116">J215/J49</f>
        <v>-0.43953672631551238</v>
      </c>
    </row>
    <row r="250" spans="2:10" x14ac:dyDescent="0.3">
      <c r="B250" s="1441">
        <v>820377</v>
      </c>
      <c r="C250" s="1387" t="s">
        <v>2817</v>
      </c>
      <c r="D250" s="1429">
        <f t="shared" si="104"/>
        <v>0.17825781825649792</v>
      </c>
      <c r="E250" s="1429">
        <f t="shared" si="104"/>
        <v>0.17358627422948658</v>
      </c>
      <c r="F250" s="1429">
        <f t="shared" si="104"/>
        <v>0.17123348065591273</v>
      </c>
      <c r="G250" s="1429">
        <f t="shared" si="104"/>
        <v>0.13412327748504188</v>
      </c>
      <c r="H250" s="1429">
        <f t="shared" si="104"/>
        <v>8.6778044528449977E-2</v>
      </c>
      <c r="I250" s="1429">
        <f t="shared" si="104"/>
        <v>3.9066164218677805E-2</v>
      </c>
      <c r="J250" s="1429">
        <f t="shared" ref="J250" si="117">J216/J50</f>
        <v>3.5067264602467521E-2</v>
      </c>
    </row>
    <row r="251" spans="2:10" x14ac:dyDescent="0.3">
      <c r="B251" s="1441">
        <v>54419</v>
      </c>
      <c r="C251" s="1387" t="s">
        <v>2499</v>
      </c>
      <c r="D251" s="1429">
        <f t="shared" si="104"/>
        <v>7.5457422124685244E-2</v>
      </c>
      <c r="E251" s="1429">
        <f t="shared" si="104"/>
        <v>6.2653689469748336E-2</v>
      </c>
      <c r="F251" s="1429">
        <f t="shared" si="104"/>
        <v>3.8489649846975379E-2</v>
      </c>
      <c r="G251" s="1429">
        <f t="shared" si="104"/>
        <v>7.2014205717222252E-2</v>
      </c>
      <c r="H251" s="1429">
        <f t="shared" si="104"/>
        <v>8.2234094700388963E-2</v>
      </c>
      <c r="I251" s="1429">
        <f t="shared" si="104"/>
        <v>4.5226503929198782E-2</v>
      </c>
      <c r="J251" s="1429">
        <f t="shared" ref="J251" si="118">J217/J51</f>
        <v>5.8683176255282118E-2</v>
      </c>
    </row>
    <row r="252" spans="2:10" x14ac:dyDescent="0.3">
      <c r="B252" s="1441">
        <v>385861</v>
      </c>
      <c r="C252" s="1387" t="s">
        <v>2818</v>
      </c>
      <c r="D252" s="1429">
        <f t="shared" si="104"/>
        <v>4.8652671261118295E-2</v>
      </c>
      <c r="E252" s="1429">
        <f t="shared" si="104"/>
        <v>6.3264294674083815E-2</v>
      </c>
      <c r="F252" s="1429">
        <f t="shared" si="104"/>
        <v>4.9986676261655455E-2</v>
      </c>
      <c r="G252" s="1429">
        <f t="shared" si="104"/>
        <v>4.5278617800867497E-2</v>
      </c>
      <c r="H252" s="1429">
        <f t="shared" si="104"/>
        <v>3.8408361604833532E-2</v>
      </c>
      <c r="I252" s="1429">
        <f t="shared" si="104"/>
        <v>3.5204555913884758E-2</v>
      </c>
      <c r="J252" s="1429">
        <f t="shared" ref="J252" si="119">J218/J52</f>
        <v>2.9509471253822219E-2</v>
      </c>
    </row>
    <row r="253" spans="2:10" x14ac:dyDescent="0.3">
      <c r="B253" s="1441">
        <v>790681</v>
      </c>
      <c r="C253" s="1387" t="s">
        <v>2819</v>
      </c>
      <c r="D253" s="1429">
        <f t="shared" si="104"/>
        <v>5.366224448164688E-2</v>
      </c>
      <c r="E253" s="1429">
        <f t="shared" si="104"/>
        <v>3.1587821464688533E-2</v>
      </c>
      <c r="F253" s="1429">
        <f t="shared" si="104"/>
        <v>5.9473797372624759E-2</v>
      </c>
      <c r="G253" s="1429">
        <f t="shared" si="104"/>
        <v>4.3008292520766392E-2</v>
      </c>
      <c r="H253" s="1429">
        <f t="shared" si="104"/>
        <v>3.1062606000062148E-2</v>
      </c>
      <c r="I253" s="1429">
        <f t="shared" si="104"/>
        <v>3.5177106105598294E-2</v>
      </c>
      <c r="J253" s="1429">
        <f t="shared" ref="J253" si="120">J219/J53</f>
        <v>3.7291754470103744E-2</v>
      </c>
    </row>
    <row r="254" spans="2:10" x14ac:dyDescent="0.3">
      <c r="B254" s="1441">
        <v>538787</v>
      </c>
      <c r="C254" s="1387" t="s">
        <v>2820</v>
      </c>
      <c r="D254" s="1429">
        <f t="shared" ref="D254:I261" si="121">D220/D54</f>
        <v>4.5107569999084385E-2</v>
      </c>
      <c r="E254" s="1429">
        <f t="shared" si="121"/>
        <v>5.2826146005919304E-2</v>
      </c>
      <c r="F254" s="1429">
        <f t="shared" si="121"/>
        <v>7.4341937404607511E-2</v>
      </c>
      <c r="G254" s="1429">
        <f t="shared" si="121"/>
        <v>5.0871992514674176E-2</v>
      </c>
      <c r="H254" s="1429">
        <f t="shared" si="121"/>
        <v>5.0514013705910243E-2</v>
      </c>
      <c r="I254" s="1429">
        <f t="shared" si="121"/>
        <v>5.3407779914109013E-2</v>
      </c>
      <c r="J254" s="1429">
        <f t="shared" ref="J254" si="122">J220/J54</f>
        <v>5.308419173585191E-2</v>
      </c>
    </row>
    <row r="255" spans="2:10" x14ac:dyDescent="0.3">
      <c r="B255" s="1441">
        <v>830798</v>
      </c>
      <c r="C255" s="1387" t="s">
        <v>2500</v>
      </c>
      <c r="D255" s="1429">
        <f t="shared" si="121"/>
        <v>2.8265369169244645E-2</v>
      </c>
      <c r="E255" s="1429">
        <f t="shared" si="121"/>
        <v>1.1509333999625343E-2</v>
      </c>
      <c r="F255" s="1429">
        <f t="shared" si="121"/>
        <v>1.1092139364440713E-2</v>
      </c>
      <c r="G255" s="1429">
        <f t="shared" si="121"/>
        <v>1.065387648716065E-2</v>
      </c>
      <c r="H255" s="1429">
        <f t="shared" si="121"/>
        <v>9.3937874382004349E-3</v>
      </c>
      <c r="I255" s="1429">
        <f t="shared" si="121"/>
        <v>1.2834963470101577E-3</v>
      </c>
      <c r="J255" s="1429">
        <f t="shared" ref="J255" si="123">J221/J55</f>
        <v>2.7935119613265945E-3</v>
      </c>
    </row>
    <row r="256" spans="2:10" x14ac:dyDescent="0.3">
      <c r="B256" s="1441">
        <v>384194</v>
      </c>
      <c r="C256" s="1387" t="s">
        <v>2821</v>
      </c>
      <c r="D256" s="1429">
        <f t="shared" si="121"/>
        <v>-1.2053363126158406E-2</v>
      </c>
      <c r="E256" s="1429">
        <f t="shared" si="121"/>
        <v>-2.4820393047480547E-2</v>
      </c>
      <c r="F256" s="1429">
        <f t="shared" si="121"/>
        <v>3.0260733568795151E-2</v>
      </c>
      <c r="G256" s="1429">
        <f t="shared" si="121"/>
        <v>2.0382032036048738E-2</v>
      </c>
      <c r="H256" s="1429">
        <f t="shared" si="121"/>
        <v>2.5412252132387226E-2</v>
      </c>
      <c r="I256" s="1429">
        <f t="shared" si="121"/>
        <v>1.6569037632495811E-2</v>
      </c>
      <c r="J256" s="1429">
        <f t="shared" ref="J256" si="124">J222/J56</f>
        <v>-6.1199210761595187E-2</v>
      </c>
    </row>
    <row r="257" spans="2:10" x14ac:dyDescent="0.3">
      <c r="B257" s="1441">
        <v>813796</v>
      </c>
      <c r="C257" s="1387" t="s">
        <v>2501</v>
      </c>
      <c r="D257" s="1429">
        <f t="shared" si="121"/>
        <v>1.6090441789375774E-2</v>
      </c>
      <c r="E257" s="1429">
        <f t="shared" si="121"/>
        <v>1.8558457005131066E-2</v>
      </c>
      <c r="F257" s="1429">
        <f t="shared" si="121"/>
        <v>1.0867260422300535E-2</v>
      </c>
      <c r="G257" s="1429">
        <f t="shared" si="121"/>
        <v>-3.829972473303106E-2</v>
      </c>
      <c r="H257" s="1429">
        <f t="shared" si="121"/>
        <v>6.2484509021598529E-3</v>
      </c>
      <c r="I257" s="1429">
        <f t="shared" si="121"/>
        <v>1.3311414055914903E-2</v>
      </c>
      <c r="J257" s="1429">
        <f t="shared" ref="J257" si="125">J223/J57</f>
        <v>7.2283687728430367E-3</v>
      </c>
    </row>
    <row r="258" spans="2:10" x14ac:dyDescent="0.3">
      <c r="B258" s="1441">
        <v>102411</v>
      </c>
      <c r="C258" s="1387" t="s">
        <v>2822</v>
      </c>
      <c r="D258" s="1429">
        <f t="shared" si="121"/>
        <v>7.462632259279782E-2</v>
      </c>
      <c r="E258" s="1429">
        <f t="shared" si="121"/>
        <v>4.9852460483482401E-2</v>
      </c>
      <c r="F258" s="1429">
        <f t="shared" si="121"/>
        <v>3.0285960367097575E-2</v>
      </c>
      <c r="G258" s="1429">
        <f t="shared" si="121"/>
        <v>3.1107892268482713E-2</v>
      </c>
      <c r="H258" s="1429">
        <f t="shared" si="121"/>
        <v>2.5097715907143447E-2</v>
      </c>
      <c r="I258" s="1429">
        <f t="shared" si="121"/>
        <v>-2.0349207609061025E-2</v>
      </c>
      <c r="J258" s="1429">
        <f t="shared" ref="J258" si="126">J224/J58</f>
        <v>6.2496904082748744E-3</v>
      </c>
    </row>
    <row r="259" spans="2:10" x14ac:dyDescent="0.3">
      <c r="B259" s="1441">
        <v>99090</v>
      </c>
      <c r="C259" s="1387" t="s">
        <v>2823</v>
      </c>
      <c r="D259" s="1429">
        <f t="shared" si="121"/>
        <v>8.8833976588204456E-3</v>
      </c>
      <c r="E259" s="1429">
        <f t="shared" si="121"/>
        <v>4.3974101495625239E-3</v>
      </c>
      <c r="F259" s="1429">
        <f t="shared" si="121"/>
        <v>-6.6944943321891492E-2</v>
      </c>
      <c r="G259" s="1429">
        <f t="shared" si="121"/>
        <v>2.5525665933835857E-5</v>
      </c>
      <c r="H259" s="1429">
        <f t="shared" si="121"/>
        <v>-3.3734905003227456E-2</v>
      </c>
      <c r="I259" s="1429">
        <f t="shared" si="121"/>
        <v>-0.12113052560609748</v>
      </c>
      <c r="J259" s="1429">
        <f t="shared" ref="J259" si="127">J225/J59</f>
        <v>-6.544527136199374E-2</v>
      </c>
    </row>
    <row r="260" spans="2:10" x14ac:dyDescent="0.3">
      <c r="B260" s="1441">
        <v>814083</v>
      </c>
      <c r="C260" s="1387" t="s">
        <v>2824</v>
      </c>
      <c r="D260" s="1429">
        <f t="shared" si="121"/>
        <v>2.6257635565267605E-2</v>
      </c>
      <c r="E260" s="1429">
        <f t="shared" si="121"/>
        <v>2.1065339462780493E-2</v>
      </c>
      <c r="F260" s="1429">
        <f t="shared" si="121"/>
        <v>1.2320454240543481E-2</v>
      </c>
      <c r="G260" s="1429">
        <f t="shared" si="121"/>
        <v>4.0726552313232215E-3</v>
      </c>
      <c r="H260" s="1429">
        <f t="shared" si="121"/>
        <v>-7.1625380267356126E-2</v>
      </c>
      <c r="I260" s="1429">
        <f t="shared" si="121"/>
        <v>-0.33111657196158756</v>
      </c>
      <c r="J260" s="1429">
        <f t="shared" ref="J260" si="128">J226/J60</f>
        <v>1.0018738890412346</v>
      </c>
    </row>
    <row r="261" spans="2:10" x14ac:dyDescent="0.3">
      <c r="B261" s="1441">
        <v>126293</v>
      </c>
      <c r="C261" s="1387" t="s">
        <v>2825</v>
      </c>
      <c r="D261" s="1429">
        <f t="shared" si="121"/>
        <v>5.6089272753589034E-2</v>
      </c>
      <c r="E261" s="1429">
        <f t="shared" si="121"/>
        <v>2.2042931056879642E-2</v>
      </c>
      <c r="F261" s="1429">
        <f t="shared" si="121"/>
        <v>-2.2005404417020698E-2</v>
      </c>
      <c r="G261" s="1429">
        <f t="shared" si="121"/>
        <v>1.0444804267106041E-2</v>
      </c>
      <c r="H261" s="1429">
        <f t="shared" si="121"/>
        <v>2.5572691491956442E-2</v>
      </c>
      <c r="I261" s="1429">
        <f t="shared" si="121"/>
        <v>1.4639041128519294E-2</v>
      </c>
      <c r="J261" s="1429">
        <f t="shared" ref="J261" si="129">J227/J61</f>
        <v>-4.1361776727735132E-4</v>
      </c>
    </row>
    <row r="262" spans="2:10" s="406" customFormat="1" x14ac:dyDescent="0.3">
      <c r="B262" s="1403" t="s">
        <v>2540</v>
      </c>
      <c r="C262" s="1403"/>
      <c r="D262" s="1404">
        <f>AVERAGE(D238:D259,D261)</f>
        <v>5.4201029173033398E-2</v>
      </c>
      <c r="E262" s="1404">
        <f t="shared" ref="E262:J262" si="130">AVERAGE(E238:E259,E261)</f>
        <v>3.6762655495529109E-2</v>
      </c>
      <c r="F262" s="1404">
        <f t="shared" si="130"/>
        <v>4.4288699564386469E-2</v>
      </c>
      <c r="G262" s="1404">
        <f t="shared" si="130"/>
        <v>3.9932140039648532E-2</v>
      </c>
      <c r="H262" s="1404">
        <f t="shared" si="130"/>
        <v>3.484850884770109E-2</v>
      </c>
      <c r="I262" s="1404">
        <f t="shared" si="130"/>
        <v>1.7636054663443618E-2</v>
      </c>
      <c r="J262" s="1404">
        <f t="shared" si="130"/>
        <v>3.0275508888531174E-3</v>
      </c>
    </row>
    <row r="263" spans="2:10" s="406" customFormat="1" x14ac:dyDescent="0.3">
      <c r="B263" s="1403" t="s">
        <v>2541</v>
      </c>
      <c r="C263" s="1403"/>
      <c r="D263" s="1404">
        <f>MEDIAN(D238:D259,D261)</f>
        <v>4.8652671261118295E-2</v>
      </c>
      <c r="E263" s="1404">
        <f t="shared" ref="E263:J263" si="131">MEDIAN(E238:E259,E261)</f>
        <v>3.5462485456804874E-2</v>
      </c>
      <c r="F263" s="1404">
        <f t="shared" si="131"/>
        <v>3.8489649846975379E-2</v>
      </c>
      <c r="G263" s="1404">
        <f t="shared" si="131"/>
        <v>2.8345274572009364E-2</v>
      </c>
      <c r="H263" s="1404">
        <f t="shared" si="131"/>
        <v>2.7159943362690241E-2</v>
      </c>
      <c r="I263" s="1404">
        <f t="shared" si="131"/>
        <v>2.9351216368842321E-2</v>
      </c>
      <c r="J263" s="1404">
        <f t="shared" si="131"/>
        <v>2.4617512055462067E-2</v>
      </c>
    </row>
    <row r="264" spans="2:10" s="406" customFormat="1" x14ac:dyDescent="0.3">
      <c r="B264" s="1389" t="s">
        <v>2810</v>
      </c>
      <c r="C264" s="1389"/>
      <c r="D264" s="1398">
        <f>D252</f>
        <v>4.8652671261118295E-2</v>
      </c>
      <c r="E264" s="1398">
        <f t="shared" ref="E264:J264" si="132">E252</f>
        <v>6.3264294674083815E-2</v>
      </c>
      <c r="F264" s="1398">
        <f t="shared" si="132"/>
        <v>4.9986676261655455E-2</v>
      </c>
      <c r="G264" s="1398">
        <f t="shared" si="132"/>
        <v>4.5278617800867497E-2</v>
      </c>
      <c r="H264" s="1398">
        <f t="shared" si="132"/>
        <v>3.8408361604833532E-2</v>
      </c>
      <c r="I264" s="1398">
        <f t="shared" si="132"/>
        <v>3.5204555913884758E-2</v>
      </c>
      <c r="J264" s="1398">
        <f t="shared" si="132"/>
        <v>2.9509471253822219E-2</v>
      </c>
    </row>
    <row r="268" spans="2:10" x14ac:dyDescent="0.3">
      <c r="B268" s="406" t="s">
        <v>2554</v>
      </c>
    </row>
    <row r="270" spans="2:10" x14ac:dyDescent="0.3">
      <c r="B270" s="339" t="s">
        <v>2555</v>
      </c>
    </row>
    <row r="271" spans="2:10" x14ac:dyDescent="0.3">
      <c r="B271" s="1405" t="s">
        <v>2556</v>
      </c>
      <c r="C271" s="1405" t="s">
        <v>2557</v>
      </c>
      <c r="D271" s="1405" t="s">
        <v>2558</v>
      </c>
      <c r="E271" s="1405" t="s">
        <v>2559</v>
      </c>
      <c r="F271" s="1405" t="s">
        <v>2560</v>
      </c>
      <c r="G271" s="1405" t="s">
        <v>2561</v>
      </c>
      <c r="H271" s="1405" t="s">
        <v>2562</v>
      </c>
      <c r="I271" s="1405" t="s">
        <v>2563</v>
      </c>
      <c r="J271" s="1433"/>
    </row>
    <row r="272" spans="2:10" x14ac:dyDescent="0.3">
      <c r="B272" s="1406" t="s">
        <v>2564</v>
      </c>
      <c r="C272" s="1407" t="s">
        <v>2565</v>
      </c>
      <c r="D272" s="1408">
        <f>([115]건설EEO!X12)/1000000</f>
        <v>13532755</v>
      </c>
      <c r="E272" s="1408">
        <f>([115]건설EEO!Y12)/1000000</f>
        <v>16820414.6896552</v>
      </c>
      <c r="F272" s="1408">
        <f>([115]건설EEO!AA12)/1000000</f>
        <v>17091525.1724138</v>
      </c>
      <c r="G272" s="1408">
        <f>([115]건설EEO!AC12)/1000000</f>
        <v>17659077.111111101</v>
      </c>
      <c r="H272" s="1408">
        <f>([115]건설EEO!AE12)/1000000</f>
        <v>18565165.875</v>
      </c>
      <c r="I272" s="1408"/>
      <c r="J272" s="1420"/>
    </row>
    <row r="273" spans="2:13" x14ac:dyDescent="0.3">
      <c r="B273" s="1409"/>
      <c r="C273" s="1410" t="s">
        <v>2566</v>
      </c>
      <c r="D273" s="1411"/>
      <c r="E273" s="1412">
        <f>E272/D272-1</f>
        <v>0.24294090077409947</v>
      </c>
      <c r="F273" s="1412">
        <f t="shared" ref="F273:H273" si="133">F272/E272-1</f>
        <v>1.6117942854603662E-2</v>
      </c>
      <c r="G273" s="1412">
        <f t="shared" si="133"/>
        <v>3.3206629190316139E-2</v>
      </c>
      <c r="H273" s="1412">
        <f t="shared" si="133"/>
        <v>5.1310085922824822E-2</v>
      </c>
      <c r="I273" s="1412"/>
      <c r="J273" s="1435"/>
    </row>
    <row r="274" spans="2:13" x14ac:dyDescent="0.3">
      <c r="B274" s="1406" t="s">
        <v>2567</v>
      </c>
      <c r="C274" s="1407" t="s">
        <v>2568</v>
      </c>
      <c r="D274" s="1408">
        <f>([115]건설EEO!M12)/1000000</f>
        <v>4046137.1</v>
      </c>
      <c r="E274" s="1408">
        <f>([115]건설EEO!N12)/1000000</f>
        <v>4298819.1111111101</v>
      </c>
      <c r="F274" s="1408">
        <f>([115]건설EEO!P12)/1000000</f>
        <v>4497385.8333333302</v>
      </c>
      <c r="G274" s="1408">
        <f>([115]건설EEO!R12)/1000000</f>
        <v>4725903.29411765</v>
      </c>
      <c r="H274" s="1408">
        <f>([115]건설EEO!T12)/1000000</f>
        <v>5107675.2857142901</v>
      </c>
      <c r="I274" s="1408"/>
      <c r="J274" s="1420"/>
    </row>
    <row r="275" spans="2:13" x14ac:dyDescent="0.3">
      <c r="B275" s="1409"/>
      <c r="C275" s="1410" t="s">
        <v>2566</v>
      </c>
      <c r="D275" s="1411"/>
      <c r="E275" s="1412">
        <f>E274/D274-1</f>
        <v>6.2450185168245964E-2</v>
      </c>
      <c r="F275" s="1412">
        <f t="shared" ref="F275:H275" si="134">F274/E274-1</f>
        <v>4.6190992709832068E-2</v>
      </c>
      <c r="G275" s="1412">
        <f t="shared" si="134"/>
        <v>5.0811175481234816E-2</v>
      </c>
      <c r="H275" s="1412">
        <f t="shared" si="134"/>
        <v>8.0782861568884146E-2</v>
      </c>
      <c r="I275" s="1412"/>
      <c r="J275" s="1435"/>
    </row>
    <row r="276" spans="2:13" x14ac:dyDescent="0.3">
      <c r="B276" s="1406" t="s">
        <v>2569</v>
      </c>
      <c r="C276" s="1407" t="s">
        <v>2570</v>
      </c>
      <c r="D276" s="1408">
        <f>([115]건설EEO!B12)/1000000</f>
        <v>13938287</v>
      </c>
      <c r="E276" s="1408">
        <f>([115]건설EEO!C12)/1000000</f>
        <v>17628398.48</v>
      </c>
      <c r="F276" s="1408">
        <f>([115]건설EEO!E12)/1000000</f>
        <v>19718486.920000002</v>
      </c>
      <c r="G276" s="1408">
        <f>([115]건설EEO!G12)/1000000</f>
        <v>21294443.695652198</v>
      </c>
      <c r="H276" s="1408">
        <f>([115]건설EEO!I12)/1000000</f>
        <v>23369768.199999999</v>
      </c>
      <c r="I276" s="1408"/>
      <c r="J276" s="1420"/>
    </row>
    <row r="277" spans="2:13" x14ac:dyDescent="0.3">
      <c r="B277" s="1409"/>
      <c r="C277" s="1410" t="s">
        <v>2566</v>
      </c>
      <c r="D277" s="1411"/>
      <c r="E277" s="1412">
        <f>E276/D276-1</f>
        <v>0.26474641252544173</v>
      </c>
      <c r="F277" s="1412">
        <f t="shared" ref="F277:H277" si="135">F276/E276-1</f>
        <v>0.11856371651521691</v>
      </c>
      <c r="G277" s="1412">
        <f t="shared" si="135"/>
        <v>7.9922804525824898E-2</v>
      </c>
      <c r="H277" s="1412">
        <f t="shared" si="135"/>
        <v>9.7458498282889217E-2</v>
      </c>
      <c r="I277" s="1412"/>
      <c r="J277" s="1435"/>
    </row>
    <row r="278" spans="2:13" x14ac:dyDescent="0.3">
      <c r="B278" s="1413" t="s">
        <v>2571</v>
      </c>
      <c r="C278" s="1414" t="s">
        <v>2571</v>
      </c>
      <c r="D278" s="1415">
        <f t="shared" ref="D278" si="136">D272+D274+D276</f>
        <v>31517179.100000001</v>
      </c>
      <c r="E278" s="1415">
        <f>E272+E274+E276</f>
        <v>38747632.280766308</v>
      </c>
      <c r="F278" s="1415">
        <f t="shared" ref="F278:H278" si="137">F272+F274+F276</f>
        <v>41307397.925747134</v>
      </c>
      <c r="G278" s="1415">
        <f t="shared" si="137"/>
        <v>43679424.100880951</v>
      </c>
      <c r="H278" s="1415">
        <f t="shared" si="137"/>
        <v>47042609.360714287</v>
      </c>
      <c r="I278" s="1415"/>
      <c r="J278" s="1434"/>
    </row>
    <row r="279" spans="2:13" x14ac:dyDescent="0.3">
      <c r="B279" s="1416"/>
      <c r="C279" s="1417" t="s">
        <v>2566</v>
      </c>
      <c r="D279" s="1418"/>
      <c r="E279" s="1419">
        <f>E278/D278-1</f>
        <v>0.22941308160305196</v>
      </c>
      <c r="F279" s="1419">
        <f t="shared" ref="F279:H279" si="138">F278/E278-1</f>
        <v>6.6062504837268499E-2</v>
      </c>
      <c r="G279" s="1419">
        <f t="shared" si="138"/>
        <v>5.7423761704808785E-2</v>
      </c>
      <c r="H279" s="1419">
        <f t="shared" si="138"/>
        <v>7.6997014705729727E-2</v>
      </c>
      <c r="I279" s="1419"/>
      <c r="J279" s="1436"/>
    </row>
    <row r="282" spans="2:13" x14ac:dyDescent="0.3">
      <c r="B282" s="339" t="s">
        <v>2572</v>
      </c>
      <c r="C282" s="184"/>
      <c r="D282" s="1420"/>
      <c r="E282" s="1420"/>
      <c r="F282" s="1420"/>
      <c r="G282" s="1420"/>
      <c r="H282" s="1420"/>
      <c r="I282" s="1420"/>
      <c r="J282" s="1420"/>
      <c r="K282" s="1421"/>
      <c r="L282" s="1421"/>
      <c r="M282" s="1421"/>
    </row>
    <row r="283" spans="2:13" x14ac:dyDescent="0.3">
      <c r="B283" s="1405" t="s">
        <v>2556</v>
      </c>
      <c r="C283" s="1405" t="s">
        <v>2557</v>
      </c>
      <c r="D283" s="1405">
        <v>2008</v>
      </c>
      <c r="E283" s="1405">
        <v>2009</v>
      </c>
      <c r="F283" s="1405">
        <v>2010</v>
      </c>
      <c r="G283" s="1405">
        <v>2011</v>
      </c>
      <c r="H283" s="1405">
        <v>2012</v>
      </c>
      <c r="I283" s="1405">
        <v>2013</v>
      </c>
      <c r="J283" s="1405"/>
      <c r="K283" s="1422">
        <v>2014</v>
      </c>
      <c r="L283" s="1422">
        <v>2015</v>
      </c>
      <c r="M283" s="1422">
        <v>2016</v>
      </c>
    </row>
    <row r="284" spans="2:13" x14ac:dyDescent="0.3">
      <c r="B284" s="1406" t="s">
        <v>2564</v>
      </c>
      <c r="C284" s="1407" t="s">
        <v>2565</v>
      </c>
      <c r="D284" s="1408">
        <v>11251920.16</v>
      </c>
      <c r="E284" s="1408">
        <v>8594219.0299999993</v>
      </c>
      <c r="F284" s="1408">
        <v>11013711.51</v>
      </c>
      <c r="G284" s="1408">
        <v>15259548.58</v>
      </c>
      <c r="H284" s="1408">
        <v>14893421.51</v>
      </c>
      <c r="I284" s="1408">
        <v>13532755.01</v>
      </c>
      <c r="J284" s="1408"/>
      <c r="K284" s="1423">
        <v>16990932.221999999</v>
      </c>
      <c r="L284" s="1423">
        <v>17357686.666999999</v>
      </c>
      <c r="M284" s="1423">
        <v>17954446.875</v>
      </c>
    </row>
    <row r="285" spans="2:13" x14ac:dyDescent="0.3">
      <c r="B285" s="1409"/>
      <c r="C285" s="1410" t="s">
        <v>2566</v>
      </c>
      <c r="D285" s="1411" t="s">
        <v>92</v>
      </c>
      <c r="E285" s="1412">
        <f>E284/D284-1</f>
        <v>-0.23619978565507349</v>
      </c>
      <c r="F285" s="1412">
        <f t="shared" ref="F285:M285" si="139">F284/E284-1</f>
        <v>0.28152557801403866</v>
      </c>
      <c r="G285" s="1412">
        <f t="shared" si="139"/>
        <v>0.38550465627730968</v>
      </c>
      <c r="H285" s="1412">
        <f t="shared" si="139"/>
        <v>-2.3993309374817695E-2</v>
      </c>
      <c r="I285" s="1412">
        <f t="shared" si="139"/>
        <v>-9.1360235731352768E-2</v>
      </c>
      <c r="J285" s="1412"/>
      <c r="K285" s="1424">
        <f>K284/I284-1</f>
        <v>0.25554125597076038</v>
      </c>
      <c r="L285" s="1424">
        <f t="shared" si="139"/>
        <v>2.1585304455815857E-2</v>
      </c>
      <c r="M285" s="1424">
        <f t="shared" si="139"/>
        <v>3.4380169399793603E-2</v>
      </c>
    </row>
    <row r="286" spans="2:13" x14ac:dyDescent="0.3">
      <c r="B286" s="1406" t="s">
        <v>2567</v>
      </c>
      <c r="C286" s="1407" t="s">
        <v>2568</v>
      </c>
      <c r="D286" s="1408">
        <v>5411495.1399999997</v>
      </c>
      <c r="E286" s="1408">
        <v>5237975.0999999996</v>
      </c>
      <c r="F286" s="1408">
        <v>6868413.9299999997</v>
      </c>
      <c r="G286" s="1425">
        <v>8170342.9800000004</v>
      </c>
      <c r="H286" s="1425">
        <v>4215091.7</v>
      </c>
      <c r="I286" s="1408">
        <v>4046137.1</v>
      </c>
      <c r="J286" s="1408"/>
      <c r="K286" s="1423">
        <v>4300309.0159999998</v>
      </c>
      <c r="L286" s="1423">
        <v>4580010.9060000004</v>
      </c>
      <c r="M286" s="1423">
        <v>4844636.8279999997</v>
      </c>
    </row>
    <row r="287" spans="2:13" x14ac:dyDescent="0.3">
      <c r="B287" s="1409"/>
      <c r="C287" s="1410" t="s">
        <v>2566</v>
      </c>
      <c r="D287" s="1411" t="s">
        <v>92</v>
      </c>
      <c r="E287" s="1412">
        <f>E286/D286-1</f>
        <v>-3.2065082848803939E-2</v>
      </c>
      <c r="F287" s="1412">
        <f t="shared" ref="F287:M287" si="140">F286/E286-1</f>
        <v>0.3112727339998238</v>
      </c>
      <c r="G287" s="1412">
        <f t="shared" si="140"/>
        <v>0.18955308507447532</v>
      </c>
      <c r="H287" s="1412">
        <f t="shared" si="140"/>
        <v>-0.48409856106187599</v>
      </c>
      <c r="I287" s="1412">
        <f t="shared" si="140"/>
        <v>-4.0083256077204754E-2</v>
      </c>
      <c r="J287" s="1412"/>
      <c r="K287" s="1424">
        <f>K286/I286-1</f>
        <v>6.2818414136288192E-2</v>
      </c>
      <c r="L287" s="1424">
        <f t="shared" si="140"/>
        <v>6.5042276952498979E-2</v>
      </c>
      <c r="M287" s="1424">
        <f t="shared" si="140"/>
        <v>5.777844800616716E-2</v>
      </c>
    </row>
    <row r="288" spans="2:13" x14ac:dyDescent="0.3">
      <c r="B288" s="1406" t="s">
        <v>2569</v>
      </c>
      <c r="C288" s="1407" t="s">
        <v>2570</v>
      </c>
      <c r="D288" s="1408">
        <v>8036493.54</v>
      </c>
      <c r="E288" s="1408">
        <v>10390594.789999999</v>
      </c>
      <c r="F288" s="1408">
        <v>11217013.49</v>
      </c>
      <c r="G288" s="1408">
        <v>11920167</v>
      </c>
      <c r="H288" s="1408">
        <v>13324821</v>
      </c>
      <c r="I288" s="1408">
        <v>13938287</v>
      </c>
      <c r="J288" s="1408"/>
      <c r="K288" s="1423">
        <v>17516482.353</v>
      </c>
      <c r="L288" s="1423">
        <v>19507294.118000001</v>
      </c>
      <c r="M288" s="1423">
        <v>21162715.563000001</v>
      </c>
    </row>
    <row r="289" spans="2:13" x14ac:dyDescent="0.3">
      <c r="B289" s="1409"/>
      <c r="C289" s="1410" t="s">
        <v>2566</v>
      </c>
      <c r="D289" s="1411" t="s">
        <v>92</v>
      </c>
      <c r="E289" s="1412">
        <f>E288/D288-1</f>
        <v>0.29292641601501224</v>
      </c>
      <c r="F289" s="1412">
        <f t="shared" ref="F289:M289" si="141">F288/E288-1</f>
        <v>7.9535264025053953E-2</v>
      </c>
      <c r="G289" s="1412">
        <f t="shared" si="141"/>
        <v>6.2686338982017142E-2</v>
      </c>
      <c r="H289" s="1412">
        <f t="shared" si="141"/>
        <v>0.11783844974655144</v>
      </c>
      <c r="I289" s="1412">
        <f t="shared" si="141"/>
        <v>4.6039342667342442E-2</v>
      </c>
      <c r="J289" s="1412"/>
      <c r="K289" s="1424">
        <f>K288/I288-1</f>
        <v>0.25671700927093832</v>
      </c>
      <c r="L289" s="1424">
        <f t="shared" si="141"/>
        <v>0.11365362775928811</v>
      </c>
      <c r="M289" s="1424">
        <f t="shared" si="141"/>
        <v>8.4861664308044205E-2</v>
      </c>
    </row>
    <row r="290" spans="2:13" x14ac:dyDescent="0.3">
      <c r="B290" s="1413" t="s">
        <v>2571</v>
      </c>
      <c r="C290" s="1414" t="s">
        <v>2571</v>
      </c>
      <c r="D290" s="1415">
        <f>D284+D286+D288</f>
        <v>24699908.84</v>
      </c>
      <c r="E290" s="1415">
        <f t="shared" ref="E290:M290" si="142">E284+E286+E288</f>
        <v>24222788.919999998</v>
      </c>
      <c r="F290" s="1415">
        <f t="shared" si="142"/>
        <v>29099138.93</v>
      </c>
      <c r="G290" s="1415">
        <f t="shared" si="142"/>
        <v>35350058.560000002</v>
      </c>
      <c r="H290" s="1415">
        <f t="shared" si="142"/>
        <v>32433334.210000001</v>
      </c>
      <c r="I290" s="1415">
        <f t="shared" si="142"/>
        <v>31517179.109999999</v>
      </c>
      <c r="J290" s="1415"/>
      <c r="K290" s="1415">
        <f t="shared" si="142"/>
        <v>38807723.590999998</v>
      </c>
      <c r="L290" s="1415">
        <f t="shared" si="142"/>
        <v>41444991.691</v>
      </c>
      <c r="M290" s="1415">
        <f t="shared" si="142"/>
        <v>43961799.266000003</v>
      </c>
    </row>
    <row r="291" spans="2:13" x14ac:dyDescent="0.3">
      <c r="B291" s="1416"/>
      <c r="C291" s="1417" t="s">
        <v>2566</v>
      </c>
      <c r="D291" s="1418" t="s">
        <v>92</v>
      </c>
      <c r="E291" s="1419">
        <f>E290/D290-1</f>
        <v>-1.9316667243214125E-2</v>
      </c>
      <c r="F291" s="1419">
        <f t="shared" ref="F291:M291" si="143">F290/E290-1</f>
        <v>0.2013124923849603</v>
      </c>
      <c r="G291" s="1419">
        <f t="shared" si="143"/>
        <v>0.21481459107903578</v>
      </c>
      <c r="H291" s="1419">
        <f t="shared" si="143"/>
        <v>-8.2509745918791566E-2</v>
      </c>
      <c r="I291" s="1419">
        <f t="shared" si="143"/>
        <v>-2.8247330171731977E-2</v>
      </c>
      <c r="J291" s="1419"/>
      <c r="K291" s="1426">
        <f>K290/I290-1</f>
        <v>0.23131970204423546</v>
      </c>
      <c r="L291" s="1426">
        <f t="shared" si="143"/>
        <v>6.7957299629180401E-2</v>
      </c>
      <c r="M291" s="1426">
        <f t="shared" si="143"/>
        <v>6.0726458669951633E-2</v>
      </c>
    </row>
  </sheetData>
  <phoneticPr fontId="1" type="noConversion"/>
  <pageMargins left="0.7" right="0.7" top="0.75" bottom="0.75" header="0.3" footer="0.3"/>
  <legacy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theme="4" tint="0.39997558519241921"/>
  </sheetPr>
  <dimension ref="B3:D9"/>
  <sheetViews>
    <sheetView showGridLines="0" zoomScaleNormal="100" workbookViewId="0">
      <selection activeCell="H42" sqref="H42"/>
    </sheetView>
  </sheetViews>
  <sheetFormatPr defaultRowHeight="13.5" x14ac:dyDescent="0.3"/>
  <cols>
    <col min="1" max="1" width="9" style="819"/>
    <col min="2" max="2" width="22.25" style="819" customWidth="1"/>
    <col min="3" max="3" width="19.5" style="823" customWidth="1"/>
    <col min="4" max="4" width="57.875" style="824" customWidth="1"/>
    <col min="5" max="5" width="4.5" style="819" customWidth="1"/>
    <col min="6" max="16384" width="9" style="819"/>
  </cols>
  <sheetData>
    <row r="3" spans="2:4" ht="39.75" customHeight="1" x14ac:dyDescent="0.3">
      <c r="B3" s="917" t="s">
        <v>1158</v>
      </c>
      <c r="C3" s="918" t="s">
        <v>1154</v>
      </c>
      <c r="D3" s="919" t="s">
        <v>1195</v>
      </c>
    </row>
    <row r="4" spans="2:4" ht="60" customHeight="1" x14ac:dyDescent="0.3">
      <c r="B4" s="820"/>
      <c r="C4" s="821"/>
      <c r="D4" s="822"/>
    </row>
    <row r="5" spans="2:4" ht="60" customHeight="1" x14ac:dyDescent="0.3">
      <c r="B5" s="820"/>
      <c r="C5" s="821"/>
      <c r="D5" s="822"/>
    </row>
    <row r="6" spans="2:4" ht="69.95" customHeight="1" x14ac:dyDescent="0.3">
      <c r="B6" s="820"/>
      <c r="C6" s="821"/>
      <c r="D6" s="822"/>
    </row>
    <row r="7" spans="2:4" ht="65.099999999999994" customHeight="1" x14ac:dyDescent="0.3">
      <c r="B7" s="820"/>
      <c r="C7" s="821"/>
      <c r="D7" s="822"/>
    </row>
    <row r="8" spans="2:4" ht="65.099999999999994" customHeight="1" x14ac:dyDescent="0.3">
      <c r="B8" s="820"/>
      <c r="C8" s="821"/>
      <c r="D8" s="822"/>
    </row>
    <row r="9" spans="2:4" ht="39.950000000000003" customHeight="1" x14ac:dyDescent="0.3">
      <c r="C9" s="819"/>
      <c r="D9" s="819"/>
    </row>
  </sheetData>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theme="4" tint="0.39997558519241921"/>
  </sheetPr>
  <dimension ref="B2:F5"/>
  <sheetViews>
    <sheetView showGridLines="0" zoomScale="85" zoomScaleNormal="85" workbookViewId="0">
      <selection activeCell="H42" sqref="H42"/>
    </sheetView>
  </sheetViews>
  <sheetFormatPr defaultRowHeight="12" x14ac:dyDescent="0.3"/>
  <cols>
    <col min="1" max="1" width="9" style="825"/>
    <col min="2" max="2" width="10.25" style="832" customWidth="1"/>
    <col min="3" max="3" width="18.5" style="832" customWidth="1"/>
    <col min="4" max="4" width="24.875" style="833" customWidth="1"/>
    <col min="5" max="5" width="25.125" style="832" hidden="1" customWidth="1"/>
    <col min="6" max="6" width="46" style="825" customWidth="1"/>
    <col min="7" max="16384" width="9" style="825"/>
  </cols>
  <sheetData>
    <row r="2" spans="2:6" ht="39.950000000000003" customHeight="1" x14ac:dyDescent="0.3">
      <c r="B2" s="920" t="s">
        <v>1159</v>
      </c>
      <c r="C2" s="913" t="s">
        <v>1160</v>
      </c>
      <c r="D2" s="921" t="s">
        <v>1161</v>
      </c>
      <c r="E2" s="913" t="s">
        <v>1162</v>
      </c>
      <c r="F2" s="914" t="s">
        <v>1194</v>
      </c>
    </row>
    <row r="3" spans="2:6" ht="88.5" customHeight="1" x14ac:dyDescent="0.3">
      <c r="B3" s="826"/>
      <c r="C3" s="827"/>
      <c r="D3" s="828"/>
      <c r="E3" s="829"/>
      <c r="F3" s="830"/>
    </row>
    <row r="4" spans="2:6" ht="101.25" customHeight="1" x14ac:dyDescent="0.3">
      <c r="B4" s="826"/>
      <c r="C4" s="831"/>
      <c r="D4" s="828"/>
      <c r="E4" s="829"/>
      <c r="F4" s="830"/>
    </row>
    <row r="5" spans="2:6" ht="146.25" customHeight="1" x14ac:dyDescent="0.3">
      <c r="B5" s="826"/>
      <c r="C5" s="827"/>
      <c r="D5" s="828"/>
      <c r="E5" s="829"/>
      <c r="F5" s="830"/>
    </row>
  </sheetData>
  <phoneticPr fontId="1" type="noConversion"/>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1"/>
  </sheetPr>
  <dimension ref="A1"/>
  <sheetViews>
    <sheetView showGridLines="0" workbookViewId="0"/>
  </sheetViews>
  <sheetFormatPr defaultRowHeight="16.5" x14ac:dyDescent="0.3"/>
  <sheetData/>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tabColor rgb="FF000000"/>
  </sheetPr>
  <dimension ref="A1"/>
  <sheetViews>
    <sheetView showGridLines="0" workbookViewId="0"/>
  </sheetViews>
  <sheetFormatPr defaultRowHeight="16.5" x14ac:dyDescent="0.3"/>
  <cols>
    <col min="1" max="1" width="1.625" style="142" customWidth="1"/>
    <col min="2" max="16384" width="9" style="142"/>
  </cols>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9">
    <tabColor theme="0" tint="-0.499984740745262"/>
  </sheetPr>
  <dimension ref="A1:V815"/>
  <sheetViews>
    <sheetView showGridLines="0" topLeftCell="J1" workbookViewId="0">
      <selection activeCell="K8" sqref="K8"/>
    </sheetView>
  </sheetViews>
  <sheetFormatPr defaultRowHeight="16.5" x14ac:dyDescent="0.3"/>
  <cols>
    <col min="1" max="1" width="1.625" style="354" hidden="1" customWidth="1"/>
    <col min="2" max="8" width="12.625" style="354" hidden="1" customWidth="1"/>
    <col min="9" max="9" width="2.625" style="354" hidden="1" customWidth="1"/>
    <col min="10" max="10" width="2.625" style="354" customWidth="1"/>
    <col min="11" max="17" width="12.625" style="354" customWidth="1"/>
    <col min="18" max="20" width="9" style="354"/>
    <col min="21" max="21" width="9.75" style="354" bestFit="1" customWidth="1"/>
    <col min="22" max="16384" width="9" style="354"/>
  </cols>
  <sheetData>
    <row r="1" spans="2:22" ht="27" customHeight="1" x14ac:dyDescent="0.3">
      <c r="B1" s="351" t="s">
        <v>678</v>
      </c>
      <c r="C1" s="352"/>
      <c r="D1" s="352"/>
      <c r="E1" s="352"/>
      <c r="F1" s="352"/>
      <c r="G1" s="352"/>
      <c r="H1" s="352"/>
      <c r="I1" s="353"/>
      <c r="K1" s="351" t="s">
        <v>678</v>
      </c>
      <c r="L1" s="352"/>
      <c r="M1" s="352"/>
      <c r="N1" s="352"/>
      <c r="O1" s="352"/>
      <c r="P1" s="352"/>
      <c r="Q1" s="352"/>
      <c r="R1" s="352"/>
      <c r="S1" s="352"/>
      <c r="T1" s="352"/>
      <c r="U1" s="352"/>
      <c r="V1" s="352"/>
    </row>
    <row r="2" spans="2:22" ht="21" customHeight="1" x14ac:dyDescent="0.3">
      <c r="B2" s="355" t="s">
        <v>679</v>
      </c>
      <c r="C2" s="356"/>
      <c r="D2" s="356"/>
      <c r="E2" s="356"/>
      <c r="F2" s="356"/>
      <c r="G2" s="356"/>
      <c r="H2" s="356"/>
      <c r="I2" s="357"/>
      <c r="K2" s="358" t="s">
        <v>680</v>
      </c>
      <c r="L2" s="359"/>
      <c r="M2" s="359"/>
      <c r="N2" s="359"/>
      <c r="O2" s="359"/>
      <c r="P2" s="359"/>
      <c r="Q2" s="359"/>
      <c r="R2" s="359"/>
      <c r="S2" s="359"/>
      <c r="T2" s="359"/>
      <c r="U2" s="359"/>
      <c r="V2" s="359"/>
    </row>
    <row r="3" spans="2:22" x14ac:dyDescent="0.3">
      <c r="I3" s="353"/>
    </row>
    <row r="5" spans="2:22" x14ac:dyDescent="0.3">
      <c r="B5" s="360" t="s">
        <v>681</v>
      </c>
      <c r="K5" s="360" t="s">
        <v>682</v>
      </c>
    </row>
    <row r="6" spans="2:22" x14ac:dyDescent="0.3">
      <c r="B6" s="360"/>
      <c r="K6" s="360"/>
    </row>
    <row r="7" spans="2:22" x14ac:dyDescent="0.25">
      <c r="B7" s="361" t="s">
        <v>180</v>
      </c>
      <c r="C7" s="361" t="s">
        <v>181</v>
      </c>
      <c r="D7" s="361" t="s">
        <v>182</v>
      </c>
      <c r="E7" s="361" t="s">
        <v>183</v>
      </c>
      <c r="F7" s="361" t="s">
        <v>184</v>
      </c>
      <c r="G7" s="361" t="s">
        <v>185</v>
      </c>
      <c r="H7" s="361" t="s">
        <v>186</v>
      </c>
      <c r="K7" s="361" t="s">
        <v>180</v>
      </c>
      <c r="L7" s="361" t="s">
        <v>181</v>
      </c>
      <c r="M7" s="361" t="s">
        <v>182</v>
      </c>
      <c r="N7" s="361" t="s">
        <v>183</v>
      </c>
      <c r="O7" s="361" t="s">
        <v>184</v>
      </c>
      <c r="P7" s="361" t="s">
        <v>185</v>
      </c>
      <c r="Q7" s="361" t="s">
        <v>186</v>
      </c>
      <c r="S7" s="362" t="s">
        <v>683</v>
      </c>
      <c r="T7" s="363"/>
      <c r="U7" s="364" t="s">
        <v>684</v>
      </c>
      <c r="V7" s="364" t="s">
        <v>685</v>
      </c>
    </row>
    <row r="8" spans="2:22" x14ac:dyDescent="0.2">
      <c r="B8" s="365" t="s">
        <v>187</v>
      </c>
      <c r="C8" s="365">
        <v>1.0789999999999999E-2</v>
      </c>
      <c r="D8" s="365">
        <v>0.13566</v>
      </c>
      <c r="E8" s="365">
        <v>0.15343999999999999</v>
      </c>
      <c r="F8" s="365">
        <v>0.12239999999999999</v>
      </c>
      <c r="G8" s="365">
        <v>2.852E-2</v>
      </c>
      <c r="H8" s="365">
        <v>9.3880000000000005E-2</v>
      </c>
      <c r="K8" s="366">
        <v>42368</v>
      </c>
      <c r="L8" s="367">
        <v>1.29E-2</v>
      </c>
      <c r="M8" s="367">
        <v>0.14537</v>
      </c>
      <c r="N8" s="367">
        <v>0.17616999999999999</v>
      </c>
      <c r="O8" s="367">
        <v>0.12384000000000001</v>
      </c>
      <c r="P8" s="367">
        <v>2.085E-2</v>
      </c>
      <c r="Q8" s="367">
        <v>0.10299</v>
      </c>
      <c r="S8" s="368" t="s">
        <v>686</v>
      </c>
      <c r="T8" s="369"/>
      <c r="U8" s="370">
        <f>K8</f>
        <v>42368</v>
      </c>
      <c r="V8" s="371">
        <f>P8</f>
        <v>2.085E-2</v>
      </c>
    </row>
    <row r="9" spans="2:22" x14ac:dyDescent="0.2">
      <c r="B9" s="365" t="s">
        <v>188</v>
      </c>
      <c r="C9" s="365">
        <v>1.0749999999999999E-2</v>
      </c>
      <c r="D9" s="365">
        <v>0.13528999999999999</v>
      </c>
      <c r="E9" s="365">
        <v>0.15329000000000001</v>
      </c>
      <c r="F9" s="365">
        <v>0.12224</v>
      </c>
      <c r="G9" s="365">
        <v>2.911E-2</v>
      </c>
      <c r="H9" s="365">
        <v>9.3130000000000004E-2</v>
      </c>
      <c r="K9" s="366">
        <v>42367</v>
      </c>
      <c r="L9" s="367">
        <v>1.285E-2</v>
      </c>
      <c r="M9" s="367">
        <v>0.14723</v>
      </c>
      <c r="N9" s="367">
        <v>0.17624000000000001</v>
      </c>
      <c r="O9" s="367">
        <v>0.12464</v>
      </c>
      <c r="P9" s="367">
        <v>2.0750000000000001E-2</v>
      </c>
      <c r="Q9" s="367">
        <v>0.10389</v>
      </c>
      <c r="S9" s="372" t="s">
        <v>687</v>
      </c>
      <c r="T9" s="369"/>
      <c r="U9" s="370">
        <f>DATE(YEAR(U8),MONTH(U8)-1,DAY(U8)+1)</f>
        <v>42339</v>
      </c>
      <c r="V9" s="373">
        <f>AVERAGE(P8:P26)</f>
        <v>2.1764736842105264E-2</v>
      </c>
    </row>
    <row r="10" spans="2:22" x14ac:dyDescent="0.2">
      <c r="B10" s="365" t="s">
        <v>189</v>
      </c>
      <c r="C10" s="365">
        <v>1.068E-2</v>
      </c>
      <c r="D10" s="365">
        <v>0.13408</v>
      </c>
      <c r="E10" s="365">
        <v>0.15235000000000001</v>
      </c>
      <c r="F10" s="365">
        <v>0.12188</v>
      </c>
      <c r="G10" s="365">
        <v>2.92E-2</v>
      </c>
      <c r="H10" s="365">
        <v>9.2679999999999998E-2</v>
      </c>
      <c r="K10" s="366">
        <v>42366</v>
      </c>
      <c r="L10" s="367">
        <v>1.286E-2</v>
      </c>
      <c r="M10" s="367">
        <v>0.14812</v>
      </c>
      <c r="N10" s="367">
        <v>0.17632</v>
      </c>
      <c r="O10" s="367">
        <v>0.12683</v>
      </c>
      <c r="P10" s="367">
        <v>2.0969999999999999E-2</v>
      </c>
      <c r="Q10" s="367">
        <v>0.10586</v>
      </c>
      <c r="S10" s="372" t="s">
        <v>688</v>
      </c>
      <c r="T10" s="369"/>
      <c r="U10" s="370">
        <f>DATE(YEAR(U8),MONTH(U8)-3,DAY(U8)+1)</f>
        <v>42278</v>
      </c>
      <c r="V10" s="373">
        <f>AVERAGE(P8:P69)</f>
        <v>2.1761129032258068E-2</v>
      </c>
    </row>
    <row r="11" spans="2:22" x14ac:dyDescent="0.2">
      <c r="B11" s="365" t="s">
        <v>190</v>
      </c>
      <c r="C11" s="365">
        <v>1.0670000000000001E-2</v>
      </c>
      <c r="D11" s="365">
        <v>0.13441</v>
      </c>
      <c r="E11" s="365">
        <v>0.15165000000000001</v>
      </c>
      <c r="F11" s="365">
        <v>0.12171</v>
      </c>
      <c r="G11" s="365">
        <v>2.9499999999999998E-2</v>
      </c>
      <c r="H11" s="365">
        <v>9.221E-2</v>
      </c>
      <c r="K11" s="366">
        <v>42362</v>
      </c>
      <c r="L11" s="367">
        <v>1.2699999999999999E-2</v>
      </c>
      <c r="M11" s="367">
        <v>0.14787</v>
      </c>
      <c r="N11" s="367">
        <v>0.17671999999999999</v>
      </c>
      <c r="O11" s="367">
        <v>0.12654000000000001</v>
      </c>
      <c r="P11" s="367">
        <v>2.0969999999999999E-2</v>
      </c>
      <c r="Q11" s="367">
        <v>0.10557</v>
      </c>
      <c r="S11" s="372" t="s">
        <v>689</v>
      </c>
      <c r="T11" s="369"/>
      <c r="U11" s="370">
        <f>DATE(YEAR(U8),MONTH(U8)-6,DAY(U8)+1)</f>
        <v>42186</v>
      </c>
      <c r="V11" s="373">
        <f>AVERAGE(P8:P129)</f>
        <v>2.2445491803278688E-2</v>
      </c>
    </row>
    <row r="12" spans="2:22" x14ac:dyDescent="0.2">
      <c r="B12" s="365" t="s">
        <v>191</v>
      </c>
      <c r="C12" s="365">
        <v>1.0659999999999999E-2</v>
      </c>
      <c r="D12" s="365">
        <v>0.13475000000000001</v>
      </c>
      <c r="E12" s="365">
        <v>0.15137999999999999</v>
      </c>
      <c r="F12" s="365">
        <v>0.12189</v>
      </c>
      <c r="G12" s="365">
        <v>2.9700000000000001E-2</v>
      </c>
      <c r="H12" s="365">
        <v>9.2189999999999994E-2</v>
      </c>
      <c r="K12" s="366">
        <v>42361</v>
      </c>
      <c r="L12" s="367">
        <v>1.264E-2</v>
      </c>
      <c r="M12" s="367">
        <v>0.15311</v>
      </c>
      <c r="N12" s="367">
        <v>0.17674999999999999</v>
      </c>
      <c r="O12" s="367">
        <v>0.12958</v>
      </c>
      <c r="P12" s="367">
        <v>2.112E-2</v>
      </c>
      <c r="Q12" s="367">
        <v>0.10846</v>
      </c>
      <c r="S12" s="372" t="s">
        <v>690</v>
      </c>
      <c r="T12" s="369"/>
      <c r="U12" s="370">
        <f>DATE(YEAR(U8)-1,MONTH(U8),DAY(U8)+1)</f>
        <v>42004</v>
      </c>
      <c r="V12" s="373">
        <f>AVERAGE(P8:P252)</f>
        <v>2.300551020408162E-2</v>
      </c>
    </row>
    <row r="13" spans="2:22" x14ac:dyDescent="0.2">
      <c r="B13" s="365" t="s">
        <v>192</v>
      </c>
      <c r="C13" s="365">
        <v>1.069E-2</v>
      </c>
      <c r="D13" s="365">
        <v>0.13361000000000001</v>
      </c>
      <c r="E13" s="365">
        <v>0.15037</v>
      </c>
      <c r="F13" s="365">
        <v>0.12207</v>
      </c>
      <c r="G13" s="365">
        <v>2.9749999999999999E-2</v>
      </c>
      <c r="H13" s="365">
        <v>9.2319999999999999E-2</v>
      </c>
      <c r="K13" s="366">
        <v>42360</v>
      </c>
      <c r="L13" s="367">
        <v>1.269E-2</v>
      </c>
      <c r="M13" s="367">
        <v>0.15257999999999999</v>
      </c>
      <c r="N13" s="367">
        <v>0.17665</v>
      </c>
      <c r="O13" s="367">
        <v>0.12953999999999999</v>
      </c>
      <c r="P13" s="367">
        <v>2.112E-2</v>
      </c>
      <c r="Q13" s="367">
        <v>0.10842</v>
      </c>
      <c r="S13" s="372" t="s">
        <v>691</v>
      </c>
      <c r="T13" s="369"/>
      <c r="U13" s="370">
        <f>DATE(YEAR(U8)-2,MONTH(U8),DAY(U8)+1)</f>
        <v>41639</v>
      </c>
      <c r="V13" s="373">
        <f>AVERAGE(P8:P498)</f>
        <v>2.7382729124236234E-2</v>
      </c>
    </row>
    <row r="14" spans="2:22" x14ac:dyDescent="0.3">
      <c r="B14" s="365" t="s">
        <v>193</v>
      </c>
      <c r="C14" s="365">
        <v>1.064E-2</v>
      </c>
      <c r="D14" s="365">
        <v>0.13231999999999999</v>
      </c>
      <c r="E14" s="365">
        <v>0.15026</v>
      </c>
      <c r="F14" s="365">
        <v>0.12136</v>
      </c>
      <c r="G14" s="365">
        <v>2.9870000000000001E-2</v>
      </c>
      <c r="H14" s="365">
        <v>9.1490000000000002E-2</v>
      </c>
      <c r="K14" s="366">
        <v>42359</v>
      </c>
      <c r="L14" s="367">
        <v>1.277E-2</v>
      </c>
      <c r="M14" s="367">
        <v>0.15273</v>
      </c>
      <c r="N14" s="367">
        <v>0.17663000000000001</v>
      </c>
      <c r="O14" s="367">
        <v>0.12981000000000001</v>
      </c>
      <c r="P14" s="367">
        <v>2.1000000000000001E-2</v>
      </c>
      <c r="Q14" s="367">
        <v>0.10881</v>
      </c>
      <c r="S14" s="374"/>
      <c r="T14" s="374"/>
      <c r="U14" s="375"/>
      <c r="V14" s="374"/>
    </row>
    <row r="15" spans="2:22" x14ac:dyDescent="0.3">
      <c r="B15" s="365" t="s">
        <v>194</v>
      </c>
      <c r="C15" s="365">
        <v>1.056E-2</v>
      </c>
      <c r="D15" s="365">
        <v>0.13048000000000001</v>
      </c>
      <c r="E15" s="365">
        <v>0.14935999999999999</v>
      </c>
      <c r="F15" s="365">
        <v>0.12032</v>
      </c>
      <c r="G15" s="365">
        <v>3.0300000000000001E-2</v>
      </c>
      <c r="H15" s="365">
        <v>9.0020000000000003E-2</v>
      </c>
      <c r="K15" s="366">
        <v>42356</v>
      </c>
      <c r="L15" s="367">
        <v>1.278E-2</v>
      </c>
      <c r="M15" s="367">
        <v>0.15248999999999999</v>
      </c>
      <c r="N15" s="367">
        <v>0.17582</v>
      </c>
      <c r="O15" s="367">
        <v>0.12975</v>
      </c>
      <c r="P15" s="367">
        <v>2.1219999999999999E-2</v>
      </c>
      <c r="Q15" s="367">
        <v>0.10853</v>
      </c>
      <c r="S15" s="374"/>
      <c r="T15" s="374"/>
      <c r="U15" s="375"/>
      <c r="V15" s="374"/>
    </row>
    <row r="16" spans="2:22" x14ac:dyDescent="0.3">
      <c r="B16" s="365" t="s">
        <v>195</v>
      </c>
      <c r="C16" s="365">
        <v>1.0580000000000001E-2</v>
      </c>
      <c r="D16" s="365">
        <v>0.13003000000000001</v>
      </c>
      <c r="E16" s="365">
        <v>0.14993000000000001</v>
      </c>
      <c r="F16" s="365">
        <v>0.12016</v>
      </c>
      <c r="G16" s="365">
        <v>3.0190000000000002E-2</v>
      </c>
      <c r="H16" s="365">
        <v>8.9969999999999994E-2</v>
      </c>
      <c r="K16" s="366">
        <v>42355</v>
      </c>
      <c r="L16" s="367">
        <v>1.2749999999999999E-2</v>
      </c>
      <c r="M16" s="367">
        <v>0.15212999999999999</v>
      </c>
      <c r="N16" s="367">
        <v>0.17582</v>
      </c>
      <c r="O16" s="367">
        <v>0.12952</v>
      </c>
      <c r="P16" s="367">
        <v>2.1600000000000001E-2</v>
      </c>
      <c r="Q16" s="367">
        <v>0.10792</v>
      </c>
      <c r="S16" s="374"/>
      <c r="T16" s="374"/>
      <c r="U16" s="375"/>
      <c r="V16" s="374"/>
    </row>
    <row r="17" spans="2:22" x14ac:dyDescent="0.2">
      <c r="B17" s="365" t="s">
        <v>196</v>
      </c>
      <c r="C17" s="365">
        <v>1.0500000000000001E-2</v>
      </c>
      <c r="D17" s="365">
        <v>0.12938</v>
      </c>
      <c r="E17" s="365">
        <v>0.14948</v>
      </c>
      <c r="F17" s="365">
        <v>0.1202</v>
      </c>
      <c r="G17" s="365">
        <v>3.0360000000000002E-2</v>
      </c>
      <c r="H17" s="365">
        <v>8.9840000000000003E-2</v>
      </c>
      <c r="K17" s="366">
        <v>42354</v>
      </c>
      <c r="L17" s="367">
        <v>1.281E-2</v>
      </c>
      <c r="M17" s="367">
        <v>0.15139</v>
      </c>
      <c r="N17" s="367">
        <v>0.17613000000000001</v>
      </c>
      <c r="O17" s="367">
        <v>0.12975</v>
      </c>
      <c r="P17" s="367">
        <v>2.215E-2</v>
      </c>
      <c r="Q17" s="367">
        <v>0.1076</v>
      </c>
      <c r="S17" s="362" t="s">
        <v>692</v>
      </c>
      <c r="T17" s="363"/>
      <c r="U17" s="364" t="s">
        <v>693</v>
      </c>
      <c r="V17" s="364" t="s">
        <v>694</v>
      </c>
    </row>
    <row r="18" spans="2:22" x14ac:dyDescent="0.2">
      <c r="B18" s="365" t="s">
        <v>197</v>
      </c>
      <c r="C18" s="365">
        <v>1.06E-2</v>
      </c>
      <c r="D18" s="365">
        <v>0.12977</v>
      </c>
      <c r="E18" s="365">
        <v>0.14932000000000001</v>
      </c>
      <c r="F18" s="365">
        <v>0.12078999999999999</v>
      </c>
      <c r="G18" s="365">
        <v>3.0470000000000001E-2</v>
      </c>
      <c r="H18" s="365">
        <v>9.0319999999999998E-2</v>
      </c>
      <c r="K18" s="366">
        <v>42353</v>
      </c>
      <c r="L18" s="367">
        <v>1.306E-2</v>
      </c>
      <c r="M18" s="367">
        <v>0.15043000000000001</v>
      </c>
      <c r="N18" s="367">
        <v>0.17632</v>
      </c>
      <c r="O18" s="367">
        <v>0.13025999999999999</v>
      </c>
      <c r="P18" s="367">
        <v>2.197E-2</v>
      </c>
      <c r="Q18" s="367">
        <v>0.10829</v>
      </c>
      <c r="S18" s="368" t="s">
        <v>695</v>
      </c>
      <c r="T18" s="369"/>
      <c r="U18" s="370">
        <f t="shared" ref="U18:U23" si="0">U8</f>
        <v>42368</v>
      </c>
      <c r="V18" s="371">
        <f>Q8</f>
        <v>0.10299</v>
      </c>
    </row>
    <row r="19" spans="2:22" x14ac:dyDescent="0.2">
      <c r="B19" s="365" t="s">
        <v>198</v>
      </c>
      <c r="C19" s="365">
        <v>1.0630000000000001E-2</v>
      </c>
      <c r="D19" s="365">
        <v>0.12956999999999999</v>
      </c>
      <c r="E19" s="365">
        <v>0.14917</v>
      </c>
      <c r="F19" s="365">
        <v>0.12076000000000001</v>
      </c>
      <c r="G19" s="365">
        <v>3.0419999999999999E-2</v>
      </c>
      <c r="H19" s="365">
        <v>9.0340000000000004E-2</v>
      </c>
      <c r="K19" s="366">
        <v>42352</v>
      </c>
      <c r="L19" s="367">
        <v>1.308E-2</v>
      </c>
      <c r="M19" s="367">
        <v>0.15195</v>
      </c>
      <c r="N19" s="367">
        <v>0.17634</v>
      </c>
      <c r="O19" s="367">
        <v>0.13102</v>
      </c>
      <c r="P19" s="367">
        <v>2.2200000000000001E-2</v>
      </c>
      <c r="Q19" s="367">
        <v>0.10882</v>
      </c>
      <c r="S19" s="372" t="s">
        <v>696</v>
      </c>
      <c r="T19" s="369"/>
      <c r="U19" s="370">
        <f t="shared" si="0"/>
        <v>42339</v>
      </c>
      <c r="V19" s="373">
        <f>AVERAGE(Q8:Q26)</f>
        <v>0.10682368421052632</v>
      </c>
    </row>
    <row r="20" spans="2:22" x14ac:dyDescent="0.2">
      <c r="B20" s="365" t="s">
        <v>199</v>
      </c>
      <c r="C20" s="365">
        <v>1.0619999999999999E-2</v>
      </c>
      <c r="D20" s="365">
        <v>0.12909000000000001</v>
      </c>
      <c r="E20" s="365">
        <v>0.14904000000000001</v>
      </c>
      <c r="F20" s="365">
        <v>0.12039</v>
      </c>
      <c r="G20" s="365">
        <v>3.0110000000000001E-2</v>
      </c>
      <c r="H20" s="365">
        <v>9.0279999999999999E-2</v>
      </c>
      <c r="K20" s="366">
        <v>42349</v>
      </c>
      <c r="L20" s="367">
        <v>1.298E-2</v>
      </c>
      <c r="M20" s="367">
        <v>0.15309</v>
      </c>
      <c r="N20" s="367">
        <v>0.17627999999999999</v>
      </c>
      <c r="O20" s="367">
        <v>0.13145000000000001</v>
      </c>
      <c r="P20" s="367">
        <v>2.2429999999999999E-2</v>
      </c>
      <c r="Q20" s="367">
        <v>0.10902000000000001</v>
      </c>
      <c r="S20" s="372" t="s">
        <v>697</v>
      </c>
      <c r="T20" s="369"/>
      <c r="U20" s="370">
        <f t="shared" si="0"/>
        <v>42278</v>
      </c>
      <c r="V20" s="373">
        <f>AVERAGE(Q8:Q69)</f>
        <v>9.8216451612903224E-2</v>
      </c>
    </row>
    <row r="21" spans="2:22" x14ac:dyDescent="0.2">
      <c r="B21" s="365" t="s">
        <v>200</v>
      </c>
      <c r="C21" s="365">
        <v>1.068E-2</v>
      </c>
      <c r="D21" s="365">
        <v>0.12914</v>
      </c>
      <c r="E21" s="365">
        <v>0.1492</v>
      </c>
      <c r="F21" s="365">
        <v>0.12053999999999999</v>
      </c>
      <c r="G21" s="365">
        <v>3.082E-2</v>
      </c>
      <c r="H21" s="365">
        <v>8.9719999999999994E-2</v>
      </c>
      <c r="K21" s="366">
        <v>42348</v>
      </c>
      <c r="L21" s="367">
        <v>1.2970000000000001E-2</v>
      </c>
      <c r="M21" s="367">
        <v>0.15284</v>
      </c>
      <c r="N21" s="367">
        <v>0.17635999999999999</v>
      </c>
      <c r="O21" s="367">
        <v>0.13139999999999999</v>
      </c>
      <c r="P21" s="367">
        <v>2.2200000000000001E-2</v>
      </c>
      <c r="Q21" s="367">
        <v>0.10920000000000001</v>
      </c>
      <c r="S21" s="372" t="s">
        <v>698</v>
      </c>
      <c r="T21" s="369"/>
      <c r="U21" s="370">
        <f t="shared" si="0"/>
        <v>42186</v>
      </c>
      <c r="V21" s="373">
        <f>AVERAGE(Q8:Q129)</f>
        <v>9.6435655737704906E-2</v>
      </c>
    </row>
    <row r="22" spans="2:22" x14ac:dyDescent="0.2">
      <c r="B22" s="365" t="s">
        <v>201</v>
      </c>
      <c r="C22" s="365">
        <v>1.061E-2</v>
      </c>
      <c r="D22" s="365">
        <v>0.13261000000000001</v>
      </c>
      <c r="E22" s="365">
        <v>0.14857000000000001</v>
      </c>
      <c r="F22" s="365">
        <v>0.12077</v>
      </c>
      <c r="G22" s="365">
        <v>3.0689999999999999E-2</v>
      </c>
      <c r="H22" s="365">
        <v>9.0079999999999993E-2</v>
      </c>
      <c r="K22" s="366">
        <v>42347</v>
      </c>
      <c r="L22" s="367">
        <v>1.3010000000000001E-2</v>
      </c>
      <c r="M22" s="367">
        <v>0.15323000000000001</v>
      </c>
      <c r="N22" s="367">
        <v>0.17635000000000001</v>
      </c>
      <c r="O22" s="367">
        <v>0.13145000000000001</v>
      </c>
      <c r="P22" s="367">
        <v>2.2069999999999999E-2</v>
      </c>
      <c r="Q22" s="367">
        <v>0.10938000000000001</v>
      </c>
      <c r="S22" s="372" t="s">
        <v>699</v>
      </c>
      <c r="T22" s="369"/>
      <c r="U22" s="370">
        <f t="shared" si="0"/>
        <v>42004</v>
      </c>
      <c r="V22" s="373">
        <f>AVERAGE(Q8:Q252)</f>
        <v>9.5973632653061164E-2</v>
      </c>
    </row>
    <row r="23" spans="2:22" x14ac:dyDescent="0.2">
      <c r="B23" s="365" t="s">
        <v>202</v>
      </c>
      <c r="C23" s="365">
        <v>1.056E-2</v>
      </c>
      <c r="D23" s="365">
        <v>0.13342999999999999</v>
      </c>
      <c r="E23" s="365">
        <v>0.14838000000000001</v>
      </c>
      <c r="F23" s="365">
        <v>0.12089999999999999</v>
      </c>
      <c r="G23" s="365">
        <v>3.0980000000000001E-2</v>
      </c>
      <c r="H23" s="365">
        <v>8.992E-2</v>
      </c>
      <c r="K23" s="366">
        <v>42346</v>
      </c>
      <c r="L23" s="367">
        <v>1.304E-2</v>
      </c>
      <c r="M23" s="367">
        <v>0.15312000000000001</v>
      </c>
      <c r="N23" s="367">
        <v>0.17632999999999999</v>
      </c>
      <c r="O23" s="367">
        <v>0.13111</v>
      </c>
      <c r="P23" s="367">
        <v>2.2259999999999999E-2</v>
      </c>
      <c r="Q23" s="367">
        <v>0.10885</v>
      </c>
      <c r="S23" s="372" t="s">
        <v>700</v>
      </c>
      <c r="T23" s="369"/>
      <c r="U23" s="370">
        <f t="shared" si="0"/>
        <v>41639</v>
      </c>
      <c r="V23" s="373">
        <f>AVERAGE(Q8:Q498)</f>
        <v>9.5460977596741395E-2</v>
      </c>
    </row>
    <row r="24" spans="2:22" x14ac:dyDescent="0.3">
      <c r="B24" s="365" t="s">
        <v>203</v>
      </c>
      <c r="C24" s="365">
        <v>1.059E-2</v>
      </c>
      <c r="D24" s="365">
        <v>0.13388</v>
      </c>
      <c r="E24" s="365">
        <v>0.14834</v>
      </c>
      <c r="F24" s="365">
        <v>0.12114999999999999</v>
      </c>
      <c r="G24" s="365">
        <v>3.1E-2</v>
      </c>
      <c r="H24" s="365">
        <v>9.0149999999999994E-2</v>
      </c>
      <c r="K24" s="366">
        <v>42345</v>
      </c>
      <c r="L24" s="367">
        <v>1.294E-2</v>
      </c>
      <c r="M24" s="367">
        <v>0.15118000000000001</v>
      </c>
      <c r="N24" s="367">
        <v>0.17629</v>
      </c>
      <c r="O24" s="367">
        <v>0.12877</v>
      </c>
      <c r="P24" s="367">
        <v>2.3E-2</v>
      </c>
      <c r="Q24" s="367">
        <v>0.10577</v>
      </c>
    </row>
    <row r="25" spans="2:22" x14ac:dyDescent="0.3">
      <c r="B25" s="365" t="s">
        <v>204</v>
      </c>
      <c r="C25" s="365">
        <v>1.059E-2</v>
      </c>
      <c r="D25" s="365">
        <v>0.13425000000000001</v>
      </c>
      <c r="E25" s="365">
        <v>0.14824999999999999</v>
      </c>
      <c r="F25" s="365">
        <v>0.12139999999999999</v>
      </c>
      <c r="G25" s="365">
        <v>3.0630000000000001E-2</v>
      </c>
      <c r="H25" s="365">
        <v>9.0770000000000003E-2</v>
      </c>
      <c r="K25" s="366">
        <v>42342</v>
      </c>
      <c r="L25" s="367">
        <v>1.2880000000000001E-2</v>
      </c>
      <c r="M25" s="367">
        <v>0.14352999999999999</v>
      </c>
      <c r="N25" s="367">
        <v>0.17616999999999999</v>
      </c>
      <c r="O25" s="367">
        <v>0.12447999999999999</v>
      </c>
      <c r="P25" s="367">
        <v>2.3E-2</v>
      </c>
      <c r="Q25" s="367">
        <v>0.10148</v>
      </c>
    </row>
    <row r="26" spans="2:22" x14ac:dyDescent="0.3">
      <c r="B26" s="365" t="s">
        <v>205</v>
      </c>
      <c r="C26" s="365">
        <v>1.0500000000000001E-2</v>
      </c>
      <c r="D26" s="365">
        <v>0.13416</v>
      </c>
      <c r="E26" s="365">
        <v>0.14892</v>
      </c>
      <c r="F26" s="365">
        <v>0.12111</v>
      </c>
      <c r="G26" s="365">
        <v>3.04E-2</v>
      </c>
      <c r="H26" s="365">
        <v>9.0709999999999999E-2</v>
      </c>
      <c r="K26" s="366">
        <v>42341</v>
      </c>
      <c r="L26" s="367">
        <v>1.2749999999999999E-2</v>
      </c>
      <c r="M26" s="367">
        <v>0.14202000000000001</v>
      </c>
      <c r="N26" s="367">
        <v>0.17618</v>
      </c>
      <c r="O26" s="367">
        <v>0.12343999999999999</v>
      </c>
      <c r="P26" s="367">
        <v>2.265E-2</v>
      </c>
      <c r="Q26" s="367">
        <v>0.10079</v>
      </c>
    </row>
    <row r="27" spans="2:22" x14ac:dyDescent="0.3">
      <c r="B27" s="365" t="s">
        <v>206</v>
      </c>
      <c r="C27" s="365">
        <v>1.0460000000000001E-2</v>
      </c>
      <c r="D27" s="365">
        <v>0.13161999999999999</v>
      </c>
      <c r="E27" s="365">
        <v>0.16122</v>
      </c>
      <c r="F27" s="365">
        <v>0.11990000000000001</v>
      </c>
      <c r="G27" s="365">
        <v>3.0329999999999999E-2</v>
      </c>
      <c r="H27" s="365">
        <v>8.9569999999999997E-2</v>
      </c>
      <c r="K27" s="366">
        <v>42340</v>
      </c>
      <c r="L27" s="367">
        <v>1.264E-2</v>
      </c>
      <c r="M27" s="367">
        <v>0.14224000000000001</v>
      </c>
      <c r="N27" s="367">
        <v>0.17666999999999999</v>
      </c>
      <c r="O27" s="367">
        <v>0.12299</v>
      </c>
      <c r="P27" s="367">
        <v>2.256E-2</v>
      </c>
      <c r="Q27" s="367">
        <v>0.10043000000000001</v>
      </c>
    </row>
    <row r="28" spans="2:22" x14ac:dyDescent="0.3">
      <c r="B28" s="365" t="s">
        <v>207</v>
      </c>
      <c r="C28" s="365">
        <v>1.043E-2</v>
      </c>
      <c r="D28" s="365">
        <v>0.13070000000000001</v>
      </c>
      <c r="E28" s="365">
        <v>0.16173999999999999</v>
      </c>
      <c r="F28" s="365">
        <v>0.11927</v>
      </c>
      <c r="G28" s="365">
        <v>3.0589999999999999E-2</v>
      </c>
      <c r="H28" s="365">
        <v>8.8679999999999995E-2</v>
      </c>
      <c r="K28" s="366">
        <v>42339</v>
      </c>
      <c r="L28" s="367">
        <v>1.2540000000000001E-2</v>
      </c>
      <c r="M28" s="367">
        <v>0.14216999999999999</v>
      </c>
      <c r="N28" s="367">
        <v>0.17654</v>
      </c>
      <c r="O28" s="367">
        <v>0.12256</v>
      </c>
      <c r="P28" s="367">
        <v>2.2749999999999999E-2</v>
      </c>
      <c r="Q28" s="367">
        <v>9.9809999999999996E-2</v>
      </c>
    </row>
    <row r="29" spans="2:22" x14ac:dyDescent="0.3">
      <c r="B29" s="365" t="s">
        <v>208</v>
      </c>
      <c r="C29" s="365">
        <v>1.0449999999999999E-2</v>
      </c>
      <c r="D29" s="365">
        <v>0.13061</v>
      </c>
      <c r="E29" s="365">
        <v>0.16153999999999999</v>
      </c>
      <c r="F29" s="365">
        <v>0.11916</v>
      </c>
      <c r="G29" s="365">
        <v>3.0470000000000001E-2</v>
      </c>
      <c r="H29" s="365">
        <v>8.8690000000000005E-2</v>
      </c>
      <c r="K29" s="366">
        <v>42338</v>
      </c>
      <c r="L29" s="367">
        <v>1.2760000000000001E-2</v>
      </c>
      <c r="M29" s="367">
        <v>0.14180000000000001</v>
      </c>
      <c r="N29" s="367">
        <v>0.17660000000000001</v>
      </c>
      <c r="O29" s="367">
        <v>0.12278</v>
      </c>
      <c r="P29" s="367">
        <v>2.247E-2</v>
      </c>
      <c r="Q29" s="367">
        <v>0.10031</v>
      </c>
    </row>
    <row r="30" spans="2:22" x14ac:dyDescent="0.3">
      <c r="B30" s="365" t="s">
        <v>209</v>
      </c>
      <c r="C30" s="365">
        <v>1.0500000000000001E-2</v>
      </c>
      <c r="D30" s="365">
        <v>0.13375999999999999</v>
      </c>
      <c r="E30" s="365">
        <v>0.16100999999999999</v>
      </c>
      <c r="F30" s="365">
        <v>0.12067</v>
      </c>
      <c r="G30" s="365">
        <v>3.0620000000000001E-2</v>
      </c>
      <c r="H30" s="365">
        <v>9.0050000000000005E-2</v>
      </c>
      <c r="K30" s="366">
        <v>42335</v>
      </c>
      <c r="L30" s="367">
        <v>1.252E-2</v>
      </c>
      <c r="M30" s="367">
        <v>0.13599</v>
      </c>
      <c r="N30" s="367">
        <v>0.17626</v>
      </c>
      <c r="O30" s="367">
        <v>0.12005</v>
      </c>
      <c r="P30" s="367">
        <v>2.2669999999999999E-2</v>
      </c>
      <c r="Q30" s="367">
        <v>9.7379999999999994E-2</v>
      </c>
    </row>
    <row r="31" spans="2:22" x14ac:dyDescent="0.3">
      <c r="B31" s="365" t="s">
        <v>210</v>
      </c>
      <c r="C31" s="365">
        <v>1.0529999999999999E-2</v>
      </c>
      <c r="D31" s="365">
        <v>0.13553999999999999</v>
      </c>
      <c r="E31" s="365">
        <v>0.16123000000000001</v>
      </c>
      <c r="F31" s="365">
        <v>0.12124</v>
      </c>
      <c r="G31" s="365">
        <v>3.1060000000000001E-2</v>
      </c>
      <c r="H31" s="365">
        <v>9.0179999999999996E-2</v>
      </c>
      <c r="K31" s="366">
        <v>42334</v>
      </c>
      <c r="L31" s="367">
        <v>1.251E-2</v>
      </c>
      <c r="M31" s="367">
        <v>0.13569000000000001</v>
      </c>
      <c r="N31" s="367">
        <v>0.17615</v>
      </c>
      <c r="O31" s="367">
        <v>0.12005</v>
      </c>
      <c r="P31" s="367">
        <v>2.2370000000000001E-2</v>
      </c>
      <c r="Q31" s="367">
        <v>9.7680000000000003E-2</v>
      </c>
    </row>
    <row r="32" spans="2:22" x14ac:dyDescent="0.3">
      <c r="B32" s="365" t="s">
        <v>211</v>
      </c>
      <c r="C32" s="365">
        <v>1.055E-2</v>
      </c>
      <c r="D32" s="365">
        <v>0.13388</v>
      </c>
      <c r="E32" s="365">
        <v>0.15939</v>
      </c>
      <c r="F32" s="365">
        <v>0.12096999999999999</v>
      </c>
      <c r="G32" s="365">
        <v>3.1440000000000003E-2</v>
      </c>
      <c r="H32" s="365">
        <v>8.9529999999999998E-2</v>
      </c>
      <c r="K32" s="366">
        <v>42333</v>
      </c>
      <c r="L32" s="367">
        <v>1.264E-2</v>
      </c>
      <c r="M32" s="367">
        <v>0.13589000000000001</v>
      </c>
      <c r="N32" s="367">
        <v>0.17629</v>
      </c>
      <c r="O32" s="367">
        <v>0.12048</v>
      </c>
      <c r="P32" s="367">
        <v>2.247E-2</v>
      </c>
      <c r="Q32" s="367">
        <v>9.801E-2</v>
      </c>
    </row>
    <row r="33" spans="2:17" x14ac:dyDescent="0.3">
      <c r="B33" s="365" t="s">
        <v>212</v>
      </c>
      <c r="C33" s="365">
        <v>1.0619999999999999E-2</v>
      </c>
      <c r="D33" s="365">
        <v>0.13399</v>
      </c>
      <c r="E33" s="365">
        <v>0.14874999999999999</v>
      </c>
      <c r="F33" s="365">
        <v>0.12123</v>
      </c>
      <c r="G33" s="365">
        <v>3.1489999999999997E-2</v>
      </c>
      <c r="H33" s="365">
        <v>8.974E-2</v>
      </c>
      <c r="K33" s="366">
        <v>42332</v>
      </c>
      <c r="L33" s="367">
        <v>1.259E-2</v>
      </c>
      <c r="M33" s="367">
        <v>0.13678999999999999</v>
      </c>
      <c r="N33" s="367">
        <v>0.17630999999999999</v>
      </c>
      <c r="O33" s="367">
        <v>0.1206</v>
      </c>
      <c r="P33" s="367">
        <v>2.2749999999999999E-2</v>
      </c>
      <c r="Q33" s="367">
        <v>9.7850000000000006E-2</v>
      </c>
    </row>
    <row r="34" spans="2:17" x14ac:dyDescent="0.3">
      <c r="B34" s="365" t="s">
        <v>213</v>
      </c>
      <c r="C34" s="365">
        <v>1.0460000000000001E-2</v>
      </c>
      <c r="D34" s="365">
        <v>0.13378000000000001</v>
      </c>
      <c r="E34" s="365">
        <v>0.14863999999999999</v>
      </c>
      <c r="F34" s="365">
        <v>0.12049</v>
      </c>
      <c r="G34" s="365">
        <v>3.1419999999999997E-2</v>
      </c>
      <c r="H34" s="365">
        <v>8.9069999999999996E-2</v>
      </c>
      <c r="K34" s="366">
        <v>42331</v>
      </c>
      <c r="L34" s="367">
        <v>1.269E-2</v>
      </c>
      <c r="M34" s="367">
        <v>0.13732</v>
      </c>
      <c r="N34" s="367">
        <v>0.17560000000000001</v>
      </c>
      <c r="O34" s="367">
        <v>0.12007</v>
      </c>
      <c r="P34" s="367">
        <v>2.29E-2</v>
      </c>
      <c r="Q34" s="367">
        <v>9.7170000000000006E-2</v>
      </c>
    </row>
    <row r="35" spans="2:17" x14ac:dyDescent="0.3">
      <c r="B35" s="365" t="s">
        <v>214</v>
      </c>
      <c r="C35" s="365">
        <v>1.047E-2</v>
      </c>
      <c r="D35" s="365">
        <v>0.13397999999999999</v>
      </c>
      <c r="E35" s="365">
        <v>0.14860999999999999</v>
      </c>
      <c r="F35" s="365">
        <v>0.12067</v>
      </c>
      <c r="G35" s="365">
        <v>3.1419999999999997E-2</v>
      </c>
      <c r="H35" s="365">
        <v>8.9249999999999996E-2</v>
      </c>
      <c r="K35" s="366">
        <v>42328</v>
      </c>
      <c r="L35" s="367">
        <v>1.277E-2</v>
      </c>
      <c r="M35" s="367">
        <v>0.13546</v>
      </c>
      <c r="N35" s="367">
        <v>0.17554</v>
      </c>
      <c r="O35" s="367">
        <v>0.11934</v>
      </c>
      <c r="P35" s="367">
        <v>2.2669999999999999E-2</v>
      </c>
      <c r="Q35" s="367">
        <v>9.6670000000000006E-2</v>
      </c>
    </row>
    <row r="36" spans="2:17" x14ac:dyDescent="0.3">
      <c r="B36" s="365" t="s">
        <v>215</v>
      </c>
      <c r="C36" s="365">
        <v>1.057E-2</v>
      </c>
      <c r="D36" s="365">
        <v>0.13413</v>
      </c>
      <c r="E36" s="365">
        <v>0.14832999999999999</v>
      </c>
      <c r="F36" s="365">
        <v>0.12124</v>
      </c>
      <c r="G36" s="365">
        <v>3.1029999999999999E-2</v>
      </c>
      <c r="H36" s="365">
        <v>9.0209999999999999E-2</v>
      </c>
      <c r="K36" s="366">
        <v>42327</v>
      </c>
      <c r="L36" s="367">
        <v>1.2760000000000001E-2</v>
      </c>
      <c r="M36" s="367">
        <v>0.13231999999999999</v>
      </c>
      <c r="N36" s="367">
        <v>0.17543</v>
      </c>
      <c r="O36" s="367">
        <v>0.11894</v>
      </c>
      <c r="P36" s="367">
        <v>2.257E-2</v>
      </c>
      <c r="Q36" s="367">
        <v>9.6369999999999997E-2</v>
      </c>
    </row>
    <row r="37" spans="2:17" x14ac:dyDescent="0.3">
      <c r="B37" s="365" t="s">
        <v>216</v>
      </c>
      <c r="C37" s="365">
        <v>1.0529999999999999E-2</v>
      </c>
      <c r="D37" s="365">
        <v>0.13388</v>
      </c>
      <c r="E37" s="365">
        <v>0.14568999999999999</v>
      </c>
      <c r="F37" s="365">
        <v>0.1212</v>
      </c>
      <c r="G37" s="365">
        <v>3.065E-2</v>
      </c>
      <c r="H37" s="365">
        <v>9.0550000000000005E-2</v>
      </c>
      <c r="K37" s="366">
        <v>42326</v>
      </c>
      <c r="L37" s="367">
        <v>1.2930000000000001E-2</v>
      </c>
      <c r="M37" s="367">
        <v>0.13141</v>
      </c>
      <c r="N37" s="367">
        <v>0.17543</v>
      </c>
      <c r="O37" s="367">
        <v>0.11899</v>
      </c>
      <c r="P37" s="367">
        <v>2.29E-2</v>
      </c>
      <c r="Q37" s="367">
        <v>9.6089999999999995E-2</v>
      </c>
    </row>
    <row r="38" spans="2:17" x14ac:dyDescent="0.3">
      <c r="B38" s="365" t="s">
        <v>217</v>
      </c>
      <c r="C38" s="365">
        <v>1.0529999999999999E-2</v>
      </c>
      <c r="D38" s="365">
        <v>0.13403000000000001</v>
      </c>
      <c r="E38" s="365">
        <v>0.14610000000000001</v>
      </c>
      <c r="F38" s="365">
        <v>0.12117</v>
      </c>
      <c r="G38" s="365">
        <v>3.0700000000000002E-2</v>
      </c>
      <c r="H38" s="365">
        <v>9.0469999999999995E-2</v>
      </c>
      <c r="K38" s="366">
        <v>42325</v>
      </c>
      <c r="L38" s="367">
        <v>1.294E-2</v>
      </c>
      <c r="M38" s="367">
        <v>0.12867999999999999</v>
      </c>
      <c r="N38" s="367">
        <v>0.17535999999999999</v>
      </c>
      <c r="O38" s="367">
        <v>0.11768000000000001</v>
      </c>
      <c r="P38" s="367">
        <v>2.3019999999999999E-2</v>
      </c>
      <c r="Q38" s="367">
        <v>9.4659999999999994E-2</v>
      </c>
    </row>
    <row r="39" spans="2:17" x14ac:dyDescent="0.3">
      <c r="B39" s="365" t="s">
        <v>218</v>
      </c>
      <c r="C39" s="365">
        <v>1.064E-2</v>
      </c>
      <c r="D39" s="365">
        <v>0.13283</v>
      </c>
      <c r="E39" s="365">
        <v>0.14574999999999999</v>
      </c>
      <c r="F39" s="365">
        <v>0.12173</v>
      </c>
      <c r="G39" s="365">
        <v>3.065E-2</v>
      </c>
      <c r="H39" s="365">
        <v>9.1079999999999994E-2</v>
      </c>
      <c r="K39" s="366">
        <v>42324</v>
      </c>
      <c r="L39" s="367">
        <v>1.306E-2</v>
      </c>
      <c r="M39" s="367">
        <v>0.12770999999999999</v>
      </c>
      <c r="N39" s="367">
        <v>0.18331</v>
      </c>
      <c r="O39" s="367">
        <v>0.11829000000000001</v>
      </c>
      <c r="P39" s="367">
        <v>2.2849999999999999E-2</v>
      </c>
      <c r="Q39" s="367">
        <v>9.5439999999999997E-2</v>
      </c>
    </row>
    <row r="40" spans="2:17" x14ac:dyDescent="0.3">
      <c r="B40" s="365" t="s">
        <v>219</v>
      </c>
      <c r="C40" s="365">
        <v>1.065E-2</v>
      </c>
      <c r="D40" s="365">
        <v>0.13411000000000001</v>
      </c>
      <c r="E40" s="365">
        <v>0.14327000000000001</v>
      </c>
      <c r="F40" s="365">
        <v>0.12181</v>
      </c>
      <c r="G40" s="365">
        <v>3.0470000000000001E-2</v>
      </c>
      <c r="H40" s="365">
        <v>9.1340000000000005E-2</v>
      </c>
      <c r="K40" s="366">
        <v>42321</v>
      </c>
      <c r="L40" s="367">
        <v>1.2869999999999999E-2</v>
      </c>
      <c r="M40" s="367">
        <v>0.12634999999999999</v>
      </c>
      <c r="N40" s="367">
        <v>0.18686</v>
      </c>
      <c r="O40" s="367">
        <v>0.11759</v>
      </c>
      <c r="P40" s="367">
        <v>2.3300000000000001E-2</v>
      </c>
      <c r="Q40" s="367">
        <v>9.4289999999999999E-2</v>
      </c>
    </row>
    <row r="41" spans="2:17" x14ac:dyDescent="0.3">
      <c r="B41" s="365" t="s">
        <v>220</v>
      </c>
      <c r="C41" s="365">
        <v>1.069E-2</v>
      </c>
      <c r="D41" s="365">
        <v>0.13352</v>
      </c>
      <c r="E41" s="365">
        <v>0.14571000000000001</v>
      </c>
      <c r="F41" s="365">
        <v>0.12159</v>
      </c>
      <c r="G41" s="365">
        <v>3.0380000000000001E-2</v>
      </c>
      <c r="H41" s="365">
        <v>9.1209999999999999E-2</v>
      </c>
      <c r="K41" s="366">
        <v>42320</v>
      </c>
      <c r="L41" s="367">
        <v>1.274E-2</v>
      </c>
      <c r="M41" s="367">
        <v>0.12584000000000001</v>
      </c>
      <c r="N41" s="367">
        <v>0.18826999999999999</v>
      </c>
      <c r="O41" s="367">
        <v>0.11688</v>
      </c>
      <c r="P41" s="367">
        <v>2.3300000000000001E-2</v>
      </c>
      <c r="Q41" s="367">
        <v>9.3579999999999997E-2</v>
      </c>
    </row>
    <row r="42" spans="2:17" x14ac:dyDescent="0.3">
      <c r="B42" s="365" t="s">
        <v>221</v>
      </c>
      <c r="C42" s="365">
        <v>1.04E-2</v>
      </c>
      <c r="D42" s="365">
        <v>0.13250000000000001</v>
      </c>
      <c r="E42" s="365">
        <v>0.14582999999999999</v>
      </c>
      <c r="F42" s="365">
        <v>0.12116</v>
      </c>
      <c r="G42" s="365">
        <v>3.0849999999999999E-2</v>
      </c>
      <c r="H42" s="365">
        <v>9.0310000000000001E-2</v>
      </c>
      <c r="K42" s="366">
        <v>42319</v>
      </c>
      <c r="L42" s="367">
        <v>1.2710000000000001E-2</v>
      </c>
      <c r="M42" s="367">
        <v>0.12569</v>
      </c>
      <c r="N42" s="367">
        <v>0.18837999999999999</v>
      </c>
      <c r="O42" s="367">
        <v>0.11679</v>
      </c>
      <c r="P42" s="367">
        <v>2.3130000000000001E-2</v>
      </c>
      <c r="Q42" s="367">
        <v>9.3659999999999993E-2</v>
      </c>
    </row>
    <row r="43" spans="2:17" x14ac:dyDescent="0.3">
      <c r="B43" s="365" t="s">
        <v>222</v>
      </c>
      <c r="C43" s="365">
        <v>1.0359999999999999E-2</v>
      </c>
      <c r="D43" s="365">
        <v>0.13788</v>
      </c>
      <c r="E43" s="365">
        <v>0.14574999999999999</v>
      </c>
      <c r="F43" s="365">
        <v>0.12285</v>
      </c>
      <c r="G43" s="365">
        <v>3.0949999999999998E-2</v>
      </c>
      <c r="H43" s="365">
        <v>9.1899999999999996E-2</v>
      </c>
      <c r="K43" s="366">
        <v>42318</v>
      </c>
      <c r="L43" s="367">
        <v>1.2670000000000001E-2</v>
      </c>
      <c r="M43" s="367">
        <v>0.12581000000000001</v>
      </c>
      <c r="N43" s="367">
        <v>0.18836</v>
      </c>
      <c r="O43" s="367">
        <v>0.11672</v>
      </c>
      <c r="P43" s="367">
        <v>2.2700000000000001E-2</v>
      </c>
      <c r="Q43" s="367">
        <v>9.4020000000000006E-2</v>
      </c>
    </row>
    <row r="44" spans="2:17" x14ac:dyDescent="0.3">
      <c r="B44" s="365" t="s">
        <v>223</v>
      </c>
      <c r="C44" s="365">
        <v>1.0330000000000001E-2</v>
      </c>
      <c r="D44" s="365">
        <v>0.13763</v>
      </c>
      <c r="E44" s="365">
        <v>0.14585999999999999</v>
      </c>
      <c r="F44" s="365">
        <v>0.12302</v>
      </c>
      <c r="G44" s="365">
        <v>3.065E-2</v>
      </c>
      <c r="H44" s="365">
        <v>9.2369999999999994E-2</v>
      </c>
      <c r="K44" s="366">
        <v>42317</v>
      </c>
      <c r="L44" s="367">
        <v>1.2489999999999999E-2</v>
      </c>
      <c r="M44" s="367">
        <v>0.12590999999999999</v>
      </c>
      <c r="N44" s="367">
        <v>0.18876000000000001</v>
      </c>
      <c r="O44" s="367">
        <v>0.11592</v>
      </c>
      <c r="P44" s="367">
        <v>2.3019999999999999E-2</v>
      </c>
      <c r="Q44" s="367">
        <v>9.2899999999999996E-2</v>
      </c>
    </row>
    <row r="45" spans="2:17" x14ac:dyDescent="0.3">
      <c r="B45" s="365" t="s">
        <v>224</v>
      </c>
      <c r="C45" s="365">
        <v>1.026E-2</v>
      </c>
      <c r="D45" s="365">
        <v>0.13983000000000001</v>
      </c>
      <c r="E45" s="365">
        <v>0.14566000000000001</v>
      </c>
      <c r="F45" s="365">
        <v>0.12303</v>
      </c>
      <c r="G45" s="365">
        <v>3.1050000000000001E-2</v>
      </c>
      <c r="H45" s="365">
        <v>9.1980000000000006E-2</v>
      </c>
      <c r="K45" s="366">
        <v>42314</v>
      </c>
      <c r="L45" s="367">
        <v>1.2460000000000001E-2</v>
      </c>
      <c r="M45" s="367">
        <v>0.12300999999999999</v>
      </c>
      <c r="N45" s="367">
        <v>0.17294000000000001</v>
      </c>
      <c r="O45" s="367">
        <v>0.114</v>
      </c>
      <c r="P45" s="367">
        <v>2.2100000000000002E-2</v>
      </c>
      <c r="Q45" s="367">
        <v>9.1899999999999996E-2</v>
      </c>
    </row>
    <row r="46" spans="2:17" x14ac:dyDescent="0.3">
      <c r="B46" s="365" t="s">
        <v>225</v>
      </c>
      <c r="C46" s="365">
        <v>1.0240000000000001E-2</v>
      </c>
      <c r="D46" s="365">
        <v>0.13843</v>
      </c>
      <c r="E46" s="365">
        <v>0.14249000000000001</v>
      </c>
      <c r="F46" s="365">
        <v>0.12252</v>
      </c>
      <c r="G46" s="365">
        <v>3.1019999999999999E-2</v>
      </c>
      <c r="H46" s="365">
        <v>9.1499999999999998E-2</v>
      </c>
      <c r="K46" s="366">
        <v>42313</v>
      </c>
      <c r="L46" s="367">
        <v>1.238E-2</v>
      </c>
      <c r="M46" s="367">
        <v>0.12324</v>
      </c>
      <c r="N46" s="367">
        <v>0.17294000000000001</v>
      </c>
      <c r="O46" s="367">
        <v>0.1138</v>
      </c>
      <c r="P46" s="367">
        <v>2.155E-2</v>
      </c>
      <c r="Q46" s="367">
        <v>9.2249999999999999E-2</v>
      </c>
    </row>
    <row r="47" spans="2:17" x14ac:dyDescent="0.3">
      <c r="B47" s="365" t="s">
        <v>226</v>
      </c>
      <c r="C47" s="365">
        <v>1.0370000000000001E-2</v>
      </c>
      <c r="D47" s="365">
        <v>0.13671</v>
      </c>
      <c r="E47" s="365">
        <v>0.14197000000000001</v>
      </c>
      <c r="F47" s="365">
        <v>0.12256</v>
      </c>
      <c r="G47" s="365">
        <v>3.0540000000000001E-2</v>
      </c>
      <c r="H47" s="365">
        <v>9.2020000000000005E-2</v>
      </c>
      <c r="K47" s="366">
        <v>42312</v>
      </c>
      <c r="L47" s="367">
        <v>1.234E-2</v>
      </c>
      <c r="M47" s="367">
        <v>0.12356</v>
      </c>
      <c r="N47" s="367">
        <v>0.18758</v>
      </c>
      <c r="O47" s="367">
        <v>0.11421000000000001</v>
      </c>
      <c r="P47" s="367">
        <v>2.162E-2</v>
      </c>
      <c r="Q47" s="367">
        <v>9.2590000000000006E-2</v>
      </c>
    </row>
    <row r="48" spans="2:17" x14ac:dyDescent="0.3">
      <c r="B48" s="365" t="s">
        <v>227</v>
      </c>
      <c r="C48" s="365">
        <v>1.034E-2</v>
      </c>
      <c r="D48" s="365">
        <v>0.13883000000000001</v>
      </c>
      <c r="E48" s="365">
        <v>0.14215</v>
      </c>
      <c r="F48" s="365">
        <v>0.12382</v>
      </c>
      <c r="G48" s="365">
        <v>3.0370000000000001E-2</v>
      </c>
      <c r="H48" s="365">
        <v>9.3450000000000005E-2</v>
      </c>
      <c r="K48" s="366">
        <v>42311</v>
      </c>
      <c r="L48" s="367">
        <v>1.2359999999999999E-2</v>
      </c>
      <c r="M48" s="367">
        <v>0.12336999999999999</v>
      </c>
      <c r="N48" s="367">
        <v>0.18703</v>
      </c>
      <c r="O48" s="367">
        <v>0.11459</v>
      </c>
      <c r="P48" s="367">
        <v>2.1520000000000001E-2</v>
      </c>
      <c r="Q48" s="367">
        <v>9.307E-2</v>
      </c>
    </row>
    <row r="49" spans="2:17" x14ac:dyDescent="0.3">
      <c r="B49" s="365" t="s">
        <v>228</v>
      </c>
      <c r="C49" s="365">
        <v>1.0449999999999999E-2</v>
      </c>
      <c r="D49" s="365">
        <v>0.13925000000000001</v>
      </c>
      <c r="E49" s="365">
        <v>0.14169999999999999</v>
      </c>
      <c r="F49" s="365">
        <v>0.12562000000000001</v>
      </c>
      <c r="G49" s="365">
        <v>3.0339999999999999E-2</v>
      </c>
      <c r="H49" s="365">
        <v>9.5280000000000004E-2</v>
      </c>
      <c r="K49" s="366">
        <v>42310</v>
      </c>
      <c r="L49" s="367">
        <v>1.244E-2</v>
      </c>
      <c r="M49" s="367">
        <v>0.12803</v>
      </c>
      <c r="N49" s="367">
        <v>0.18495</v>
      </c>
      <c r="O49" s="367">
        <v>0.11506</v>
      </c>
      <c r="P49" s="367">
        <v>2.1219999999999999E-2</v>
      </c>
      <c r="Q49" s="367">
        <v>9.3840000000000007E-2</v>
      </c>
    </row>
    <row r="50" spans="2:17" x14ac:dyDescent="0.3">
      <c r="B50" s="365" t="s">
        <v>229</v>
      </c>
      <c r="C50" s="365">
        <v>1.0529999999999999E-2</v>
      </c>
      <c r="D50" s="365">
        <v>0.1565</v>
      </c>
      <c r="E50" s="365">
        <v>0.14154</v>
      </c>
      <c r="F50" s="365">
        <v>0.13308</v>
      </c>
      <c r="G50" s="365">
        <v>3.0210000000000001E-2</v>
      </c>
      <c r="H50" s="365">
        <v>0.10287</v>
      </c>
      <c r="K50" s="366">
        <v>42307</v>
      </c>
      <c r="L50" s="367">
        <v>1.2500000000000001E-2</v>
      </c>
      <c r="M50" s="367">
        <v>0.12429</v>
      </c>
      <c r="N50" s="367">
        <v>0.183</v>
      </c>
      <c r="O50" s="367">
        <v>0.11229</v>
      </c>
      <c r="P50" s="367">
        <v>2.112E-2</v>
      </c>
      <c r="Q50" s="367">
        <v>9.1170000000000001E-2</v>
      </c>
    </row>
    <row r="51" spans="2:17" x14ac:dyDescent="0.3">
      <c r="B51" s="365" t="s">
        <v>230</v>
      </c>
      <c r="C51" s="365">
        <v>1.0670000000000001E-2</v>
      </c>
      <c r="D51" s="365">
        <v>0.15867999999999999</v>
      </c>
      <c r="E51" s="365">
        <v>0.14248</v>
      </c>
      <c r="F51" s="365">
        <v>0.13441</v>
      </c>
      <c r="G51" s="365">
        <v>3.0020000000000002E-2</v>
      </c>
      <c r="H51" s="365">
        <v>0.10439</v>
      </c>
      <c r="K51" s="366">
        <v>42306</v>
      </c>
      <c r="L51" s="367">
        <v>1.2489999999999999E-2</v>
      </c>
      <c r="M51" s="367">
        <v>0.12508</v>
      </c>
      <c r="N51" s="367">
        <v>0.18052000000000001</v>
      </c>
      <c r="O51" s="367">
        <v>0.11242000000000001</v>
      </c>
      <c r="P51" s="367">
        <v>2.0549999999999999E-2</v>
      </c>
      <c r="Q51" s="367">
        <v>9.1869999999999993E-2</v>
      </c>
    </row>
    <row r="52" spans="2:17" x14ac:dyDescent="0.3">
      <c r="B52" s="365" t="s">
        <v>231</v>
      </c>
      <c r="C52" s="365">
        <v>1.064E-2</v>
      </c>
      <c r="D52" s="365">
        <v>0.15964</v>
      </c>
      <c r="E52" s="365">
        <v>0.14146</v>
      </c>
      <c r="F52" s="365">
        <v>0.13485</v>
      </c>
      <c r="G52" s="365">
        <v>3.014E-2</v>
      </c>
      <c r="H52" s="365">
        <v>0.10471</v>
      </c>
      <c r="K52" s="366">
        <v>42305</v>
      </c>
      <c r="L52" s="367">
        <v>1.243E-2</v>
      </c>
      <c r="M52" s="367">
        <v>0.12637999999999999</v>
      </c>
      <c r="N52" s="367">
        <v>0.17868999999999999</v>
      </c>
      <c r="O52" s="367">
        <v>0.11249000000000001</v>
      </c>
      <c r="P52" s="367">
        <v>2.036E-2</v>
      </c>
      <c r="Q52" s="367">
        <v>9.2130000000000004E-2</v>
      </c>
    </row>
    <row r="53" spans="2:17" x14ac:dyDescent="0.3">
      <c r="B53" s="365" t="s">
        <v>232</v>
      </c>
      <c r="C53" s="365">
        <v>1.0630000000000001E-2</v>
      </c>
      <c r="D53" s="365">
        <v>0.15770000000000001</v>
      </c>
      <c r="E53" s="365">
        <v>0.14132</v>
      </c>
      <c r="F53" s="365">
        <v>0.1336</v>
      </c>
      <c r="G53" s="365">
        <v>2.9770000000000001E-2</v>
      </c>
      <c r="H53" s="365">
        <v>0.10383000000000001</v>
      </c>
      <c r="K53" s="366">
        <v>42304</v>
      </c>
      <c r="L53" s="367">
        <v>1.242E-2</v>
      </c>
      <c r="M53" s="367">
        <v>0.12573999999999999</v>
      </c>
      <c r="N53" s="367">
        <v>0.17829</v>
      </c>
      <c r="O53" s="367">
        <v>0.11193</v>
      </c>
      <c r="P53" s="367">
        <v>2.0619999999999999E-2</v>
      </c>
      <c r="Q53" s="367">
        <v>9.1310000000000002E-2</v>
      </c>
    </row>
    <row r="54" spans="2:17" x14ac:dyDescent="0.3">
      <c r="B54" s="365" t="s">
        <v>233</v>
      </c>
      <c r="C54" s="365">
        <v>1.0630000000000001E-2</v>
      </c>
      <c r="D54" s="365">
        <v>0.15651000000000001</v>
      </c>
      <c r="E54" s="365">
        <v>0.14235999999999999</v>
      </c>
      <c r="F54" s="365">
        <v>0.13391</v>
      </c>
      <c r="G54" s="365">
        <v>2.9989999999999999E-2</v>
      </c>
      <c r="H54" s="365">
        <v>0.10392</v>
      </c>
      <c r="K54" s="366">
        <v>42303</v>
      </c>
      <c r="L54" s="367">
        <v>1.239E-2</v>
      </c>
      <c r="M54" s="367">
        <v>0.12354999999999999</v>
      </c>
      <c r="N54" s="367">
        <v>0.17816000000000001</v>
      </c>
      <c r="O54" s="367">
        <v>0.11155</v>
      </c>
      <c r="P54" s="367">
        <v>2.095E-2</v>
      </c>
      <c r="Q54" s="367">
        <v>9.06E-2</v>
      </c>
    </row>
    <row r="55" spans="2:17" x14ac:dyDescent="0.3">
      <c r="B55" s="365" t="s">
        <v>234</v>
      </c>
      <c r="C55" s="365">
        <v>1.0659999999999999E-2</v>
      </c>
      <c r="D55" s="365">
        <v>0.1555</v>
      </c>
      <c r="E55" s="365">
        <v>0.14247000000000001</v>
      </c>
      <c r="F55" s="365">
        <v>0.13439999999999999</v>
      </c>
      <c r="G55" s="365">
        <v>0.03</v>
      </c>
      <c r="H55" s="365">
        <v>0.10440000000000001</v>
      </c>
      <c r="K55" s="366">
        <v>42300</v>
      </c>
      <c r="L55" s="367">
        <v>1.244E-2</v>
      </c>
      <c r="M55" s="367">
        <v>0.12637000000000001</v>
      </c>
      <c r="N55" s="367">
        <v>0.17838000000000001</v>
      </c>
      <c r="O55" s="367">
        <v>0.11312</v>
      </c>
      <c r="P55" s="367">
        <v>2.102E-2</v>
      </c>
      <c r="Q55" s="367">
        <v>9.2100000000000001E-2</v>
      </c>
    </row>
    <row r="56" spans="2:17" x14ac:dyDescent="0.3">
      <c r="B56" s="365" t="s">
        <v>235</v>
      </c>
      <c r="C56" s="365">
        <v>1.0710000000000001E-2</v>
      </c>
      <c r="D56" s="365">
        <v>0.15558</v>
      </c>
      <c r="E56" s="365">
        <v>0.14330000000000001</v>
      </c>
      <c r="F56" s="365">
        <v>0.13489999999999999</v>
      </c>
      <c r="G56" s="365">
        <v>2.9749999999999999E-2</v>
      </c>
      <c r="H56" s="365">
        <v>0.10514999999999999</v>
      </c>
      <c r="K56" s="366">
        <v>42299</v>
      </c>
      <c r="L56" s="367">
        <v>1.2540000000000001E-2</v>
      </c>
      <c r="M56" s="367">
        <v>0.1265</v>
      </c>
      <c r="N56" s="367">
        <v>0.17779</v>
      </c>
      <c r="O56" s="367">
        <v>0.11359</v>
      </c>
      <c r="P56" s="367">
        <v>2.12E-2</v>
      </c>
      <c r="Q56" s="367">
        <v>9.239E-2</v>
      </c>
    </row>
    <row r="57" spans="2:17" x14ac:dyDescent="0.3">
      <c r="B57" s="365" t="s">
        <v>236</v>
      </c>
      <c r="C57" s="365">
        <v>1.0699999999999999E-2</v>
      </c>
      <c r="D57" s="365">
        <v>0.15570000000000001</v>
      </c>
      <c r="E57" s="365">
        <v>0.14341000000000001</v>
      </c>
      <c r="F57" s="365">
        <v>0.13477</v>
      </c>
      <c r="G57" s="365">
        <v>3.0009999999999998E-2</v>
      </c>
      <c r="H57" s="365">
        <v>0.10476000000000001</v>
      </c>
      <c r="K57" s="366">
        <v>42298</v>
      </c>
      <c r="L57" s="367">
        <v>1.243E-2</v>
      </c>
      <c r="M57" s="367">
        <v>0.12797</v>
      </c>
      <c r="N57" s="367">
        <v>0.17721000000000001</v>
      </c>
      <c r="O57" s="367">
        <v>0.1139</v>
      </c>
      <c r="P57" s="367">
        <v>2.1080000000000002E-2</v>
      </c>
      <c r="Q57" s="367">
        <v>9.282E-2</v>
      </c>
    </row>
    <row r="58" spans="2:17" x14ac:dyDescent="0.3">
      <c r="B58" s="365" t="s">
        <v>237</v>
      </c>
      <c r="C58" s="365">
        <v>1.074E-2</v>
      </c>
      <c r="D58" s="365">
        <v>0.15543999999999999</v>
      </c>
      <c r="E58" s="365">
        <v>0.14324000000000001</v>
      </c>
      <c r="F58" s="365">
        <v>0.13475000000000001</v>
      </c>
      <c r="G58" s="365">
        <v>3.041E-2</v>
      </c>
      <c r="H58" s="365">
        <v>0.10434</v>
      </c>
      <c r="K58" s="366">
        <v>42297</v>
      </c>
      <c r="L58" s="367">
        <v>1.2460000000000001E-2</v>
      </c>
      <c r="M58" s="367">
        <v>0.12809999999999999</v>
      </c>
      <c r="N58" s="367">
        <v>0.17718999999999999</v>
      </c>
      <c r="O58" s="367">
        <v>0.11456</v>
      </c>
      <c r="P58" s="367">
        <v>2.1000000000000001E-2</v>
      </c>
      <c r="Q58" s="367">
        <v>9.3560000000000004E-2</v>
      </c>
    </row>
    <row r="59" spans="2:17" x14ac:dyDescent="0.3">
      <c r="B59" s="365" t="s">
        <v>238</v>
      </c>
      <c r="C59" s="365">
        <v>1.0749999999999999E-2</v>
      </c>
      <c r="D59" s="365">
        <v>0.15529999999999999</v>
      </c>
      <c r="E59" s="365">
        <v>0.1434</v>
      </c>
      <c r="F59" s="365">
        <v>0.13482</v>
      </c>
      <c r="G59" s="365">
        <v>3.0679999999999999E-2</v>
      </c>
      <c r="H59" s="365">
        <v>0.10414</v>
      </c>
      <c r="K59" s="366">
        <v>42296</v>
      </c>
      <c r="L59" s="367">
        <v>1.251E-2</v>
      </c>
      <c r="M59" s="367">
        <v>0.12898999999999999</v>
      </c>
      <c r="N59" s="367">
        <v>0.17691000000000001</v>
      </c>
      <c r="O59" s="367">
        <v>0.11516999999999999</v>
      </c>
      <c r="P59" s="367">
        <v>2.077E-2</v>
      </c>
      <c r="Q59" s="367">
        <v>9.4399999999999998E-2</v>
      </c>
    </row>
    <row r="60" spans="2:17" x14ac:dyDescent="0.3">
      <c r="B60" s="365" t="s">
        <v>239</v>
      </c>
      <c r="C60" s="365">
        <v>1.0840000000000001E-2</v>
      </c>
      <c r="D60" s="365">
        <v>0.15612000000000001</v>
      </c>
      <c r="E60" s="365">
        <v>0.14329</v>
      </c>
      <c r="F60" s="365">
        <v>0.13544</v>
      </c>
      <c r="G60" s="365">
        <v>3.075E-2</v>
      </c>
      <c r="H60" s="365">
        <v>0.10469000000000001</v>
      </c>
      <c r="K60" s="366">
        <v>42293</v>
      </c>
      <c r="L60" s="367">
        <v>1.2500000000000001E-2</v>
      </c>
      <c r="M60" s="367">
        <v>0.12758</v>
      </c>
      <c r="N60" s="367">
        <v>0.17674000000000001</v>
      </c>
      <c r="O60" s="367">
        <v>0.11505</v>
      </c>
      <c r="P60" s="367">
        <v>2.0619999999999999E-2</v>
      </c>
      <c r="Q60" s="367">
        <v>9.443E-2</v>
      </c>
    </row>
    <row r="61" spans="2:17" x14ac:dyDescent="0.3">
      <c r="B61" s="365" t="s">
        <v>240</v>
      </c>
      <c r="C61" s="365">
        <v>1.09E-2</v>
      </c>
      <c r="D61" s="365">
        <v>0.15572</v>
      </c>
      <c r="E61" s="365">
        <v>0.1426</v>
      </c>
      <c r="F61" s="365">
        <v>0.13527</v>
      </c>
      <c r="G61" s="365">
        <v>3.0599999999999999E-2</v>
      </c>
      <c r="H61" s="365">
        <v>0.10467</v>
      </c>
      <c r="K61" s="366">
        <v>42292</v>
      </c>
      <c r="L61" s="367">
        <v>1.2449999999999999E-2</v>
      </c>
      <c r="M61" s="367">
        <v>0.12769</v>
      </c>
      <c r="N61" s="367">
        <v>0.17649000000000001</v>
      </c>
      <c r="O61" s="367">
        <v>0.11494</v>
      </c>
      <c r="P61" s="367">
        <v>2.06E-2</v>
      </c>
      <c r="Q61" s="367">
        <v>9.4339999999999993E-2</v>
      </c>
    </row>
    <row r="62" spans="2:17" x14ac:dyDescent="0.3">
      <c r="B62" s="365" t="s">
        <v>241</v>
      </c>
      <c r="C62" s="365">
        <v>1.081E-2</v>
      </c>
      <c r="D62" s="365">
        <v>0.15692</v>
      </c>
      <c r="E62" s="365">
        <v>0.14263000000000001</v>
      </c>
      <c r="F62" s="365">
        <v>0.13553000000000001</v>
      </c>
      <c r="G62" s="365">
        <v>3.125E-2</v>
      </c>
      <c r="H62" s="365">
        <v>0.10428</v>
      </c>
      <c r="K62" s="366">
        <v>42291</v>
      </c>
      <c r="L62" s="367">
        <v>1.26E-2</v>
      </c>
      <c r="M62" s="367">
        <v>0.12675</v>
      </c>
      <c r="N62" s="367">
        <v>0.17648</v>
      </c>
      <c r="O62" s="367">
        <v>0.11501</v>
      </c>
      <c r="P62" s="367">
        <v>2.12E-2</v>
      </c>
      <c r="Q62" s="367">
        <v>9.3810000000000004E-2</v>
      </c>
    </row>
    <row r="63" spans="2:17" x14ac:dyDescent="0.3">
      <c r="B63" s="365" t="s">
        <v>242</v>
      </c>
      <c r="C63" s="365">
        <v>1.082E-2</v>
      </c>
      <c r="D63" s="365">
        <v>0.15681</v>
      </c>
      <c r="E63" s="365">
        <v>0.14294999999999999</v>
      </c>
      <c r="F63" s="365">
        <v>0.13555</v>
      </c>
      <c r="G63" s="365">
        <v>3.1550000000000002E-2</v>
      </c>
      <c r="H63" s="365">
        <v>0.104</v>
      </c>
      <c r="K63" s="366">
        <v>42290</v>
      </c>
      <c r="L63" s="367">
        <v>1.2540000000000001E-2</v>
      </c>
      <c r="M63" s="367">
        <v>0.1275</v>
      </c>
      <c r="N63" s="367">
        <v>0.17634</v>
      </c>
      <c r="O63" s="367">
        <v>0.11498</v>
      </c>
      <c r="P63" s="367">
        <v>2.1219999999999999E-2</v>
      </c>
      <c r="Q63" s="367">
        <v>9.3759999999999996E-2</v>
      </c>
    </row>
    <row r="64" spans="2:17" x14ac:dyDescent="0.3">
      <c r="B64" s="365" t="s">
        <v>243</v>
      </c>
      <c r="C64" s="365">
        <v>1.078E-2</v>
      </c>
      <c r="D64" s="365">
        <v>0.15834999999999999</v>
      </c>
      <c r="E64" s="365">
        <v>0.14241999999999999</v>
      </c>
      <c r="F64" s="365">
        <v>0.13592000000000001</v>
      </c>
      <c r="G64" s="365">
        <v>3.1600000000000003E-2</v>
      </c>
      <c r="H64" s="365">
        <v>0.10432</v>
      </c>
      <c r="K64" s="366">
        <v>42289</v>
      </c>
      <c r="L64" s="367">
        <v>1.2540000000000001E-2</v>
      </c>
      <c r="M64" s="367">
        <v>0.12715000000000001</v>
      </c>
      <c r="N64" s="367">
        <v>0.17574000000000001</v>
      </c>
      <c r="O64" s="367">
        <v>0.11391999999999999</v>
      </c>
      <c r="P64" s="367">
        <v>2.1499999999999998E-2</v>
      </c>
      <c r="Q64" s="367">
        <v>9.2420000000000002E-2</v>
      </c>
    </row>
    <row r="65" spans="2:17" x14ac:dyDescent="0.3">
      <c r="B65" s="365" t="s">
        <v>244</v>
      </c>
      <c r="C65" s="365">
        <v>1.077E-2</v>
      </c>
      <c r="D65" s="365">
        <v>0.15407999999999999</v>
      </c>
      <c r="E65" s="365">
        <v>0.14185</v>
      </c>
      <c r="F65" s="365">
        <v>0.13400999999999999</v>
      </c>
      <c r="G65" s="365">
        <v>3.1300000000000001E-2</v>
      </c>
      <c r="H65" s="365">
        <v>0.10271</v>
      </c>
      <c r="K65" s="366">
        <v>42285</v>
      </c>
      <c r="L65" s="367">
        <v>1.2630000000000001E-2</v>
      </c>
      <c r="M65" s="367">
        <v>0.12590000000000001</v>
      </c>
      <c r="N65" s="367">
        <v>0.17584</v>
      </c>
      <c r="O65" s="367">
        <v>0.11189</v>
      </c>
      <c r="P65" s="367">
        <v>2.0899999999999998E-2</v>
      </c>
      <c r="Q65" s="367">
        <v>9.0990000000000001E-2</v>
      </c>
    </row>
    <row r="66" spans="2:17" x14ac:dyDescent="0.3">
      <c r="B66" s="365" t="s">
        <v>245</v>
      </c>
      <c r="C66" s="365">
        <v>1.074E-2</v>
      </c>
      <c r="D66" s="365">
        <v>0.14918999999999999</v>
      </c>
      <c r="E66" s="365">
        <v>0.14141999999999999</v>
      </c>
      <c r="F66" s="365">
        <v>0.13184999999999999</v>
      </c>
      <c r="G66" s="365">
        <v>3.125E-2</v>
      </c>
      <c r="H66" s="365">
        <v>0.10059999999999999</v>
      </c>
      <c r="K66" s="366">
        <v>42284</v>
      </c>
      <c r="L66" s="367">
        <v>1.273E-2</v>
      </c>
      <c r="M66" s="367">
        <v>0.12681000000000001</v>
      </c>
      <c r="N66" s="367">
        <v>0.17494999999999999</v>
      </c>
      <c r="O66" s="367">
        <v>0.11261</v>
      </c>
      <c r="P66" s="367">
        <v>2.087E-2</v>
      </c>
      <c r="Q66" s="367">
        <v>9.1740000000000002E-2</v>
      </c>
    </row>
    <row r="67" spans="2:17" x14ac:dyDescent="0.3">
      <c r="B67" s="365" t="s">
        <v>246</v>
      </c>
      <c r="C67" s="365">
        <v>1.073E-2</v>
      </c>
      <c r="D67" s="365">
        <v>0.14726</v>
      </c>
      <c r="E67" s="365">
        <v>0.14133000000000001</v>
      </c>
      <c r="F67" s="365">
        <v>0.13114000000000001</v>
      </c>
      <c r="G67" s="365">
        <v>3.1050000000000001E-2</v>
      </c>
      <c r="H67" s="365">
        <v>0.10009</v>
      </c>
      <c r="K67" s="366">
        <v>42283</v>
      </c>
      <c r="L67" s="367">
        <v>1.2869999999999999E-2</v>
      </c>
      <c r="M67" s="367">
        <v>0.12867000000000001</v>
      </c>
      <c r="N67" s="367">
        <v>0.17499000000000001</v>
      </c>
      <c r="O67" s="367">
        <v>0.11344</v>
      </c>
      <c r="P67" s="367">
        <v>2.0449999999999999E-2</v>
      </c>
      <c r="Q67" s="367">
        <v>9.2990000000000003E-2</v>
      </c>
    </row>
    <row r="68" spans="2:17" x14ac:dyDescent="0.3">
      <c r="B68" s="365" t="s">
        <v>247</v>
      </c>
      <c r="C68" s="365">
        <v>1.069E-2</v>
      </c>
      <c r="D68" s="365">
        <v>0.14781</v>
      </c>
      <c r="E68" s="365">
        <v>0.14135</v>
      </c>
      <c r="F68" s="365">
        <v>0.13116</v>
      </c>
      <c r="G68" s="365">
        <v>3.0870000000000002E-2</v>
      </c>
      <c r="H68" s="365">
        <v>0.10029</v>
      </c>
      <c r="K68" s="366">
        <v>42282</v>
      </c>
      <c r="L68" s="367">
        <v>1.2959999999999999E-2</v>
      </c>
      <c r="M68" s="367">
        <v>0.13106000000000001</v>
      </c>
      <c r="N68" s="367">
        <v>0.17474000000000001</v>
      </c>
      <c r="O68" s="367">
        <v>0.11516999999999999</v>
      </c>
      <c r="P68" s="367">
        <v>2.0400000000000001E-2</v>
      </c>
      <c r="Q68" s="367">
        <v>9.4769999999999993E-2</v>
      </c>
    </row>
    <row r="69" spans="2:17" x14ac:dyDescent="0.3">
      <c r="B69" s="365" t="s">
        <v>248</v>
      </c>
      <c r="C69" s="365">
        <v>1.078E-2</v>
      </c>
      <c r="D69" s="365">
        <v>0.14196</v>
      </c>
      <c r="E69" s="365">
        <v>0.14137</v>
      </c>
      <c r="F69" s="365">
        <v>0.12926000000000001</v>
      </c>
      <c r="G69" s="365">
        <v>3.1669999999999997E-2</v>
      </c>
      <c r="H69" s="365">
        <v>9.7589999999999996E-2</v>
      </c>
      <c r="K69" s="366">
        <v>42279</v>
      </c>
      <c r="L69" s="367">
        <v>1.2999999999999999E-2</v>
      </c>
      <c r="M69" s="367">
        <v>0.13794999999999999</v>
      </c>
      <c r="N69" s="367">
        <v>0.17455999999999999</v>
      </c>
      <c r="O69" s="367">
        <v>0.11902</v>
      </c>
      <c r="P69" s="367">
        <v>2.0820000000000002E-2</v>
      </c>
      <c r="Q69" s="367">
        <v>9.8199999999999996E-2</v>
      </c>
    </row>
    <row r="70" spans="2:17" x14ac:dyDescent="0.3">
      <c r="B70" s="365" t="s">
        <v>249</v>
      </c>
      <c r="C70" s="365">
        <v>1.0749999999999999E-2</v>
      </c>
      <c r="D70" s="365">
        <v>0.14137</v>
      </c>
      <c r="E70" s="365">
        <v>0.14133000000000001</v>
      </c>
      <c r="F70" s="365">
        <v>0.12858</v>
      </c>
      <c r="G70" s="365">
        <v>3.1719999999999998E-2</v>
      </c>
      <c r="H70" s="365">
        <v>9.6860000000000002E-2</v>
      </c>
      <c r="K70" s="366">
        <v>42278</v>
      </c>
      <c r="L70" s="367">
        <v>1.2930000000000001E-2</v>
      </c>
      <c r="M70" s="367">
        <v>0.13811000000000001</v>
      </c>
      <c r="N70" s="367">
        <v>0.17455999999999999</v>
      </c>
      <c r="O70" s="367">
        <v>0.11892999999999999</v>
      </c>
      <c r="P70" s="367">
        <v>2.1069999999999998E-2</v>
      </c>
      <c r="Q70" s="367">
        <v>9.7860000000000003E-2</v>
      </c>
    </row>
    <row r="71" spans="2:17" x14ac:dyDescent="0.3">
      <c r="B71" s="365" t="s">
        <v>250</v>
      </c>
      <c r="C71" s="365">
        <v>1.0840000000000001E-2</v>
      </c>
      <c r="D71" s="365">
        <v>0.13638</v>
      </c>
      <c r="E71" s="365">
        <v>0.14119999999999999</v>
      </c>
      <c r="F71" s="365">
        <v>0.12511</v>
      </c>
      <c r="G71" s="365">
        <v>3.1820000000000001E-2</v>
      </c>
      <c r="H71" s="365">
        <v>9.3289999999999998E-2</v>
      </c>
      <c r="K71" s="366">
        <v>42277</v>
      </c>
      <c r="L71" s="367">
        <v>1.304E-2</v>
      </c>
      <c r="M71" s="367">
        <v>0.13818</v>
      </c>
      <c r="N71" s="367">
        <v>0.17455999999999999</v>
      </c>
      <c r="O71" s="367">
        <v>0.11924</v>
      </c>
      <c r="P71" s="367">
        <v>2.0650000000000002E-2</v>
      </c>
      <c r="Q71" s="367">
        <v>9.8589999999999997E-2</v>
      </c>
    </row>
    <row r="72" spans="2:17" x14ac:dyDescent="0.3">
      <c r="B72" s="365" t="s">
        <v>251</v>
      </c>
      <c r="C72" s="365">
        <v>1.085E-2</v>
      </c>
      <c r="D72" s="365">
        <v>0.13594999999999999</v>
      </c>
      <c r="E72" s="365">
        <v>0.14108999999999999</v>
      </c>
      <c r="F72" s="365">
        <v>0.12468</v>
      </c>
      <c r="G72" s="365">
        <v>3.2050000000000002E-2</v>
      </c>
      <c r="H72" s="365">
        <v>9.2630000000000004E-2</v>
      </c>
      <c r="K72" s="366">
        <v>42272</v>
      </c>
      <c r="L72" s="367">
        <v>1.321E-2</v>
      </c>
      <c r="M72" s="367">
        <v>0.12944</v>
      </c>
      <c r="N72" s="367">
        <v>0.17423</v>
      </c>
      <c r="O72" s="367">
        <v>0.11783</v>
      </c>
      <c r="P72" s="367">
        <v>2.1319999999999999E-2</v>
      </c>
      <c r="Q72" s="367">
        <v>9.6509999999999999E-2</v>
      </c>
    </row>
    <row r="73" spans="2:17" x14ac:dyDescent="0.3">
      <c r="B73" s="365" t="s">
        <v>252</v>
      </c>
      <c r="C73" s="365">
        <v>1.0919999999999999E-2</v>
      </c>
      <c r="D73" s="365">
        <v>0.13486999999999999</v>
      </c>
      <c r="E73" s="365">
        <v>0.14107</v>
      </c>
      <c r="F73" s="365">
        <v>0.12458</v>
      </c>
      <c r="G73" s="365">
        <v>3.2169999999999997E-2</v>
      </c>
      <c r="H73" s="365">
        <v>9.2410000000000006E-2</v>
      </c>
      <c r="K73" s="366">
        <v>42271</v>
      </c>
      <c r="L73" s="367">
        <v>1.32E-2</v>
      </c>
      <c r="M73" s="367">
        <v>0.13886999999999999</v>
      </c>
      <c r="N73" s="367">
        <v>0.17435</v>
      </c>
      <c r="O73" s="367">
        <v>0.12088</v>
      </c>
      <c r="P73" s="367">
        <v>2.1569999999999999E-2</v>
      </c>
      <c r="Q73" s="367">
        <v>9.9309999999999996E-2</v>
      </c>
    </row>
    <row r="74" spans="2:17" x14ac:dyDescent="0.3">
      <c r="B74" s="365" t="s">
        <v>253</v>
      </c>
      <c r="C74" s="365">
        <v>1.085E-2</v>
      </c>
      <c r="D74" s="365">
        <v>0.13389999999999999</v>
      </c>
      <c r="E74" s="365">
        <v>0.1409</v>
      </c>
      <c r="F74" s="365">
        <v>0.12385</v>
      </c>
      <c r="G74" s="365">
        <v>3.2120000000000003E-2</v>
      </c>
      <c r="H74" s="365">
        <v>9.1730000000000006E-2</v>
      </c>
      <c r="K74" s="366">
        <v>42270</v>
      </c>
      <c r="L74" s="367">
        <v>1.3220000000000001E-2</v>
      </c>
      <c r="M74" s="367">
        <v>0.13846</v>
      </c>
      <c r="N74" s="367">
        <v>0.17435</v>
      </c>
      <c r="O74" s="367">
        <v>0.12069000000000001</v>
      </c>
      <c r="P74" s="367">
        <v>2.1360000000000001E-2</v>
      </c>
      <c r="Q74" s="367">
        <v>9.9330000000000002E-2</v>
      </c>
    </row>
    <row r="75" spans="2:17" x14ac:dyDescent="0.3">
      <c r="B75" s="365" t="s">
        <v>254</v>
      </c>
      <c r="C75" s="365">
        <v>1.098E-2</v>
      </c>
      <c r="D75" s="365">
        <v>0.13388</v>
      </c>
      <c r="E75" s="365">
        <v>0.14021</v>
      </c>
      <c r="F75" s="365">
        <v>0.12451</v>
      </c>
      <c r="G75" s="365">
        <v>3.2399999999999998E-2</v>
      </c>
      <c r="H75" s="365">
        <v>9.2109999999999997E-2</v>
      </c>
      <c r="K75" s="366">
        <v>42269</v>
      </c>
      <c r="L75" s="367">
        <v>1.294E-2</v>
      </c>
      <c r="M75" s="367">
        <v>0.1389</v>
      </c>
      <c r="N75" s="367">
        <v>0.17426</v>
      </c>
      <c r="O75" s="367">
        <v>0.12005</v>
      </c>
      <c r="P75" s="367">
        <v>2.147E-2</v>
      </c>
      <c r="Q75" s="367">
        <v>9.8580000000000001E-2</v>
      </c>
    </row>
    <row r="76" spans="2:17" x14ac:dyDescent="0.3">
      <c r="B76" s="365" t="s">
        <v>255</v>
      </c>
      <c r="C76" s="365">
        <v>1.116E-2</v>
      </c>
      <c r="D76" s="365">
        <v>0.13577</v>
      </c>
      <c r="E76" s="365">
        <v>0.14124999999999999</v>
      </c>
      <c r="F76" s="365">
        <v>0.12592</v>
      </c>
      <c r="G76" s="365">
        <v>3.211E-2</v>
      </c>
      <c r="H76" s="365">
        <v>9.3810000000000004E-2</v>
      </c>
      <c r="K76" s="366">
        <v>42268</v>
      </c>
      <c r="L76" s="367">
        <v>1.306E-2</v>
      </c>
      <c r="M76" s="367">
        <v>0.14016999999999999</v>
      </c>
      <c r="N76" s="367">
        <v>0.17399999999999999</v>
      </c>
      <c r="O76" s="367">
        <v>0.12088</v>
      </c>
      <c r="P76" s="367">
        <v>2.1569999999999999E-2</v>
      </c>
      <c r="Q76" s="367">
        <v>9.9309999999999996E-2</v>
      </c>
    </row>
    <row r="77" spans="2:17" x14ac:dyDescent="0.3">
      <c r="B77" s="365" t="s">
        <v>256</v>
      </c>
      <c r="C77" s="365">
        <v>1.1010000000000001E-2</v>
      </c>
      <c r="D77" s="365">
        <v>0.13621</v>
      </c>
      <c r="E77" s="365">
        <v>0.14069999999999999</v>
      </c>
      <c r="F77" s="365">
        <v>0.12565999999999999</v>
      </c>
      <c r="G77" s="365">
        <v>3.2500000000000001E-2</v>
      </c>
      <c r="H77" s="365">
        <v>9.3160000000000007E-2</v>
      </c>
      <c r="K77" s="366">
        <v>42265</v>
      </c>
      <c r="L77" s="367">
        <v>1.282E-2</v>
      </c>
      <c r="M77" s="367">
        <v>0.14001</v>
      </c>
      <c r="N77" s="367">
        <v>0.17399000000000001</v>
      </c>
      <c r="O77" s="367">
        <v>0.12003</v>
      </c>
      <c r="P77" s="367">
        <v>2.1919999999999999E-2</v>
      </c>
      <c r="Q77" s="367">
        <v>9.8110000000000003E-2</v>
      </c>
    </row>
    <row r="78" spans="2:17" x14ac:dyDescent="0.3">
      <c r="B78" s="365" t="s">
        <v>257</v>
      </c>
      <c r="C78" s="365">
        <v>1.102E-2</v>
      </c>
      <c r="D78" s="365">
        <v>0.1358</v>
      </c>
      <c r="E78" s="365">
        <v>0.14036999999999999</v>
      </c>
      <c r="F78" s="365">
        <v>0.1258</v>
      </c>
      <c r="G78" s="365">
        <v>3.2969999999999999E-2</v>
      </c>
      <c r="H78" s="365">
        <v>9.2829999999999996E-2</v>
      </c>
      <c r="K78" s="366">
        <v>42264</v>
      </c>
      <c r="L78" s="367">
        <v>1.294E-2</v>
      </c>
      <c r="M78" s="367">
        <v>0.13915</v>
      </c>
      <c r="N78" s="367">
        <v>0.17383999999999999</v>
      </c>
      <c r="O78" s="367">
        <v>0.12012</v>
      </c>
      <c r="P78" s="367">
        <v>2.2700000000000001E-2</v>
      </c>
      <c r="Q78" s="367">
        <v>9.7420000000000007E-2</v>
      </c>
    </row>
    <row r="79" spans="2:17" x14ac:dyDescent="0.3">
      <c r="B79" s="365" t="s">
        <v>258</v>
      </c>
      <c r="C79" s="365">
        <v>1.095E-2</v>
      </c>
      <c r="D79" s="365">
        <v>0.13425999999999999</v>
      </c>
      <c r="E79" s="365">
        <v>0.14030000000000001</v>
      </c>
      <c r="F79" s="365">
        <v>0.12485</v>
      </c>
      <c r="G79" s="365">
        <v>3.2969999999999999E-2</v>
      </c>
      <c r="H79" s="365">
        <v>9.1880000000000003E-2</v>
      </c>
      <c r="K79" s="366">
        <v>42263</v>
      </c>
      <c r="L79" s="367">
        <v>1.295E-2</v>
      </c>
      <c r="M79" s="367">
        <v>0.13930000000000001</v>
      </c>
      <c r="N79" s="367">
        <v>0.17388000000000001</v>
      </c>
      <c r="O79" s="367">
        <v>0.12025</v>
      </c>
      <c r="P79" s="367">
        <v>2.2769999999999999E-2</v>
      </c>
      <c r="Q79" s="367">
        <v>9.7479999999999997E-2</v>
      </c>
    </row>
    <row r="80" spans="2:17" x14ac:dyDescent="0.3">
      <c r="B80" s="365" t="s">
        <v>259</v>
      </c>
      <c r="C80" s="365">
        <v>1.0999999999999999E-2</v>
      </c>
      <c r="D80" s="365">
        <v>0.13478000000000001</v>
      </c>
      <c r="E80" s="365">
        <v>0.14041999999999999</v>
      </c>
      <c r="F80" s="365">
        <v>0.12506999999999999</v>
      </c>
      <c r="G80" s="365">
        <v>3.3149999999999999E-2</v>
      </c>
      <c r="H80" s="365">
        <v>9.1920000000000002E-2</v>
      </c>
      <c r="K80" s="366">
        <v>42262</v>
      </c>
      <c r="L80" s="367">
        <v>1.3220000000000001E-2</v>
      </c>
      <c r="M80" s="367">
        <v>0.14033000000000001</v>
      </c>
      <c r="N80" s="367">
        <v>0.17393</v>
      </c>
      <c r="O80" s="367">
        <v>0.12111</v>
      </c>
      <c r="P80" s="367">
        <v>2.256E-2</v>
      </c>
      <c r="Q80" s="367">
        <v>9.8549999999999999E-2</v>
      </c>
    </row>
    <row r="81" spans="2:17" x14ac:dyDescent="0.3">
      <c r="B81" s="365" t="s">
        <v>260</v>
      </c>
      <c r="C81" s="365">
        <v>1.1010000000000001E-2</v>
      </c>
      <c r="D81" s="365">
        <v>0.13416</v>
      </c>
      <c r="E81" s="365">
        <v>0.14019999999999999</v>
      </c>
      <c r="F81" s="365">
        <v>0.12459000000000001</v>
      </c>
      <c r="G81" s="365">
        <v>3.3099999999999997E-2</v>
      </c>
      <c r="H81" s="365">
        <v>9.1490000000000002E-2</v>
      </c>
      <c r="K81" s="366">
        <v>42261</v>
      </c>
      <c r="L81" s="367">
        <v>1.3259999999999999E-2</v>
      </c>
      <c r="M81" s="367">
        <v>0.13882</v>
      </c>
      <c r="N81" s="367">
        <v>0.17397000000000001</v>
      </c>
      <c r="O81" s="367">
        <v>0.12093</v>
      </c>
      <c r="P81" s="367">
        <v>2.2700000000000001E-2</v>
      </c>
      <c r="Q81" s="367">
        <v>9.8229999999999998E-2</v>
      </c>
    </row>
    <row r="82" spans="2:17" x14ac:dyDescent="0.3">
      <c r="B82" s="365" t="s">
        <v>261</v>
      </c>
      <c r="C82" s="365">
        <v>1.089E-2</v>
      </c>
      <c r="D82" s="365">
        <v>0.13178000000000001</v>
      </c>
      <c r="E82" s="365">
        <v>0.13974</v>
      </c>
      <c r="F82" s="365">
        <v>0.12325999999999999</v>
      </c>
      <c r="G82" s="365">
        <v>3.3210000000000003E-2</v>
      </c>
      <c r="H82" s="365">
        <v>9.0050000000000005E-2</v>
      </c>
      <c r="K82" s="366">
        <v>42258</v>
      </c>
      <c r="L82" s="367">
        <v>1.323E-2</v>
      </c>
      <c r="M82" s="367">
        <v>0.13639000000000001</v>
      </c>
      <c r="N82" s="367">
        <v>0.17532</v>
      </c>
      <c r="O82" s="367">
        <v>0.11976000000000001</v>
      </c>
      <c r="P82" s="367">
        <v>2.2329999999999999E-2</v>
      </c>
      <c r="Q82" s="367">
        <v>9.7430000000000003E-2</v>
      </c>
    </row>
    <row r="83" spans="2:17" x14ac:dyDescent="0.3">
      <c r="B83" s="365" t="s">
        <v>262</v>
      </c>
      <c r="C83" s="365">
        <v>1.0869999999999999E-2</v>
      </c>
      <c r="D83" s="365">
        <v>0.13159999999999999</v>
      </c>
      <c r="E83" s="365">
        <v>0.13972000000000001</v>
      </c>
      <c r="F83" s="365">
        <v>0.12335</v>
      </c>
      <c r="G83" s="365">
        <v>3.3550000000000003E-2</v>
      </c>
      <c r="H83" s="365">
        <v>8.9800000000000005E-2</v>
      </c>
      <c r="K83" s="366">
        <v>42257</v>
      </c>
      <c r="L83" s="367">
        <v>1.306E-2</v>
      </c>
      <c r="M83" s="367">
        <v>0.13420000000000001</v>
      </c>
      <c r="N83" s="367">
        <v>0.17516000000000001</v>
      </c>
      <c r="O83" s="367">
        <v>0.11866</v>
      </c>
      <c r="P83" s="367">
        <v>2.223E-2</v>
      </c>
      <c r="Q83" s="367">
        <v>9.6430000000000002E-2</v>
      </c>
    </row>
    <row r="84" spans="2:17" x14ac:dyDescent="0.3">
      <c r="B84" s="365" t="s">
        <v>263</v>
      </c>
      <c r="C84" s="365">
        <v>1.0880000000000001E-2</v>
      </c>
      <c r="D84" s="365">
        <v>0.13253000000000001</v>
      </c>
      <c r="E84" s="365">
        <v>0.13944999999999999</v>
      </c>
      <c r="F84" s="365">
        <v>0.12368</v>
      </c>
      <c r="G84" s="365">
        <v>3.3399999999999999E-2</v>
      </c>
      <c r="H84" s="365">
        <v>9.0279999999999999E-2</v>
      </c>
      <c r="K84" s="366">
        <v>42256</v>
      </c>
      <c r="L84" s="367">
        <v>1.324E-2</v>
      </c>
      <c r="M84" s="367">
        <v>0.13494999999999999</v>
      </c>
      <c r="N84" s="367">
        <v>0.17512</v>
      </c>
      <c r="O84" s="367">
        <v>0.11999</v>
      </c>
      <c r="P84" s="367">
        <v>2.2509999999999999E-2</v>
      </c>
      <c r="Q84" s="367">
        <v>9.7479999999999997E-2</v>
      </c>
    </row>
    <row r="85" spans="2:17" x14ac:dyDescent="0.3">
      <c r="B85" s="365" t="s">
        <v>264</v>
      </c>
      <c r="C85" s="365">
        <v>1.0999999999999999E-2</v>
      </c>
      <c r="D85" s="365">
        <v>0.12952</v>
      </c>
      <c r="E85" s="365">
        <v>0.13929</v>
      </c>
      <c r="F85" s="365">
        <v>0.12318</v>
      </c>
      <c r="G85" s="365">
        <v>3.3799999999999997E-2</v>
      </c>
      <c r="H85" s="365">
        <v>8.9380000000000001E-2</v>
      </c>
      <c r="K85" s="366">
        <v>42255</v>
      </c>
      <c r="L85" s="367">
        <v>1.3639999999999999E-2</v>
      </c>
      <c r="M85" s="367">
        <v>0.13425000000000001</v>
      </c>
      <c r="N85" s="367">
        <v>0.17574999999999999</v>
      </c>
      <c r="O85" s="367">
        <v>0.12162000000000001</v>
      </c>
      <c r="P85" s="367">
        <v>2.2290000000000001E-2</v>
      </c>
      <c r="Q85" s="367">
        <v>9.9330000000000002E-2</v>
      </c>
    </row>
    <row r="86" spans="2:17" x14ac:dyDescent="0.3">
      <c r="B86" s="365" t="s">
        <v>265</v>
      </c>
      <c r="C86" s="365">
        <v>1.0959999999999999E-2</v>
      </c>
      <c r="D86" s="365">
        <v>0.13353000000000001</v>
      </c>
      <c r="E86" s="365">
        <v>0.13861999999999999</v>
      </c>
      <c r="F86" s="365">
        <v>0.12454999999999999</v>
      </c>
      <c r="G86" s="365">
        <v>3.3799999999999997E-2</v>
      </c>
      <c r="H86" s="365">
        <v>9.0749999999999997E-2</v>
      </c>
      <c r="K86" s="366">
        <v>42254</v>
      </c>
      <c r="L86" s="367">
        <v>1.363E-2</v>
      </c>
      <c r="M86" s="367">
        <v>0.13596</v>
      </c>
      <c r="N86" s="367">
        <v>0.17685999999999999</v>
      </c>
      <c r="O86" s="367">
        <v>0.12223000000000001</v>
      </c>
      <c r="P86" s="367">
        <v>2.222E-2</v>
      </c>
      <c r="Q86" s="367">
        <v>0.10001</v>
      </c>
    </row>
    <row r="87" spans="2:17" x14ac:dyDescent="0.3">
      <c r="B87" s="365" t="s">
        <v>266</v>
      </c>
      <c r="C87" s="365">
        <v>1.09E-2</v>
      </c>
      <c r="D87" s="365">
        <v>0.12867000000000001</v>
      </c>
      <c r="E87" s="365">
        <v>0.13854</v>
      </c>
      <c r="F87" s="365">
        <v>0.12204</v>
      </c>
      <c r="G87" s="365">
        <v>3.3750000000000002E-2</v>
      </c>
      <c r="H87" s="365">
        <v>8.8289999999999993E-2</v>
      </c>
      <c r="K87" s="366">
        <v>42251</v>
      </c>
      <c r="L87" s="367">
        <v>1.3599999999999999E-2</v>
      </c>
      <c r="M87" s="367">
        <v>0.13577</v>
      </c>
      <c r="N87" s="367">
        <v>0.17709</v>
      </c>
      <c r="O87" s="367">
        <v>0.12234</v>
      </c>
      <c r="P87" s="367">
        <v>2.2380000000000001E-2</v>
      </c>
      <c r="Q87" s="367">
        <v>9.9959999999999993E-2</v>
      </c>
    </row>
    <row r="88" spans="2:17" x14ac:dyDescent="0.3">
      <c r="B88" s="365" t="s">
        <v>267</v>
      </c>
      <c r="C88" s="365">
        <v>1.094E-2</v>
      </c>
      <c r="D88" s="365">
        <v>0.12640999999999999</v>
      </c>
      <c r="E88" s="365">
        <v>0.13852999999999999</v>
      </c>
      <c r="F88" s="365">
        <v>0.12157</v>
      </c>
      <c r="G88" s="365">
        <v>3.3599999999999998E-2</v>
      </c>
      <c r="H88" s="365">
        <v>8.7970000000000007E-2</v>
      </c>
      <c r="K88" s="366">
        <v>42250</v>
      </c>
      <c r="L88" s="367">
        <v>1.3429999999999999E-2</v>
      </c>
      <c r="M88" s="367">
        <v>0.1366</v>
      </c>
      <c r="N88" s="367">
        <v>0.17698</v>
      </c>
      <c r="O88" s="367">
        <v>0.1217</v>
      </c>
      <c r="P88" s="367">
        <v>2.2800000000000001E-2</v>
      </c>
      <c r="Q88" s="367">
        <v>9.8900000000000002E-2</v>
      </c>
    </row>
    <row r="89" spans="2:17" x14ac:dyDescent="0.3">
      <c r="B89" s="365" t="s">
        <v>268</v>
      </c>
      <c r="C89" s="365">
        <v>1.0999999999999999E-2</v>
      </c>
      <c r="D89" s="365">
        <v>0.12617</v>
      </c>
      <c r="E89" s="365">
        <v>0.13824</v>
      </c>
      <c r="F89" s="365">
        <v>0.12224</v>
      </c>
      <c r="G89" s="365">
        <v>3.3399999999999999E-2</v>
      </c>
      <c r="H89" s="365">
        <v>8.8840000000000002E-2</v>
      </c>
      <c r="K89" s="366">
        <v>42249</v>
      </c>
      <c r="L89" s="367">
        <v>1.3429999999999999E-2</v>
      </c>
      <c r="M89" s="367">
        <v>0.13747999999999999</v>
      </c>
      <c r="N89" s="367">
        <v>0.17712</v>
      </c>
      <c r="O89" s="367">
        <v>0.122</v>
      </c>
      <c r="P89" s="367">
        <v>2.264E-2</v>
      </c>
      <c r="Q89" s="367">
        <v>9.9360000000000004E-2</v>
      </c>
    </row>
    <row r="90" spans="2:17" x14ac:dyDescent="0.3">
      <c r="B90" s="365" t="s">
        <v>269</v>
      </c>
      <c r="C90" s="365">
        <v>1.091E-2</v>
      </c>
      <c r="D90" s="365">
        <v>0.12795000000000001</v>
      </c>
      <c r="E90" s="365">
        <v>0.13814000000000001</v>
      </c>
      <c r="F90" s="365">
        <v>0.12207</v>
      </c>
      <c r="G90" s="365">
        <v>3.32E-2</v>
      </c>
      <c r="H90" s="365">
        <v>8.8870000000000005E-2</v>
      </c>
      <c r="K90" s="366">
        <v>42248</v>
      </c>
      <c r="L90" s="367">
        <v>1.345E-2</v>
      </c>
      <c r="M90" s="367">
        <v>0.13802</v>
      </c>
      <c r="N90" s="367">
        <v>0.17693999999999999</v>
      </c>
      <c r="O90" s="367">
        <v>0.12207999999999999</v>
      </c>
      <c r="P90" s="367">
        <v>2.3029999999999998E-2</v>
      </c>
      <c r="Q90" s="367">
        <v>9.9049999999999999E-2</v>
      </c>
    </row>
    <row r="91" spans="2:17" x14ac:dyDescent="0.3">
      <c r="B91" s="365" t="s">
        <v>270</v>
      </c>
      <c r="C91" s="365">
        <v>1.0880000000000001E-2</v>
      </c>
      <c r="D91" s="365">
        <v>0.12651000000000001</v>
      </c>
      <c r="E91" s="365">
        <v>0.13811000000000001</v>
      </c>
      <c r="F91" s="365">
        <v>0.12149</v>
      </c>
      <c r="G91" s="365">
        <v>3.347E-2</v>
      </c>
      <c r="H91" s="365">
        <v>8.8020000000000001E-2</v>
      </c>
      <c r="K91" s="366">
        <v>42247</v>
      </c>
      <c r="L91" s="367">
        <v>1.3259999999999999E-2</v>
      </c>
      <c r="M91" s="367">
        <v>0.13852999999999999</v>
      </c>
      <c r="N91" s="367">
        <v>0.17691000000000001</v>
      </c>
      <c r="O91" s="367">
        <v>0.12096</v>
      </c>
      <c r="P91" s="367">
        <v>2.2950000000000002E-2</v>
      </c>
      <c r="Q91" s="367">
        <v>9.801E-2</v>
      </c>
    </row>
    <row r="92" spans="2:17" x14ac:dyDescent="0.3">
      <c r="B92" s="365" t="s">
        <v>271</v>
      </c>
      <c r="C92" s="365">
        <v>1.099E-2</v>
      </c>
      <c r="D92" s="365">
        <v>0.12964999999999999</v>
      </c>
      <c r="E92" s="365">
        <v>0.13805999999999999</v>
      </c>
      <c r="F92" s="365">
        <v>0.12286</v>
      </c>
      <c r="G92" s="365">
        <v>3.3669999999999999E-2</v>
      </c>
      <c r="H92" s="365">
        <v>8.9190000000000005E-2</v>
      </c>
      <c r="K92" s="366">
        <v>42244</v>
      </c>
      <c r="L92" s="367">
        <v>1.328E-2</v>
      </c>
      <c r="M92" s="367">
        <v>0.13058</v>
      </c>
      <c r="N92" s="367">
        <v>0.17699000000000001</v>
      </c>
      <c r="O92" s="367">
        <v>0.11709</v>
      </c>
      <c r="P92" s="367">
        <v>2.2870000000000001E-2</v>
      </c>
      <c r="Q92" s="367">
        <v>9.4219999999999998E-2</v>
      </c>
    </row>
    <row r="93" spans="2:17" x14ac:dyDescent="0.3">
      <c r="B93" s="365" t="s">
        <v>272</v>
      </c>
      <c r="C93" s="365">
        <v>1.0959999999999999E-2</v>
      </c>
      <c r="D93" s="365">
        <v>0.12948999999999999</v>
      </c>
      <c r="E93" s="365">
        <v>0.13797999999999999</v>
      </c>
      <c r="F93" s="365">
        <v>0.12249</v>
      </c>
      <c r="G93" s="365">
        <v>3.3709999999999997E-2</v>
      </c>
      <c r="H93" s="365">
        <v>8.8779999999999998E-2</v>
      </c>
      <c r="K93" s="366">
        <v>42243</v>
      </c>
      <c r="L93" s="367">
        <v>1.349E-2</v>
      </c>
      <c r="M93" s="367">
        <v>0.13041</v>
      </c>
      <c r="N93" s="367">
        <v>0.1769</v>
      </c>
      <c r="O93" s="367">
        <v>0.11772000000000001</v>
      </c>
      <c r="P93" s="367">
        <v>2.2530000000000001E-2</v>
      </c>
      <c r="Q93" s="367">
        <v>9.5189999999999997E-2</v>
      </c>
    </row>
    <row r="94" spans="2:17" x14ac:dyDescent="0.3">
      <c r="B94" s="365" t="s">
        <v>273</v>
      </c>
      <c r="C94" s="365">
        <v>1.0869999999999999E-2</v>
      </c>
      <c r="D94" s="365">
        <v>0.12784000000000001</v>
      </c>
      <c r="E94" s="365">
        <v>0.13625999999999999</v>
      </c>
      <c r="F94" s="365">
        <v>0.12157</v>
      </c>
      <c r="G94" s="365">
        <v>3.381E-2</v>
      </c>
      <c r="H94" s="365">
        <v>8.7760000000000005E-2</v>
      </c>
      <c r="K94" s="366">
        <v>42242</v>
      </c>
      <c r="L94" s="367">
        <v>1.3679999999999999E-2</v>
      </c>
      <c r="M94" s="367">
        <v>0.13002</v>
      </c>
      <c r="N94" s="367">
        <v>0.17680000000000001</v>
      </c>
      <c r="O94" s="367">
        <v>0.11834</v>
      </c>
      <c r="P94" s="367">
        <v>2.247E-2</v>
      </c>
      <c r="Q94" s="367">
        <v>9.5869999999999997E-2</v>
      </c>
    </row>
    <row r="95" spans="2:17" x14ac:dyDescent="0.3">
      <c r="B95" s="365" t="s">
        <v>274</v>
      </c>
      <c r="C95" s="365">
        <v>1.0869999999999999E-2</v>
      </c>
      <c r="D95" s="365">
        <v>0.12694</v>
      </c>
      <c r="E95" s="365">
        <v>0.1363</v>
      </c>
      <c r="F95" s="365">
        <v>0.12124</v>
      </c>
      <c r="G95" s="365">
        <v>3.4070000000000003E-2</v>
      </c>
      <c r="H95" s="365">
        <v>8.7169999999999997E-2</v>
      </c>
      <c r="K95" s="366">
        <v>42241</v>
      </c>
      <c r="L95" s="367">
        <v>1.401E-2</v>
      </c>
      <c r="M95" s="367">
        <v>0.12920000000000001</v>
      </c>
      <c r="N95" s="367">
        <v>0.17649999999999999</v>
      </c>
      <c r="O95" s="367">
        <v>0.11953999999999999</v>
      </c>
      <c r="P95" s="367">
        <v>2.2200000000000001E-2</v>
      </c>
      <c r="Q95" s="367">
        <v>9.7339999999999996E-2</v>
      </c>
    </row>
    <row r="96" spans="2:17" x14ac:dyDescent="0.3">
      <c r="B96" s="365" t="s">
        <v>275</v>
      </c>
      <c r="C96" s="365">
        <v>1.0869999999999999E-2</v>
      </c>
      <c r="D96" s="365">
        <v>0.12058000000000001</v>
      </c>
      <c r="E96" s="365">
        <v>0.13582</v>
      </c>
      <c r="F96" s="365">
        <v>0.12207</v>
      </c>
      <c r="G96" s="365">
        <v>3.3799999999999997E-2</v>
      </c>
      <c r="H96" s="365">
        <v>8.8270000000000001E-2</v>
      </c>
      <c r="K96" s="366">
        <v>42240</v>
      </c>
      <c r="L96" s="367">
        <v>1.4120000000000001E-2</v>
      </c>
      <c r="M96" s="367">
        <v>0.12917999999999999</v>
      </c>
      <c r="N96" s="367">
        <v>0.17649000000000001</v>
      </c>
      <c r="O96" s="367">
        <v>0.11969</v>
      </c>
      <c r="P96" s="367">
        <v>2.188E-2</v>
      </c>
      <c r="Q96" s="367">
        <v>9.7809999999999994E-2</v>
      </c>
    </row>
    <row r="97" spans="2:17" x14ac:dyDescent="0.3">
      <c r="B97" s="365" t="s">
        <v>276</v>
      </c>
      <c r="C97" s="365">
        <v>1.085E-2</v>
      </c>
      <c r="D97" s="365">
        <v>0.12002</v>
      </c>
      <c r="E97" s="365">
        <v>0.13582</v>
      </c>
      <c r="F97" s="365">
        <v>0.12157999999999999</v>
      </c>
      <c r="G97" s="365">
        <v>3.3820000000000003E-2</v>
      </c>
      <c r="H97" s="365">
        <v>8.7760000000000005E-2</v>
      </c>
      <c r="K97" s="366">
        <v>42237</v>
      </c>
      <c r="L97" s="367">
        <v>1.376E-2</v>
      </c>
      <c r="M97" s="367">
        <v>0.12891</v>
      </c>
      <c r="N97" s="367">
        <v>0.17627000000000001</v>
      </c>
      <c r="O97" s="367">
        <v>0.11904000000000001</v>
      </c>
      <c r="P97" s="367">
        <v>2.2519999999999998E-2</v>
      </c>
      <c r="Q97" s="367">
        <v>9.6519999999999995E-2</v>
      </c>
    </row>
    <row r="98" spans="2:17" x14ac:dyDescent="0.3">
      <c r="B98" s="365" t="s">
        <v>277</v>
      </c>
      <c r="C98" s="365">
        <v>1.0829999999999999E-2</v>
      </c>
      <c r="D98" s="365">
        <v>0.11795</v>
      </c>
      <c r="E98" s="365">
        <v>0.13492000000000001</v>
      </c>
      <c r="F98" s="365">
        <v>0.1212</v>
      </c>
      <c r="G98" s="365">
        <v>3.3730000000000003E-2</v>
      </c>
      <c r="H98" s="365">
        <v>8.7470000000000006E-2</v>
      </c>
      <c r="K98" s="366">
        <v>42236</v>
      </c>
      <c r="L98" s="367">
        <v>1.349E-2</v>
      </c>
      <c r="M98" s="367">
        <v>0.13120999999999999</v>
      </c>
      <c r="N98" s="367">
        <v>0.17688000000000001</v>
      </c>
      <c r="O98" s="367">
        <v>0.11859</v>
      </c>
      <c r="P98" s="367">
        <v>2.2749999999999999E-2</v>
      </c>
      <c r="Q98" s="367">
        <v>9.5839999999999995E-2</v>
      </c>
    </row>
    <row r="99" spans="2:17" x14ac:dyDescent="0.3">
      <c r="B99" s="365" t="s">
        <v>278</v>
      </c>
      <c r="C99" s="365">
        <v>1.089E-2</v>
      </c>
      <c r="D99" s="365">
        <v>0.11916</v>
      </c>
      <c r="E99" s="365">
        <v>0.13388</v>
      </c>
      <c r="F99" s="365">
        <v>0.12185</v>
      </c>
      <c r="G99" s="365">
        <v>3.3869999999999997E-2</v>
      </c>
      <c r="H99" s="365">
        <v>8.7980000000000003E-2</v>
      </c>
      <c r="K99" s="366">
        <v>42235</v>
      </c>
      <c r="L99" s="367">
        <v>1.332E-2</v>
      </c>
      <c r="M99" s="367">
        <v>0.13139000000000001</v>
      </c>
      <c r="N99" s="367">
        <v>0.17693999999999999</v>
      </c>
      <c r="O99" s="367">
        <v>0.11799999999999999</v>
      </c>
      <c r="P99" s="367">
        <v>2.307E-2</v>
      </c>
      <c r="Q99" s="367">
        <v>9.493E-2</v>
      </c>
    </row>
    <row r="100" spans="2:17" x14ac:dyDescent="0.3">
      <c r="B100" s="365" t="s">
        <v>279</v>
      </c>
      <c r="C100" s="365">
        <v>1.091E-2</v>
      </c>
      <c r="D100" s="365">
        <v>0.12216</v>
      </c>
      <c r="E100" s="365">
        <v>0.1338</v>
      </c>
      <c r="F100" s="365">
        <v>0.12225999999999999</v>
      </c>
      <c r="G100" s="365">
        <v>3.3799999999999997E-2</v>
      </c>
      <c r="H100" s="365">
        <v>8.8459999999999997E-2</v>
      </c>
      <c r="K100" s="366">
        <v>42234</v>
      </c>
      <c r="L100" s="367">
        <v>1.324E-2</v>
      </c>
      <c r="M100" s="367">
        <v>0.13261000000000001</v>
      </c>
      <c r="N100" s="367">
        <v>0.17707000000000001</v>
      </c>
      <c r="O100" s="367">
        <v>0.1178</v>
      </c>
      <c r="P100" s="367">
        <v>2.2720000000000001E-2</v>
      </c>
      <c r="Q100" s="367">
        <v>9.5079999999999998E-2</v>
      </c>
    </row>
    <row r="101" spans="2:17" x14ac:dyDescent="0.3">
      <c r="B101" s="365" t="s">
        <v>280</v>
      </c>
      <c r="C101" s="365">
        <v>1.093E-2</v>
      </c>
      <c r="D101" s="365">
        <v>0.12257</v>
      </c>
      <c r="E101" s="365">
        <v>0.13353000000000001</v>
      </c>
      <c r="F101" s="365">
        <v>0.12236</v>
      </c>
      <c r="G101" s="365">
        <v>3.4419999999999999E-2</v>
      </c>
      <c r="H101" s="365">
        <v>8.7940000000000004E-2</v>
      </c>
      <c r="K101" s="366">
        <v>42233</v>
      </c>
      <c r="L101" s="367">
        <v>1.3180000000000001E-2</v>
      </c>
      <c r="M101" s="367">
        <v>0.13399</v>
      </c>
      <c r="N101" s="367">
        <v>0.17651</v>
      </c>
      <c r="O101" s="367">
        <v>0.11735</v>
      </c>
      <c r="P101" s="367">
        <v>2.2800000000000001E-2</v>
      </c>
      <c r="Q101" s="367">
        <v>9.4549999999999995E-2</v>
      </c>
    </row>
    <row r="102" spans="2:17" x14ac:dyDescent="0.3">
      <c r="B102" s="365" t="s">
        <v>281</v>
      </c>
      <c r="C102" s="365">
        <v>1.1089999999999999E-2</v>
      </c>
      <c r="D102" s="365">
        <v>0.12157999999999999</v>
      </c>
      <c r="E102" s="365">
        <v>0.13317000000000001</v>
      </c>
      <c r="F102" s="365">
        <v>0.1231</v>
      </c>
      <c r="G102" s="365">
        <v>3.4520000000000002E-2</v>
      </c>
      <c r="H102" s="365">
        <v>8.8580000000000006E-2</v>
      </c>
      <c r="K102" s="366">
        <v>42229</v>
      </c>
      <c r="L102" s="367">
        <v>1.306E-2</v>
      </c>
      <c r="M102" s="367">
        <v>0.12981999999999999</v>
      </c>
      <c r="N102" s="367">
        <v>0.17649999999999999</v>
      </c>
      <c r="O102" s="367">
        <v>0.11593000000000001</v>
      </c>
      <c r="P102" s="367">
        <v>2.291E-2</v>
      </c>
      <c r="Q102" s="367">
        <v>9.3020000000000005E-2</v>
      </c>
    </row>
    <row r="103" spans="2:17" x14ac:dyDescent="0.3">
      <c r="B103" s="365" t="s">
        <v>282</v>
      </c>
      <c r="C103" s="365">
        <v>1.119E-2</v>
      </c>
      <c r="D103" s="365">
        <v>0.12184</v>
      </c>
      <c r="E103" s="365">
        <v>0.13092000000000001</v>
      </c>
      <c r="F103" s="365">
        <v>0.12434000000000001</v>
      </c>
      <c r="G103" s="365">
        <v>3.44E-2</v>
      </c>
      <c r="H103" s="365">
        <v>8.9940000000000006E-2</v>
      </c>
      <c r="K103" s="366">
        <v>42228</v>
      </c>
      <c r="L103" s="367">
        <v>1.308E-2</v>
      </c>
      <c r="M103" s="367">
        <v>0.12808</v>
      </c>
      <c r="N103" s="367">
        <v>0.17651</v>
      </c>
      <c r="O103" s="367">
        <v>0.11550000000000001</v>
      </c>
      <c r="P103" s="367">
        <v>2.2550000000000001E-2</v>
      </c>
      <c r="Q103" s="367">
        <v>9.2950000000000005E-2</v>
      </c>
    </row>
    <row r="104" spans="2:17" x14ac:dyDescent="0.3">
      <c r="B104" s="365" t="s">
        <v>283</v>
      </c>
      <c r="C104" s="365">
        <v>1.1089999999999999E-2</v>
      </c>
      <c r="D104" s="365">
        <v>0.12124</v>
      </c>
      <c r="E104" s="365">
        <v>0.13475000000000001</v>
      </c>
      <c r="F104" s="365">
        <v>0.12367</v>
      </c>
      <c r="G104" s="365">
        <v>3.422E-2</v>
      </c>
      <c r="H104" s="365">
        <v>8.9450000000000002E-2</v>
      </c>
      <c r="K104" s="366">
        <v>42227</v>
      </c>
      <c r="L104" s="367">
        <v>1.303E-2</v>
      </c>
      <c r="M104" s="367">
        <v>0.12881000000000001</v>
      </c>
      <c r="N104" s="367">
        <v>0.17649999999999999</v>
      </c>
      <c r="O104" s="367">
        <v>0.11511</v>
      </c>
      <c r="P104" s="367">
        <v>2.3220000000000001E-2</v>
      </c>
      <c r="Q104" s="367">
        <v>9.1889999999999999E-2</v>
      </c>
    </row>
    <row r="105" spans="2:17" x14ac:dyDescent="0.3">
      <c r="B105" s="365" t="s">
        <v>284</v>
      </c>
      <c r="C105" s="365">
        <v>1.112E-2</v>
      </c>
      <c r="D105" s="365">
        <v>0.12173</v>
      </c>
      <c r="E105" s="365">
        <v>0.13478000000000001</v>
      </c>
      <c r="F105" s="365">
        <v>0.12421</v>
      </c>
      <c r="G105" s="365">
        <v>3.4599999999999999E-2</v>
      </c>
      <c r="H105" s="365">
        <v>8.9609999999999995E-2</v>
      </c>
      <c r="K105" s="366">
        <v>42226</v>
      </c>
      <c r="L105" s="367">
        <v>1.29E-2</v>
      </c>
      <c r="M105" s="367">
        <v>0.1288</v>
      </c>
      <c r="N105" s="367">
        <v>0.17635999999999999</v>
      </c>
      <c r="O105" s="367">
        <v>0.11415</v>
      </c>
      <c r="P105" s="367">
        <v>2.3570000000000001E-2</v>
      </c>
      <c r="Q105" s="367">
        <v>9.0579999999999994E-2</v>
      </c>
    </row>
    <row r="106" spans="2:17" x14ac:dyDescent="0.3">
      <c r="B106" s="365" t="s">
        <v>285</v>
      </c>
      <c r="C106" s="365">
        <v>1.115E-2</v>
      </c>
      <c r="D106" s="365">
        <v>0.12216</v>
      </c>
      <c r="E106" s="365">
        <v>0.13331000000000001</v>
      </c>
      <c r="F106" s="365">
        <v>0.12427000000000001</v>
      </c>
      <c r="G106" s="365">
        <v>3.4660000000000003E-2</v>
      </c>
      <c r="H106" s="365">
        <v>8.9609999999999995E-2</v>
      </c>
      <c r="K106" s="366">
        <v>42223</v>
      </c>
      <c r="L106" s="367">
        <v>1.285E-2</v>
      </c>
      <c r="M106" s="367">
        <v>0.12731999999999999</v>
      </c>
      <c r="N106" s="367">
        <v>0.17609</v>
      </c>
      <c r="O106" s="367">
        <v>0.11366999999999999</v>
      </c>
      <c r="P106" s="367">
        <v>2.4119999999999999E-2</v>
      </c>
      <c r="Q106" s="367">
        <v>8.9550000000000005E-2</v>
      </c>
    </row>
    <row r="107" spans="2:17" x14ac:dyDescent="0.3">
      <c r="B107" s="365" t="s">
        <v>286</v>
      </c>
      <c r="C107" s="365">
        <v>1.106E-2</v>
      </c>
      <c r="D107" s="365">
        <v>0.13128999999999999</v>
      </c>
      <c r="E107" s="365">
        <v>0.13346</v>
      </c>
      <c r="F107" s="365">
        <v>0.12026000000000001</v>
      </c>
      <c r="G107" s="365">
        <v>3.5060000000000001E-2</v>
      </c>
      <c r="H107" s="365">
        <v>8.5199999999999998E-2</v>
      </c>
      <c r="K107" s="366">
        <v>42222</v>
      </c>
      <c r="L107" s="367">
        <v>1.2829999999999999E-2</v>
      </c>
      <c r="M107" s="367">
        <v>0.12786</v>
      </c>
      <c r="N107" s="367">
        <v>0.17630000000000001</v>
      </c>
      <c r="O107" s="367">
        <v>0.11355</v>
      </c>
      <c r="P107" s="367">
        <v>2.4070000000000001E-2</v>
      </c>
      <c r="Q107" s="367">
        <v>8.9480000000000004E-2</v>
      </c>
    </row>
    <row r="108" spans="2:17" x14ac:dyDescent="0.3">
      <c r="B108" s="365" t="s">
        <v>287</v>
      </c>
      <c r="C108" s="365">
        <v>1.1039999999999999E-2</v>
      </c>
      <c r="D108" s="365">
        <v>0.13170000000000001</v>
      </c>
      <c r="E108" s="365">
        <v>0.13125999999999999</v>
      </c>
      <c r="F108" s="365">
        <v>0.12048</v>
      </c>
      <c r="G108" s="365">
        <v>3.5249999999999997E-2</v>
      </c>
      <c r="H108" s="365">
        <v>8.523E-2</v>
      </c>
      <c r="K108" s="366">
        <v>42221</v>
      </c>
      <c r="L108" s="367">
        <v>1.2699999999999999E-2</v>
      </c>
      <c r="M108" s="367">
        <v>0.12728</v>
      </c>
      <c r="N108" s="367">
        <v>0.17533000000000001</v>
      </c>
      <c r="O108" s="367">
        <v>0.11294999999999999</v>
      </c>
      <c r="P108" s="367">
        <v>2.4209999999999999E-2</v>
      </c>
      <c r="Q108" s="367">
        <v>8.8739999999999999E-2</v>
      </c>
    </row>
    <row r="109" spans="2:17" x14ac:dyDescent="0.3">
      <c r="B109" s="365" t="s">
        <v>288</v>
      </c>
      <c r="C109" s="365">
        <v>1.112E-2</v>
      </c>
      <c r="D109" s="365">
        <v>0.13633000000000001</v>
      </c>
      <c r="E109" s="365">
        <v>0.13217000000000001</v>
      </c>
      <c r="F109" s="365">
        <v>0.12798999999999999</v>
      </c>
      <c r="G109" s="365">
        <v>3.5249999999999997E-2</v>
      </c>
      <c r="H109" s="365">
        <v>9.2740000000000003E-2</v>
      </c>
      <c r="K109" s="366">
        <v>42220</v>
      </c>
      <c r="L109" s="367">
        <v>1.2710000000000001E-2</v>
      </c>
      <c r="M109" s="367">
        <v>0.12606999999999999</v>
      </c>
      <c r="N109" s="367">
        <v>0.17596999999999999</v>
      </c>
      <c r="O109" s="367">
        <v>0.11269</v>
      </c>
      <c r="P109" s="367">
        <v>2.41E-2</v>
      </c>
      <c r="Q109" s="367">
        <v>8.8590000000000002E-2</v>
      </c>
    </row>
    <row r="110" spans="2:17" x14ac:dyDescent="0.3">
      <c r="B110" s="365" t="s">
        <v>289</v>
      </c>
      <c r="C110" s="365">
        <v>1.1129999999999999E-2</v>
      </c>
      <c r="D110" s="365">
        <v>0.13669000000000001</v>
      </c>
      <c r="E110" s="365">
        <v>0.13339999999999999</v>
      </c>
      <c r="F110" s="365">
        <v>0.12833</v>
      </c>
      <c r="G110" s="365">
        <v>3.5270000000000003E-2</v>
      </c>
      <c r="H110" s="365">
        <v>9.3060000000000004E-2</v>
      </c>
      <c r="K110" s="366">
        <v>42219</v>
      </c>
      <c r="L110" s="367">
        <v>1.269E-2</v>
      </c>
      <c r="M110" s="367">
        <v>0.12534000000000001</v>
      </c>
      <c r="N110" s="367">
        <v>0.17599000000000001</v>
      </c>
      <c r="O110" s="367">
        <v>0.11323</v>
      </c>
      <c r="P110" s="367">
        <v>2.402E-2</v>
      </c>
      <c r="Q110" s="367">
        <v>8.9209999999999998E-2</v>
      </c>
    </row>
    <row r="111" spans="2:17" x14ac:dyDescent="0.3">
      <c r="B111" s="365" t="s">
        <v>290</v>
      </c>
      <c r="C111" s="365">
        <v>1.111E-2</v>
      </c>
      <c r="D111" s="365">
        <v>0.12576000000000001</v>
      </c>
      <c r="E111" s="365">
        <v>0.13017999999999999</v>
      </c>
      <c r="F111" s="365">
        <v>0.12531</v>
      </c>
      <c r="G111" s="365">
        <v>3.5299999999999998E-2</v>
      </c>
      <c r="H111" s="365">
        <v>9.0010000000000007E-2</v>
      </c>
      <c r="K111" s="366">
        <v>42216</v>
      </c>
      <c r="L111" s="367">
        <v>1.277E-2</v>
      </c>
      <c r="M111" s="367">
        <v>0.12927</v>
      </c>
      <c r="N111" s="367">
        <v>0.17643</v>
      </c>
      <c r="O111" s="367">
        <v>0.11493</v>
      </c>
      <c r="P111" s="367">
        <v>2.4250000000000001E-2</v>
      </c>
      <c r="Q111" s="367">
        <v>9.0679999999999997E-2</v>
      </c>
    </row>
    <row r="112" spans="2:17" x14ac:dyDescent="0.3">
      <c r="B112" s="365" t="s">
        <v>291</v>
      </c>
      <c r="C112" s="365">
        <v>1.095E-2</v>
      </c>
      <c r="D112" s="365">
        <v>0.126</v>
      </c>
      <c r="E112" s="365">
        <v>0.13074</v>
      </c>
      <c r="F112" s="365">
        <v>0.12461999999999999</v>
      </c>
      <c r="G112" s="365">
        <v>3.5470000000000002E-2</v>
      </c>
      <c r="H112" s="365">
        <v>8.9149999999999993E-2</v>
      </c>
      <c r="K112" s="366">
        <v>42215</v>
      </c>
      <c r="L112" s="367">
        <v>1.2829999999999999E-2</v>
      </c>
      <c r="M112" s="367">
        <v>0.12923000000000001</v>
      </c>
      <c r="N112" s="367">
        <v>0.17591000000000001</v>
      </c>
      <c r="O112" s="367">
        <v>0.11531</v>
      </c>
      <c r="P112" s="367">
        <v>2.3900000000000001E-2</v>
      </c>
      <c r="Q112" s="367">
        <v>9.1410000000000005E-2</v>
      </c>
    </row>
    <row r="113" spans="2:17" x14ac:dyDescent="0.3">
      <c r="B113" s="365" t="s">
        <v>292</v>
      </c>
      <c r="C113" s="365">
        <v>1.089E-2</v>
      </c>
      <c r="D113" s="365">
        <v>0.12503</v>
      </c>
      <c r="E113" s="365">
        <v>0.12908</v>
      </c>
      <c r="F113" s="365">
        <v>0.12426</v>
      </c>
      <c r="G113" s="365">
        <v>3.5470000000000002E-2</v>
      </c>
      <c r="H113" s="365">
        <v>8.8789999999999994E-2</v>
      </c>
      <c r="K113" s="366">
        <v>42214</v>
      </c>
      <c r="L113" s="367">
        <v>1.2789999999999999E-2</v>
      </c>
      <c r="M113" s="367">
        <v>0.13077</v>
      </c>
      <c r="N113" s="367">
        <v>0.17646000000000001</v>
      </c>
      <c r="O113" s="367">
        <v>0.1154</v>
      </c>
      <c r="P113" s="367">
        <v>2.3599999999999999E-2</v>
      </c>
      <c r="Q113" s="367">
        <v>9.1800000000000007E-2</v>
      </c>
    </row>
    <row r="114" spans="2:17" x14ac:dyDescent="0.3">
      <c r="B114" s="365" t="s">
        <v>293</v>
      </c>
      <c r="C114" s="365">
        <v>1.0880000000000001E-2</v>
      </c>
      <c r="D114" s="365">
        <v>0.12495000000000001</v>
      </c>
      <c r="E114" s="365">
        <v>0.129</v>
      </c>
      <c r="F114" s="365">
        <v>0.12358</v>
      </c>
      <c r="G114" s="365">
        <v>3.5499999999999997E-2</v>
      </c>
      <c r="H114" s="365">
        <v>8.8080000000000006E-2</v>
      </c>
      <c r="K114" s="366">
        <v>42213</v>
      </c>
      <c r="L114" s="367">
        <v>1.299E-2</v>
      </c>
      <c r="M114" s="367">
        <v>0.13114000000000001</v>
      </c>
      <c r="N114" s="367">
        <v>0.17605999999999999</v>
      </c>
      <c r="O114" s="367">
        <v>0.11550000000000001</v>
      </c>
      <c r="P114" s="367">
        <v>2.3820000000000001E-2</v>
      </c>
      <c r="Q114" s="367">
        <v>9.1679999999999998E-2</v>
      </c>
    </row>
    <row r="115" spans="2:17" x14ac:dyDescent="0.3">
      <c r="B115" s="365" t="s">
        <v>294</v>
      </c>
      <c r="C115" s="365">
        <v>1.09E-2</v>
      </c>
      <c r="D115" s="365">
        <v>0.12275</v>
      </c>
      <c r="E115" s="365">
        <v>0.12889999999999999</v>
      </c>
      <c r="F115" s="365">
        <v>0.12345</v>
      </c>
      <c r="G115" s="365">
        <v>3.5619999999999999E-2</v>
      </c>
      <c r="H115" s="365">
        <v>8.7830000000000005E-2</v>
      </c>
      <c r="K115" s="366">
        <v>42212</v>
      </c>
      <c r="L115" s="367">
        <v>1.2970000000000001E-2</v>
      </c>
      <c r="M115" s="367">
        <v>0.13097</v>
      </c>
      <c r="N115" s="367">
        <v>0.17557</v>
      </c>
      <c r="O115" s="367">
        <v>0.11545999999999999</v>
      </c>
      <c r="P115" s="367">
        <v>2.35E-2</v>
      </c>
      <c r="Q115" s="367">
        <v>9.196E-2</v>
      </c>
    </row>
    <row r="116" spans="2:17" x14ac:dyDescent="0.3">
      <c r="B116" s="365" t="s">
        <v>295</v>
      </c>
      <c r="C116" s="365">
        <v>1.0869999999999999E-2</v>
      </c>
      <c r="D116" s="365">
        <v>0.11955</v>
      </c>
      <c r="E116" s="365">
        <v>0.13117999999999999</v>
      </c>
      <c r="F116" s="365">
        <v>0.12457</v>
      </c>
      <c r="G116" s="365">
        <v>3.517E-2</v>
      </c>
      <c r="H116" s="365">
        <v>8.9399999999999993E-2</v>
      </c>
      <c r="K116" s="366">
        <v>42209</v>
      </c>
      <c r="L116" s="367">
        <v>1.298E-2</v>
      </c>
      <c r="M116" s="367">
        <v>0.13020000000000001</v>
      </c>
      <c r="N116" s="367">
        <v>0.17748</v>
      </c>
      <c r="O116" s="367">
        <v>0.11501</v>
      </c>
      <c r="P116" s="367">
        <v>2.3349999999999999E-2</v>
      </c>
      <c r="Q116" s="367">
        <v>9.1660000000000005E-2</v>
      </c>
    </row>
    <row r="117" spans="2:17" x14ac:dyDescent="0.3">
      <c r="B117" s="365" t="s">
        <v>296</v>
      </c>
      <c r="C117" s="365">
        <v>1.0919999999999999E-2</v>
      </c>
      <c r="D117" s="365">
        <v>0.13062000000000001</v>
      </c>
      <c r="E117" s="365">
        <v>0.13074</v>
      </c>
      <c r="F117" s="365">
        <v>0.12567</v>
      </c>
      <c r="G117" s="365">
        <v>3.517E-2</v>
      </c>
      <c r="H117" s="365">
        <v>9.0499999999999997E-2</v>
      </c>
      <c r="K117" s="366">
        <v>42208</v>
      </c>
      <c r="L117" s="367">
        <v>1.285E-2</v>
      </c>
      <c r="M117" s="367">
        <v>0.13341</v>
      </c>
      <c r="N117" s="367">
        <v>0.1779</v>
      </c>
      <c r="O117" s="367">
        <v>0.11555</v>
      </c>
      <c r="P117" s="367">
        <v>2.368E-2</v>
      </c>
      <c r="Q117" s="367">
        <v>9.1869999999999993E-2</v>
      </c>
    </row>
    <row r="118" spans="2:17" x14ac:dyDescent="0.3">
      <c r="B118" s="365" t="s">
        <v>297</v>
      </c>
      <c r="C118" s="365">
        <v>1.091E-2</v>
      </c>
      <c r="D118" s="365">
        <v>0.13038</v>
      </c>
      <c r="E118" s="365">
        <v>0.13048999999999999</v>
      </c>
      <c r="F118" s="365">
        <v>0.12597</v>
      </c>
      <c r="G118" s="365">
        <v>3.5479999999999998E-2</v>
      </c>
      <c r="H118" s="365">
        <v>9.0490000000000001E-2</v>
      </c>
      <c r="K118" s="366">
        <v>42207</v>
      </c>
      <c r="L118" s="367">
        <v>1.323E-2</v>
      </c>
      <c r="M118" s="367">
        <v>0.13372999999999999</v>
      </c>
      <c r="N118" s="367">
        <v>0.17754</v>
      </c>
      <c r="O118" s="367">
        <v>0.11575000000000001</v>
      </c>
      <c r="P118" s="367">
        <v>2.4209999999999999E-2</v>
      </c>
      <c r="Q118" s="367">
        <v>9.1539999999999996E-2</v>
      </c>
    </row>
    <row r="119" spans="2:17" x14ac:dyDescent="0.3">
      <c r="B119" s="365" t="s">
        <v>298</v>
      </c>
      <c r="C119" s="365">
        <v>1.091E-2</v>
      </c>
      <c r="D119" s="365">
        <v>0.13955999999999999</v>
      </c>
      <c r="E119" s="365">
        <v>0.13027</v>
      </c>
      <c r="F119" s="365">
        <v>0.13002</v>
      </c>
      <c r="G119" s="365">
        <v>3.5380000000000002E-2</v>
      </c>
      <c r="H119" s="365">
        <v>9.4640000000000002E-2</v>
      </c>
      <c r="K119" s="366">
        <v>42206</v>
      </c>
      <c r="L119" s="367">
        <v>1.311E-2</v>
      </c>
      <c r="M119" s="367">
        <v>0.13317999999999999</v>
      </c>
      <c r="N119" s="367">
        <v>0.17749999999999999</v>
      </c>
      <c r="O119" s="367">
        <v>0.11532000000000001</v>
      </c>
      <c r="P119" s="367">
        <v>2.4549999999999999E-2</v>
      </c>
      <c r="Q119" s="367">
        <v>9.0770000000000003E-2</v>
      </c>
    </row>
    <row r="120" spans="2:17" x14ac:dyDescent="0.3">
      <c r="B120" s="365" t="s">
        <v>299</v>
      </c>
      <c r="C120" s="365">
        <v>1.0880000000000001E-2</v>
      </c>
      <c r="D120" s="365">
        <v>0.13857</v>
      </c>
      <c r="E120" s="365">
        <v>0.13008</v>
      </c>
      <c r="F120" s="365">
        <v>0.12989000000000001</v>
      </c>
      <c r="G120" s="365">
        <v>3.5380000000000002E-2</v>
      </c>
      <c r="H120" s="365">
        <v>9.4509999999999997E-2</v>
      </c>
      <c r="K120" s="366">
        <v>42205</v>
      </c>
      <c r="L120" s="367">
        <v>1.3180000000000001E-2</v>
      </c>
      <c r="M120" s="367">
        <v>0.13350000000000001</v>
      </c>
      <c r="N120" s="367">
        <v>0.17730000000000001</v>
      </c>
      <c r="O120" s="367">
        <v>0.11598</v>
      </c>
      <c r="P120" s="367">
        <v>2.4670000000000001E-2</v>
      </c>
      <c r="Q120" s="367">
        <v>9.1310000000000002E-2</v>
      </c>
    </row>
    <row r="121" spans="2:17" x14ac:dyDescent="0.3">
      <c r="B121" s="365" t="s">
        <v>300</v>
      </c>
      <c r="C121" s="365">
        <v>1.0880000000000001E-2</v>
      </c>
      <c r="D121" s="365">
        <v>0.14258000000000001</v>
      </c>
      <c r="E121" s="365">
        <v>0.13006000000000001</v>
      </c>
      <c r="F121" s="365">
        <v>0.13116</v>
      </c>
      <c r="G121" s="365">
        <v>3.5340000000000003E-2</v>
      </c>
      <c r="H121" s="365">
        <v>9.5820000000000002E-2</v>
      </c>
      <c r="K121" s="366">
        <v>42202</v>
      </c>
      <c r="L121" s="367">
        <v>1.311E-2</v>
      </c>
      <c r="M121" s="367">
        <v>0.13730999999999999</v>
      </c>
      <c r="N121" s="367">
        <v>0.17685000000000001</v>
      </c>
      <c r="O121" s="367">
        <v>0.11753</v>
      </c>
      <c r="P121" s="367">
        <v>2.4670000000000001E-2</v>
      </c>
      <c r="Q121" s="367">
        <v>9.2859999999999998E-2</v>
      </c>
    </row>
    <row r="122" spans="2:17" x14ac:dyDescent="0.3">
      <c r="B122" s="365" t="s">
        <v>301</v>
      </c>
      <c r="C122" s="365">
        <v>1.082E-2</v>
      </c>
      <c r="D122" s="365">
        <v>0.13955999999999999</v>
      </c>
      <c r="E122" s="365">
        <v>0.13017000000000001</v>
      </c>
      <c r="F122" s="365">
        <v>0.12989999999999999</v>
      </c>
      <c r="G122" s="365">
        <v>3.5349999999999999E-2</v>
      </c>
      <c r="H122" s="365">
        <v>9.4549999999999995E-2</v>
      </c>
      <c r="K122" s="366">
        <v>42201</v>
      </c>
      <c r="L122" s="367">
        <v>1.303E-2</v>
      </c>
      <c r="M122" s="367">
        <v>0.13527</v>
      </c>
      <c r="N122" s="367">
        <v>0.17749999999999999</v>
      </c>
      <c r="O122" s="367">
        <v>0.11665</v>
      </c>
      <c r="P122" s="367">
        <v>2.4819999999999998E-2</v>
      </c>
      <c r="Q122" s="367">
        <v>9.1829999999999995E-2</v>
      </c>
    </row>
    <row r="123" spans="2:17" x14ac:dyDescent="0.3">
      <c r="B123" s="365" t="s">
        <v>302</v>
      </c>
      <c r="C123" s="365">
        <v>1.0880000000000001E-2</v>
      </c>
      <c r="D123" s="365">
        <v>0.13746</v>
      </c>
      <c r="E123" s="365">
        <v>0.13017999999999999</v>
      </c>
      <c r="F123" s="365">
        <v>0.12955</v>
      </c>
      <c r="G123" s="365">
        <v>3.5229999999999997E-2</v>
      </c>
      <c r="H123" s="365">
        <v>9.4320000000000001E-2</v>
      </c>
      <c r="K123" s="366">
        <v>42200</v>
      </c>
      <c r="L123" s="367">
        <v>1.3129999999999999E-2</v>
      </c>
      <c r="M123" s="367">
        <v>0.1356</v>
      </c>
      <c r="N123" s="367">
        <v>0.17693999999999999</v>
      </c>
      <c r="O123" s="367">
        <v>0.11698</v>
      </c>
      <c r="P123" s="367">
        <v>2.4920000000000001E-2</v>
      </c>
      <c r="Q123" s="367">
        <v>9.2060000000000003E-2</v>
      </c>
    </row>
    <row r="124" spans="2:17" x14ac:dyDescent="0.3">
      <c r="B124" s="365" t="s">
        <v>303</v>
      </c>
      <c r="C124" s="365">
        <v>1.091E-2</v>
      </c>
      <c r="D124" s="365">
        <v>0.13863</v>
      </c>
      <c r="E124" s="365">
        <v>0.13037000000000001</v>
      </c>
      <c r="F124" s="365">
        <v>0.13048000000000001</v>
      </c>
      <c r="G124" s="365">
        <v>3.5450000000000002E-2</v>
      </c>
      <c r="H124" s="365">
        <v>9.5030000000000003E-2</v>
      </c>
      <c r="K124" s="366">
        <v>42199</v>
      </c>
      <c r="L124" s="367">
        <v>1.3169999999999999E-2</v>
      </c>
      <c r="M124" s="367">
        <v>0.13583999999999999</v>
      </c>
      <c r="N124" s="367">
        <v>0.17585999999999999</v>
      </c>
      <c r="O124" s="367">
        <v>0.11713999999999999</v>
      </c>
      <c r="P124" s="367">
        <v>2.5020000000000001E-2</v>
      </c>
      <c r="Q124" s="367">
        <v>9.2119999999999994E-2</v>
      </c>
    </row>
    <row r="125" spans="2:17" x14ac:dyDescent="0.3">
      <c r="B125" s="365" t="s">
        <v>304</v>
      </c>
      <c r="C125" s="365">
        <v>1.091E-2</v>
      </c>
      <c r="D125" s="365">
        <v>0.13532</v>
      </c>
      <c r="E125" s="365">
        <v>0.128</v>
      </c>
      <c r="F125" s="365">
        <v>0.12864</v>
      </c>
      <c r="G125" s="365">
        <v>3.5299999999999998E-2</v>
      </c>
      <c r="H125" s="365">
        <v>9.3340000000000006E-2</v>
      </c>
      <c r="K125" s="366">
        <v>42198</v>
      </c>
      <c r="L125" s="367">
        <v>1.3129999999999999E-2</v>
      </c>
      <c r="M125" s="367">
        <v>0.13485</v>
      </c>
      <c r="N125" s="367">
        <v>0.17538999999999999</v>
      </c>
      <c r="O125" s="367">
        <v>0.11669</v>
      </c>
      <c r="P125" s="367">
        <v>2.5069999999999999E-2</v>
      </c>
      <c r="Q125" s="367">
        <v>9.1619999999999993E-2</v>
      </c>
    </row>
    <row r="126" spans="2:17" x14ac:dyDescent="0.3">
      <c r="B126" s="365" t="s">
        <v>305</v>
      </c>
      <c r="C126" s="365">
        <v>1.0919999999999999E-2</v>
      </c>
      <c r="D126" s="365">
        <v>0.12584999999999999</v>
      </c>
      <c r="E126" s="365">
        <v>0.12741</v>
      </c>
      <c r="F126" s="365">
        <v>0.12673999999999999</v>
      </c>
      <c r="G126" s="365">
        <v>3.56E-2</v>
      </c>
      <c r="H126" s="365">
        <v>9.1139999999999999E-2</v>
      </c>
      <c r="K126" s="366">
        <v>42195</v>
      </c>
      <c r="L126" s="367">
        <v>1.332E-2</v>
      </c>
      <c r="M126" s="367">
        <v>0.12884999999999999</v>
      </c>
      <c r="N126" s="367">
        <v>0.17524999999999999</v>
      </c>
      <c r="O126" s="367">
        <v>0.11547</v>
      </c>
      <c r="P126" s="367">
        <v>2.5020000000000001E-2</v>
      </c>
      <c r="Q126" s="367">
        <v>9.0450000000000003E-2</v>
      </c>
    </row>
    <row r="127" spans="2:17" x14ac:dyDescent="0.3">
      <c r="B127" s="365" t="s">
        <v>306</v>
      </c>
      <c r="C127" s="365">
        <v>1.095E-2</v>
      </c>
      <c r="D127" s="365">
        <v>0.12670999999999999</v>
      </c>
      <c r="E127" s="365">
        <v>0.12716</v>
      </c>
      <c r="F127" s="365">
        <v>0.12656999999999999</v>
      </c>
      <c r="G127" s="365">
        <v>3.5630000000000002E-2</v>
      </c>
      <c r="H127" s="365">
        <v>9.0939999999999993E-2</v>
      </c>
      <c r="K127" s="366">
        <v>42194</v>
      </c>
      <c r="L127" s="367">
        <v>1.3350000000000001E-2</v>
      </c>
      <c r="M127" s="367">
        <v>0.12787999999999999</v>
      </c>
      <c r="N127" s="367">
        <v>0.17513000000000001</v>
      </c>
      <c r="O127" s="367">
        <v>0.11544</v>
      </c>
      <c r="P127" s="367">
        <v>2.487E-2</v>
      </c>
      <c r="Q127" s="367">
        <v>9.0569999999999998E-2</v>
      </c>
    </row>
    <row r="128" spans="2:17" x14ac:dyDescent="0.3">
      <c r="B128" s="365" t="s">
        <v>307</v>
      </c>
      <c r="C128" s="365">
        <v>1.093E-2</v>
      </c>
      <c r="D128" s="365">
        <v>0.12543000000000001</v>
      </c>
      <c r="E128" s="365">
        <v>0.12698000000000001</v>
      </c>
      <c r="F128" s="365">
        <v>0.12608</v>
      </c>
      <c r="G128" s="365">
        <v>3.5589999999999997E-2</v>
      </c>
      <c r="H128" s="365">
        <v>9.0490000000000001E-2</v>
      </c>
      <c r="K128" s="366">
        <v>42193</v>
      </c>
      <c r="L128" s="367">
        <v>1.3339999999999999E-2</v>
      </c>
      <c r="M128" s="367">
        <v>0.12823000000000001</v>
      </c>
      <c r="N128" s="367">
        <v>0.17498</v>
      </c>
      <c r="O128" s="367">
        <v>0.11604</v>
      </c>
      <c r="P128" s="367">
        <v>2.4670000000000001E-2</v>
      </c>
      <c r="Q128" s="367">
        <v>9.1370000000000007E-2</v>
      </c>
    </row>
    <row r="129" spans="2:17" x14ac:dyDescent="0.3">
      <c r="B129" s="365" t="s">
        <v>308</v>
      </c>
      <c r="C129" s="365">
        <v>1.0959999999999999E-2</v>
      </c>
      <c r="D129" s="365">
        <v>0.12683</v>
      </c>
      <c r="E129" s="365">
        <v>0.12720000000000001</v>
      </c>
      <c r="F129" s="365">
        <v>0.12687999999999999</v>
      </c>
      <c r="G129" s="365">
        <v>3.5349999999999999E-2</v>
      </c>
      <c r="H129" s="365">
        <v>9.153E-2</v>
      </c>
      <c r="K129" s="366">
        <v>42192</v>
      </c>
      <c r="L129" s="367">
        <v>1.3169999999999999E-2</v>
      </c>
      <c r="M129" s="367">
        <v>0.12997</v>
      </c>
      <c r="N129" s="367">
        <v>0.17474000000000001</v>
      </c>
      <c r="O129" s="367">
        <v>0.11652</v>
      </c>
      <c r="P129" s="367">
        <v>2.495E-2</v>
      </c>
      <c r="Q129" s="367">
        <v>9.1569999999999999E-2</v>
      </c>
    </row>
    <row r="130" spans="2:17" x14ac:dyDescent="0.3">
      <c r="B130" s="365" t="s">
        <v>309</v>
      </c>
      <c r="C130" s="365">
        <v>1.1010000000000001E-2</v>
      </c>
      <c r="D130" s="365">
        <v>0.12952</v>
      </c>
      <c r="E130" s="365">
        <v>0.12681999999999999</v>
      </c>
      <c r="F130" s="365">
        <v>0.12573999999999999</v>
      </c>
      <c r="G130" s="365">
        <v>3.5200000000000002E-2</v>
      </c>
      <c r="H130" s="365">
        <v>9.0539999999999995E-2</v>
      </c>
      <c r="K130" s="366">
        <v>42191</v>
      </c>
      <c r="L130" s="367">
        <v>1.315E-2</v>
      </c>
      <c r="M130" s="367">
        <v>0.13150999999999999</v>
      </c>
      <c r="N130" s="367">
        <v>0.17372000000000001</v>
      </c>
      <c r="O130" s="367">
        <v>0.11677999999999999</v>
      </c>
      <c r="P130" s="367">
        <v>2.4639999999999999E-2</v>
      </c>
      <c r="Q130" s="367">
        <v>9.214E-2</v>
      </c>
    </row>
    <row r="131" spans="2:17" x14ac:dyDescent="0.3">
      <c r="B131" s="365" t="s">
        <v>310</v>
      </c>
      <c r="C131" s="365">
        <v>1.106E-2</v>
      </c>
      <c r="D131" s="365">
        <v>0.12759999999999999</v>
      </c>
      <c r="E131" s="365">
        <v>0.13463</v>
      </c>
      <c r="F131" s="365">
        <v>0.12479999999999999</v>
      </c>
      <c r="G131" s="365">
        <v>3.5139999999999998E-2</v>
      </c>
      <c r="H131" s="365">
        <v>8.9660000000000004E-2</v>
      </c>
      <c r="K131" s="366">
        <v>42188</v>
      </c>
      <c r="L131" s="367">
        <v>1.2829999999999999E-2</v>
      </c>
      <c r="M131" s="367">
        <v>0.13421</v>
      </c>
      <c r="N131" s="367">
        <v>0.17358999999999999</v>
      </c>
      <c r="O131" s="367">
        <v>0.11681999999999999</v>
      </c>
      <c r="P131" s="367">
        <v>2.52E-2</v>
      </c>
      <c r="Q131" s="367">
        <v>9.1619999999999993E-2</v>
      </c>
    </row>
    <row r="132" spans="2:17" x14ac:dyDescent="0.3">
      <c r="B132" s="365" t="s">
        <v>311</v>
      </c>
      <c r="C132" s="365">
        <v>1.124E-2</v>
      </c>
      <c r="D132" s="365">
        <v>0.12634000000000001</v>
      </c>
      <c r="E132" s="365">
        <v>0.13514000000000001</v>
      </c>
      <c r="F132" s="365">
        <v>0.12442</v>
      </c>
      <c r="G132" s="365">
        <v>3.5430000000000003E-2</v>
      </c>
      <c r="H132" s="365">
        <v>8.899E-2</v>
      </c>
      <c r="K132" s="366">
        <v>42187</v>
      </c>
      <c r="L132" s="367">
        <v>1.2800000000000001E-2</v>
      </c>
      <c r="M132" s="367">
        <v>0.13339000000000001</v>
      </c>
      <c r="N132" s="367">
        <v>0.17352000000000001</v>
      </c>
      <c r="O132" s="367">
        <v>0.11645999999999999</v>
      </c>
      <c r="P132" s="367">
        <v>2.5319999999999999E-2</v>
      </c>
      <c r="Q132" s="367">
        <v>9.1139999999999999E-2</v>
      </c>
    </row>
    <row r="133" spans="2:17" x14ac:dyDescent="0.3">
      <c r="B133" s="365" t="s">
        <v>312</v>
      </c>
      <c r="C133" s="365">
        <v>1.133E-2</v>
      </c>
      <c r="D133" s="365">
        <v>0.12703</v>
      </c>
      <c r="E133" s="365">
        <v>0.13496</v>
      </c>
      <c r="F133" s="365">
        <v>0.12476</v>
      </c>
      <c r="G133" s="365">
        <v>3.5430000000000003E-2</v>
      </c>
      <c r="H133" s="365">
        <v>8.9330000000000007E-2</v>
      </c>
      <c r="K133" s="366">
        <v>42186</v>
      </c>
      <c r="L133" s="367">
        <v>1.2829999999999999E-2</v>
      </c>
      <c r="M133" s="367">
        <v>0.13228999999999999</v>
      </c>
      <c r="N133" s="367">
        <v>0.17329</v>
      </c>
      <c r="O133" s="367">
        <v>0.11652</v>
      </c>
      <c r="P133" s="367">
        <v>2.4719999999999999E-2</v>
      </c>
      <c r="Q133" s="367">
        <v>9.1800000000000007E-2</v>
      </c>
    </row>
    <row r="134" spans="2:17" x14ac:dyDescent="0.3">
      <c r="B134" s="365" t="s">
        <v>313</v>
      </c>
      <c r="C134" s="365">
        <v>1.1480000000000001E-2</v>
      </c>
      <c r="D134" s="365">
        <v>0.12368999999999999</v>
      </c>
      <c r="E134" s="365">
        <v>0.13522000000000001</v>
      </c>
      <c r="F134" s="365">
        <v>0.12358</v>
      </c>
      <c r="G134" s="365">
        <v>3.5430000000000003E-2</v>
      </c>
      <c r="H134" s="365">
        <v>8.8150000000000006E-2</v>
      </c>
      <c r="K134" s="366">
        <v>42185</v>
      </c>
      <c r="L134" s="367">
        <v>1.2970000000000001E-2</v>
      </c>
      <c r="M134" s="367">
        <v>0.13092000000000001</v>
      </c>
      <c r="N134" s="367">
        <v>0.17313000000000001</v>
      </c>
      <c r="O134" s="367">
        <v>0.11674</v>
      </c>
      <c r="P134" s="367">
        <v>2.452E-2</v>
      </c>
      <c r="Q134" s="367">
        <v>9.2219999999999996E-2</v>
      </c>
    </row>
    <row r="135" spans="2:17" x14ac:dyDescent="0.3">
      <c r="B135" s="365" t="s">
        <v>314</v>
      </c>
      <c r="C135" s="365">
        <v>1.158E-2</v>
      </c>
      <c r="D135" s="365">
        <v>0.12188</v>
      </c>
      <c r="E135" s="365">
        <v>0.13761000000000001</v>
      </c>
      <c r="F135" s="365">
        <v>0.12341000000000001</v>
      </c>
      <c r="G135" s="365">
        <v>3.5680000000000003E-2</v>
      </c>
      <c r="H135" s="365">
        <v>8.7730000000000002E-2</v>
      </c>
      <c r="K135" s="366">
        <v>42184</v>
      </c>
      <c r="L135" s="367">
        <v>1.3050000000000001E-2</v>
      </c>
      <c r="M135" s="367">
        <v>0.13303000000000001</v>
      </c>
      <c r="N135" s="367">
        <v>0.17288000000000001</v>
      </c>
      <c r="O135" s="367">
        <v>0.11791</v>
      </c>
      <c r="P135" s="367">
        <v>2.4469999999999999E-2</v>
      </c>
      <c r="Q135" s="367">
        <v>9.3439999999999995E-2</v>
      </c>
    </row>
    <row r="136" spans="2:17" x14ac:dyDescent="0.3">
      <c r="B136" s="365" t="s">
        <v>315</v>
      </c>
      <c r="C136" s="365">
        <v>1.162E-2</v>
      </c>
      <c r="D136" s="365">
        <v>0.12587000000000001</v>
      </c>
      <c r="E136" s="365">
        <v>0.13643</v>
      </c>
      <c r="F136" s="365">
        <v>0.12909000000000001</v>
      </c>
      <c r="G136" s="365">
        <v>3.56E-2</v>
      </c>
      <c r="H136" s="365">
        <v>9.3490000000000004E-2</v>
      </c>
      <c r="K136" s="366">
        <v>42181</v>
      </c>
      <c r="L136" s="367">
        <v>1.2869999999999999E-2</v>
      </c>
      <c r="M136" s="367">
        <v>0.13522999999999999</v>
      </c>
      <c r="N136" s="367">
        <v>0.17305000000000001</v>
      </c>
      <c r="O136" s="367">
        <v>0.11842999999999999</v>
      </c>
      <c r="P136" s="367">
        <v>2.496E-2</v>
      </c>
      <c r="Q136" s="367">
        <v>9.3469999999999998E-2</v>
      </c>
    </row>
    <row r="137" spans="2:17" x14ac:dyDescent="0.3">
      <c r="B137" s="365" t="s">
        <v>316</v>
      </c>
      <c r="C137" s="365">
        <v>1.184E-2</v>
      </c>
      <c r="D137" s="365">
        <v>0.12609999999999999</v>
      </c>
      <c r="E137" s="365">
        <v>0.13555</v>
      </c>
      <c r="F137" s="365">
        <v>0.12934999999999999</v>
      </c>
      <c r="G137" s="365">
        <v>3.5349999999999999E-2</v>
      </c>
      <c r="H137" s="365">
        <v>9.4E-2</v>
      </c>
      <c r="K137" s="366">
        <v>42180</v>
      </c>
      <c r="L137" s="367">
        <v>1.289E-2</v>
      </c>
      <c r="M137" s="367">
        <v>0.13552</v>
      </c>
      <c r="N137" s="367">
        <v>0.16947999999999999</v>
      </c>
      <c r="O137" s="367">
        <v>0.11849999999999999</v>
      </c>
      <c r="P137" s="367">
        <v>2.496E-2</v>
      </c>
      <c r="Q137" s="367">
        <v>9.3539999999999998E-2</v>
      </c>
    </row>
    <row r="138" spans="2:17" x14ac:dyDescent="0.3">
      <c r="B138" s="365" t="s">
        <v>317</v>
      </c>
      <c r="C138" s="365">
        <v>1.172E-2</v>
      </c>
      <c r="D138" s="365">
        <v>0.12640000000000001</v>
      </c>
      <c r="E138" s="365">
        <v>0.13582</v>
      </c>
      <c r="F138" s="365">
        <v>0.12923000000000001</v>
      </c>
      <c r="G138" s="365">
        <v>3.5150000000000001E-2</v>
      </c>
      <c r="H138" s="365">
        <v>9.4079999999999997E-2</v>
      </c>
      <c r="K138" s="366">
        <v>42179</v>
      </c>
      <c r="L138" s="367">
        <v>1.285E-2</v>
      </c>
      <c r="M138" s="367">
        <v>0.13511000000000001</v>
      </c>
      <c r="N138" s="367">
        <v>0.17279</v>
      </c>
      <c r="O138" s="367">
        <v>0.11852</v>
      </c>
      <c r="P138" s="367">
        <v>2.4649999999999998E-2</v>
      </c>
      <c r="Q138" s="367">
        <v>9.3869999999999995E-2</v>
      </c>
    </row>
    <row r="139" spans="2:17" x14ac:dyDescent="0.3">
      <c r="B139" s="365" t="s">
        <v>318</v>
      </c>
      <c r="C139" s="365">
        <v>1.179E-2</v>
      </c>
      <c r="D139" s="365">
        <v>0.12931999999999999</v>
      </c>
      <c r="E139" s="365">
        <v>0.13639000000000001</v>
      </c>
      <c r="F139" s="365">
        <v>0.13042999999999999</v>
      </c>
      <c r="G139" s="365">
        <v>3.5349999999999999E-2</v>
      </c>
      <c r="H139" s="365">
        <v>9.5079999999999998E-2</v>
      </c>
      <c r="K139" s="366">
        <v>42178</v>
      </c>
      <c r="L139" s="367">
        <v>1.2869999999999999E-2</v>
      </c>
      <c r="M139" s="367">
        <v>0.13431999999999999</v>
      </c>
      <c r="N139" s="367">
        <v>0.17272000000000001</v>
      </c>
      <c r="O139" s="367">
        <v>0.11882</v>
      </c>
      <c r="P139" s="367">
        <v>2.4799999999999999E-2</v>
      </c>
      <c r="Q139" s="367">
        <v>9.4020000000000006E-2</v>
      </c>
    </row>
    <row r="140" spans="2:17" x14ac:dyDescent="0.3">
      <c r="B140" s="365" t="s">
        <v>319</v>
      </c>
      <c r="C140" s="365">
        <v>1.187E-2</v>
      </c>
      <c r="D140" s="365">
        <v>0.1255</v>
      </c>
      <c r="E140" s="365">
        <v>0.13619000000000001</v>
      </c>
      <c r="F140" s="365">
        <v>0.12887000000000001</v>
      </c>
      <c r="G140" s="365">
        <v>3.5200000000000002E-2</v>
      </c>
      <c r="H140" s="365">
        <v>9.3670000000000003E-2</v>
      </c>
      <c r="K140" s="366">
        <v>42177</v>
      </c>
      <c r="L140" s="367">
        <v>1.303E-2</v>
      </c>
      <c r="M140" s="367">
        <v>0.13478000000000001</v>
      </c>
      <c r="N140" s="367">
        <v>0.17255999999999999</v>
      </c>
      <c r="O140" s="367">
        <v>0.11921</v>
      </c>
      <c r="P140" s="367">
        <v>2.5069999999999999E-2</v>
      </c>
      <c r="Q140" s="367">
        <v>9.4140000000000001E-2</v>
      </c>
    </row>
    <row r="141" spans="2:17" x14ac:dyDescent="0.3">
      <c r="B141" s="365" t="s">
        <v>320</v>
      </c>
      <c r="C141" s="365">
        <v>1.193E-2</v>
      </c>
      <c r="D141" s="365">
        <v>0.12361999999999999</v>
      </c>
      <c r="E141" s="365">
        <v>0.13569000000000001</v>
      </c>
      <c r="F141" s="365">
        <v>0.12858</v>
      </c>
      <c r="G141" s="365">
        <v>3.4729999999999997E-2</v>
      </c>
      <c r="H141" s="365">
        <v>9.3850000000000003E-2</v>
      </c>
      <c r="K141" s="366">
        <v>42174</v>
      </c>
      <c r="L141" s="367">
        <v>1.307E-2</v>
      </c>
      <c r="M141" s="367">
        <v>0.13091</v>
      </c>
      <c r="N141" s="367">
        <v>0.17218</v>
      </c>
      <c r="O141" s="367">
        <v>0.11753</v>
      </c>
      <c r="P141" s="367">
        <v>2.445E-2</v>
      </c>
      <c r="Q141" s="367">
        <v>9.3079999999999996E-2</v>
      </c>
    </row>
    <row r="142" spans="2:17" x14ac:dyDescent="0.3">
      <c r="B142" s="365" t="s">
        <v>321</v>
      </c>
      <c r="C142" s="365">
        <v>1.184E-2</v>
      </c>
      <c r="D142" s="365">
        <v>0.12302</v>
      </c>
      <c r="E142" s="365">
        <v>0.13568</v>
      </c>
      <c r="F142" s="365">
        <v>0.12798000000000001</v>
      </c>
      <c r="G142" s="365">
        <v>3.533E-2</v>
      </c>
      <c r="H142" s="365">
        <v>9.2649999999999996E-2</v>
      </c>
      <c r="K142" s="366">
        <v>42173</v>
      </c>
      <c r="L142" s="367">
        <v>1.311E-2</v>
      </c>
      <c r="M142" s="367">
        <v>0.12751000000000001</v>
      </c>
      <c r="N142" s="367">
        <v>0.17219999999999999</v>
      </c>
      <c r="O142" s="367">
        <v>0.11648</v>
      </c>
      <c r="P142" s="367">
        <v>2.511E-2</v>
      </c>
      <c r="Q142" s="367">
        <v>9.1370000000000007E-2</v>
      </c>
    </row>
    <row r="143" spans="2:17" x14ac:dyDescent="0.3">
      <c r="B143" s="365" t="s">
        <v>322</v>
      </c>
      <c r="C143" s="365">
        <v>1.184E-2</v>
      </c>
      <c r="D143" s="365">
        <v>0.12247</v>
      </c>
      <c r="E143" s="365">
        <v>0.13561999999999999</v>
      </c>
      <c r="F143" s="365">
        <v>0.12792999999999999</v>
      </c>
      <c r="G143" s="365">
        <v>3.5360000000000003E-2</v>
      </c>
      <c r="H143" s="365">
        <v>9.257E-2</v>
      </c>
      <c r="K143" s="366">
        <v>42172</v>
      </c>
      <c r="L143" s="367">
        <v>1.3140000000000001E-2</v>
      </c>
      <c r="M143" s="367">
        <v>0.12767999999999999</v>
      </c>
      <c r="N143" s="367">
        <v>0.17205000000000001</v>
      </c>
      <c r="O143" s="367">
        <v>0.11677999999999999</v>
      </c>
      <c r="P143" s="367">
        <v>2.5559999999999999E-2</v>
      </c>
      <c r="Q143" s="367">
        <v>9.1219999999999996E-2</v>
      </c>
    </row>
    <row r="144" spans="2:17" x14ac:dyDescent="0.3">
      <c r="B144" s="365" t="s">
        <v>323</v>
      </c>
      <c r="C144" s="365">
        <v>1.1650000000000001E-2</v>
      </c>
      <c r="D144" s="365">
        <v>0.12221</v>
      </c>
      <c r="E144" s="365">
        <v>0.13525000000000001</v>
      </c>
      <c r="F144" s="365">
        <v>0.12720000000000001</v>
      </c>
      <c r="G144" s="365">
        <v>3.56E-2</v>
      </c>
      <c r="H144" s="365">
        <v>9.1600000000000001E-2</v>
      </c>
      <c r="K144" s="366">
        <v>42171</v>
      </c>
      <c r="L144" s="367">
        <v>1.3180000000000001E-2</v>
      </c>
      <c r="M144" s="367">
        <v>0.12740000000000001</v>
      </c>
      <c r="N144" s="367">
        <v>0.17191000000000001</v>
      </c>
      <c r="O144" s="367">
        <v>0.11677</v>
      </c>
      <c r="P144" s="367">
        <v>2.5069999999999999E-2</v>
      </c>
      <c r="Q144" s="367">
        <v>9.1700000000000004E-2</v>
      </c>
    </row>
    <row r="145" spans="2:17" x14ac:dyDescent="0.3">
      <c r="B145" s="365" t="s">
        <v>324</v>
      </c>
      <c r="C145" s="365">
        <v>1.1690000000000001E-2</v>
      </c>
      <c r="D145" s="365">
        <v>0.12274</v>
      </c>
      <c r="E145" s="365">
        <v>0.13346</v>
      </c>
      <c r="F145" s="365">
        <v>0.12790000000000001</v>
      </c>
      <c r="G145" s="365">
        <v>3.5680000000000003E-2</v>
      </c>
      <c r="H145" s="365">
        <v>9.2219999999999996E-2</v>
      </c>
      <c r="K145" s="366">
        <v>42170</v>
      </c>
      <c r="L145" s="367">
        <v>1.3089999999999999E-2</v>
      </c>
      <c r="M145" s="367">
        <v>0.13002</v>
      </c>
      <c r="N145" s="367">
        <v>0.17186999999999999</v>
      </c>
      <c r="O145" s="367">
        <v>0.11681</v>
      </c>
      <c r="P145" s="367">
        <v>2.4969999999999999E-2</v>
      </c>
      <c r="Q145" s="367">
        <v>9.1840000000000005E-2</v>
      </c>
    </row>
    <row r="146" spans="2:17" x14ac:dyDescent="0.3">
      <c r="B146" s="365" t="s">
        <v>325</v>
      </c>
      <c r="C146" s="365">
        <v>1.155E-2</v>
      </c>
      <c r="D146" s="365">
        <v>0.12659999999999999</v>
      </c>
      <c r="E146" s="365">
        <v>0.13647999999999999</v>
      </c>
      <c r="F146" s="365">
        <v>0.12837999999999999</v>
      </c>
      <c r="G146" s="365">
        <v>3.5790000000000002E-2</v>
      </c>
      <c r="H146" s="365">
        <v>9.2590000000000006E-2</v>
      </c>
      <c r="K146" s="366">
        <v>42167</v>
      </c>
      <c r="L146" s="367">
        <v>1.3010000000000001E-2</v>
      </c>
      <c r="M146" s="367">
        <v>0.12806999999999999</v>
      </c>
      <c r="N146" s="367">
        <v>0.16929</v>
      </c>
      <c r="O146" s="367">
        <v>0.11536</v>
      </c>
      <c r="P146" s="367">
        <v>2.4559999999999998E-2</v>
      </c>
      <c r="Q146" s="367">
        <v>9.0800000000000006E-2</v>
      </c>
    </row>
    <row r="147" spans="2:17" x14ac:dyDescent="0.3">
      <c r="B147" s="365" t="s">
        <v>326</v>
      </c>
      <c r="C147" s="365">
        <v>1.154E-2</v>
      </c>
      <c r="D147" s="365">
        <v>0.12694</v>
      </c>
      <c r="E147" s="365">
        <v>0.13150000000000001</v>
      </c>
      <c r="F147" s="365">
        <v>0.12806000000000001</v>
      </c>
      <c r="G147" s="365">
        <v>3.5700000000000003E-2</v>
      </c>
      <c r="H147" s="365">
        <v>9.2359999999999998E-2</v>
      </c>
      <c r="K147" s="366">
        <v>42166</v>
      </c>
      <c r="L147" s="367">
        <v>1.298E-2</v>
      </c>
      <c r="M147" s="367">
        <v>0.12801000000000001</v>
      </c>
      <c r="N147" s="367">
        <v>0.17241000000000001</v>
      </c>
      <c r="O147" s="367">
        <v>0.11570999999999999</v>
      </c>
      <c r="P147" s="367">
        <v>2.5319999999999999E-2</v>
      </c>
      <c r="Q147" s="367">
        <v>9.0389999999999998E-2</v>
      </c>
    </row>
    <row r="148" spans="2:17" x14ac:dyDescent="0.3">
      <c r="B148" s="365" t="s">
        <v>327</v>
      </c>
      <c r="C148" s="365">
        <v>1.159E-2</v>
      </c>
      <c r="D148" s="365">
        <v>0.12570999999999999</v>
      </c>
      <c r="E148" s="365">
        <v>0.13159999999999999</v>
      </c>
      <c r="F148" s="365">
        <v>0.12823000000000001</v>
      </c>
      <c r="G148" s="365">
        <v>3.56E-2</v>
      </c>
      <c r="H148" s="365">
        <v>9.2630000000000004E-2</v>
      </c>
      <c r="K148" s="366">
        <v>42165</v>
      </c>
      <c r="L148" s="367">
        <v>1.2999999999999999E-2</v>
      </c>
      <c r="M148" s="367">
        <v>0.12953999999999999</v>
      </c>
      <c r="N148" s="367">
        <v>0.17204</v>
      </c>
      <c r="O148" s="367">
        <v>0.1166</v>
      </c>
      <c r="P148" s="367">
        <v>2.4670000000000001E-2</v>
      </c>
      <c r="Q148" s="367">
        <v>9.1929999999999998E-2</v>
      </c>
    </row>
    <row r="149" spans="2:17" x14ac:dyDescent="0.3">
      <c r="B149" s="365" t="s">
        <v>328</v>
      </c>
      <c r="C149" s="365">
        <v>1.1610000000000001E-2</v>
      </c>
      <c r="D149" s="365">
        <v>0.12595000000000001</v>
      </c>
      <c r="E149" s="365">
        <v>0.13156000000000001</v>
      </c>
      <c r="F149" s="365">
        <v>0.12855</v>
      </c>
      <c r="G149" s="365">
        <v>3.585E-2</v>
      </c>
      <c r="H149" s="365">
        <v>9.2700000000000005E-2</v>
      </c>
      <c r="K149" s="366">
        <v>42164</v>
      </c>
      <c r="L149" s="367">
        <v>1.2919999999999999E-2</v>
      </c>
      <c r="M149" s="367">
        <v>0.13156000000000001</v>
      </c>
      <c r="N149" s="367">
        <v>0.17180000000000001</v>
      </c>
      <c r="O149" s="367">
        <v>0.11694</v>
      </c>
      <c r="P149" s="367">
        <v>2.4250000000000001E-2</v>
      </c>
      <c r="Q149" s="367">
        <v>9.2689999999999995E-2</v>
      </c>
    </row>
    <row r="150" spans="2:17" x14ac:dyDescent="0.3">
      <c r="B150" s="365" t="s">
        <v>329</v>
      </c>
      <c r="C150" s="365">
        <v>1.159E-2</v>
      </c>
      <c r="D150" s="365">
        <v>0.12698999999999999</v>
      </c>
      <c r="E150" s="365">
        <v>0.13062000000000001</v>
      </c>
      <c r="F150" s="365">
        <v>0.12859999999999999</v>
      </c>
      <c r="G150" s="365">
        <v>3.5479999999999998E-2</v>
      </c>
      <c r="H150" s="365">
        <v>9.3119999999999994E-2</v>
      </c>
      <c r="K150" s="366">
        <v>42163</v>
      </c>
      <c r="L150" s="367">
        <v>1.29E-2</v>
      </c>
      <c r="M150" s="367">
        <v>0.13109999999999999</v>
      </c>
      <c r="N150" s="367">
        <v>0.17176</v>
      </c>
      <c r="O150" s="367">
        <v>0.11666</v>
      </c>
      <c r="P150" s="367">
        <v>2.4799999999999999E-2</v>
      </c>
      <c r="Q150" s="367">
        <v>9.1859999999999997E-2</v>
      </c>
    </row>
    <row r="151" spans="2:17" x14ac:dyDescent="0.3">
      <c r="B151" s="365" t="s">
        <v>330</v>
      </c>
      <c r="C151" s="365">
        <v>1.1480000000000001E-2</v>
      </c>
      <c r="D151" s="365">
        <v>0.12648999999999999</v>
      </c>
      <c r="E151" s="365">
        <v>0.12950999999999999</v>
      </c>
      <c r="F151" s="365">
        <v>0.12828000000000001</v>
      </c>
      <c r="G151" s="365">
        <v>3.4970000000000001E-2</v>
      </c>
      <c r="H151" s="365">
        <v>9.3310000000000004E-2</v>
      </c>
      <c r="K151" s="366">
        <v>42160</v>
      </c>
      <c r="L151" s="367">
        <v>1.286E-2</v>
      </c>
      <c r="M151" s="367">
        <v>0.13088</v>
      </c>
      <c r="N151" s="367">
        <v>0.17144000000000001</v>
      </c>
      <c r="O151" s="367">
        <v>0.1164</v>
      </c>
      <c r="P151" s="367">
        <v>2.4660000000000001E-2</v>
      </c>
      <c r="Q151" s="367">
        <v>9.1740000000000002E-2</v>
      </c>
    </row>
    <row r="152" spans="2:17" x14ac:dyDescent="0.3">
      <c r="B152" s="365" t="s">
        <v>331</v>
      </c>
      <c r="C152" s="365">
        <v>1.142E-2</v>
      </c>
      <c r="D152" s="365">
        <v>0.12612000000000001</v>
      </c>
      <c r="E152" s="365">
        <v>0.12945999999999999</v>
      </c>
      <c r="F152" s="365">
        <v>0.12826000000000001</v>
      </c>
      <c r="G152" s="365">
        <v>3.5009999999999999E-2</v>
      </c>
      <c r="H152" s="365">
        <v>9.325E-2</v>
      </c>
      <c r="K152" s="366">
        <v>42159</v>
      </c>
      <c r="L152" s="367">
        <v>1.2829999999999999E-2</v>
      </c>
      <c r="M152" s="367">
        <v>0.13175999999999999</v>
      </c>
      <c r="N152" s="367">
        <v>0.16839999999999999</v>
      </c>
      <c r="O152" s="367">
        <v>0.11651</v>
      </c>
      <c r="P152" s="367">
        <v>2.4850000000000001E-2</v>
      </c>
      <c r="Q152" s="367">
        <v>9.1660000000000005E-2</v>
      </c>
    </row>
    <row r="153" spans="2:17" x14ac:dyDescent="0.3">
      <c r="B153" s="365" t="s">
        <v>332</v>
      </c>
      <c r="C153" s="365">
        <v>1.149E-2</v>
      </c>
      <c r="D153" s="365">
        <v>0.12612000000000001</v>
      </c>
      <c r="E153" s="365">
        <v>0.12966</v>
      </c>
      <c r="F153" s="365">
        <v>0.12856000000000001</v>
      </c>
      <c r="G153" s="365">
        <v>3.5119999999999998E-2</v>
      </c>
      <c r="H153" s="365">
        <v>9.3439999999999995E-2</v>
      </c>
      <c r="K153" s="366">
        <v>42158</v>
      </c>
      <c r="L153" s="367">
        <v>1.289E-2</v>
      </c>
      <c r="M153" s="367">
        <v>0.13242999999999999</v>
      </c>
      <c r="N153" s="367">
        <v>0.17151</v>
      </c>
      <c r="O153" s="367">
        <v>0.11712</v>
      </c>
      <c r="P153" s="367">
        <v>2.4299999999999999E-2</v>
      </c>
      <c r="Q153" s="367">
        <v>9.282E-2</v>
      </c>
    </row>
    <row r="154" spans="2:17" x14ac:dyDescent="0.3">
      <c r="B154" s="365" t="s">
        <v>333</v>
      </c>
      <c r="C154" s="365">
        <v>1.154E-2</v>
      </c>
      <c r="D154" s="365">
        <v>0.12575</v>
      </c>
      <c r="E154" s="365">
        <v>0.12972</v>
      </c>
      <c r="F154" s="365">
        <v>0.12883</v>
      </c>
      <c r="G154" s="365">
        <v>3.499E-2</v>
      </c>
      <c r="H154" s="365">
        <v>9.3840000000000007E-2</v>
      </c>
      <c r="K154" s="366">
        <v>42157</v>
      </c>
      <c r="L154" s="367">
        <v>1.2800000000000001E-2</v>
      </c>
      <c r="M154" s="367">
        <v>0.13208</v>
      </c>
      <c r="N154" s="367">
        <v>0.17079</v>
      </c>
      <c r="O154" s="367">
        <v>0.11655</v>
      </c>
      <c r="P154" s="367">
        <v>2.3400000000000001E-2</v>
      </c>
      <c r="Q154" s="367">
        <v>9.3149999999999997E-2</v>
      </c>
    </row>
    <row r="155" spans="2:17" x14ac:dyDescent="0.3">
      <c r="B155" s="365" t="s">
        <v>334</v>
      </c>
      <c r="C155" s="365">
        <v>1.1639999999999999E-2</v>
      </c>
      <c r="D155" s="365">
        <v>0.12424</v>
      </c>
      <c r="E155" s="365">
        <v>0.13006000000000001</v>
      </c>
      <c r="F155" s="365">
        <v>0.12973999999999999</v>
      </c>
      <c r="G155" s="365">
        <v>3.5130000000000002E-2</v>
      </c>
      <c r="H155" s="365">
        <v>9.461E-2</v>
      </c>
      <c r="K155" s="366">
        <v>42156</v>
      </c>
      <c r="L155" s="367">
        <v>1.265E-2</v>
      </c>
      <c r="M155" s="367">
        <v>0.13106000000000001</v>
      </c>
      <c r="N155" s="367">
        <v>0.17061000000000001</v>
      </c>
      <c r="O155" s="367">
        <v>0.11582000000000001</v>
      </c>
      <c r="P155" s="367">
        <v>2.35E-2</v>
      </c>
      <c r="Q155" s="367">
        <v>9.2319999999999999E-2</v>
      </c>
    </row>
    <row r="156" spans="2:17" x14ac:dyDescent="0.3">
      <c r="B156" s="365" t="s">
        <v>335</v>
      </c>
      <c r="C156" s="365">
        <v>1.159E-2</v>
      </c>
      <c r="D156" s="365">
        <v>0.12512999999999999</v>
      </c>
      <c r="E156" s="365">
        <v>0.13128999999999999</v>
      </c>
      <c r="F156" s="365">
        <v>0.129</v>
      </c>
      <c r="G156" s="365">
        <v>3.5299999999999998E-2</v>
      </c>
      <c r="H156" s="365">
        <v>9.3700000000000006E-2</v>
      </c>
      <c r="K156" s="366">
        <v>42153</v>
      </c>
      <c r="L156" s="367">
        <v>1.259E-2</v>
      </c>
      <c r="M156" s="367">
        <v>0.13191</v>
      </c>
      <c r="N156" s="367">
        <v>0.16744000000000001</v>
      </c>
      <c r="O156" s="367">
        <v>0.11748</v>
      </c>
      <c r="P156" s="367">
        <v>2.3050000000000001E-2</v>
      </c>
      <c r="Q156" s="367">
        <v>9.443E-2</v>
      </c>
    </row>
    <row r="157" spans="2:17" x14ac:dyDescent="0.3">
      <c r="B157" s="365" t="s">
        <v>336</v>
      </c>
      <c r="C157" s="365">
        <v>1.176E-2</v>
      </c>
      <c r="D157" s="365">
        <v>0.12714</v>
      </c>
      <c r="E157" s="365">
        <v>0.13097</v>
      </c>
      <c r="F157" s="365">
        <v>0.13022</v>
      </c>
      <c r="G157" s="365">
        <v>3.4950000000000002E-2</v>
      </c>
      <c r="H157" s="365">
        <v>9.5269999999999994E-2</v>
      </c>
      <c r="K157" s="366">
        <v>42152</v>
      </c>
      <c r="L157" s="367">
        <v>1.2630000000000001E-2</v>
      </c>
      <c r="M157" s="367">
        <v>0.13352</v>
      </c>
      <c r="N157" s="367">
        <v>0.16750000000000001</v>
      </c>
      <c r="O157" s="367">
        <v>0.1182</v>
      </c>
      <c r="P157" s="367">
        <v>2.4049999999999998E-2</v>
      </c>
      <c r="Q157" s="367">
        <v>9.4149999999999998E-2</v>
      </c>
    </row>
    <row r="158" spans="2:17" x14ac:dyDescent="0.3">
      <c r="B158" s="365" t="s">
        <v>337</v>
      </c>
      <c r="C158" s="365">
        <v>1.162E-2</v>
      </c>
      <c r="D158" s="365">
        <v>0.12684999999999999</v>
      </c>
      <c r="E158" s="365">
        <v>0.13099</v>
      </c>
      <c r="F158" s="365">
        <v>0.12964000000000001</v>
      </c>
      <c r="G158" s="365">
        <v>3.4979999999999997E-2</v>
      </c>
      <c r="H158" s="365">
        <v>9.4659999999999994E-2</v>
      </c>
      <c r="K158" s="366">
        <v>42151</v>
      </c>
      <c r="L158" s="367">
        <v>1.2659999999999999E-2</v>
      </c>
      <c r="M158" s="367">
        <v>0.13361999999999999</v>
      </c>
      <c r="N158" s="367">
        <v>0.1716</v>
      </c>
      <c r="O158" s="367">
        <v>0.11866</v>
      </c>
      <c r="P158" s="367">
        <v>2.445E-2</v>
      </c>
      <c r="Q158" s="367">
        <v>9.4210000000000002E-2</v>
      </c>
    </row>
    <row r="159" spans="2:17" x14ac:dyDescent="0.3">
      <c r="B159" s="365" t="s">
        <v>338</v>
      </c>
      <c r="C159" s="365">
        <v>1.159E-2</v>
      </c>
      <c r="D159" s="365">
        <v>0.12431</v>
      </c>
      <c r="E159" s="365">
        <v>0.13103999999999999</v>
      </c>
      <c r="F159" s="365">
        <v>0.12988</v>
      </c>
      <c r="G159" s="365">
        <v>3.524E-2</v>
      </c>
      <c r="H159" s="365">
        <v>9.4640000000000002E-2</v>
      </c>
      <c r="K159" s="366">
        <v>42150</v>
      </c>
      <c r="L159" s="367">
        <v>1.243E-2</v>
      </c>
      <c r="M159" s="367">
        <v>0.13303000000000001</v>
      </c>
      <c r="N159" s="367">
        <v>0.17157</v>
      </c>
      <c r="O159" s="367">
        <v>0.11765</v>
      </c>
      <c r="P159" s="367">
        <v>2.495E-2</v>
      </c>
      <c r="Q159" s="367">
        <v>9.2700000000000005E-2</v>
      </c>
    </row>
    <row r="160" spans="2:17" x14ac:dyDescent="0.3">
      <c r="B160" s="365" t="s">
        <v>339</v>
      </c>
      <c r="C160" s="365">
        <v>1.1610000000000001E-2</v>
      </c>
      <c r="D160" s="365">
        <v>0.12678</v>
      </c>
      <c r="E160" s="365">
        <v>0.13188</v>
      </c>
      <c r="F160" s="365">
        <v>0.13016</v>
      </c>
      <c r="G160" s="365">
        <v>3.5000000000000003E-2</v>
      </c>
      <c r="H160" s="365">
        <v>9.5159999999999995E-2</v>
      </c>
      <c r="K160" s="366">
        <v>42146</v>
      </c>
      <c r="L160" s="367">
        <v>1.243E-2</v>
      </c>
      <c r="M160" s="367">
        <v>0.13189000000000001</v>
      </c>
      <c r="N160" s="367">
        <v>0.16793</v>
      </c>
      <c r="O160" s="367">
        <v>0.11684</v>
      </c>
      <c r="P160" s="367">
        <v>2.477E-2</v>
      </c>
      <c r="Q160" s="367">
        <v>9.2069999999999999E-2</v>
      </c>
    </row>
    <row r="161" spans="2:17" x14ac:dyDescent="0.3">
      <c r="B161" s="365" t="s">
        <v>340</v>
      </c>
      <c r="C161" s="365">
        <v>1.167E-2</v>
      </c>
      <c r="D161" s="365">
        <v>0.11944</v>
      </c>
      <c r="E161" s="365">
        <v>0.13047</v>
      </c>
      <c r="F161" s="365">
        <v>0.12814</v>
      </c>
      <c r="G161" s="365">
        <v>3.4819999999999997E-2</v>
      </c>
      <c r="H161" s="365">
        <v>9.332E-2</v>
      </c>
      <c r="K161" s="366">
        <v>42145</v>
      </c>
      <c r="L161" s="367">
        <v>1.2579999999999999E-2</v>
      </c>
      <c r="M161" s="367">
        <v>0.13181999999999999</v>
      </c>
      <c r="N161" s="367">
        <v>0.16885</v>
      </c>
      <c r="O161" s="367">
        <v>0.11726</v>
      </c>
      <c r="P161" s="367">
        <v>2.5149999999999999E-2</v>
      </c>
      <c r="Q161" s="367">
        <v>9.2109999999999997E-2</v>
      </c>
    </row>
    <row r="162" spans="2:17" x14ac:dyDescent="0.3">
      <c r="B162" s="365" t="s">
        <v>341</v>
      </c>
      <c r="C162" s="365">
        <v>1.17E-2</v>
      </c>
      <c r="D162" s="365">
        <v>0.11953</v>
      </c>
      <c r="E162" s="365">
        <v>0.12998999999999999</v>
      </c>
      <c r="F162" s="365">
        <v>0.12823000000000001</v>
      </c>
      <c r="G162" s="365">
        <v>3.492E-2</v>
      </c>
      <c r="H162" s="365">
        <v>9.3310000000000004E-2</v>
      </c>
      <c r="K162" s="366">
        <v>42144</v>
      </c>
      <c r="L162" s="367">
        <v>1.2460000000000001E-2</v>
      </c>
      <c r="M162" s="367">
        <v>0.13172</v>
      </c>
      <c r="N162" s="367">
        <v>0.16883999999999999</v>
      </c>
      <c r="O162" s="367">
        <v>0.11700000000000001</v>
      </c>
      <c r="P162" s="367">
        <v>2.4899999999999999E-2</v>
      </c>
      <c r="Q162" s="367">
        <v>9.2100000000000001E-2</v>
      </c>
    </row>
    <row r="163" spans="2:17" x14ac:dyDescent="0.3">
      <c r="B163" s="365" t="s">
        <v>342</v>
      </c>
      <c r="C163" s="365">
        <v>1.1599999999999999E-2</v>
      </c>
      <c r="D163" s="365">
        <v>0.11905</v>
      </c>
      <c r="E163" s="365">
        <v>0.12870000000000001</v>
      </c>
      <c r="F163" s="365">
        <v>0.12828000000000001</v>
      </c>
      <c r="G163" s="365">
        <v>3.5299999999999998E-2</v>
      </c>
      <c r="H163" s="365">
        <v>9.2979999999999993E-2</v>
      </c>
      <c r="K163" s="366">
        <v>42143</v>
      </c>
      <c r="L163" s="367">
        <v>1.257E-2</v>
      </c>
      <c r="M163" s="367">
        <v>0.13228000000000001</v>
      </c>
      <c r="N163" s="367">
        <v>0.16879</v>
      </c>
      <c r="O163" s="367">
        <v>0.11749</v>
      </c>
      <c r="P163" s="367">
        <v>2.5420000000000002E-2</v>
      </c>
      <c r="Q163" s="367">
        <v>9.2069999999999999E-2</v>
      </c>
    </row>
    <row r="164" spans="2:17" x14ac:dyDescent="0.3">
      <c r="B164" s="365" t="s">
        <v>343</v>
      </c>
      <c r="C164" s="365">
        <v>1.1599999999999999E-2</v>
      </c>
      <c r="D164" s="365">
        <v>0.12078999999999999</v>
      </c>
      <c r="E164" s="365">
        <v>0.13119</v>
      </c>
      <c r="F164" s="365">
        <v>0.12852</v>
      </c>
      <c r="G164" s="365">
        <v>3.5299999999999998E-2</v>
      </c>
      <c r="H164" s="365">
        <v>9.3219999999999997E-2</v>
      </c>
      <c r="K164" s="366">
        <v>42142</v>
      </c>
      <c r="L164" s="367">
        <v>1.259E-2</v>
      </c>
      <c r="M164" s="367">
        <v>0.13055</v>
      </c>
      <c r="N164" s="367">
        <v>0.17155000000000001</v>
      </c>
      <c r="O164" s="367">
        <v>0.11699</v>
      </c>
      <c r="P164" s="367">
        <v>2.528E-2</v>
      </c>
      <c r="Q164" s="367">
        <v>9.171E-2</v>
      </c>
    </row>
    <row r="165" spans="2:17" x14ac:dyDescent="0.3">
      <c r="B165" s="365" t="s">
        <v>344</v>
      </c>
      <c r="C165" s="365">
        <v>1.1599999999999999E-2</v>
      </c>
      <c r="D165" s="365">
        <v>0.11824</v>
      </c>
      <c r="E165" s="365">
        <v>0.13091</v>
      </c>
      <c r="F165" s="365">
        <v>0.12801000000000001</v>
      </c>
      <c r="G165" s="365">
        <v>3.5450000000000002E-2</v>
      </c>
      <c r="H165" s="365">
        <v>9.2560000000000003E-2</v>
      </c>
      <c r="K165" s="366">
        <v>42139</v>
      </c>
      <c r="L165" s="367">
        <v>1.264E-2</v>
      </c>
      <c r="M165" s="367">
        <v>0.13006000000000001</v>
      </c>
      <c r="N165" s="367">
        <v>0.17041999999999999</v>
      </c>
      <c r="O165" s="367">
        <v>0.1176</v>
      </c>
      <c r="P165" s="367">
        <v>2.5069999999999999E-2</v>
      </c>
      <c r="Q165" s="367">
        <v>9.2530000000000001E-2</v>
      </c>
    </row>
    <row r="166" spans="2:17" x14ac:dyDescent="0.3">
      <c r="B166" s="365" t="s">
        <v>345</v>
      </c>
      <c r="C166" s="365">
        <v>1.1650000000000001E-2</v>
      </c>
      <c r="D166" s="365">
        <v>0.11916</v>
      </c>
      <c r="E166" s="365">
        <v>0.13149</v>
      </c>
      <c r="F166" s="365">
        <v>0.12909000000000001</v>
      </c>
      <c r="G166" s="365">
        <v>3.567E-2</v>
      </c>
      <c r="H166" s="365">
        <v>9.3420000000000003E-2</v>
      </c>
      <c r="K166" s="366">
        <v>42138</v>
      </c>
      <c r="L166" s="367">
        <v>1.255E-2</v>
      </c>
      <c r="M166" s="367">
        <v>0.13163</v>
      </c>
      <c r="N166" s="367">
        <v>0.1663</v>
      </c>
      <c r="O166" s="367">
        <v>0.11767</v>
      </c>
      <c r="P166" s="367">
        <v>2.495E-2</v>
      </c>
      <c r="Q166" s="367">
        <v>9.2719999999999997E-2</v>
      </c>
    </row>
    <row r="167" spans="2:17" x14ac:dyDescent="0.3">
      <c r="B167" s="365" t="s">
        <v>346</v>
      </c>
      <c r="C167" s="365">
        <v>1.108E-2</v>
      </c>
      <c r="D167" s="365">
        <v>0.11885</v>
      </c>
      <c r="E167" s="365">
        <v>0.13141</v>
      </c>
      <c r="F167" s="365">
        <v>0.12967999999999999</v>
      </c>
      <c r="G167" s="365">
        <v>3.5400000000000001E-2</v>
      </c>
      <c r="H167" s="365">
        <v>9.4280000000000003E-2</v>
      </c>
      <c r="K167" s="366">
        <v>42137</v>
      </c>
      <c r="L167" s="367">
        <v>1.2579999999999999E-2</v>
      </c>
      <c r="M167" s="367">
        <v>0.13156999999999999</v>
      </c>
      <c r="N167" s="367">
        <v>0.16606000000000001</v>
      </c>
      <c r="O167" s="367">
        <v>0.11773</v>
      </c>
      <c r="P167" s="367">
        <v>2.5350000000000001E-2</v>
      </c>
      <c r="Q167" s="367">
        <v>9.2380000000000004E-2</v>
      </c>
    </row>
    <row r="168" spans="2:17" x14ac:dyDescent="0.3">
      <c r="B168" s="365" t="s">
        <v>347</v>
      </c>
      <c r="C168" s="365">
        <v>1.1140000000000001E-2</v>
      </c>
      <c r="D168" s="365">
        <v>0.11461</v>
      </c>
      <c r="E168" s="365">
        <v>0.13117999999999999</v>
      </c>
      <c r="F168" s="365">
        <v>0.12845999999999999</v>
      </c>
      <c r="G168" s="365">
        <v>3.5450000000000002E-2</v>
      </c>
      <c r="H168" s="365">
        <v>9.3009999999999995E-2</v>
      </c>
      <c r="K168" s="366">
        <v>42136</v>
      </c>
      <c r="L168" s="367">
        <v>1.269E-2</v>
      </c>
      <c r="M168" s="367">
        <v>0.12806000000000001</v>
      </c>
      <c r="N168" s="367">
        <v>0.16619999999999999</v>
      </c>
      <c r="O168" s="367">
        <v>0.11716</v>
      </c>
      <c r="P168" s="367">
        <v>2.5999999999999999E-2</v>
      </c>
      <c r="Q168" s="367">
        <v>9.1160000000000005E-2</v>
      </c>
    </row>
    <row r="169" spans="2:17" x14ac:dyDescent="0.3">
      <c r="B169" s="365" t="s">
        <v>348</v>
      </c>
      <c r="C169" s="365">
        <v>1.116E-2</v>
      </c>
      <c r="D169" s="365">
        <v>0.11230999999999999</v>
      </c>
      <c r="E169" s="365">
        <v>0.13119</v>
      </c>
      <c r="F169" s="365">
        <v>0.12950999999999999</v>
      </c>
      <c r="G169" s="365">
        <v>3.5439999999999999E-2</v>
      </c>
      <c r="H169" s="365">
        <v>9.4070000000000001E-2</v>
      </c>
      <c r="K169" s="366">
        <v>42135</v>
      </c>
      <c r="L169" s="367">
        <v>1.269E-2</v>
      </c>
      <c r="M169" s="367">
        <v>0.13008</v>
      </c>
      <c r="N169" s="367">
        <v>0.16461999999999999</v>
      </c>
      <c r="O169" s="367">
        <v>0.11745999999999999</v>
      </c>
      <c r="P169" s="367">
        <v>2.46E-2</v>
      </c>
      <c r="Q169" s="367">
        <v>9.2859999999999998E-2</v>
      </c>
    </row>
    <row r="170" spans="2:17" x14ac:dyDescent="0.3">
      <c r="B170" s="365" t="s">
        <v>349</v>
      </c>
      <c r="C170" s="365">
        <v>1.098E-2</v>
      </c>
      <c r="D170" s="365">
        <v>0.12317</v>
      </c>
      <c r="E170" s="365">
        <v>0.13134999999999999</v>
      </c>
      <c r="F170" s="365">
        <v>0.13089000000000001</v>
      </c>
      <c r="G170" s="365">
        <v>3.6069999999999998E-2</v>
      </c>
      <c r="H170" s="365">
        <v>9.4820000000000002E-2</v>
      </c>
      <c r="K170" s="366">
        <v>42132</v>
      </c>
      <c r="L170" s="367">
        <v>1.2760000000000001E-2</v>
      </c>
      <c r="M170" s="367">
        <v>0.12792999999999999</v>
      </c>
      <c r="N170" s="367">
        <v>0.16744999999999999</v>
      </c>
      <c r="O170" s="367">
        <v>0.1166</v>
      </c>
      <c r="P170" s="367">
        <v>2.3990000000000001E-2</v>
      </c>
      <c r="Q170" s="367">
        <v>9.2609999999999998E-2</v>
      </c>
    </row>
    <row r="171" spans="2:17" x14ac:dyDescent="0.3">
      <c r="B171" s="365" t="s">
        <v>350</v>
      </c>
      <c r="C171" s="365">
        <v>1.205E-2</v>
      </c>
      <c r="D171" s="365">
        <v>0.11959</v>
      </c>
      <c r="E171" s="365">
        <v>0.13092999999999999</v>
      </c>
      <c r="F171" s="365">
        <v>0.12870000000000001</v>
      </c>
      <c r="G171" s="365">
        <v>3.6150000000000002E-2</v>
      </c>
      <c r="H171" s="365">
        <v>9.2549999999999993E-2</v>
      </c>
      <c r="K171" s="366">
        <v>42131</v>
      </c>
      <c r="L171" s="367">
        <v>1.2630000000000001E-2</v>
      </c>
      <c r="M171" s="367">
        <v>0.12748000000000001</v>
      </c>
      <c r="N171" s="367">
        <v>0.16705</v>
      </c>
      <c r="O171" s="367">
        <v>0.11642</v>
      </c>
      <c r="P171" s="367">
        <v>2.5499999999999998E-2</v>
      </c>
      <c r="Q171" s="367">
        <v>9.0920000000000001E-2</v>
      </c>
    </row>
    <row r="172" spans="2:17" x14ac:dyDescent="0.3">
      <c r="B172" s="365" t="s">
        <v>351</v>
      </c>
      <c r="C172" s="365">
        <v>1.218E-2</v>
      </c>
      <c r="D172" s="365">
        <v>0.11975</v>
      </c>
      <c r="E172" s="365">
        <v>0.13028999999999999</v>
      </c>
      <c r="F172" s="365">
        <v>0.12939999999999999</v>
      </c>
      <c r="G172" s="365">
        <v>3.6020000000000003E-2</v>
      </c>
      <c r="H172" s="365">
        <v>9.3380000000000005E-2</v>
      </c>
      <c r="K172" s="366">
        <v>42130</v>
      </c>
      <c r="L172" s="367">
        <v>1.2540000000000001E-2</v>
      </c>
      <c r="M172" s="367">
        <v>0.12839999999999999</v>
      </c>
      <c r="N172" s="367">
        <v>0.16699</v>
      </c>
      <c r="O172" s="367">
        <v>0.11609</v>
      </c>
      <c r="P172" s="367">
        <v>2.5930000000000002E-2</v>
      </c>
      <c r="Q172" s="367">
        <v>9.0160000000000004E-2</v>
      </c>
    </row>
    <row r="173" spans="2:17" x14ac:dyDescent="0.3">
      <c r="B173" s="365" t="s">
        <v>352</v>
      </c>
      <c r="C173" s="365">
        <v>1.2760000000000001E-2</v>
      </c>
      <c r="D173" s="365">
        <v>0.12060999999999999</v>
      </c>
      <c r="E173" s="365">
        <v>0.12998999999999999</v>
      </c>
      <c r="F173" s="365">
        <v>0.12997</v>
      </c>
      <c r="G173" s="365">
        <v>3.6069999999999998E-2</v>
      </c>
      <c r="H173" s="365">
        <v>9.3899999999999997E-2</v>
      </c>
      <c r="K173" s="366">
        <v>42128</v>
      </c>
      <c r="L173" s="367">
        <v>1.239E-2</v>
      </c>
      <c r="M173" s="367">
        <v>0.12941</v>
      </c>
      <c r="N173" s="367">
        <v>0.16705999999999999</v>
      </c>
      <c r="O173" s="367">
        <v>0.11549</v>
      </c>
      <c r="P173" s="367">
        <v>2.496E-2</v>
      </c>
      <c r="Q173" s="367">
        <v>9.0529999999999999E-2</v>
      </c>
    </row>
    <row r="174" spans="2:17" x14ac:dyDescent="0.3">
      <c r="B174" s="365" t="s">
        <v>353</v>
      </c>
      <c r="C174" s="365">
        <v>1.26E-2</v>
      </c>
      <c r="D174" s="365">
        <v>0.11538</v>
      </c>
      <c r="E174" s="365">
        <v>0.12881999999999999</v>
      </c>
      <c r="F174" s="365">
        <v>0.12784000000000001</v>
      </c>
      <c r="G174" s="365">
        <v>3.585E-2</v>
      </c>
      <c r="H174" s="365">
        <v>9.1990000000000002E-2</v>
      </c>
      <c r="K174" s="366">
        <v>42124</v>
      </c>
      <c r="L174" s="367">
        <v>1.242E-2</v>
      </c>
      <c r="M174" s="367">
        <v>0.12887999999999999</v>
      </c>
      <c r="N174" s="367">
        <v>0.16682</v>
      </c>
      <c r="O174" s="367">
        <v>0.11691</v>
      </c>
      <c r="P174" s="367">
        <v>2.4240000000000001E-2</v>
      </c>
      <c r="Q174" s="367">
        <v>9.2670000000000002E-2</v>
      </c>
    </row>
    <row r="175" spans="2:17" x14ac:dyDescent="0.3">
      <c r="B175" s="365" t="s">
        <v>354</v>
      </c>
      <c r="C175" s="365">
        <v>1.158E-2</v>
      </c>
      <c r="D175" s="365">
        <v>0.1158</v>
      </c>
      <c r="E175" s="365">
        <v>0.12856000000000001</v>
      </c>
      <c r="F175" s="365">
        <v>0.12742999999999999</v>
      </c>
      <c r="G175" s="365">
        <v>3.6549999999999999E-2</v>
      </c>
      <c r="H175" s="365">
        <v>9.0880000000000002E-2</v>
      </c>
      <c r="K175" s="366">
        <v>42123</v>
      </c>
      <c r="L175" s="367">
        <v>1.2330000000000001E-2</v>
      </c>
      <c r="M175" s="367">
        <v>0.12875</v>
      </c>
      <c r="N175" s="367">
        <v>0.16649</v>
      </c>
      <c r="O175" s="367">
        <v>0.11654</v>
      </c>
      <c r="P175" s="367">
        <v>2.3800000000000002E-2</v>
      </c>
      <c r="Q175" s="367">
        <v>9.2740000000000003E-2</v>
      </c>
    </row>
    <row r="176" spans="2:17" x14ac:dyDescent="0.3">
      <c r="B176" s="365" t="s">
        <v>355</v>
      </c>
      <c r="C176" s="365">
        <v>1.1440000000000001E-2</v>
      </c>
      <c r="D176" s="365">
        <v>0.11430999999999999</v>
      </c>
      <c r="E176" s="365">
        <v>0.12836</v>
      </c>
      <c r="F176" s="365">
        <v>0.12605</v>
      </c>
      <c r="G176" s="365">
        <v>3.6799999999999999E-2</v>
      </c>
      <c r="H176" s="365">
        <v>8.9249999999999996E-2</v>
      </c>
      <c r="K176" s="366">
        <v>42122</v>
      </c>
      <c r="L176" s="367">
        <v>1.2319999999999999E-2</v>
      </c>
      <c r="M176" s="367">
        <v>0.1328</v>
      </c>
      <c r="N176" s="367">
        <v>0.16607</v>
      </c>
      <c r="O176" s="367">
        <v>0.11834</v>
      </c>
      <c r="P176" s="367">
        <v>2.367E-2</v>
      </c>
      <c r="Q176" s="367">
        <v>9.4670000000000004E-2</v>
      </c>
    </row>
    <row r="177" spans="2:17" x14ac:dyDescent="0.3">
      <c r="B177" s="365" t="s">
        <v>356</v>
      </c>
      <c r="C177" s="365">
        <v>1.1469999999999999E-2</v>
      </c>
      <c r="D177" s="365">
        <v>0.11405</v>
      </c>
      <c r="E177" s="365">
        <v>0.12839</v>
      </c>
      <c r="F177" s="365">
        <v>0.12634000000000001</v>
      </c>
      <c r="G177" s="365">
        <v>3.6650000000000002E-2</v>
      </c>
      <c r="H177" s="365">
        <v>8.9690000000000006E-2</v>
      </c>
      <c r="K177" s="366">
        <v>42121</v>
      </c>
      <c r="L177" s="367">
        <v>1.225E-2</v>
      </c>
      <c r="M177" s="367">
        <v>0.13285</v>
      </c>
      <c r="N177" s="367">
        <v>0.16408</v>
      </c>
      <c r="O177" s="367">
        <v>0.11849</v>
      </c>
      <c r="P177" s="367">
        <v>2.2870000000000001E-2</v>
      </c>
      <c r="Q177" s="367">
        <v>9.5619999999999997E-2</v>
      </c>
    </row>
    <row r="178" spans="2:17" x14ac:dyDescent="0.3">
      <c r="B178" s="365" t="s">
        <v>357</v>
      </c>
      <c r="C178" s="365">
        <v>1.154E-2</v>
      </c>
      <c r="D178" s="365">
        <v>0.11286</v>
      </c>
      <c r="E178" s="365">
        <v>0.12856000000000001</v>
      </c>
      <c r="F178" s="365">
        <v>0.12576000000000001</v>
      </c>
      <c r="G178" s="365">
        <v>3.6499999999999998E-2</v>
      </c>
      <c r="H178" s="365">
        <v>8.9260000000000006E-2</v>
      </c>
      <c r="K178" s="366">
        <v>42118</v>
      </c>
      <c r="L178" s="367">
        <v>1.225E-2</v>
      </c>
      <c r="M178" s="367">
        <v>0.13167999999999999</v>
      </c>
      <c r="N178" s="367">
        <v>0.16173999999999999</v>
      </c>
      <c r="O178" s="367">
        <v>0.11768000000000001</v>
      </c>
      <c r="P178" s="367">
        <v>2.2950000000000002E-2</v>
      </c>
      <c r="Q178" s="367">
        <v>9.4729999999999995E-2</v>
      </c>
    </row>
    <row r="179" spans="2:17" x14ac:dyDescent="0.3">
      <c r="B179" s="365" t="s">
        <v>358</v>
      </c>
      <c r="C179" s="365">
        <v>1.1599999999999999E-2</v>
      </c>
      <c r="D179" s="365">
        <v>0.12207</v>
      </c>
      <c r="E179" s="365">
        <v>0.1285</v>
      </c>
      <c r="F179" s="365">
        <v>0.13036</v>
      </c>
      <c r="G179" s="365">
        <v>3.6499999999999998E-2</v>
      </c>
      <c r="H179" s="365">
        <v>9.3859999999999999E-2</v>
      </c>
      <c r="K179" s="366">
        <v>42117</v>
      </c>
      <c r="L179" s="367">
        <v>1.217E-2</v>
      </c>
      <c r="M179" s="367">
        <v>0.13199</v>
      </c>
      <c r="N179" s="367">
        <v>0.16205</v>
      </c>
      <c r="O179" s="367">
        <v>0.11744</v>
      </c>
      <c r="P179" s="367">
        <v>2.265E-2</v>
      </c>
      <c r="Q179" s="367">
        <v>9.4789999999999999E-2</v>
      </c>
    </row>
    <row r="180" spans="2:17" x14ac:dyDescent="0.3">
      <c r="B180" s="365" t="s">
        <v>359</v>
      </c>
      <c r="C180" s="365">
        <v>1.1599999999999999E-2</v>
      </c>
      <c r="D180" s="365">
        <v>0.12454999999999999</v>
      </c>
      <c r="E180" s="365">
        <v>0.12870999999999999</v>
      </c>
      <c r="F180" s="365">
        <v>0.13156999999999999</v>
      </c>
      <c r="G180" s="365">
        <v>3.6450000000000003E-2</v>
      </c>
      <c r="H180" s="365">
        <v>9.5119999999999996E-2</v>
      </c>
      <c r="K180" s="366">
        <v>42116</v>
      </c>
      <c r="L180" s="367">
        <v>1.2370000000000001E-2</v>
      </c>
      <c r="M180" s="367">
        <v>0.12901000000000001</v>
      </c>
      <c r="N180" s="367">
        <v>0.16233</v>
      </c>
      <c r="O180" s="367">
        <v>0.11699</v>
      </c>
      <c r="P180" s="367">
        <v>2.1770000000000001E-2</v>
      </c>
      <c r="Q180" s="367">
        <v>9.5219999999999999E-2</v>
      </c>
    </row>
    <row r="181" spans="2:17" x14ac:dyDescent="0.3">
      <c r="B181" s="365" t="s">
        <v>360</v>
      </c>
      <c r="C181" s="365">
        <v>1.162E-2</v>
      </c>
      <c r="D181" s="365">
        <v>0.12375</v>
      </c>
      <c r="E181" s="365">
        <v>0.1285</v>
      </c>
      <c r="F181" s="365">
        <v>0.13153000000000001</v>
      </c>
      <c r="G181" s="365">
        <v>3.6650000000000002E-2</v>
      </c>
      <c r="H181" s="365">
        <v>9.4880000000000006E-2</v>
      </c>
      <c r="K181" s="366">
        <v>42115</v>
      </c>
      <c r="L181" s="367">
        <v>1.243E-2</v>
      </c>
      <c r="M181" s="367">
        <v>0.12881999999999999</v>
      </c>
      <c r="N181" s="367">
        <v>0.16217000000000001</v>
      </c>
      <c r="O181" s="367">
        <v>0.11672</v>
      </c>
      <c r="P181" s="367">
        <v>2.1700000000000001E-2</v>
      </c>
      <c r="Q181" s="367">
        <v>9.5019999999999993E-2</v>
      </c>
    </row>
    <row r="182" spans="2:17" x14ac:dyDescent="0.3">
      <c r="B182" s="365" t="s">
        <v>361</v>
      </c>
      <c r="C182" s="365">
        <v>1.163E-2</v>
      </c>
      <c r="D182" s="365">
        <v>0.12492</v>
      </c>
      <c r="E182" s="365">
        <v>0.12758</v>
      </c>
      <c r="F182" s="365">
        <v>0.13247</v>
      </c>
      <c r="G182" s="365">
        <v>3.6450000000000003E-2</v>
      </c>
      <c r="H182" s="365">
        <v>9.6019999999999994E-2</v>
      </c>
      <c r="K182" s="366">
        <v>42114</v>
      </c>
      <c r="L182" s="367">
        <v>1.2409999999999999E-2</v>
      </c>
      <c r="M182" s="367">
        <v>0.12856999999999999</v>
      </c>
      <c r="N182" s="367">
        <v>0.16195999999999999</v>
      </c>
      <c r="O182" s="367">
        <v>0.1166</v>
      </c>
      <c r="P182" s="367">
        <v>2.147E-2</v>
      </c>
      <c r="Q182" s="367">
        <v>9.5130000000000006E-2</v>
      </c>
    </row>
    <row r="183" spans="2:17" x14ac:dyDescent="0.3">
      <c r="B183" s="365" t="s">
        <v>362</v>
      </c>
      <c r="C183" s="365">
        <v>1.1610000000000001E-2</v>
      </c>
      <c r="D183" s="365">
        <v>0.12529999999999999</v>
      </c>
      <c r="E183" s="365">
        <v>0.12709999999999999</v>
      </c>
      <c r="F183" s="365">
        <v>0.13256000000000001</v>
      </c>
      <c r="G183" s="365">
        <v>3.6269999999999997E-2</v>
      </c>
      <c r="H183" s="365">
        <v>9.6290000000000001E-2</v>
      </c>
      <c r="K183" s="366">
        <v>42111</v>
      </c>
      <c r="L183" s="367">
        <v>1.242E-2</v>
      </c>
      <c r="M183" s="367">
        <v>0.12567999999999999</v>
      </c>
      <c r="N183" s="367">
        <v>0.16261</v>
      </c>
      <c r="O183" s="367">
        <v>0.11581</v>
      </c>
      <c r="P183" s="367">
        <v>2.1149999999999999E-2</v>
      </c>
      <c r="Q183" s="367">
        <v>9.4659999999999994E-2</v>
      </c>
    </row>
    <row r="184" spans="2:17" x14ac:dyDescent="0.3">
      <c r="B184" s="365" t="s">
        <v>363</v>
      </c>
      <c r="C184" s="365">
        <v>1.176E-2</v>
      </c>
      <c r="D184" s="365">
        <v>0.13255</v>
      </c>
      <c r="E184" s="365">
        <v>0.12608</v>
      </c>
      <c r="F184" s="365">
        <v>0.13386000000000001</v>
      </c>
      <c r="G184" s="365">
        <v>3.6519999999999997E-2</v>
      </c>
      <c r="H184" s="365">
        <v>9.7339999999999996E-2</v>
      </c>
      <c r="K184" s="366">
        <v>42110</v>
      </c>
      <c r="L184" s="367">
        <v>1.243E-2</v>
      </c>
      <c r="M184" s="367">
        <v>0.12687000000000001</v>
      </c>
      <c r="N184" s="367">
        <v>0.16292999999999999</v>
      </c>
      <c r="O184" s="367">
        <v>0.11659</v>
      </c>
      <c r="P184" s="367">
        <v>2.155E-2</v>
      </c>
      <c r="Q184" s="367">
        <v>9.5039999999999999E-2</v>
      </c>
    </row>
    <row r="185" spans="2:17" x14ac:dyDescent="0.3">
      <c r="B185" s="365" t="s">
        <v>364</v>
      </c>
      <c r="C185" s="365">
        <v>1.17E-2</v>
      </c>
      <c r="D185" s="365">
        <v>0.13285</v>
      </c>
      <c r="E185" s="365">
        <v>0.12581999999999999</v>
      </c>
      <c r="F185" s="365">
        <v>0.13356999999999999</v>
      </c>
      <c r="G185" s="365">
        <v>3.6740000000000002E-2</v>
      </c>
      <c r="H185" s="365">
        <v>9.6829999999999999E-2</v>
      </c>
      <c r="K185" s="366">
        <v>42109</v>
      </c>
      <c r="L185" s="367">
        <v>1.256E-2</v>
      </c>
      <c r="M185" s="367">
        <v>0.12598000000000001</v>
      </c>
      <c r="N185" s="367">
        <v>0.16263</v>
      </c>
      <c r="O185" s="367">
        <v>0.11792</v>
      </c>
      <c r="P185" s="367">
        <v>2.1270000000000001E-2</v>
      </c>
      <c r="Q185" s="367">
        <v>9.665E-2</v>
      </c>
    </row>
    <row r="186" spans="2:17" x14ac:dyDescent="0.3">
      <c r="B186" s="365" t="s">
        <v>365</v>
      </c>
      <c r="C186" s="365">
        <v>1.157E-2</v>
      </c>
      <c r="D186" s="365">
        <v>0.13289999999999999</v>
      </c>
      <c r="E186" s="365">
        <v>0.12564</v>
      </c>
      <c r="F186" s="365">
        <v>0.13328000000000001</v>
      </c>
      <c r="G186" s="365">
        <v>3.6450000000000003E-2</v>
      </c>
      <c r="H186" s="365">
        <v>9.6829999999999999E-2</v>
      </c>
      <c r="K186" s="366">
        <v>42108</v>
      </c>
      <c r="L186" s="367">
        <v>1.26E-2</v>
      </c>
      <c r="M186" s="367">
        <v>0.12617999999999999</v>
      </c>
      <c r="N186" s="367">
        <v>0.16248000000000001</v>
      </c>
      <c r="O186" s="367">
        <v>0.11863</v>
      </c>
      <c r="P186" s="367">
        <v>2.121E-2</v>
      </c>
      <c r="Q186" s="367">
        <v>9.7420000000000007E-2</v>
      </c>
    </row>
    <row r="187" spans="2:17" x14ac:dyDescent="0.3">
      <c r="B187" s="365" t="s">
        <v>366</v>
      </c>
      <c r="C187" s="365">
        <v>1.1560000000000001E-2</v>
      </c>
      <c r="D187" s="365">
        <v>0.13317000000000001</v>
      </c>
      <c r="E187" s="365">
        <v>0.12512999999999999</v>
      </c>
      <c r="F187" s="365">
        <v>0.13350999999999999</v>
      </c>
      <c r="G187" s="365">
        <v>3.6499999999999998E-2</v>
      </c>
      <c r="H187" s="365">
        <v>9.7009999999999999E-2</v>
      </c>
      <c r="K187" s="366">
        <v>42107</v>
      </c>
      <c r="L187" s="367">
        <v>1.2699999999999999E-2</v>
      </c>
      <c r="M187" s="367">
        <v>0.12809000000000001</v>
      </c>
      <c r="N187" s="367">
        <v>0.16236</v>
      </c>
      <c r="O187" s="367">
        <v>0.11931</v>
      </c>
      <c r="P187" s="367">
        <v>2.1069999999999998E-2</v>
      </c>
      <c r="Q187" s="367">
        <v>9.8239999999999994E-2</v>
      </c>
    </row>
    <row r="188" spans="2:17" x14ac:dyDescent="0.3">
      <c r="B188" s="365" t="s">
        <v>367</v>
      </c>
      <c r="C188" s="365">
        <v>1.1599999999999999E-2</v>
      </c>
      <c r="D188" s="365">
        <v>0.13228000000000001</v>
      </c>
      <c r="E188" s="365">
        <v>0.12439</v>
      </c>
      <c r="F188" s="365">
        <v>0.13331000000000001</v>
      </c>
      <c r="G188" s="365">
        <v>3.6450000000000003E-2</v>
      </c>
      <c r="H188" s="365">
        <v>9.6860000000000002E-2</v>
      </c>
      <c r="K188" s="366">
        <v>42104</v>
      </c>
      <c r="L188" s="367">
        <v>1.274E-2</v>
      </c>
      <c r="M188" s="367">
        <v>0.12006</v>
      </c>
      <c r="N188" s="367">
        <v>0.16197</v>
      </c>
      <c r="O188" s="367">
        <v>0.11601</v>
      </c>
      <c r="P188" s="367">
        <v>2.0750000000000001E-2</v>
      </c>
      <c r="Q188" s="367">
        <v>9.5259999999999997E-2</v>
      </c>
    </row>
    <row r="189" spans="2:17" x14ac:dyDescent="0.3">
      <c r="B189" s="365" t="s">
        <v>368</v>
      </c>
      <c r="C189" s="365">
        <v>1.1639999999999999E-2</v>
      </c>
      <c r="D189" s="365">
        <v>0.13216</v>
      </c>
      <c r="E189" s="365">
        <v>0.12422999999999999</v>
      </c>
      <c r="F189" s="365">
        <v>0.1336</v>
      </c>
      <c r="G189" s="365">
        <v>3.6999999999999998E-2</v>
      </c>
      <c r="H189" s="365">
        <v>9.6600000000000005E-2</v>
      </c>
      <c r="K189" s="366">
        <v>42103</v>
      </c>
      <c r="L189" s="367">
        <v>1.2930000000000001E-2</v>
      </c>
      <c r="M189" s="367">
        <v>0.12179</v>
      </c>
      <c r="N189" s="367">
        <v>0.16169</v>
      </c>
      <c r="O189" s="367">
        <v>0.11763</v>
      </c>
      <c r="P189" s="367">
        <v>2.0619999999999999E-2</v>
      </c>
      <c r="Q189" s="367">
        <v>9.7009999999999999E-2</v>
      </c>
    </row>
    <row r="190" spans="2:17" x14ac:dyDescent="0.3">
      <c r="B190" s="365" t="s">
        <v>369</v>
      </c>
      <c r="C190" s="365">
        <v>1.1480000000000001E-2</v>
      </c>
      <c r="D190" s="365">
        <v>0.12662999999999999</v>
      </c>
      <c r="E190" s="365">
        <v>0.12408</v>
      </c>
      <c r="F190" s="365">
        <v>0.1331</v>
      </c>
      <c r="G190" s="365">
        <v>3.6799999999999999E-2</v>
      </c>
      <c r="H190" s="365">
        <v>9.6299999999999997E-2</v>
      </c>
      <c r="K190" s="366">
        <v>42102</v>
      </c>
      <c r="L190" s="367">
        <v>1.291E-2</v>
      </c>
      <c r="M190" s="367">
        <v>0.1201</v>
      </c>
      <c r="N190" s="367">
        <v>0.16159999999999999</v>
      </c>
      <c r="O190" s="367">
        <v>0.11686000000000001</v>
      </c>
      <c r="P190" s="367">
        <v>2.1149999999999999E-2</v>
      </c>
      <c r="Q190" s="367">
        <v>9.5710000000000003E-2</v>
      </c>
    </row>
    <row r="191" spans="2:17" x14ac:dyDescent="0.3">
      <c r="B191" s="365" t="s">
        <v>370</v>
      </c>
      <c r="C191" s="365">
        <v>1.1270000000000001E-2</v>
      </c>
      <c r="D191" s="365">
        <v>0.14956</v>
      </c>
      <c r="E191" s="365">
        <v>0.13533000000000001</v>
      </c>
      <c r="F191" s="365">
        <v>0.13413</v>
      </c>
      <c r="G191" s="365">
        <v>3.585E-2</v>
      </c>
      <c r="H191" s="365">
        <v>9.8280000000000006E-2</v>
      </c>
      <c r="K191" s="366">
        <v>42101</v>
      </c>
      <c r="L191" s="367">
        <v>1.299E-2</v>
      </c>
      <c r="M191" s="367">
        <v>0.11939</v>
      </c>
      <c r="N191" s="367">
        <v>0.16170000000000001</v>
      </c>
      <c r="O191" s="367">
        <v>0.11612</v>
      </c>
      <c r="P191" s="367">
        <v>2.1049999999999999E-2</v>
      </c>
      <c r="Q191" s="367">
        <v>9.5070000000000002E-2</v>
      </c>
    </row>
    <row r="192" spans="2:17" x14ac:dyDescent="0.3">
      <c r="B192" s="365" t="s">
        <v>371</v>
      </c>
      <c r="C192" s="365">
        <v>1.132E-2</v>
      </c>
      <c r="D192" s="365">
        <v>0.14865</v>
      </c>
      <c r="E192" s="365">
        <v>0.13500000000000001</v>
      </c>
      <c r="F192" s="365">
        <v>0.13417999999999999</v>
      </c>
      <c r="G192" s="365">
        <v>3.5499999999999997E-2</v>
      </c>
      <c r="H192" s="365">
        <v>9.8680000000000004E-2</v>
      </c>
      <c r="K192" s="366">
        <v>42100</v>
      </c>
      <c r="L192" s="367">
        <v>1.2999999999999999E-2</v>
      </c>
      <c r="M192" s="367">
        <v>0.11219999999999999</v>
      </c>
      <c r="N192" s="367">
        <v>0.16275999999999999</v>
      </c>
      <c r="O192" s="367">
        <v>0.11447</v>
      </c>
      <c r="P192" s="367">
        <v>2.0650000000000002E-2</v>
      </c>
      <c r="Q192" s="367">
        <v>9.3820000000000001E-2</v>
      </c>
    </row>
    <row r="193" spans="2:17" x14ac:dyDescent="0.3">
      <c r="B193" s="365" t="s">
        <v>372</v>
      </c>
      <c r="C193" s="365">
        <v>1.1350000000000001E-2</v>
      </c>
      <c r="D193" s="365">
        <v>0.14792</v>
      </c>
      <c r="E193" s="365">
        <v>0.13492999999999999</v>
      </c>
      <c r="F193" s="365">
        <v>0.13383999999999999</v>
      </c>
      <c r="G193" s="365">
        <v>3.5749999999999997E-2</v>
      </c>
      <c r="H193" s="365">
        <v>9.8089999999999997E-2</v>
      </c>
      <c r="K193" s="366">
        <v>42097</v>
      </c>
      <c r="L193" s="367">
        <v>1.303E-2</v>
      </c>
      <c r="M193" s="367">
        <v>0.1181</v>
      </c>
      <c r="N193" s="367">
        <v>0.16533999999999999</v>
      </c>
      <c r="O193" s="367">
        <v>0.11609999999999999</v>
      </c>
      <c r="P193" s="367">
        <v>2.085E-2</v>
      </c>
      <c r="Q193" s="367">
        <v>9.5250000000000001E-2</v>
      </c>
    </row>
    <row r="194" spans="2:17" x14ac:dyDescent="0.3">
      <c r="B194" s="365" t="s">
        <v>373</v>
      </c>
      <c r="C194" s="365">
        <v>1.133E-2</v>
      </c>
      <c r="D194" s="365">
        <v>0.14717</v>
      </c>
      <c r="E194" s="365">
        <v>0.13491</v>
      </c>
      <c r="F194" s="365">
        <v>0.13325000000000001</v>
      </c>
      <c r="G194" s="365">
        <v>3.5650000000000001E-2</v>
      </c>
      <c r="H194" s="365">
        <v>9.7600000000000006E-2</v>
      </c>
      <c r="K194" s="366">
        <v>42096</v>
      </c>
      <c r="L194" s="367">
        <v>1.3169999999999999E-2</v>
      </c>
      <c r="M194" s="367">
        <v>0.12187000000000001</v>
      </c>
      <c r="N194" s="367">
        <v>0.16385</v>
      </c>
      <c r="O194" s="367">
        <v>0.11703</v>
      </c>
      <c r="P194" s="367">
        <v>2.1100000000000001E-2</v>
      </c>
      <c r="Q194" s="367">
        <v>9.5930000000000001E-2</v>
      </c>
    </row>
    <row r="195" spans="2:17" x14ac:dyDescent="0.3">
      <c r="B195" s="365" t="s">
        <v>374</v>
      </c>
      <c r="C195" s="365">
        <v>1.136E-2</v>
      </c>
      <c r="D195" s="365">
        <v>0.14732000000000001</v>
      </c>
      <c r="E195" s="365">
        <v>0.1351</v>
      </c>
      <c r="F195" s="365">
        <v>0.13341</v>
      </c>
      <c r="G195" s="365">
        <v>3.5799999999999998E-2</v>
      </c>
      <c r="H195" s="365">
        <v>9.7610000000000002E-2</v>
      </c>
      <c r="K195" s="366">
        <v>42095</v>
      </c>
      <c r="L195" s="367">
        <v>1.3180000000000001E-2</v>
      </c>
      <c r="M195" s="367">
        <v>0.12375</v>
      </c>
      <c r="N195" s="367">
        <v>0.16389000000000001</v>
      </c>
      <c r="O195" s="367">
        <v>0.11548</v>
      </c>
      <c r="P195" s="367">
        <v>2.147E-2</v>
      </c>
      <c r="Q195" s="367">
        <v>9.4009999999999996E-2</v>
      </c>
    </row>
    <row r="196" spans="2:17" x14ac:dyDescent="0.3">
      <c r="B196" s="365" t="s">
        <v>375</v>
      </c>
      <c r="C196" s="365">
        <v>1.1440000000000001E-2</v>
      </c>
      <c r="D196" s="365">
        <v>0.14394999999999999</v>
      </c>
      <c r="E196" s="365">
        <v>0.13483999999999999</v>
      </c>
      <c r="F196" s="365">
        <v>0.13242999999999999</v>
      </c>
      <c r="G196" s="365">
        <v>3.6249999999999998E-2</v>
      </c>
      <c r="H196" s="365">
        <v>9.6180000000000002E-2</v>
      </c>
      <c r="K196" s="366">
        <v>42094</v>
      </c>
      <c r="L196" s="367">
        <v>1.3089999999999999E-2</v>
      </c>
      <c r="M196" s="367">
        <v>0.1036</v>
      </c>
      <c r="N196" s="367">
        <v>0.16364000000000001</v>
      </c>
      <c r="O196" s="367">
        <v>0.11108999999999999</v>
      </c>
      <c r="P196" s="367">
        <v>2.1569999999999999E-2</v>
      </c>
      <c r="Q196" s="367">
        <v>8.9520000000000002E-2</v>
      </c>
    </row>
    <row r="197" spans="2:17" x14ac:dyDescent="0.3">
      <c r="B197" s="365" t="s">
        <v>376</v>
      </c>
      <c r="C197" s="365">
        <v>1.149E-2</v>
      </c>
      <c r="D197" s="365">
        <v>0.14384</v>
      </c>
      <c r="E197" s="365">
        <v>0.13469999999999999</v>
      </c>
      <c r="F197" s="365">
        <v>0.13256999999999999</v>
      </c>
      <c r="G197" s="365">
        <v>3.6299999999999999E-2</v>
      </c>
      <c r="H197" s="365">
        <v>9.6269999999999994E-2</v>
      </c>
      <c r="K197" s="366">
        <v>42093</v>
      </c>
      <c r="L197" s="367">
        <v>1.3140000000000001E-2</v>
      </c>
      <c r="M197" s="367">
        <v>9.6170000000000005E-2</v>
      </c>
      <c r="N197" s="367">
        <v>0.16503999999999999</v>
      </c>
      <c r="O197" s="367">
        <v>0.1081</v>
      </c>
      <c r="P197" s="367">
        <v>2.1499999999999998E-2</v>
      </c>
      <c r="Q197" s="367">
        <v>8.6599999999999996E-2</v>
      </c>
    </row>
    <row r="198" spans="2:17" x14ac:dyDescent="0.3">
      <c r="B198" s="365" t="s">
        <v>377</v>
      </c>
      <c r="C198" s="365">
        <v>1.15E-2</v>
      </c>
      <c r="D198" s="365">
        <v>0.14355000000000001</v>
      </c>
      <c r="E198" s="365">
        <v>0.13469999999999999</v>
      </c>
      <c r="F198" s="365">
        <v>0.13249</v>
      </c>
      <c r="G198" s="365">
        <v>3.6200000000000003E-2</v>
      </c>
      <c r="H198" s="365">
        <v>9.6290000000000001E-2</v>
      </c>
      <c r="K198" s="366">
        <v>42090</v>
      </c>
      <c r="L198" s="367">
        <v>1.323E-2</v>
      </c>
      <c r="M198" s="367">
        <v>0.10014000000000001</v>
      </c>
      <c r="N198" s="367">
        <v>0.16617999999999999</v>
      </c>
      <c r="O198" s="367">
        <v>0.10919</v>
      </c>
      <c r="P198" s="367">
        <v>2.1749999999999999E-2</v>
      </c>
      <c r="Q198" s="367">
        <v>8.7440000000000004E-2</v>
      </c>
    </row>
    <row r="199" spans="2:17" x14ac:dyDescent="0.3">
      <c r="B199" s="365" t="s">
        <v>378</v>
      </c>
      <c r="C199" s="365">
        <v>1.155E-2</v>
      </c>
      <c r="D199" s="365">
        <v>0.14360000000000001</v>
      </c>
      <c r="E199" s="365">
        <v>0.13457</v>
      </c>
      <c r="F199" s="365">
        <v>0.13261999999999999</v>
      </c>
      <c r="G199" s="365">
        <v>3.6049999999999999E-2</v>
      </c>
      <c r="H199" s="365">
        <v>9.6570000000000003E-2</v>
      </c>
      <c r="K199" s="366">
        <v>42089</v>
      </c>
      <c r="L199" s="367">
        <v>1.342E-2</v>
      </c>
      <c r="M199" s="367">
        <v>9.9629999999999996E-2</v>
      </c>
      <c r="N199" s="367">
        <v>0.16636000000000001</v>
      </c>
      <c r="O199" s="367">
        <v>0.10883</v>
      </c>
      <c r="P199" s="367">
        <v>2.1770000000000001E-2</v>
      </c>
      <c r="Q199" s="367">
        <v>8.7059999999999998E-2</v>
      </c>
    </row>
    <row r="200" spans="2:17" x14ac:dyDescent="0.3">
      <c r="B200" s="365" t="s">
        <v>379</v>
      </c>
      <c r="C200" s="365">
        <v>1.158E-2</v>
      </c>
      <c r="D200" s="365">
        <v>0.14188000000000001</v>
      </c>
      <c r="E200" s="365">
        <v>0.13439999999999999</v>
      </c>
      <c r="F200" s="365">
        <v>0.13236999999999999</v>
      </c>
      <c r="G200" s="365">
        <v>3.6299999999999999E-2</v>
      </c>
      <c r="H200" s="365">
        <v>9.6070000000000003E-2</v>
      </c>
      <c r="K200" s="366">
        <v>42088</v>
      </c>
      <c r="L200" s="367">
        <v>1.328E-2</v>
      </c>
      <c r="M200" s="367">
        <v>9.7650000000000001E-2</v>
      </c>
      <c r="N200" s="367">
        <v>0.16613</v>
      </c>
      <c r="O200" s="367">
        <v>0.10793</v>
      </c>
      <c r="P200" s="367">
        <v>2.1649999999999999E-2</v>
      </c>
      <c r="Q200" s="367">
        <v>8.6279999999999996E-2</v>
      </c>
    </row>
    <row r="201" spans="2:17" x14ac:dyDescent="0.3">
      <c r="B201" s="365" t="s">
        <v>380</v>
      </c>
      <c r="C201" s="365">
        <v>1.157E-2</v>
      </c>
      <c r="D201" s="365">
        <v>0.1439</v>
      </c>
      <c r="E201" s="365">
        <v>0.13436999999999999</v>
      </c>
      <c r="F201" s="365">
        <v>0.13358</v>
      </c>
      <c r="G201" s="365">
        <v>3.6799999999999999E-2</v>
      </c>
      <c r="H201" s="365">
        <v>9.6780000000000005E-2</v>
      </c>
      <c r="K201" s="366">
        <v>42087</v>
      </c>
      <c r="L201" s="367">
        <v>1.3270000000000001E-2</v>
      </c>
      <c r="M201" s="367">
        <v>9.8030000000000006E-2</v>
      </c>
      <c r="N201" s="367">
        <v>0.1661</v>
      </c>
      <c r="O201" s="367">
        <v>0.10847</v>
      </c>
      <c r="P201" s="367">
        <v>2.1909999999999999E-2</v>
      </c>
      <c r="Q201" s="367">
        <v>8.6559999999999998E-2</v>
      </c>
    </row>
    <row r="202" spans="2:17" x14ac:dyDescent="0.3">
      <c r="B202" s="365" t="s">
        <v>381</v>
      </c>
      <c r="C202" s="365">
        <v>1.154E-2</v>
      </c>
      <c r="D202" s="365">
        <v>0.14354</v>
      </c>
      <c r="E202" s="365">
        <v>0.13431000000000001</v>
      </c>
      <c r="F202" s="365">
        <v>0.13338</v>
      </c>
      <c r="G202" s="365">
        <v>3.7100000000000001E-2</v>
      </c>
      <c r="H202" s="365">
        <v>9.6280000000000004E-2</v>
      </c>
      <c r="K202" s="366">
        <v>42086</v>
      </c>
      <c r="L202" s="367">
        <v>1.329E-2</v>
      </c>
      <c r="M202" s="367">
        <v>9.6780000000000005E-2</v>
      </c>
      <c r="N202" s="367">
        <v>0.16585</v>
      </c>
      <c r="O202" s="367">
        <v>0.10895000000000001</v>
      </c>
      <c r="P202" s="367">
        <v>2.197E-2</v>
      </c>
      <c r="Q202" s="367">
        <v>8.6980000000000002E-2</v>
      </c>
    </row>
    <row r="203" spans="2:17" x14ac:dyDescent="0.3">
      <c r="B203" s="365" t="s">
        <v>382</v>
      </c>
      <c r="C203" s="365">
        <v>1.1480000000000001E-2</v>
      </c>
      <c r="D203" s="365">
        <v>0.14377000000000001</v>
      </c>
      <c r="E203" s="365">
        <v>0.13397000000000001</v>
      </c>
      <c r="F203" s="365">
        <v>0.13317000000000001</v>
      </c>
      <c r="G203" s="365">
        <v>3.7150000000000002E-2</v>
      </c>
      <c r="H203" s="365">
        <v>9.6019999999999994E-2</v>
      </c>
      <c r="K203" s="366">
        <v>42083</v>
      </c>
      <c r="L203" s="367">
        <v>1.3259999999999999E-2</v>
      </c>
      <c r="M203" s="367">
        <v>9.9820000000000006E-2</v>
      </c>
      <c r="N203" s="367">
        <v>0.16320999999999999</v>
      </c>
      <c r="O203" s="367">
        <v>0.11162999999999999</v>
      </c>
      <c r="P203" s="367">
        <v>2.2069999999999999E-2</v>
      </c>
      <c r="Q203" s="367">
        <v>8.9560000000000001E-2</v>
      </c>
    </row>
    <row r="204" spans="2:17" x14ac:dyDescent="0.3">
      <c r="B204" s="365" t="s">
        <v>383</v>
      </c>
      <c r="C204" s="365">
        <v>1.1390000000000001E-2</v>
      </c>
      <c r="D204" s="365">
        <v>0.14385999999999999</v>
      </c>
      <c r="E204" s="365">
        <v>0.13389999999999999</v>
      </c>
      <c r="F204" s="365">
        <v>0.13292999999999999</v>
      </c>
      <c r="G204" s="365">
        <v>3.6900000000000002E-2</v>
      </c>
      <c r="H204" s="365">
        <v>9.6030000000000004E-2</v>
      </c>
      <c r="K204" s="366">
        <v>42082</v>
      </c>
      <c r="L204" s="367">
        <v>1.3509999999999999E-2</v>
      </c>
      <c r="M204" s="367">
        <v>0.1014</v>
      </c>
      <c r="N204" s="367">
        <v>0.16261</v>
      </c>
      <c r="O204" s="367">
        <v>0.112</v>
      </c>
      <c r="P204" s="367">
        <v>2.2100000000000002E-2</v>
      </c>
      <c r="Q204" s="367">
        <v>8.9899999999999994E-2</v>
      </c>
    </row>
    <row r="205" spans="2:17" x14ac:dyDescent="0.3">
      <c r="B205" s="365" t="s">
        <v>384</v>
      </c>
      <c r="C205" s="365">
        <v>1.1339999999999999E-2</v>
      </c>
      <c r="D205" s="365">
        <v>0.14346999999999999</v>
      </c>
      <c r="E205" s="365">
        <v>0.13392000000000001</v>
      </c>
      <c r="F205" s="365">
        <v>0.13281999999999999</v>
      </c>
      <c r="G205" s="365">
        <v>3.6799999999999999E-2</v>
      </c>
      <c r="H205" s="365">
        <v>9.6019999999999994E-2</v>
      </c>
      <c r="K205" s="366">
        <v>42081</v>
      </c>
      <c r="L205" s="367">
        <v>1.357E-2</v>
      </c>
      <c r="M205" s="367">
        <v>9.8449999999999996E-2</v>
      </c>
      <c r="N205" s="367">
        <v>0.16266</v>
      </c>
      <c r="O205" s="367">
        <v>0.11212999999999999</v>
      </c>
      <c r="P205" s="367">
        <v>2.2700000000000001E-2</v>
      </c>
      <c r="Q205" s="367">
        <v>8.9429999999999996E-2</v>
      </c>
    </row>
    <row r="206" spans="2:17" x14ac:dyDescent="0.3">
      <c r="B206" s="365" t="s">
        <v>385</v>
      </c>
      <c r="C206" s="365">
        <v>1.1469999999999999E-2</v>
      </c>
      <c r="D206" s="365">
        <v>0.14391000000000001</v>
      </c>
      <c r="E206" s="365">
        <v>0.13403000000000001</v>
      </c>
      <c r="F206" s="365">
        <v>0.13336999999999999</v>
      </c>
      <c r="G206" s="365">
        <v>3.73E-2</v>
      </c>
      <c r="H206" s="365">
        <v>9.6070000000000003E-2</v>
      </c>
      <c r="K206" s="366">
        <v>42080</v>
      </c>
      <c r="L206" s="367">
        <v>1.3559999999999999E-2</v>
      </c>
      <c r="M206" s="367">
        <v>9.5750000000000002E-2</v>
      </c>
      <c r="N206" s="367">
        <v>0.16311999999999999</v>
      </c>
      <c r="O206" s="367">
        <v>0.11058</v>
      </c>
      <c r="P206" s="367">
        <v>2.315E-2</v>
      </c>
      <c r="Q206" s="367">
        <v>8.7429999999999994E-2</v>
      </c>
    </row>
    <row r="207" spans="2:17" x14ac:dyDescent="0.3">
      <c r="B207" s="365" t="s">
        <v>386</v>
      </c>
      <c r="C207" s="365">
        <v>1.145E-2</v>
      </c>
      <c r="D207" s="365">
        <v>0.14371999999999999</v>
      </c>
      <c r="E207" s="365">
        <v>0.13411999999999999</v>
      </c>
      <c r="F207" s="365">
        <v>0.13317999999999999</v>
      </c>
      <c r="G207" s="365">
        <v>3.7499999999999999E-2</v>
      </c>
      <c r="H207" s="365">
        <v>9.5680000000000001E-2</v>
      </c>
      <c r="K207" s="366">
        <v>42079</v>
      </c>
      <c r="L207" s="367">
        <v>1.387E-2</v>
      </c>
      <c r="M207" s="367">
        <v>9.6019999999999994E-2</v>
      </c>
      <c r="N207" s="367">
        <v>0.16313</v>
      </c>
      <c r="O207" s="367">
        <v>0.11254</v>
      </c>
      <c r="P207" s="367">
        <v>2.3120000000000002E-2</v>
      </c>
      <c r="Q207" s="367">
        <v>8.9419999999999999E-2</v>
      </c>
    </row>
    <row r="208" spans="2:17" x14ac:dyDescent="0.3">
      <c r="B208" s="365" t="s">
        <v>387</v>
      </c>
      <c r="C208" s="365">
        <v>1.1429999999999999E-2</v>
      </c>
      <c r="D208" s="365">
        <v>0.14380000000000001</v>
      </c>
      <c r="E208" s="365">
        <v>0.13358</v>
      </c>
      <c r="F208" s="365">
        <v>0.13291</v>
      </c>
      <c r="G208" s="365">
        <v>3.73E-2</v>
      </c>
      <c r="H208" s="365">
        <v>9.5610000000000001E-2</v>
      </c>
      <c r="K208" s="366">
        <v>42076</v>
      </c>
      <c r="L208" s="367">
        <v>1.3899999999999999E-2</v>
      </c>
      <c r="M208" s="367">
        <v>0.10624</v>
      </c>
      <c r="N208" s="367">
        <v>0.16258</v>
      </c>
      <c r="O208" s="367">
        <v>0.11534</v>
      </c>
      <c r="P208" s="367">
        <v>2.3570000000000001E-2</v>
      </c>
      <c r="Q208" s="367">
        <v>9.1770000000000004E-2</v>
      </c>
    </row>
    <row r="209" spans="2:17" x14ac:dyDescent="0.3">
      <c r="B209" s="365" t="s">
        <v>388</v>
      </c>
      <c r="C209" s="365">
        <v>1.1299999999999999E-2</v>
      </c>
      <c r="D209" s="365">
        <v>0.14373</v>
      </c>
      <c r="E209" s="365">
        <v>0.13328000000000001</v>
      </c>
      <c r="F209" s="365">
        <v>0.13235</v>
      </c>
      <c r="G209" s="365">
        <v>3.73E-2</v>
      </c>
      <c r="H209" s="365">
        <v>9.5049999999999996E-2</v>
      </c>
      <c r="K209" s="366">
        <v>42075</v>
      </c>
      <c r="L209" s="367">
        <v>1.4E-2</v>
      </c>
      <c r="M209" s="367">
        <v>0.10827000000000001</v>
      </c>
      <c r="N209" s="367">
        <v>0.16150999999999999</v>
      </c>
      <c r="O209" s="367">
        <v>0.11615</v>
      </c>
      <c r="P209" s="367">
        <v>2.35E-2</v>
      </c>
      <c r="Q209" s="367">
        <v>9.2649999999999996E-2</v>
      </c>
    </row>
    <row r="210" spans="2:17" x14ac:dyDescent="0.3">
      <c r="B210" s="365" t="s">
        <v>389</v>
      </c>
      <c r="C210" s="365">
        <v>1.1180000000000001E-2</v>
      </c>
      <c r="D210" s="365">
        <v>0.14401</v>
      </c>
      <c r="E210" s="365">
        <v>0.13335</v>
      </c>
      <c r="F210" s="365">
        <v>0.13202</v>
      </c>
      <c r="G210" s="365">
        <v>3.73E-2</v>
      </c>
      <c r="H210" s="365">
        <v>9.4719999999999999E-2</v>
      </c>
      <c r="K210" s="366">
        <v>42074</v>
      </c>
      <c r="L210" s="367">
        <v>1.3860000000000001E-2</v>
      </c>
      <c r="M210" s="367">
        <v>0.10768</v>
      </c>
      <c r="N210" s="367">
        <v>0.16442000000000001</v>
      </c>
      <c r="O210" s="367">
        <v>0.11588</v>
      </c>
      <c r="P210" s="367">
        <v>2.315E-2</v>
      </c>
      <c r="Q210" s="367">
        <v>9.2730000000000007E-2</v>
      </c>
    </row>
    <row r="211" spans="2:17" x14ac:dyDescent="0.3">
      <c r="B211" s="365" t="s">
        <v>390</v>
      </c>
      <c r="C211" s="365">
        <v>1.111E-2</v>
      </c>
      <c r="D211" s="365">
        <v>0.14516000000000001</v>
      </c>
      <c r="E211" s="365">
        <v>0.13333999999999999</v>
      </c>
      <c r="F211" s="365">
        <v>0.13184000000000001</v>
      </c>
      <c r="G211" s="365">
        <v>3.6700000000000003E-2</v>
      </c>
      <c r="H211" s="365">
        <v>9.5140000000000002E-2</v>
      </c>
      <c r="K211" s="366">
        <v>42073</v>
      </c>
      <c r="L211" s="367">
        <v>1.3820000000000001E-2</v>
      </c>
      <c r="M211" s="367">
        <v>0.11057</v>
      </c>
      <c r="N211" s="367">
        <v>0.16525000000000001</v>
      </c>
      <c r="O211" s="367">
        <v>0.11694</v>
      </c>
      <c r="P211" s="367">
        <v>2.3869999999999999E-2</v>
      </c>
      <c r="Q211" s="367">
        <v>9.307E-2</v>
      </c>
    </row>
    <row r="212" spans="2:17" x14ac:dyDescent="0.3">
      <c r="B212" s="365" t="s">
        <v>391</v>
      </c>
      <c r="C212" s="365">
        <v>1.1089999999999999E-2</v>
      </c>
      <c r="D212" s="365">
        <v>0.14235</v>
      </c>
      <c r="E212" s="365">
        <v>0.13322999999999999</v>
      </c>
      <c r="F212" s="365">
        <v>0.13153000000000001</v>
      </c>
      <c r="G212" s="365">
        <v>3.6499999999999998E-2</v>
      </c>
      <c r="H212" s="365">
        <v>9.5030000000000003E-2</v>
      </c>
      <c r="K212" s="366">
        <v>42072</v>
      </c>
      <c r="L212" s="367">
        <v>1.375E-2</v>
      </c>
      <c r="M212" s="367">
        <v>0.10600999999999999</v>
      </c>
      <c r="N212" s="367">
        <v>0.16497000000000001</v>
      </c>
      <c r="O212" s="367">
        <v>0.11815000000000001</v>
      </c>
      <c r="P212" s="367">
        <v>2.375E-2</v>
      </c>
      <c r="Q212" s="367">
        <v>9.4399999999999998E-2</v>
      </c>
    </row>
    <row r="213" spans="2:17" x14ac:dyDescent="0.3">
      <c r="B213" s="365" t="s">
        <v>392</v>
      </c>
      <c r="C213" s="365">
        <v>1.119E-2</v>
      </c>
      <c r="D213" s="365">
        <v>0.14241999999999999</v>
      </c>
      <c r="E213" s="365">
        <v>0.13320000000000001</v>
      </c>
      <c r="F213" s="365">
        <v>0.13195000000000001</v>
      </c>
      <c r="G213" s="365">
        <v>3.6400000000000002E-2</v>
      </c>
      <c r="H213" s="365">
        <v>9.5549999999999996E-2</v>
      </c>
      <c r="K213" s="366">
        <v>42069</v>
      </c>
      <c r="L213" s="367">
        <v>1.363E-2</v>
      </c>
      <c r="M213" s="367">
        <v>0.11602999999999999</v>
      </c>
      <c r="N213" s="367">
        <v>0.16481999999999999</v>
      </c>
      <c r="O213" s="367">
        <v>0.11992999999999999</v>
      </c>
      <c r="P213" s="367">
        <v>2.332E-2</v>
      </c>
      <c r="Q213" s="367">
        <v>9.6610000000000001E-2</v>
      </c>
    </row>
    <row r="214" spans="2:17" x14ac:dyDescent="0.3">
      <c r="B214" s="365" t="s">
        <v>393</v>
      </c>
      <c r="C214" s="365">
        <v>1.123E-2</v>
      </c>
      <c r="D214" s="365">
        <v>0.14124999999999999</v>
      </c>
      <c r="E214" s="365">
        <v>0.13303000000000001</v>
      </c>
      <c r="F214" s="365">
        <v>0.13169</v>
      </c>
      <c r="G214" s="365">
        <v>3.6400000000000002E-2</v>
      </c>
      <c r="H214" s="365">
        <v>9.529E-2</v>
      </c>
      <c r="K214" s="366">
        <v>42068</v>
      </c>
      <c r="L214" s="367">
        <v>1.316E-2</v>
      </c>
      <c r="M214" s="367">
        <v>0.11697</v>
      </c>
      <c r="N214" s="367">
        <v>0.16497000000000001</v>
      </c>
      <c r="O214" s="367">
        <v>0.12049</v>
      </c>
      <c r="P214" s="367">
        <v>2.3550000000000001E-2</v>
      </c>
      <c r="Q214" s="367">
        <v>9.6939999999999998E-2</v>
      </c>
    </row>
    <row r="215" spans="2:17" x14ac:dyDescent="0.3">
      <c r="B215" s="365" t="s">
        <v>394</v>
      </c>
      <c r="C215" s="365">
        <v>1.1270000000000001E-2</v>
      </c>
      <c r="D215" s="365">
        <v>0.14122999999999999</v>
      </c>
      <c r="E215" s="365">
        <v>0.13295999999999999</v>
      </c>
      <c r="F215" s="365">
        <v>0.13153999999999999</v>
      </c>
      <c r="G215" s="365">
        <v>3.6499999999999998E-2</v>
      </c>
      <c r="H215" s="365">
        <v>9.5039999999999999E-2</v>
      </c>
      <c r="K215" s="366">
        <v>42067</v>
      </c>
      <c r="L215" s="367">
        <v>1.307E-2</v>
      </c>
      <c r="M215" s="367">
        <v>0.11711000000000001</v>
      </c>
      <c r="N215" s="367">
        <v>0.16496</v>
      </c>
      <c r="O215" s="367">
        <v>0.12062</v>
      </c>
      <c r="P215" s="367">
        <v>2.3699999999999999E-2</v>
      </c>
      <c r="Q215" s="367">
        <v>9.6920000000000006E-2</v>
      </c>
    </row>
    <row r="216" spans="2:17" x14ac:dyDescent="0.3">
      <c r="B216" s="365" t="s">
        <v>395</v>
      </c>
      <c r="C216" s="365">
        <v>1.1350000000000001E-2</v>
      </c>
      <c r="D216" s="365">
        <v>0.13983999999999999</v>
      </c>
      <c r="E216" s="365">
        <v>0.13161999999999999</v>
      </c>
      <c r="F216" s="365">
        <v>0.13144</v>
      </c>
      <c r="G216" s="365">
        <v>3.6400000000000002E-2</v>
      </c>
      <c r="H216" s="365">
        <v>9.5039999999999999E-2</v>
      </c>
      <c r="K216" s="366">
        <v>42066</v>
      </c>
      <c r="L216" s="367">
        <v>1.302E-2</v>
      </c>
      <c r="M216" s="367">
        <v>0.11697</v>
      </c>
      <c r="N216" s="367">
        <v>0.1648</v>
      </c>
      <c r="O216" s="367">
        <v>0.12039999999999999</v>
      </c>
      <c r="P216" s="367">
        <v>2.3519999999999999E-2</v>
      </c>
      <c r="Q216" s="367">
        <v>9.6879999999999994E-2</v>
      </c>
    </row>
    <row r="217" spans="2:17" x14ac:dyDescent="0.3">
      <c r="B217" s="365" t="s">
        <v>396</v>
      </c>
      <c r="C217" s="365">
        <v>1.1429999999999999E-2</v>
      </c>
      <c r="D217" s="365">
        <v>0.13921</v>
      </c>
      <c r="E217" s="365">
        <v>0.13186</v>
      </c>
      <c r="F217" s="365">
        <v>0.13148000000000001</v>
      </c>
      <c r="G217" s="365">
        <v>3.6799999999999999E-2</v>
      </c>
      <c r="H217" s="365">
        <v>9.468E-2</v>
      </c>
      <c r="K217" s="366">
        <v>42065</v>
      </c>
      <c r="L217" s="367">
        <v>1.308E-2</v>
      </c>
      <c r="M217" s="367">
        <v>0.11713999999999999</v>
      </c>
      <c r="N217" s="367">
        <v>0.16464999999999999</v>
      </c>
      <c r="O217" s="367">
        <v>0.12059</v>
      </c>
      <c r="P217" s="367">
        <v>2.3349999999999999E-2</v>
      </c>
      <c r="Q217" s="367">
        <v>9.7239999999999993E-2</v>
      </c>
    </row>
    <row r="218" spans="2:17" x14ac:dyDescent="0.3">
      <c r="B218" s="365" t="s">
        <v>397</v>
      </c>
      <c r="C218" s="365">
        <v>1.129E-2</v>
      </c>
      <c r="D218" s="365">
        <v>0.13897000000000001</v>
      </c>
      <c r="E218" s="365">
        <v>0.13174</v>
      </c>
      <c r="F218" s="365">
        <v>0.13081999999999999</v>
      </c>
      <c r="G218" s="365">
        <v>3.6400000000000002E-2</v>
      </c>
      <c r="H218" s="365">
        <v>9.4420000000000004E-2</v>
      </c>
      <c r="K218" s="366">
        <v>42062</v>
      </c>
      <c r="L218" s="367">
        <v>1.341E-2</v>
      </c>
      <c r="M218" s="367">
        <v>0.11849999999999999</v>
      </c>
      <c r="N218" s="367">
        <v>0.16217999999999999</v>
      </c>
      <c r="O218" s="367">
        <v>0.11966</v>
      </c>
      <c r="P218" s="367">
        <v>2.3550000000000001E-2</v>
      </c>
      <c r="Q218" s="367">
        <v>9.6110000000000001E-2</v>
      </c>
    </row>
    <row r="219" spans="2:17" x14ac:dyDescent="0.3">
      <c r="B219" s="365" t="s">
        <v>398</v>
      </c>
      <c r="C219" s="365">
        <v>1.12E-2</v>
      </c>
      <c r="D219" s="365">
        <v>0.13893</v>
      </c>
      <c r="E219" s="365">
        <v>0.13189000000000001</v>
      </c>
      <c r="F219" s="365">
        <v>0.13045000000000001</v>
      </c>
      <c r="G219" s="365">
        <v>3.6299999999999999E-2</v>
      </c>
      <c r="H219" s="365">
        <v>9.4149999999999998E-2</v>
      </c>
      <c r="K219" s="366">
        <v>42061</v>
      </c>
      <c r="L219" s="367">
        <v>1.3050000000000001E-2</v>
      </c>
      <c r="M219" s="367">
        <v>0.11819</v>
      </c>
      <c r="N219" s="367">
        <v>0.16320000000000001</v>
      </c>
      <c r="O219" s="367">
        <v>0.11971</v>
      </c>
      <c r="P219" s="367">
        <v>2.3650000000000001E-2</v>
      </c>
      <c r="Q219" s="367">
        <v>9.6060000000000006E-2</v>
      </c>
    </row>
    <row r="220" spans="2:17" x14ac:dyDescent="0.3">
      <c r="B220" s="365" t="s">
        <v>399</v>
      </c>
      <c r="C220" s="365">
        <v>1.132E-2</v>
      </c>
      <c r="D220" s="365">
        <v>0.13865</v>
      </c>
      <c r="E220" s="365">
        <v>0.13184999999999999</v>
      </c>
      <c r="F220" s="365">
        <v>0.13050999999999999</v>
      </c>
      <c r="G220" s="365">
        <v>3.5900000000000001E-2</v>
      </c>
      <c r="H220" s="365">
        <v>9.461E-2</v>
      </c>
      <c r="K220" s="366">
        <v>42060</v>
      </c>
      <c r="L220" s="367">
        <v>1.3010000000000001E-2</v>
      </c>
      <c r="M220" s="367">
        <v>0.11990000000000001</v>
      </c>
      <c r="N220" s="367">
        <v>0.16322</v>
      </c>
      <c r="O220" s="367">
        <v>0.12066</v>
      </c>
      <c r="P220" s="367">
        <v>2.375E-2</v>
      </c>
      <c r="Q220" s="367">
        <v>9.6909999999999996E-2</v>
      </c>
    </row>
    <row r="221" spans="2:17" x14ac:dyDescent="0.3">
      <c r="B221" s="365" t="s">
        <v>400</v>
      </c>
      <c r="C221" s="365">
        <v>1.1379999999999999E-2</v>
      </c>
      <c r="D221" s="365">
        <v>0.13733999999999999</v>
      </c>
      <c r="E221" s="365">
        <v>0.13314000000000001</v>
      </c>
      <c r="F221" s="365">
        <v>0.12952</v>
      </c>
      <c r="G221" s="365">
        <v>3.5999999999999997E-2</v>
      </c>
      <c r="H221" s="365">
        <v>9.3520000000000006E-2</v>
      </c>
      <c r="K221" s="366">
        <v>42059</v>
      </c>
      <c r="L221" s="367">
        <v>1.306E-2</v>
      </c>
      <c r="M221" s="367">
        <v>0.11864</v>
      </c>
      <c r="N221" s="367">
        <v>0.16309000000000001</v>
      </c>
      <c r="O221" s="367">
        <v>0.12051000000000001</v>
      </c>
      <c r="P221" s="367">
        <v>2.4369999999999999E-2</v>
      </c>
      <c r="Q221" s="367">
        <v>9.6140000000000003E-2</v>
      </c>
    </row>
    <row r="222" spans="2:17" x14ac:dyDescent="0.3">
      <c r="B222" s="365" t="s">
        <v>401</v>
      </c>
      <c r="C222" s="365">
        <v>1.162E-2</v>
      </c>
      <c r="D222" s="365">
        <v>0.13550999999999999</v>
      </c>
      <c r="E222" s="365">
        <v>0.13636000000000001</v>
      </c>
      <c r="F222" s="365">
        <v>0.12963</v>
      </c>
      <c r="G222" s="365">
        <v>3.5799999999999998E-2</v>
      </c>
      <c r="H222" s="365">
        <v>9.3829999999999997E-2</v>
      </c>
      <c r="K222" s="366">
        <v>42058</v>
      </c>
      <c r="L222" s="367">
        <v>1.312E-2</v>
      </c>
      <c r="M222" s="367">
        <v>0.11995</v>
      </c>
      <c r="N222" s="367">
        <v>0.16241</v>
      </c>
      <c r="O222" s="367">
        <v>0.12180000000000001</v>
      </c>
      <c r="P222" s="367">
        <v>2.427E-2</v>
      </c>
      <c r="Q222" s="367">
        <v>9.7530000000000006E-2</v>
      </c>
    </row>
    <row r="223" spans="2:17" x14ac:dyDescent="0.3">
      <c r="B223" s="365" t="s">
        <v>402</v>
      </c>
      <c r="C223" s="365">
        <v>1.1639999999999999E-2</v>
      </c>
      <c r="D223" s="365">
        <v>0.13613</v>
      </c>
      <c r="E223" s="365">
        <v>0.13622999999999999</v>
      </c>
      <c r="F223" s="365">
        <v>0.12995999999999999</v>
      </c>
      <c r="G223" s="365">
        <v>3.56E-2</v>
      </c>
      <c r="H223" s="365">
        <v>9.4359999999999999E-2</v>
      </c>
      <c r="K223" s="366">
        <v>42052</v>
      </c>
      <c r="L223" s="367">
        <v>1.3140000000000001E-2</v>
      </c>
      <c r="M223" s="367">
        <v>0.12092</v>
      </c>
      <c r="N223" s="367">
        <v>0.16395999999999999</v>
      </c>
      <c r="O223" s="367">
        <v>0.12255000000000001</v>
      </c>
      <c r="P223" s="367">
        <v>2.3800000000000002E-2</v>
      </c>
      <c r="Q223" s="367">
        <v>9.8750000000000004E-2</v>
      </c>
    </row>
    <row r="224" spans="2:17" x14ac:dyDescent="0.3">
      <c r="B224" s="365" t="s">
        <v>403</v>
      </c>
      <c r="C224" s="365">
        <v>1.145E-2</v>
      </c>
      <c r="D224" s="365">
        <v>0.13567000000000001</v>
      </c>
      <c r="E224" s="365">
        <v>0.13700999999999999</v>
      </c>
      <c r="F224" s="365">
        <v>0.12984000000000001</v>
      </c>
      <c r="G224" s="365">
        <v>3.5900000000000001E-2</v>
      </c>
      <c r="H224" s="365">
        <v>9.3939999999999996E-2</v>
      </c>
      <c r="K224" s="366">
        <v>42051</v>
      </c>
      <c r="L224" s="367">
        <v>1.315E-2</v>
      </c>
      <c r="M224" s="367">
        <v>0.12149</v>
      </c>
      <c r="N224" s="367">
        <v>0.16446</v>
      </c>
      <c r="O224" s="367">
        <v>0.12235</v>
      </c>
      <c r="P224" s="367">
        <v>2.4799999999999999E-2</v>
      </c>
      <c r="Q224" s="367">
        <v>9.7549999999999998E-2</v>
      </c>
    </row>
    <row r="225" spans="2:17" x14ac:dyDescent="0.3">
      <c r="B225" s="365" t="s">
        <v>404</v>
      </c>
      <c r="C225" s="365">
        <v>1.154E-2</v>
      </c>
      <c r="D225" s="365">
        <v>0.13397999999999999</v>
      </c>
      <c r="E225" s="365">
        <v>0.13778000000000001</v>
      </c>
      <c r="F225" s="365">
        <v>0.13250999999999999</v>
      </c>
      <c r="G225" s="365">
        <v>3.5799999999999998E-2</v>
      </c>
      <c r="H225" s="365">
        <v>9.6710000000000004E-2</v>
      </c>
      <c r="K225" s="366">
        <v>42048</v>
      </c>
      <c r="L225" s="367">
        <v>1.3220000000000001E-2</v>
      </c>
      <c r="M225" s="367">
        <v>0.11985999999999999</v>
      </c>
      <c r="N225" s="367">
        <v>0.16078000000000001</v>
      </c>
      <c r="O225" s="367">
        <v>0.12175999999999999</v>
      </c>
      <c r="P225" s="367">
        <v>2.3970000000000002E-2</v>
      </c>
      <c r="Q225" s="367">
        <v>9.7790000000000002E-2</v>
      </c>
    </row>
    <row r="226" spans="2:17" x14ac:dyDescent="0.3">
      <c r="B226" s="365" t="s">
        <v>405</v>
      </c>
      <c r="C226" s="365">
        <v>1.1429999999999999E-2</v>
      </c>
      <c r="D226" s="365">
        <v>0.13428000000000001</v>
      </c>
      <c r="E226" s="365">
        <v>0.14112</v>
      </c>
      <c r="F226" s="365">
        <v>0.13142999999999999</v>
      </c>
      <c r="G226" s="365">
        <v>3.49E-2</v>
      </c>
      <c r="H226" s="365">
        <v>9.6530000000000005E-2</v>
      </c>
      <c r="K226" s="366">
        <v>42047</v>
      </c>
      <c r="L226" s="367">
        <v>1.329E-2</v>
      </c>
      <c r="M226" s="367">
        <v>0.11812</v>
      </c>
      <c r="N226" s="367">
        <v>0.16139999999999999</v>
      </c>
      <c r="O226" s="367">
        <v>0.12155000000000001</v>
      </c>
      <c r="P226" s="367">
        <v>2.4049999999999998E-2</v>
      </c>
      <c r="Q226" s="367">
        <v>9.7500000000000003E-2</v>
      </c>
    </row>
    <row r="227" spans="2:17" x14ac:dyDescent="0.3">
      <c r="B227" s="365" t="s">
        <v>406</v>
      </c>
      <c r="C227" s="365">
        <v>1.132E-2</v>
      </c>
      <c r="D227" s="365">
        <v>0.13303999999999999</v>
      </c>
      <c r="E227" s="365">
        <v>0.14096</v>
      </c>
      <c r="F227" s="365">
        <v>0.13031999999999999</v>
      </c>
      <c r="G227" s="365">
        <v>3.5200000000000002E-2</v>
      </c>
      <c r="H227" s="365">
        <v>9.5119999999999996E-2</v>
      </c>
      <c r="K227" s="366">
        <v>42046</v>
      </c>
      <c r="L227" s="367">
        <v>1.316E-2</v>
      </c>
      <c r="M227" s="367">
        <v>0.11638</v>
      </c>
      <c r="N227" s="367">
        <v>0.16352</v>
      </c>
      <c r="O227" s="367">
        <v>0.12073</v>
      </c>
      <c r="P227" s="367">
        <v>2.3560000000000001E-2</v>
      </c>
      <c r="Q227" s="367">
        <v>9.7170000000000006E-2</v>
      </c>
    </row>
    <row r="228" spans="2:17" x14ac:dyDescent="0.3">
      <c r="B228" s="365" t="s">
        <v>407</v>
      </c>
      <c r="C228" s="365">
        <v>1.1270000000000001E-2</v>
      </c>
      <c r="D228" s="365">
        <v>0.13283</v>
      </c>
      <c r="E228" s="365">
        <v>0.14057</v>
      </c>
      <c r="F228" s="365">
        <v>0.13006000000000001</v>
      </c>
      <c r="G228" s="365">
        <v>3.5000000000000003E-2</v>
      </c>
      <c r="H228" s="365">
        <v>9.5060000000000006E-2</v>
      </c>
      <c r="K228" s="366">
        <v>42045</v>
      </c>
      <c r="L228" s="367">
        <v>1.3129999999999999E-2</v>
      </c>
      <c r="M228" s="367">
        <v>0.11985999999999999</v>
      </c>
      <c r="N228" s="367">
        <v>0.16328000000000001</v>
      </c>
      <c r="O228" s="367">
        <v>0.12259</v>
      </c>
      <c r="P228" s="367">
        <v>2.3539999999999998E-2</v>
      </c>
      <c r="Q228" s="367">
        <v>9.9049999999999999E-2</v>
      </c>
    </row>
    <row r="229" spans="2:17" x14ac:dyDescent="0.3">
      <c r="B229" s="365" t="s">
        <v>408</v>
      </c>
      <c r="C229" s="365">
        <v>1.125E-2</v>
      </c>
      <c r="D229" s="365">
        <v>0.13256000000000001</v>
      </c>
      <c r="E229" s="365">
        <v>0.14068</v>
      </c>
      <c r="F229" s="365">
        <v>0.12983</v>
      </c>
      <c r="G229" s="365">
        <v>3.5200000000000002E-2</v>
      </c>
      <c r="H229" s="365">
        <v>9.4630000000000006E-2</v>
      </c>
      <c r="K229" s="366">
        <v>42044</v>
      </c>
      <c r="L229" s="367">
        <v>1.312E-2</v>
      </c>
      <c r="M229" s="367">
        <v>0.11953999999999999</v>
      </c>
      <c r="N229" s="367">
        <v>0.16342999999999999</v>
      </c>
      <c r="O229" s="367">
        <v>0.12318999999999999</v>
      </c>
      <c r="P229" s="367">
        <v>2.2919999999999999E-2</v>
      </c>
      <c r="Q229" s="367">
        <v>0.10027</v>
      </c>
    </row>
    <row r="230" spans="2:17" x14ac:dyDescent="0.3">
      <c r="B230" s="365" t="s">
        <v>409</v>
      </c>
      <c r="C230" s="365">
        <v>1.119E-2</v>
      </c>
      <c r="D230" s="365">
        <v>0.13178999999999999</v>
      </c>
      <c r="E230" s="365">
        <v>0.14118</v>
      </c>
      <c r="F230" s="365">
        <v>0.12953000000000001</v>
      </c>
      <c r="G230" s="365">
        <v>3.4799999999999998E-2</v>
      </c>
      <c r="H230" s="365">
        <v>9.4729999999999995E-2</v>
      </c>
      <c r="K230" s="366">
        <v>42041</v>
      </c>
      <c r="L230" s="367">
        <v>1.2970000000000001E-2</v>
      </c>
      <c r="M230" s="367">
        <v>0.12726999999999999</v>
      </c>
      <c r="N230" s="367">
        <v>0.16220999999999999</v>
      </c>
      <c r="O230" s="367">
        <v>0.12778999999999999</v>
      </c>
      <c r="P230" s="367">
        <v>2.2669999999999999E-2</v>
      </c>
      <c r="Q230" s="367">
        <v>0.10512000000000001</v>
      </c>
    </row>
    <row r="231" spans="2:17" x14ac:dyDescent="0.3">
      <c r="B231" s="365" t="s">
        <v>410</v>
      </c>
      <c r="C231" s="365">
        <v>1.106E-2</v>
      </c>
      <c r="D231" s="365">
        <v>0.13231000000000001</v>
      </c>
      <c r="E231" s="365">
        <v>0.14055999999999999</v>
      </c>
      <c r="F231" s="365">
        <v>0.12941</v>
      </c>
      <c r="G231" s="365">
        <v>3.4500000000000003E-2</v>
      </c>
      <c r="H231" s="365">
        <v>9.4909999999999994E-2</v>
      </c>
      <c r="K231" s="366">
        <v>42040</v>
      </c>
      <c r="L231" s="367">
        <v>1.197E-2</v>
      </c>
      <c r="M231" s="367">
        <v>0.13711000000000001</v>
      </c>
      <c r="N231" s="367">
        <v>0.16112000000000001</v>
      </c>
      <c r="O231" s="367">
        <v>0.13139999999999999</v>
      </c>
      <c r="P231" s="367">
        <v>2.2769999999999999E-2</v>
      </c>
      <c r="Q231" s="367">
        <v>0.10863</v>
      </c>
    </row>
    <row r="232" spans="2:17" x14ac:dyDescent="0.3">
      <c r="B232" s="365" t="s">
        <v>411</v>
      </c>
      <c r="C232" s="365">
        <v>1.112E-2</v>
      </c>
      <c r="D232" s="365">
        <v>0.1321</v>
      </c>
      <c r="E232" s="365">
        <v>0.13977999999999999</v>
      </c>
      <c r="F232" s="365">
        <v>0.12927</v>
      </c>
      <c r="G232" s="365">
        <v>3.39E-2</v>
      </c>
      <c r="H232" s="365">
        <v>9.5369999999999996E-2</v>
      </c>
      <c r="K232" s="366">
        <v>42039</v>
      </c>
      <c r="L232" s="367">
        <v>1.162E-2</v>
      </c>
      <c r="M232" s="367">
        <v>0.13805000000000001</v>
      </c>
      <c r="N232" s="367">
        <v>0.16097</v>
      </c>
      <c r="O232" s="367">
        <v>0.13025999999999999</v>
      </c>
      <c r="P232" s="367">
        <v>2.2419999999999999E-2</v>
      </c>
      <c r="Q232" s="367">
        <v>0.10784000000000001</v>
      </c>
    </row>
    <row r="233" spans="2:17" x14ac:dyDescent="0.3">
      <c r="B233" s="365" t="s">
        <v>412</v>
      </c>
      <c r="C233" s="365">
        <v>1.0959999999999999E-2</v>
      </c>
      <c r="D233" s="365">
        <v>0.13189000000000001</v>
      </c>
      <c r="E233" s="365">
        <v>0.13947999999999999</v>
      </c>
      <c r="F233" s="365">
        <v>0.12859000000000001</v>
      </c>
      <c r="G233" s="365">
        <v>3.3700000000000001E-2</v>
      </c>
      <c r="H233" s="365">
        <v>9.4890000000000002E-2</v>
      </c>
      <c r="K233" s="366">
        <v>42038</v>
      </c>
      <c r="L233" s="367">
        <v>1.172E-2</v>
      </c>
      <c r="M233" s="367">
        <v>0.12569</v>
      </c>
      <c r="N233" s="367">
        <v>0.16206000000000001</v>
      </c>
      <c r="O233" s="367">
        <v>0.12486</v>
      </c>
      <c r="P233" s="367">
        <v>2.2100000000000002E-2</v>
      </c>
      <c r="Q233" s="367">
        <v>0.10276</v>
      </c>
    </row>
    <row r="234" spans="2:17" x14ac:dyDescent="0.3">
      <c r="B234" s="365" t="s">
        <v>413</v>
      </c>
      <c r="C234" s="365">
        <v>1.102E-2</v>
      </c>
      <c r="D234" s="365">
        <v>0.1323</v>
      </c>
      <c r="E234" s="365">
        <v>0.13957</v>
      </c>
      <c r="F234" s="365">
        <v>0.12906000000000001</v>
      </c>
      <c r="G234" s="365">
        <v>3.4000000000000002E-2</v>
      </c>
      <c r="H234" s="365">
        <v>9.5060000000000006E-2</v>
      </c>
      <c r="K234" s="366">
        <v>42037</v>
      </c>
      <c r="L234" s="367">
        <v>1.166E-2</v>
      </c>
      <c r="M234" s="367">
        <v>0.12892000000000001</v>
      </c>
      <c r="N234" s="367">
        <v>0.16353000000000001</v>
      </c>
      <c r="O234" s="367">
        <v>0.12626000000000001</v>
      </c>
      <c r="P234" s="367">
        <v>2.2450000000000001E-2</v>
      </c>
      <c r="Q234" s="367">
        <v>0.10381</v>
      </c>
    </row>
    <row r="235" spans="2:17" x14ac:dyDescent="0.3">
      <c r="B235" s="365" t="s">
        <v>414</v>
      </c>
      <c r="C235" s="365">
        <v>1.1050000000000001E-2</v>
      </c>
      <c r="D235" s="365">
        <v>0.13181000000000001</v>
      </c>
      <c r="E235" s="365">
        <v>0.13952999999999999</v>
      </c>
      <c r="F235" s="365">
        <v>0.12819</v>
      </c>
      <c r="G235" s="365">
        <v>3.4000000000000002E-2</v>
      </c>
      <c r="H235" s="365">
        <v>9.4189999999999996E-2</v>
      </c>
      <c r="K235" s="366">
        <v>42034</v>
      </c>
      <c r="L235" s="367">
        <v>1.264E-2</v>
      </c>
      <c r="M235" s="367">
        <v>0.12889999999999999</v>
      </c>
      <c r="N235" s="367">
        <v>0.16356999999999999</v>
      </c>
      <c r="O235" s="367">
        <v>0.12716</v>
      </c>
      <c r="P235" s="367">
        <v>2.24E-2</v>
      </c>
      <c r="Q235" s="367">
        <v>0.10476000000000001</v>
      </c>
    </row>
    <row r="236" spans="2:17" x14ac:dyDescent="0.3">
      <c r="B236" s="365" t="s">
        <v>415</v>
      </c>
      <c r="C236" s="365">
        <v>1.1129999999999999E-2</v>
      </c>
      <c r="D236" s="365">
        <v>0.12912000000000001</v>
      </c>
      <c r="E236" s="365">
        <v>0.1391</v>
      </c>
      <c r="F236" s="365">
        <v>0.12764</v>
      </c>
      <c r="G236" s="365">
        <v>3.3599999999999998E-2</v>
      </c>
      <c r="H236" s="365">
        <v>9.4039999999999999E-2</v>
      </c>
      <c r="K236" s="366">
        <v>42033</v>
      </c>
      <c r="L236" s="367">
        <v>1.2670000000000001E-2</v>
      </c>
      <c r="M236" s="367">
        <v>0.13450000000000001</v>
      </c>
      <c r="N236" s="367">
        <v>0.16177</v>
      </c>
      <c r="O236" s="367">
        <v>0.12803</v>
      </c>
      <c r="P236" s="367">
        <v>2.23E-2</v>
      </c>
      <c r="Q236" s="367">
        <v>0.10573</v>
      </c>
    </row>
    <row r="237" spans="2:17" x14ac:dyDescent="0.3">
      <c r="B237" s="365" t="s">
        <v>416</v>
      </c>
      <c r="C237" s="365">
        <v>1.108E-2</v>
      </c>
      <c r="D237" s="365">
        <v>0.13148000000000001</v>
      </c>
      <c r="E237" s="365">
        <v>0.13857</v>
      </c>
      <c r="F237" s="365">
        <v>0.12827</v>
      </c>
      <c r="G237" s="365">
        <v>3.3700000000000001E-2</v>
      </c>
      <c r="H237" s="365">
        <v>9.4570000000000001E-2</v>
      </c>
      <c r="K237" s="366">
        <v>42032</v>
      </c>
      <c r="L237" s="367">
        <v>1.155E-2</v>
      </c>
      <c r="M237" s="367">
        <v>0.13553000000000001</v>
      </c>
      <c r="N237" s="367">
        <v>0.16066</v>
      </c>
      <c r="O237" s="367">
        <v>0.12806999999999999</v>
      </c>
      <c r="P237" s="367">
        <v>2.257E-2</v>
      </c>
      <c r="Q237" s="367">
        <v>0.1055</v>
      </c>
    </row>
    <row r="238" spans="2:17" x14ac:dyDescent="0.3">
      <c r="B238" s="365" t="s">
        <v>417</v>
      </c>
      <c r="C238" s="365">
        <v>1.1140000000000001E-2</v>
      </c>
      <c r="D238" s="365">
        <v>0.13389999999999999</v>
      </c>
      <c r="E238" s="365">
        <v>0.13846</v>
      </c>
      <c r="F238" s="365">
        <v>0.12884999999999999</v>
      </c>
      <c r="G238" s="365">
        <v>3.3500000000000002E-2</v>
      </c>
      <c r="H238" s="365">
        <v>9.5350000000000004E-2</v>
      </c>
      <c r="K238" s="366">
        <v>42031</v>
      </c>
      <c r="L238" s="367">
        <v>1.1180000000000001E-2</v>
      </c>
      <c r="M238" s="367">
        <v>0.13272999999999999</v>
      </c>
      <c r="N238" s="367">
        <v>0.16272</v>
      </c>
      <c r="O238" s="367">
        <v>0.12676999999999999</v>
      </c>
      <c r="P238" s="367">
        <v>2.2970000000000001E-2</v>
      </c>
      <c r="Q238" s="367">
        <v>0.1038</v>
      </c>
    </row>
    <row r="239" spans="2:17" x14ac:dyDescent="0.3">
      <c r="B239" s="365" t="s">
        <v>418</v>
      </c>
      <c r="C239" s="365">
        <v>1.102E-2</v>
      </c>
      <c r="D239" s="365">
        <v>0.13353000000000001</v>
      </c>
      <c r="E239" s="365">
        <v>0.13872000000000001</v>
      </c>
      <c r="F239" s="365">
        <v>0.12822</v>
      </c>
      <c r="G239" s="365">
        <v>3.44E-2</v>
      </c>
      <c r="H239" s="365">
        <v>9.3820000000000001E-2</v>
      </c>
      <c r="K239" s="366">
        <v>42030</v>
      </c>
      <c r="L239" s="367">
        <v>1.1259999999999999E-2</v>
      </c>
      <c r="M239" s="367">
        <v>0.12798000000000001</v>
      </c>
      <c r="N239" s="367">
        <v>0.16248000000000001</v>
      </c>
      <c r="O239" s="367">
        <v>0.12512000000000001</v>
      </c>
      <c r="P239" s="367">
        <v>2.3E-2</v>
      </c>
      <c r="Q239" s="367">
        <v>0.10212</v>
      </c>
    </row>
    <row r="240" spans="2:17" x14ac:dyDescent="0.3">
      <c r="B240" s="365" t="s">
        <v>419</v>
      </c>
      <c r="C240" s="365">
        <v>1.103E-2</v>
      </c>
      <c r="D240" s="365">
        <v>0.13441</v>
      </c>
      <c r="E240" s="365">
        <v>0.13836000000000001</v>
      </c>
      <c r="F240" s="365">
        <v>0.12837999999999999</v>
      </c>
      <c r="G240" s="365">
        <v>3.4500000000000003E-2</v>
      </c>
      <c r="H240" s="365">
        <v>9.3880000000000005E-2</v>
      </c>
      <c r="K240" s="366">
        <v>42027</v>
      </c>
      <c r="L240" s="367">
        <v>1.128E-2</v>
      </c>
      <c r="M240" s="367">
        <v>0.13235</v>
      </c>
      <c r="N240" s="367">
        <v>0.16075999999999999</v>
      </c>
      <c r="O240" s="367">
        <v>0.12912000000000001</v>
      </c>
      <c r="P240" s="367">
        <v>2.332E-2</v>
      </c>
      <c r="Q240" s="367">
        <v>0.10580000000000001</v>
      </c>
    </row>
    <row r="241" spans="2:17" x14ac:dyDescent="0.3">
      <c r="B241" s="365" t="s">
        <v>420</v>
      </c>
      <c r="C241" s="365">
        <v>1.098E-2</v>
      </c>
      <c r="D241" s="365">
        <v>0.13095999999999999</v>
      </c>
      <c r="E241" s="365">
        <v>0.13674</v>
      </c>
      <c r="F241" s="365">
        <v>0.12673000000000001</v>
      </c>
      <c r="G241" s="365">
        <v>3.44E-2</v>
      </c>
      <c r="H241" s="365">
        <v>9.2329999999999995E-2</v>
      </c>
      <c r="K241" s="366">
        <v>42026</v>
      </c>
      <c r="L241" s="367">
        <v>1.1259999999999999E-2</v>
      </c>
      <c r="M241" s="367">
        <v>0.13184000000000001</v>
      </c>
      <c r="N241" s="367">
        <v>0.15745000000000001</v>
      </c>
      <c r="O241" s="367">
        <v>0.12883</v>
      </c>
      <c r="P241" s="367">
        <v>2.4E-2</v>
      </c>
      <c r="Q241" s="367">
        <v>0.10483000000000001</v>
      </c>
    </row>
    <row r="242" spans="2:17" x14ac:dyDescent="0.3">
      <c r="B242" s="365" t="s">
        <v>421</v>
      </c>
      <c r="C242" s="365">
        <v>1.112E-2</v>
      </c>
      <c r="D242" s="365">
        <v>0.13091</v>
      </c>
      <c r="E242" s="365">
        <v>0.13705999999999999</v>
      </c>
      <c r="F242" s="365">
        <v>0.12748000000000001</v>
      </c>
      <c r="G242" s="365">
        <v>3.49E-2</v>
      </c>
      <c r="H242" s="365">
        <v>9.2579999999999996E-2</v>
      </c>
      <c r="K242" s="366">
        <v>42025</v>
      </c>
      <c r="L242" s="367">
        <v>1.1010000000000001E-2</v>
      </c>
      <c r="M242" s="367">
        <v>0.12758</v>
      </c>
      <c r="N242" s="367">
        <v>0.15697</v>
      </c>
      <c r="O242" s="367">
        <v>0.12776000000000001</v>
      </c>
      <c r="P242" s="367">
        <v>2.375E-2</v>
      </c>
      <c r="Q242" s="367">
        <v>0.10401000000000001</v>
      </c>
    </row>
    <row r="243" spans="2:17" x14ac:dyDescent="0.3">
      <c r="B243" s="365" t="s">
        <v>422</v>
      </c>
      <c r="C243" s="365">
        <v>1.1169999999999999E-2</v>
      </c>
      <c r="D243" s="365">
        <v>0.13153000000000001</v>
      </c>
      <c r="E243" s="365">
        <v>0.13694000000000001</v>
      </c>
      <c r="F243" s="365">
        <v>0.12791</v>
      </c>
      <c r="G243" s="365">
        <v>3.5099999999999999E-2</v>
      </c>
      <c r="H243" s="365">
        <v>9.2810000000000004E-2</v>
      </c>
      <c r="K243" s="366">
        <v>42024</v>
      </c>
      <c r="L243" s="367">
        <v>1.103E-2</v>
      </c>
      <c r="M243" s="367">
        <v>0.12812999999999999</v>
      </c>
      <c r="N243" s="367">
        <v>0.15687000000000001</v>
      </c>
      <c r="O243" s="367">
        <v>0.1288</v>
      </c>
      <c r="P243" s="367">
        <v>2.3599999999999999E-2</v>
      </c>
      <c r="Q243" s="367">
        <v>0.1052</v>
      </c>
    </row>
    <row r="244" spans="2:17" x14ac:dyDescent="0.3">
      <c r="B244" s="365" t="s">
        <v>423</v>
      </c>
      <c r="C244" s="365">
        <v>1.115E-2</v>
      </c>
      <c r="D244" s="365">
        <v>0.13352</v>
      </c>
      <c r="E244" s="365">
        <v>0.13697999999999999</v>
      </c>
      <c r="F244" s="365">
        <v>0.12781000000000001</v>
      </c>
      <c r="G244" s="365">
        <v>3.5299999999999998E-2</v>
      </c>
      <c r="H244" s="365">
        <v>9.2509999999999995E-2</v>
      </c>
      <c r="K244" s="366">
        <v>42023</v>
      </c>
      <c r="L244" s="367">
        <v>1.1129999999999999E-2</v>
      </c>
      <c r="M244" s="367">
        <v>0.13399</v>
      </c>
      <c r="N244" s="367">
        <v>0.15734999999999999</v>
      </c>
      <c r="O244" s="367">
        <v>0.13091</v>
      </c>
      <c r="P244" s="367">
        <v>2.3820000000000001E-2</v>
      </c>
      <c r="Q244" s="367">
        <v>0.10709</v>
      </c>
    </row>
    <row r="245" spans="2:17" x14ac:dyDescent="0.3">
      <c r="B245" s="365" t="s">
        <v>424</v>
      </c>
      <c r="C245" s="365">
        <v>1.1259999999999999E-2</v>
      </c>
      <c r="D245" s="365">
        <v>0.13281999999999999</v>
      </c>
      <c r="E245" s="365">
        <v>0.13638</v>
      </c>
      <c r="F245" s="365">
        <v>0.12753</v>
      </c>
      <c r="G245" s="365">
        <v>3.5400000000000001E-2</v>
      </c>
      <c r="H245" s="365">
        <v>9.2130000000000004E-2</v>
      </c>
      <c r="K245" s="366">
        <v>42020</v>
      </c>
      <c r="L245" s="367">
        <v>1.1390000000000001E-2</v>
      </c>
      <c r="M245" s="367">
        <v>0.13072</v>
      </c>
      <c r="N245" s="367">
        <v>0.15712000000000001</v>
      </c>
      <c r="O245" s="367">
        <v>0.13114000000000001</v>
      </c>
      <c r="P245" s="367">
        <v>2.3470000000000001E-2</v>
      </c>
      <c r="Q245" s="367">
        <v>0.10767</v>
      </c>
    </row>
    <row r="246" spans="2:17" x14ac:dyDescent="0.3">
      <c r="B246" s="365" t="s">
        <v>425</v>
      </c>
      <c r="C246" s="365">
        <v>1.123E-2</v>
      </c>
      <c r="D246" s="365">
        <v>0.12963</v>
      </c>
      <c r="E246" s="365">
        <v>0.13594999999999999</v>
      </c>
      <c r="F246" s="365">
        <v>0.12604000000000001</v>
      </c>
      <c r="G246" s="365">
        <v>3.5000000000000003E-2</v>
      </c>
      <c r="H246" s="365">
        <v>9.1039999999999996E-2</v>
      </c>
      <c r="K246" s="366">
        <v>42019</v>
      </c>
      <c r="L246" s="367">
        <v>1.123E-2</v>
      </c>
      <c r="M246" s="367">
        <v>0.1288</v>
      </c>
      <c r="N246" s="367">
        <v>0.15661</v>
      </c>
      <c r="O246" s="367">
        <v>0.12964999999999999</v>
      </c>
      <c r="P246" s="367">
        <v>2.4510000000000001E-2</v>
      </c>
      <c r="Q246" s="367">
        <v>0.10514</v>
      </c>
    </row>
    <row r="247" spans="2:17" x14ac:dyDescent="0.3">
      <c r="B247" s="365" t="s">
        <v>426</v>
      </c>
      <c r="C247" s="365">
        <v>1.137E-2</v>
      </c>
      <c r="D247" s="365">
        <v>0.12894</v>
      </c>
      <c r="E247" s="365">
        <v>0.13589000000000001</v>
      </c>
      <c r="F247" s="365">
        <v>0.12640000000000001</v>
      </c>
      <c r="G247" s="365">
        <v>3.5099999999999999E-2</v>
      </c>
      <c r="H247" s="365">
        <v>9.1300000000000006E-2</v>
      </c>
      <c r="K247" s="366">
        <v>42018</v>
      </c>
      <c r="L247" s="367">
        <v>1.1220000000000001E-2</v>
      </c>
      <c r="M247" s="367">
        <v>0.12762999999999999</v>
      </c>
      <c r="N247" s="367">
        <v>0.15662000000000001</v>
      </c>
      <c r="O247" s="367">
        <v>0.12919</v>
      </c>
      <c r="P247" s="367">
        <v>2.3699999999999999E-2</v>
      </c>
      <c r="Q247" s="367">
        <v>0.10549</v>
      </c>
    </row>
    <row r="248" spans="2:17" x14ac:dyDescent="0.3">
      <c r="B248" s="365" t="s">
        <v>427</v>
      </c>
      <c r="C248" s="365">
        <v>1.137E-2</v>
      </c>
      <c r="D248" s="365">
        <v>0.13239999999999999</v>
      </c>
      <c r="E248" s="365">
        <v>0.1358</v>
      </c>
      <c r="F248" s="365">
        <v>0.12781000000000001</v>
      </c>
      <c r="G248" s="365">
        <v>3.4599999999999999E-2</v>
      </c>
      <c r="H248" s="365">
        <v>9.3210000000000001E-2</v>
      </c>
      <c r="K248" s="366">
        <v>42017</v>
      </c>
      <c r="L248" s="367">
        <v>1.12E-2</v>
      </c>
      <c r="M248" s="367">
        <v>0.12486</v>
      </c>
      <c r="N248" s="367">
        <v>0.15664</v>
      </c>
      <c r="O248" s="367">
        <v>0.12762000000000001</v>
      </c>
      <c r="P248" s="367">
        <v>2.4330000000000001E-2</v>
      </c>
      <c r="Q248" s="367">
        <v>0.10329000000000001</v>
      </c>
    </row>
    <row r="249" spans="2:17" x14ac:dyDescent="0.3">
      <c r="B249" s="365" t="s">
        <v>428</v>
      </c>
      <c r="C249" s="365">
        <v>1.142E-2</v>
      </c>
      <c r="D249" s="365">
        <v>0.13078999999999999</v>
      </c>
      <c r="E249" s="365">
        <v>0.13578999999999999</v>
      </c>
      <c r="F249" s="365">
        <v>0.12745999999999999</v>
      </c>
      <c r="G249" s="365">
        <v>3.4200000000000001E-2</v>
      </c>
      <c r="H249" s="365">
        <v>9.3259999999999996E-2</v>
      </c>
      <c r="K249" s="366">
        <v>42016</v>
      </c>
      <c r="L249" s="367">
        <v>1.119E-2</v>
      </c>
      <c r="M249" s="367">
        <v>0.12654000000000001</v>
      </c>
      <c r="N249" s="367">
        <v>0.15620999999999999</v>
      </c>
      <c r="O249" s="367">
        <v>0.12819</v>
      </c>
      <c r="P249" s="367">
        <v>2.4500000000000001E-2</v>
      </c>
      <c r="Q249" s="367">
        <v>0.10369</v>
      </c>
    </row>
    <row r="250" spans="2:17" x14ac:dyDescent="0.3">
      <c r="B250" s="365" t="s">
        <v>429</v>
      </c>
      <c r="C250" s="365">
        <v>1.141E-2</v>
      </c>
      <c r="D250" s="365">
        <v>0.13173000000000001</v>
      </c>
      <c r="E250" s="365">
        <v>0.13652</v>
      </c>
      <c r="F250" s="365">
        <v>0.12759999999999999</v>
      </c>
      <c r="G250" s="365">
        <v>3.4000000000000002E-2</v>
      </c>
      <c r="H250" s="365">
        <v>9.3600000000000003E-2</v>
      </c>
      <c r="K250" s="366">
        <v>42013</v>
      </c>
      <c r="L250" s="367">
        <v>1.116E-2</v>
      </c>
      <c r="M250" s="367">
        <v>0.12726999999999999</v>
      </c>
      <c r="N250" s="367">
        <v>0.15606999999999999</v>
      </c>
      <c r="O250" s="367">
        <v>0.12945000000000001</v>
      </c>
      <c r="P250" s="367">
        <v>2.5350000000000001E-2</v>
      </c>
      <c r="Q250" s="367">
        <v>0.1041</v>
      </c>
    </row>
    <row r="251" spans="2:17" x14ac:dyDescent="0.3">
      <c r="B251" s="365" t="s">
        <v>430</v>
      </c>
      <c r="C251" s="365">
        <v>1.141E-2</v>
      </c>
      <c r="D251" s="365">
        <v>0.13238</v>
      </c>
      <c r="E251" s="365">
        <v>0.13643</v>
      </c>
      <c r="F251" s="365">
        <v>0.12773000000000001</v>
      </c>
      <c r="G251" s="365">
        <v>3.4099999999999998E-2</v>
      </c>
      <c r="H251" s="365">
        <v>9.3630000000000005E-2</v>
      </c>
      <c r="K251" s="366">
        <v>42012</v>
      </c>
      <c r="L251" s="367">
        <v>1.1259999999999999E-2</v>
      </c>
      <c r="M251" s="367">
        <v>0.12640000000000001</v>
      </c>
      <c r="N251" s="367">
        <v>0.15551999999999999</v>
      </c>
      <c r="O251" s="367">
        <v>0.12997</v>
      </c>
      <c r="P251" s="367">
        <v>2.5499999999999998E-2</v>
      </c>
      <c r="Q251" s="367">
        <v>0.10446999999999999</v>
      </c>
    </row>
    <row r="252" spans="2:17" x14ac:dyDescent="0.3">
      <c r="B252" s="365" t="s">
        <v>431</v>
      </c>
      <c r="C252" s="365">
        <v>1.141E-2</v>
      </c>
      <c r="D252" s="365">
        <v>0.1323</v>
      </c>
      <c r="E252" s="365">
        <v>0.13621</v>
      </c>
      <c r="F252" s="365">
        <v>0.12748000000000001</v>
      </c>
      <c r="G252" s="365">
        <v>3.4500000000000003E-2</v>
      </c>
      <c r="H252" s="365">
        <v>9.2979999999999993E-2</v>
      </c>
      <c r="K252" s="366">
        <v>42011</v>
      </c>
      <c r="L252" s="367">
        <v>1.14E-2</v>
      </c>
      <c r="M252" s="367">
        <v>0.12687000000000001</v>
      </c>
      <c r="N252" s="367">
        <v>0.15479999999999999</v>
      </c>
      <c r="O252" s="367">
        <v>0.13084000000000001</v>
      </c>
      <c r="P252" s="367">
        <v>2.5569999999999999E-2</v>
      </c>
      <c r="Q252" s="367">
        <v>0.10527</v>
      </c>
    </row>
    <row r="253" spans="2:17" x14ac:dyDescent="0.3">
      <c r="B253" s="365" t="s">
        <v>432</v>
      </c>
      <c r="C253" s="365">
        <v>1.1440000000000001E-2</v>
      </c>
      <c r="D253" s="365">
        <v>0.13186999999999999</v>
      </c>
      <c r="E253" s="365">
        <v>0.13599</v>
      </c>
      <c r="F253" s="365">
        <v>0.12787999999999999</v>
      </c>
      <c r="G253" s="365">
        <v>3.4200000000000001E-2</v>
      </c>
      <c r="H253" s="365">
        <v>9.3679999999999999E-2</v>
      </c>
      <c r="K253" s="366">
        <v>42010</v>
      </c>
      <c r="L253" s="367">
        <v>1.142E-2</v>
      </c>
      <c r="M253" s="367">
        <v>0.12711</v>
      </c>
      <c r="N253" s="367">
        <v>0.15465999999999999</v>
      </c>
      <c r="O253" s="367">
        <v>0.13067999999999999</v>
      </c>
      <c r="P253" s="367">
        <v>2.555E-2</v>
      </c>
      <c r="Q253" s="367">
        <v>0.10513</v>
      </c>
    </row>
    <row r="254" spans="2:17" x14ac:dyDescent="0.3">
      <c r="B254" s="365" t="s">
        <v>433</v>
      </c>
      <c r="C254" s="365">
        <v>1.1339999999999999E-2</v>
      </c>
      <c r="D254" s="365">
        <v>0.13533000000000001</v>
      </c>
      <c r="E254" s="365">
        <v>0.13593</v>
      </c>
      <c r="F254" s="365">
        <v>0.12964000000000001</v>
      </c>
      <c r="G254" s="365">
        <v>3.44E-2</v>
      </c>
      <c r="H254" s="365">
        <v>9.5240000000000005E-2</v>
      </c>
      <c r="K254" s="366">
        <v>42009</v>
      </c>
      <c r="L254" s="367">
        <v>1.1209999999999999E-2</v>
      </c>
      <c r="M254" s="367">
        <v>0.12617</v>
      </c>
      <c r="N254" s="367">
        <v>0.15389</v>
      </c>
      <c r="O254" s="367">
        <v>0.12977</v>
      </c>
      <c r="P254" s="367">
        <v>2.6169999999999999E-2</v>
      </c>
      <c r="Q254" s="367">
        <v>0.1036</v>
      </c>
    </row>
    <row r="255" spans="2:17" x14ac:dyDescent="0.3">
      <c r="B255" s="365" t="s">
        <v>434</v>
      </c>
      <c r="C255" s="365">
        <v>1.136E-2</v>
      </c>
      <c r="D255" s="365">
        <v>0.13628999999999999</v>
      </c>
      <c r="E255" s="365">
        <v>0.13558000000000001</v>
      </c>
      <c r="F255" s="365">
        <v>0.13016</v>
      </c>
      <c r="G255" s="365">
        <v>3.4599999999999999E-2</v>
      </c>
      <c r="H255" s="365">
        <v>9.5560000000000006E-2</v>
      </c>
      <c r="K255" s="366">
        <v>42006</v>
      </c>
      <c r="L255" s="367">
        <v>1.0919999999999999E-2</v>
      </c>
      <c r="M255" s="367">
        <v>0.13439000000000001</v>
      </c>
      <c r="N255" s="367">
        <v>0.15290999999999999</v>
      </c>
      <c r="O255" s="367">
        <v>0.13128999999999999</v>
      </c>
      <c r="P255" s="367">
        <v>2.656E-2</v>
      </c>
      <c r="Q255" s="367">
        <v>0.10473</v>
      </c>
    </row>
    <row r="256" spans="2:17" x14ac:dyDescent="0.3">
      <c r="B256" s="365" t="s">
        <v>435</v>
      </c>
      <c r="C256" s="365">
        <v>1.141E-2</v>
      </c>
      <c r="D256" s="365">
        <v>0.13607</v>
      </c>
      <c r="E256" s="365">
        <v>0.13563</v>
      </c>
      <c r="F256" s="365">
        <v>0.13017000000000001</v>
      </c>
      <c r="G256" s="365">
        <v>3.4000000000000002E-2</v>
      </c>
      <c r="H256" s="365">
        <v>9.6170000000000005E-2</v>
      </c>
      <c r="K256" s="366">
        <v>42003</v>
      </c>
      <c r="L256" s="367">
        <v>1.099E-2</v>
      </c>
      <c r="M256" s="367">
        <v>0.14391999999999999</v>
      </c>
      <c r="N256" s="367">
        <v>0.14913999999999999</v>
      </c>
      <c r="O256" s="367">
        <v>0.13145000000000001</v>
      </c>
      <c r="P256" s="367">
        <v>2.605E-2</v>
      </c>
      <c r="Q256" s="367">
        <v>0.10539999999999999</v>
      </c>
    </row>
    <row r="257" spans="2:17" x14ac:dyDescent="0.3">
      <c r="B257" s="365" t="s">
        <v>436</v>
      </c>
      <c r="C257" s="365">
        <v>1.136E-2</v>
      </c>
      <c r="D257" s="365">
        <v>0.13178000000000001</v>
      </c>
      <c r="E257" s="365">
        <v>0.13558999999999999</v>
      </c>
      <c r="F257" s="365">
        <v>0.12964999999999999</v>
      </c>
      <c r="G257" s="365">
        <v>3.39E-2</v>
      </c>
      <c r="H257" s="365">
        <v>9.5750000000000002E-2</v>
      </c>
      <c r="K257" s="366">
        <v>42002</v>
      </c>
      <c r="L257" s="367">
        <v>1.09E-2</v>
      </c>
      <c r="M257" s="367">
        <v>0.14507999999999999</v>
      </c>
      <c r="N257" s="367">
        <v>0.14896999999999999</v>
      </c>
      <c r="O257" s="367">
        <v>0.13124</v>
      </c>
      <c r="P257" s="367">
        <v>2.6100000000000002E-2</v>
      </c>
      <c r="Q257" s="367">
        <v>0.10514</v>
      </c>
    </row>
    <row r="258" spans="2:17" x14ac:dyDescent="0.3">
      <c r="B258" s="365" t="s">
        <v>437</v>
      </c>
      <c r="C258" s="365">
        <v>1.1390000000000001E-2</v>
      </c>
      <c r="D258" s="365">
        <v>0.1522</v>
      </c>
      <c r="E258" s="365">
        <v>0.13624</v>
      </c>
      <c r="F258" s="365">
        <v>0.14058999999999999</v>
      </c>
      <c r="G258" s="365">
        <v>3.4000000000000002E-2</v>
      </c>
      <c r="H258" s="365">
        <v>0.10659</v>
      </c>
      <c r="K258" s="366">
        <v>41999</v>
      </c>
      <c r="L258" s="367">
        <v>1.078E-2</v>
      </c>
      <c r="M258" s="367">
        <v>0.14501</v>
      </c>
      <c r="N258" s="367">
        <v>0.14896999999999999</v>
      </c>
      <c r="O258" s="367">
        <v>0.13102</v>
      </c>
      <c r="P258" s="367">
        <v>2.6499999999999999E-2</v>
      </c>
      <c r="Q258" s="367">
        <v>0.10452</v>
      </c>
    </row>
    <row r="259" spans="2:17" x14ac:dyDescent="0.3">
      <c r="B259" s="365" t="s">
        <v>438</v>
      </c>
      <c r="C259" s="365">
        <v>1.145E-2</v>
      </c>
      <c r="D259" s="365">
        <v>0.15143000000000001</v>
      </c>
      <c r="E259" s="365">
        <v>0.13625000000000001</v>
      </c>
      <c r="F259" s="365">
        <v>0.13983999999999999</v>
      </c>
      <c r="G259" s="365">
        <v>3.4700000000000002E-2</v>
      </c>
      <c r="H259" s="365">
        <v>0.10514</v>
      </c>
      <c r="K259" s="366">
        <v>41997</v>
      </c>
      <c r="L259" s="367">
        <v>1.086E-2</v>
      </c>
      <c r="M259" s="367">
        <v>0.14568</v>
      </c>
      <c r="N259" s="367">
        <v>0.14827000000000001</v>
      </c>
      <c r="O259" s="367">
        <v>0.13120999999999999</v>
      </c>
      <c r="P259" s="367">
        <v>2.649E-2</v>
      </c>
      <c r="Q259" s="367">
        <v>0.10471999999999999</v>
      </c>
    </row>
    <row r="260" spans="2:17" x14ac:dyDescent="0.3">
      <c r="B260" s="365" t="s">
        <v>439</v>
      </c>
      <c r="C260" s="365">
        <v>1.14E-2</v>
      </c>
      <c r="D260" s="365">
        <v>0.15104000000000001</v>
      </c>
      <c r="E260" s="365">
        <v>0.13605999999999999</v>
      </c>
      <c r="F260" s="365">
        <v>0.13866000000000001</v>
      </c>
      <c r="G260" s="365">
        <v>3.5000000000000003E-2</v>
      </c>
      <c r="H260" s="365">
        <v>0.10366</v>
      </c>
      <c r="K260" s="366">
        <v>41996</v>
      </c>
      <c r="L260" s="367">
        <v>1.09E-2</v>
      </c>
      <c r="M260" s="367">
        <v>0.14601</v>
      </c>
      <c r="N260" s="367">
        <v>0.14788000000000001</v>
      </c>
      <c r="O260" s="367">
        <v>0.13139999999999999</v>
      </c>
      <c r="P260" s="367">
        <v>2.6700000000000002E-2</v>
      </c>
      <c r="Q260" s="367">
        <v>0.1047</v>
      </c>
    </row>
    <row r="261" spans="2:17" x14ac:dyDescent="0.3">
      <c r="B261" s="365" t="s">
        <v>440</v>
      </c>
      <c r="C261" s="365">
        <v>1.1520000000000001E-2</v>
      </c>
      <c r="D261" s="365">
        <v>0.14368</v>
      </c>
      <c r="E261" s="365">
        <v>0.13602</v>
      </c>
      <c r="F261" s="365">
        <v>0.13536999999999999</v>
      </c>
      <c r="G261" s="365">
        <v>3.5700000000000003E-2</v>
      </c>
      <c r="H261" s="365">
        <v>9.9669999999999995E-2</v>
      </c>
      <c r="K261" s="366">
        <v>41995</v>
      </c>
      <c r="L261" s="367">
        <v>1.086E-2</v>
      </c>
      <c r="M261" s="367">
        <v>0.14591999999999999</v>
      </c>
      <c r="N261" s="367">
        <v>0.14785999999999999</v>
      </c>
      <c r="O261" s="367">
        <v>0.13131999999999999</v>
      </c>
      <c r="P261" s="367">
        <v>2.666E-2</v>
      </c>
      <c r="Q261" s="367">
        <v>0.10466</v>
      </c>
    </row>
    <row r="262" spans="2:17" x14ac:dyDescent="0.3">
      <c r="B262" s="365" t="s">
        <v>441</v>
      </c>
      <c r="C262" s="365">
        <v>1.145E-2</v>
      </c>
      <c r="D262" s="365">
        <v>0.14329</v>
      </c>
      <c r="E262" s="365">
        <v>0.13591</v>
      </c>
      <c r="F262" s="365">
        <v>0.13505</v>
      </c>
      <c r="G262" s="365">
        <v>3.5299999999999998E-2</v>
      </c>
      <c r="H262" s="365">
        <v>9.9750000000000005E-2</v>
      </c>
      <c r="K262" s="366">
        <v>41992</v>
      </c>
      <c r="L262" s="367">
        <v>1.093E-2</v>
      </c>
      <c r="M262" s="367">
        <v>0.14355000000000001</v>
      </c>
      <c r="N262" s="367">
        <v>0.14777999999999999</v>
      </c>
      <c r="O262" s="367">
        <v>0.13267000000000001</v>
      </c>
      <c r="P262" s="367">
        <v>2.717E-2</v>
      </c>
      <c r="Q262" s="367">
        <v>0.1055</v>
      </c>
    </row>
    <row r="263" spans="2:17" x14ac:dyDescent="0.3">
      <c r="B263" s="365" t="s">
        <v>442</v>
      </c>
      <c r="C263" s="365">
        <v>1.145E-2</v>
      </c>
      <c r="D263" s="365">
        <v>0.14330999999999999</v>
      </c>
      <c r="E263" s="365">
        <v>0.13608999999999999</v>
      </c>
      <c r="F263" s="365">
        <v>0.13508999999999999</v>
      </c>
      <c r="G263" s="365">
        <v>3.5499999999999997E-2</v>
      </c>
      <c r="H263" s="365">
        <v>9.9589999999999998E-2</v>
      </c>
      <c r="K263" s="366">
        <v>41991</v>
      </c>
      <c r="L263" s="367">
        <v>1.1299999999999999E-2</v>
      </c>
      <c r="M263" s="367">
        <v>0.14308000000000001</v>
      </c>
      <c r="N263" s="367">
        <v>0.14746000000000001</v>
      </c>
      <c r="O263" s="367">
        <v>0.13367000000000001</v>
      </c>
      <c r="P263" s="367">
        <v>2.7269999999999999E-2</v>
      </c>
      <c r="Q263" s="367">
        <v>0.10639999999999999</v>
      </c>
    </row>
    <row r="264" spans="2:17" x14ac:dyDescent="0.3">
      <c r="B264" s="365" t="s">
        <v>443</v>
      </c>
      <c r="C264" s="365">
        <v>1.15E-2</v>
      </c>
      <c r="D264" s="365">
        <v>0.14022999999999999</v>
      </c>
      <c r="E264" s="365">
        <v>0.13617000000000001</v>
      </c>
      <c r="F264" s="365">
        <v>0.13400999999999999</v>
      </c>
      <c r="G264" s="365">
        <v>3.6200000000000003E-2</v>
      </c>
      <c r="H264" s="365">
        <v>9.7809999999999994E-2</v>
      </c>
      <c r="K264" s="366">
        <v>41990</v>
      </c>
      <c r="L264" s="367">
        <v>1.129E-2</v>
      </c>
      <c r="M264" s="367">
        <v>0.14319000000000001</v>
      </c>
      <c r="N264" s="367">
        <v>0.14773</v>
      </c>
      <c r="O264" s="367">
        <v>0.13386999999999999</v>
      </c>
      <c r="P264" s="367">
        <v>2.6950000000000002E-2</v>
      </c>
      <c r="Q264" s="367">
        <v>0.10692</v>
      </c>
    </row>
    <row r="265" spans="2:17" x14ac:dyDescent="0.3">
      <c r="B265" s="365" t="s">
        <v>444</v>
      </c>
      <c r="C265" s="365">
        <v>1.1610000000000001E-2</v>
      </c>
      <c r="D265" s="365">
        <v>0.14001</v>
      </c>
      <c r="E265" s="365">
        <v>0.13638</v>
      </c>
      <c r="F265" s="365">
        <v>0.13456000000000001</v>
      </c>
      <c r="G265" s="365">
        <v>3.5900000000000001E-2</v>
      </c>
      <c r="H265" s="365">
        <v>9.8659999999999998E-2</v>
      </c>
      <c r="K265" s="366">
        <v>41989</v>
      </c>
      <c r="L265" s="367">
        <v>1.1270000000000001E-2</v>
      </c>
      <c r="M265" s="367">
        <v>0.14258000000000001</v>
      </c>
      <c r="N265" s="367">
        <v>0.14766000000000001</v>
      </c>
      <c r="O265" s="367">
        <v>0.13372999999999999</v>
      </c>
      <c r="P265" s="367">
        <v>2.6620000000000001E-2</v>
      </c>
      <c r="Q265" s="367">
        <v>0.10711</v>
      </c>
    </row>
    <row r="266" spans="2:17" x14ac:dyDescent="0.3">
      <c r="B266" s="365" t="s">
        <v>445</v>
      </c>
      <c r="C266" s="365">
        <v>1.1730000000000001E-2</v>
      </c>
      <c r="D266" s="365">
        <v>0.13983000000000001</v>
      </c>
      <c r="E266" s="365">
        <v>0.13627</v>
      </c>
      <c r="F266" s="365">
        <v>0.13517999999999999</v>
      </c>
      <c r="G266" s="365">
        <v>3.6900000000000002E-2</v>
      </c>
      <c r="H266" s="365">
        <v>9.8280000000000006E-2</v>
      </c>
      <c r="K266" s="366">
        <v>41988</v>
      </c>
      <c r="L266" s="367">
        <v>1.1169999999999999E-2</v>
      </c>
      <c r="M266" s="367">
        <v>0.14298</v>
      </c>
      <c r="N266" s="367">
        <v>0.14757999999999999</v>
      </c>
      <c r="O266" s="367">
        <v>0.13321</v>
      </c>
      <c r="P266" s="367">
        <v>2.69E-2</v>
      </c>
      <c r="Q266" s="367">
        <v>0.10631</v>
      </c>
    </row>
    <row r="267" spans="2:17" x14ac:dyDescent="0.3">
      <c r="B267" s="365" t="s">
        <v>446</v>
      </c>
      <c r="C267" s="365">
        <v>1.176E-2</v>
      </c>
      <c r="D267" s="365">
        <v>0.13977000000000001</v>
      </c>
      <c r="E267" s="365">
        <v>0.13619000000000001</v>
      </c>
      <c r="F267" s="365">
        <v>0.13522000000000001</v>
      </c>
      <c r="G267" s="365">
        <v>3.6999999999999998E-2</v>
      </c>
      <c r="H267" s="365">
        <v>9.8220000000000002E-2</v>
      </c>
      <c r="K267" s="366">
        <v>41985</v>
      </c>
      <c r="L267" s="367">
        <v>1.142E-2</v>
      </c>
      <c r="M267" s="367">
        <v>0.14319000000000001</v>
      </c>
      <c r="N267" s="367">
        <v>0.14813000000000001</v>
      </c>
      <c r="O267" s="367">
        <v>0.13161</v>
      </c>
      <c r="P267" s="367">
        <v>2.6960000000000001E-2</v>
      </c>
      <c r="Q267" s="367">
        <v>0.10465000000000001</v>
      </c>
    </row>
    <row r="268" spans="2:17" x14ac:dyDescent="0.3">
      <c r="B268" s="365" t="s">
        <v>447</v>
      </c>
      <c r="C268" s="365">
        <v>1.187E-2</v>
      </c>
      <c r="D268" s="365">
        <v>0.13958000000000001</v>
      </c>
      <c r="E268" s="365">
        <v>0.13617000000000001</v>
      </c>
      <c r="F268" s="365">
        <v>0.13571</v>
      </c>
      <c r="G268" s="365">
        <v>3.6299999999999999E-2</v>
      </c>
      <c r="H268" s="365">
        <v>9.9409999999999998E-2</v>
      </c>
      <c r="K268" s="366">
        <v>41984</v>
      </c>
      <c r="L268" s="367">
        <v>1.141E-2</v>
      </c>
      <c r="M268" s="367">
        <v>0.14213000000000001</v>
      </c>
      <c r="N268" s="367">
        <v>0.14801</v>
      </c>
      <c r="O268" s="367">
        <v>0.13155</v>
      </c>
      <c r="P268" s="367">
        <v>2.6950000000000002E-2</v>
      </c>
      <c r="Q268" s="367">
        <v>0.1046</v>
      </c>
    </row>
    <row r="269" spans="2:17" x14ac:dyDescent="0.3">
      <c r="B269" s="365" t="s">
        <v>448</v>
      </c>
      <c r="C269" s="365">
        <v>1.1860000000000001E-2</v>
      </c>
      <c r="D269" s="365">
        <v>0.13938</v>
      </c>
      <c r="E269" s="365">
        <v>0.13614999999999999</v>
      </c>
      <c r="F269" s="365">
        <v>0.13555</v>
      </c>
      <c r="G269" s="365">
        <v>3.5999999999999997E-2</v>
      </c>
      <c r="H269" s="365">
        <v>9.955E-2</v>
      </c>
      <c r="K269" s="366">
        <v>41983</v>
      </c>
      <c r="L269" s="367">
        <v>1.123E-2</v>
      </c>
      <c r="M269" s="367">
        <v>0.14274000000000001</v>
      </c>
      <c r="N269" s="367">
        <v>0.14802000000000001</v>
      </c>
      <c r="O269" s="367">
        <v>0.13081000000000001</v>
      </c>
      <c r="P269" s="367">
        <v>2.7660000000000001E-2</v>
      </c>
      <c r="Q269" s="367">
        <v>0.10315000000000001</v>
      </c>
    </row>
    <row r="270" spans="2:17" x14ac:dyDescent="0.3">
      <c r="B270" s="365" t="s">
        <v>449</v>
      </c>
      <c r="C270" s="365">
        <v>1.191E-2</v>
      </c>
      <c r="D270" s="365">
        <v>0.13944000000000001</v>
      </c>
      <c r="E270" s="365">
        <v>0.13628999999999999</v>
      </c>
      <c r="F270" s="365">
        <v>0.13582</v>
      </c>
      <c r="G270" s="365">
        <v>3.5900000000000001E-2</v>
      </c>
      <c r="H270" s="365">
        <v>9.9919999999999995E-2</v>
      </c>
      <c r="K270" s="366">
        <v>41982</v>
      </c>
      <c r="L270" s="367">
        <v>1.108E-2</v>
      </c>
      <c r="M270" s="367">
        <v>0.14693999999999999</v>
      </c>
      <c r="N270" s="367">
        <v>0.14810000000000001</v>
      </c>
      <c r="O270" s="367">
        <v>0.12928000000000001</v>
      </c>
      <c r="P270" s="367">
        <v>2.75E-2</v>
      </c>
      <c r="Q270" s="367">
        <v>0.10178</v>
      </c>
    </row>
    <row r="271" spans="2:17" x14ac:dyDescent="0.3">
      <c r="B271" s="365" t="s">
        <v>450</v>
      </c>
      <c r="C271" s="365">
        <v>1.191E-2</v>
      </c>
      <c r="D271" s="365">
        <v>0.13689999999999999</v>
      </c>
      <c r="E271" s="365">
        <v>0.13619999999999999</v>
      </c>
      <c r="F271" s="365">
        <v>0.13514999999999999</v>
      </c>
      <c r="G271" s="365">
        <v>3.5299999999999998E-2</v>
      </c>
      <c r="H271" s="365">
        <v>9.9849999999999994E-2</v>
      </c>
      <c r="K271" s="366">
        <v>41981</v>
      </c>
      <c r="L271" s="367">
        <v>1.1050000000000001E-2</v>
      </c>
      <c r="M271" s="367">
        <v>0.14258999999999999</v>
      </c>
      <c r="N271" s="367">
        <v>0.14813000000000001</v>
      </c>
      <c r="O271" s="367">
        <v>0.12831999999999999</v>
      </c>
      <c r="P271" s="367">
        <v>2.81E-2</v>
      </c>
      <c r="Q271" s="367">
        <v>0.10022</v>
      </c>
    </row>
    <row r="272" spans="2:17" x14ac:dyDescent="0.3">
      <c r="B272" s="365" t="s">
        <v>451</v>
      </c>
      <c r="C272" s="365">
        <v>1.204E-2</v>
      </c>
      <c r="D272" s="365">
        <v>0.13736000000000001</v>
      </c>
      <c r="E272" s="365">
        <v>0.13636999999999999</v>
      </c>
      <c r="F272" s="365">
        <v>0.13578999999999999</v>
      </c>
      <c r="G272" s="365">
        <v>3.5799999999999998E-2</v>
      </c>
      <c r="H272" s="365">
        <v>9.9989999999999996E-2</v>
      </c>
      <c r="K272" s="366">
        <v>41978</v>
      </c>
      <c r="L272" s="367">
        <v>1.102E-2</v>
      </c>
      <c r="M272" s="367">
        <v>0.14354</v>
      </c>
      <c r="N272" s="367">
        <v>0.14802000000000001</v>
      </c>
      <c r="O272" s="367">
        <v>0.1283</v>
      </c>
      <c r="P272" s="367">
        <v>2.724E-2</v>
      </c>
      <c r="Q272" s="367">
        <v>0.10106</v>
      </c>
    </row>
    <row r="273" spans="2:17" x14ac:dyDescent="0.3">
      <c r="B273" s="365" t="s">
        <v>452</v>
      </c>
      <c r="C273" s="365">
        <v>1.218E-2</v>
      </c>
      <c r="D273" s="365">
        <v>0.13730000000000001</v>
      </c>
      <c r="E273" s="365">
        <v>0.13638</v>
      </c>
      <c r="F273" s="365">
        <v>0.13644000000000001</v>
      </c>
      <c r="G273" s="365">
        <v>3.61E-2</v>
      </c>
      <c r="H273" s="365">
        <v>0.10034</v>
      </c>
      <c r="K273" s="366">
        <v>41977</v>
      </c>
      <c r="L273" s="367">
        <v>1.103E-2</v>
      </c>
      <c r="M273" s="367">
        <v>0.14418</v>
      </c>
      <c r="N273" s="367">
        <v>0.14802000000000001</v>
      </c>
      <c r="O273" s="367">
        <v>0.12858</v>
      </c>
      <c r="P273" s="367">
        <v>2.7189999999999999E-2</v>
      </c>
      <c r="Q273" s="367">
        <v>0.10138999999999999</v>
      </c>
    </row>
    <row r="274" spans="2:17" x14ac:dyDescent="0.3">
      <c r="B274" s="365" t="s">
        <v>453</v>
      </c>
      <c r="C274" s="365">
        <v>1.218E-2</v>
      </c>
      <c r="D274" s="365">
        <v>0.13719999999999999</v>
      </c>
      <c r="E274" s="365">
        <v>0.13630999999999999</v>
      </c>
      <c r="F274" s="365">
        <v>0.13671</v>
      </c>
      <c r="G274" s="365">
        <v>3.6600000000000001E-2</v>
      </c>
      <c r="H274" s="365">
        <v>0.10011</v>
      </c>
      <c r="K274" s="366">
        <v>41976</v>
      </c>
      <c r="L274" s="367">
        <v>1.1129999999999999E-2</v>
      </c>
      <c r="M274" s="367">
        <v>0.14452000000000001</v>
      </c>
      <c r="N274" s="367">
        <v>0.14779999999999999</v>
      </c>
      <c r="O274" s="367">
        <v>0.12911</v>
      </c>
      <c r="P274" s="367">
        <v>2.682E-2</v>
      </c>
      <c r="Q274" s="367">
        <v>0.10229000000000001</v>
      </c>
    </row>
    <row r="275" spans="2:17" x14ac:dyDescent="0.3">
      <c r="B275" s="365" t="s">
        <v>454</v>
      </c>
      <c r="C275" s="365">
        <v>1.217E-2</v>
      </c>
      <c r="D275" s="365">
        <v>0.13975000000000001</v>
      </c>
      <c r="E275" s="365">
        <v>0.13617000000000001</v>
      </c>
      <c r="F275" s="365">
        <v>0.13702</v>
      </c>
      <c r="G275" s="365">
        <v>3.6700000000000003E-2</v>
      </c>
      <c r="H275" s="365">
        <v>0.10032000000000001</v>
      </c>
      <c r="K275" s="366">
        <v>41975</v>
      </c>
      <c r="L275" s="367">
        <v>1.115E-2</v>
      </c>
      <c r="M275" s="367">
        <v>0.14446000000000001</v>
      </c>
      <c r="N275" s="367">
        <v>0.14782000000000001</v>
      </c>
      <c r="O275" s="367">
        <v>0.12903999999999999</v>
      </c>
      <c r="P275" s="367">
        <v>2.605E-2</v>
      </c>
      <c r="Q275" s="367">
        <v>0.10299</v>
      </c>
    </row>
    <row r="276" spans="2:17" x14ac:dyDescent="0.3">
      <c r="B276" s="365" t="s">
        <v>455</v>
      </c>
      <c r="C276" s="365">
        <v>1.2290000000000001E-2</v>
      </c>
      <c r="D276" s="365">
        <v>0.14401</v>
      </c>
      <c r="E276" s="365">
        <v>0.13605</v>
      </c>
      <c r="F276" s="365">
        <v>0.14044000000000001</v>
      </c>
      <c r="G276" s="365">
        <v>3.7199999999999997E-2</v>
      </c>
      <c r="H276" s="365">
        <v>0.10324</v>
      </c>
      <c r="K276" s="366">
        <v>41974</v>
      </c>
      <c r="L276" s="367">
        <v>1.1140000000000001E-2</v>
      </c>
      <c r="M276" s="367">
        <v>0.14348</v>
      </c>
      <c r="N276" s="367">
        <v>0.14777999999999999</v>
      </c>
      <c r="O276" s="367">
        <v>0.12803</v>
      </c>
      <c r="P276" s="367">
        <v>2.5870000000000001E-2</v>
      </c>
      <c r="Q276" s="367">
        <v>0.10216</v>
      </c>
    </row>
    <row r="277" spans="2:17" x14ac:dyDescent="0.3">
      <c r="B277" s="365" t="s">
        <v>456</v>
      </c>
      <c r="C277" s="365">
        <v>1.243E-2</v>
      </c>
      <c r="D277" s="365">
        <v>0.14382</v>
      </c>
      <c r="E277" s="365">
        <v>0.13599</v>
      </c>
      <c r="F277" s="365">
        <v>0.14086000000000001</v>
      </c>
      <c r="G277" s="365">
        <v>3.73E-2</v>
      </c>
      <c r="H277" s="365">
        <v>0.10356</v>
      </c>
      <c r="K277" s="366">
        <v>41971</v>
      </c>
      <c r="L277" s="367">
        <v>1.0789999999999999E-2</v>
      </c>
      <c r="M277" s="367">
        <v>0.14424999999999999</v>
      </c>
      <c r="N277" s="367">
        <v>0.14734</v>
      </c>
      <c r="O277" s="367">
        <v>0.12478</v>
      </c>
      <c r="P277" s="367">
        <v>2.5899999999999999E-2</v>
      </c>
      <c r="Q277" s="367">
        <v>9.8879999999999996E-2</v>
      </c>
    </row>
    <row r="278" spans="2:17" x14ac:dyDescent="0.3">
      <c r="B278" s="365" t="s">
        <v>457</v>
      </c>
      <c r="C278" s="365">
        <v>1.2319999999999999E-2</v>
      </c>
      <c r="D278" s="365">
        <v>0.14668999999999999</v>
      </c>
      <c r="E278" s="365">
        <v>0.13600999999999999</v>
      </c>
      <c r="F278" s="365">
        <v>0.14111000000000001</v>
      </c>
      <c r="G278" s="365">
        <v>3.6600000000000001E-2</v>
      </c>
      <c r="H278" s="365">
        <v>0.10451000000000001</v>
      </c>
      <c r="K278" s="366">
        <v>41970</v>
      </c>
      <c r="L278" s="367">
        <v>1.078E-2</v>
      </c>
      <c r="M278" s="367">
        <v>0.14505000000000001</v>
      </c>
      <c r="N278" s="367">
        <v>0.14713999999999999</v>
      </c>
      <c r="O278" s="367">
        <v>0.12479999999999999</v>
      </c>
      <c r="P278" s="367">
        <v>2.649E-2</v>
      </c>
      <c r="Q278" s="367">
        <v>9.8309999999999995E-2</v>
      </c>
    </row>
    <row r="279" spans="2:17" x14ac:dyDescent="0.3">
      <c r="B279" s="365" t="s">
        <v>458</v>
      </c>
      <c r="C279" s="365">
        <v>1.2189999999999999E-2</v>
      </c>
      <c r="D279" s="365">
        <v>0.14613999999999999</v>
      </c>
      <c r="E279" s="365">
        <v>0.13583999999999999</v>
      </c>
      <c r="F279" s="365">
        <v>0.14044999999999999</v>
      </c>
      <c r="G279" s="365">
        <v>3.6400000000000002E-2</v>
      </c>
      <c r="H279" s="365">
        <v>0.10405</v>
      </c>
      <c r="K279" s="366">
        <v>41969</v>
      </c>
      <c r="L279" s="367">
        <v>1.0800000000000001E-2</v>
      </c>
      <c r="M279" s="367">
        <v>0.14684</v>
      </c>
      <c r="N279" s="367">
        <v>0.14738000000000001</v>
      </c>
      <c r="O279" s="367">
        <v>0.12454</v>
      </c>
      <c r="P279" s="367">
        <v>2.6370000000000001E-2</v>
      </c>
      <c r="Q279" s="367">
        <v>9.8169999999999993E-2</v>
      </c>
    </row>
    <row r="280" spans="2:17" x14ac:dyDescent="0.3">
      <c r="B280" s="365" t="s">
        <v>459</v>
      </c>
      <c r="C280" s="365">
        <v>1.2E-2</v>
      </c>
      <c r="D280" s="365">
        <v>0.14655000000000001</v>
      </c>
      <c r="E280" s="365">
        <v>0.13571</v>
      </c>
      <c r="F280" s="365">
        <v>0.14002999999999999</v>
      </c>
      <c r="G280" s="365">
        <v>3.7400000000000003E-2</v>
      </c>
      <c r="H280" s="365">
        <v>0.10263</v>
      </c>
      <c r="K280" s="366">
        <v>41968</v>
      </c>
      <c r="L280" s="367">
        <v>1.0800000000000001E-2</v>
      </c>
      <c r="M280" s="367">
        <v>0.14154</v>
      </c>
      <c r="N280" s="367">
        <v>0.14746999999999999</v>
      </c>
      <c r="O280" s="367">
        <v>0.12366000000000001</v>
      </c>
      <c r="P280" s="367">
        <v>2.6499999999999999E-2</v>
      </c>
      <c r="Q280" s="367">
        <v>9.7159999999999996E-2</v>
      </c>
    </row>
    <row r="281" spans="2:17" x14ac:dyDescent="0.3">
      <c r="B281" s="365" t="s">
        <v>460</v>
      </c>
      <c r="C281" s="365">
        <v>1.1979999999999999E-2</v>
      </c>
      <c r="D281" s="365">
        <v>0.14263000000000001</v>
      </c>
      <c r="E281" s="365">
        <v>0.13563</v>
      </c>
      <c r="F281" s="365">
        <v>0.14024</v>
      </c>
      <c r="G281" s="365">
        <v>3.6700000000000003E-2</v>
      </c>
      <c r="H281" s="365">
        <v>0.10353999999999999</v>
      </c>
      <c r="K281" s="366">
        <v>41967</v>
      </c>
      <c r="L281" s="367">
        <v>1.078E-2</v>
      </c>
      <c r="M281" s="367">
        <v>0.14079</v>
      </c>
      <c r="N281" s="367">
        <v>0.14743999999999999</v>
      </c>
      <c r="O281" s="367">
        <v>0.12392</v>
      </c>
      <c r="P281" s="367">
        <v>2.6749999999999999E-2</v>
      </c>
      <c r="Q281" s="367">
        <v>9.7170000000000006E-2</v>
      </c>
    </row>
    <row r="282" spans="2:17" x14ac:dyDescent="0.3">
      <c r="B282" s="365" t="s">
        <v>461</v>
      </c>
      <c r="C282" s="365">
        <v>1.193E-2</v>
      </c>
      <c r="D282" s="365">
        <v>0.14163999999999999</v>
      </c>
      <c r="E282" s="365">
        <v>0.1366</v>
      </c>
      <c r="F282" s="365">
        <v>0.13976</v>
      </c>
      <c r="G282" s="365">
        <v>3.6600000000000001E-2</v>
      </c>
      <c r="H282" s="365">
        <v>0.10316</v>
      </c>
      <c r="K282" s="366">
        <v>41964</v>
      </c>
      <c r="L282" s="367">
        <v>1.089E-2</v>
      </c>
      <c r="M282" s="367">
        <v>0.13927999999999999</v>
      </c>
      <c r="N282" s="367">
        <v>0.14626</v>
      </c>
      <c r="O282" s="367">
        <v>0.12325</v>
      </c>
      <c r="P282" s="367">
        <v>2.7300000000000001E-2</v>
      </c>
      <c r="Q282" s="367">
        <v>9.5949999999999994E-2</v>
      </c>
    </row>
    <row r="283" spans="2:17" x14ac:dyDescent="0.3">
      <c r="B283" s="365" t="s">
        <v>462</v>
      </c>
      <c r="C283" s="365">
        <v>1.201E-2</v>
      </c>
      <c r="D283" s="365">
        <v>0.14180999999999999</v>
      </c>
      <c r="E283" s="365">
        <v>0.13694999999999999</v>
      </c>
      <c r="F283" s="365">
        <v>0.14005999999999999</v>
      </c>
      <c r="G283" s="365">
        <v>3.5700000000000003E-2</v>
      </c>
      <c r="H283" s="365">
        <v>0.10435999999999999</v>
      </c>
      <c r="K283" s="366">
        <v>41963</v>
      </c>
      <c r="L283" s="367">
        <v>1.0919999999999999E-2</v>
      </c>
      <c r="M283" s="367">
        <v>0.14055999999999999</v>
      </c>
      <c r="N283" s="367">
        <v>0.14638999999999999</v>
      </c>
      <c r="O283" s="367">
        <v>0.12378</v>
      </c>
      <c r="P283" s="367">
        <v>2.7150000000000001E-2</v>
      </c>
      <c r="Q283" s="367">
        <v>9.6629999999999994E-2</v>
      </c>
    </row>
    <row r="284" spans="2:17" x14ac:dyDescent="0.3">
      <c r="B284" s="365" t="s">
        <v>463</v>
      </c>
      <c r="C284" s="365">
        <v>1.221E-2</v>
      </c>
      <c r="D284" s="365">
        <v>0.14621999999999999</v>
      </c>
      <c r="E284" s="365">
        <v>0.13669999999999999</v>
      </c>
      <c r="F284" s="365">
        <v>0.14079</v>
      </c>
      <c r="G284" s="365">
        <v>3.5400000000000001E-2</v>
      </c>
      <c r="H284" s="365">
        <v>0.10539</v>
      </c>
      <c r="K284" s="366">
        <v>41962</v>
      </c>
      <c r="L284" s="367">
        <v>1.09E-2</v>
      </c>
      <c r="M284" s="367">
        <v>0.14007</v>
      </c>
      <c r="N284" s="367">
        <v>0.14641000000000001</v>
      </c>
      <c r="O284" s="367">
        <v>0.12368</v>
      </c>
      <c r="P284" s="367">
        <v>2.741E-2</v>
      </c>
      <c r="Q284" s="367">
        <v>9.6269999999999994E-2</v>
      </c>
    </row>
    <row r="285" spans="2:17" x14ac:dyDescent="0.3">
      <c r="B285" s="365" t="s">
        <v>464</v>
      </c>
      <c r="C285" s="365">
        <v>1.2239999999999999E-2</v>
      </c>
      <c r="D285" s="365">
        <v>0.14804999999999999</v>
      </c>
      <c r="E285" s="365">
        <v>0.14174</v>
      </c>
      <c r="F285" s="365">
        <v>0.14108999999999999</v>
      </c>
      <c r="G285" s="365">
        <v>3.5799999999999998E-2</v>
      </c>
      <c r="H285" s="365">
        <v>0.10528999999999999</v>
      </c>
      <c r="K285" s="366">
        <v>41961</v>
      </c>
      <c r="L285" s="367">
        <v>1.081E-2</v>
      </c>
      <c r="M285" s="367">
        <v>0.13865</v>
      </c>
      <c r="N285" s="367">
        <v>0.14651</v>
      </c>
      <c r="O285" s="367">
        <v>0.12399</v>
      </c>
      <c r="P285" s="367">
        <v>2.7449999999999999E-2</v>
      </c>
      <c r="Q285" s="367">
        <v>9.6540000000000001E-2</v>
      </c>
    </row>
    <row r="286" spans="2:17" x14ac:dyDescent="0.3">
      <c r="B286" s="365" t="s">
        <v>465</v>
      </c>
      <c r="C286" s="365">
        <v>1.221E-2</v>
      </c>
      <c r="D286" s="365">
        <v>0.14760999999999999</v>
      </c>
      <c r="E286" s="365">
        <v>0.14155999999999999</v>
      </c>
      <c r="F286" s="365">
        <v>0.14093</v>
      </c>
      <c r="G286" s="365">
        <v>3.5799999999999998E-2</v>
      </c>
      <c r="H286" s="365">
        <v>0.10513</v>
      </c>
      <c r="K286" s="366">
        <v>41960</v>
      </c>
      <c r="L286" s="367">
        <v>1.094E-2</v>
      </c>
      <c r="M286" s="367">
        <v>0.14115</v>
      </c>
      <c r="N286" s="367">
        <v>0.14663999999999999</v>
      </c>
      <c r="O286" s="367">
        <v>0.12518000000000001</v>
      </c>
      <c r="P286" s="367">
        <v>2.7619999999999999E-2</v>
      </c>
      <c r="Q286" s="367">
        <v>9.7559999999999994E-2</v>
      </c>
    </row>
    <row r="287" spans="2:17" x14ac:dyDescent="0.3">
      <c r="B287" s="365" t="s">
        <v>466</v>
      </c>
      <c r="C287" s="365">
        <v>1.2239999999999999E-2</v>
      </c>
      <c r="D287" s="365">
        <v>0.14776</v>
      </c>
      <c r="E287" s="365">
        <v>0.1416</v>
      </c>
      <c r="F287" s="365">
        <v>0.14088000000000001</v>
      </c>
      <c r="G287" s="365">
        <v>3.5900000000000001E-2</v>
      </c>
      <c r="H287" s="365">
        <v>0.10498</v>
      </c>
      <c r="K287" s="366">
        <v>41957</v>
      </c>
      <c r="L287" s="367">
        <v>1.093E-2</v>
      </c>
      <c r="M287" s="367">
        <v>0.14019000000000001</v>
      </c>
      <c r="N287" s="367">
        <v>0.14626</v>
      </c>
      <c r="O287" s="367">
        <v>0.12501999999999999</v>
      </c>
      <c r="P287" s="367">
        <v>2.775E-2</v>
      </c>
      <c r="Q287" s="367">
        <v>9.7269999999999995E-2</v>
      </c>
    </row>
    <row r="288" spans="2:17" x14ac:dyDescent="0.3">
      <c r="B288" s="365" t="s">
        <v>467</v>
      </c>
      <c r="C288" s="365">
        <v>1.205E-2</v>
      </c>
      <c r="D288" s="365">
        <v>0.14491000000000001</v>
      </c>
      <c r="E288" s="365">
        <v>0.14147000000000001</v>
      </c>
      <c r="F288" s="365">
        <v>0.13847999999999999</v>
      </c>
      <c r="G288" s="365">
        <v>3.5200000000000002E-2</v>
      </c>
      <c r="H288" s="365">
        <v>0.10328</v>
      </c>
      <c r="K288" s="366">
        <v>41956</v>
      </c>
      <c r="L288" s="367">
        <v>1.111E-2</v>
      </c>
      <c r="M288" s="367">
        <v>0.13918</v>
      </c>
      <c r="N288" s="367">
        <v>0.14860999999999999</v>
      </c>
      <c r="O288" s="367">
        <v>0.12711</v>
      </c>
      <c r="P288" s="367">
        <v>2.777E-2</v>
      </c>
      <c r="Q288" s="367">
        <v>9.9339999999999998E-2</v>
      </c>
    </row>
    <row r="289" spans="2:17" x14ac:dyDescent="0.3">
      <c r="B289" s="365" t="s">
        <v>468</v>
      </c>
      <c r="C289" s="365">
        <v>1.1979999999999999E-2</v>
      </c>
      <c r="D289" s="365">
        <v>0.14466999999999999</v>
      </c>
      <c r="E289" s="365">
        <v>0.14146</v>
      </c>
      <c r="F289" s="365">
        <v>0.13797000000000001</v>
      </c>
      <c r="G289" s="365">
        <v>3.5099999999999999E-2</v>
      </c>
      <c r="H289" s="365">
        <v>0.10287</v>
      </c>
      <c r="K289" s="366">
        <v>41955</v>
      </c>
      <c r="L289" s="367">
        <v>1.107E-2</v>
      </c>
      <c r="M289" s="367">
        <v>0.13844999999999999</v>
      </c>
      <c r="N289" s="367">
        <v>0.14865999999999999</v>
      </c>
      <c r="O289" s="367">
        <v>0.12706000000000001</v>
      </c>
      <c r="P289" s="367">
        <v>2.759E-2</v>
      </c>
      <c r="Q289" s="367">
        <v>9.9470000000000003E-2</v>
      </c>
    </row>
    <row r="290" spans="2:17" x14ac:dyDescent="0.3">
      <c r="B290" s="365" t="s">
        <v>469</v>
      </c>
      <c r="C290" s="365">
        <v>1.1769999999999999E-2</v>
      </c>
      <c r="D290" s="365">
        <v>0.14055999999999999</v>
      </c>
      <c r="E290" s="365">
        <v>0.14133999999999999</v>
      </c>
      <c r="F290" s="365">
        <v>0.13625000000000001</v>
      </c>
      <c r="G290" s="365">
        <v>3.5799999999999998E-2</v>
      </c>
      <c r="H290" s="365">
        <v>0.10045</v>
      </c>
      <c r="K290" s="366">
        <v>41954</v>
      </c>
      <c r="L290" s="367">
        <v>1.1089999999999999E-2</v>
      </c>
      <c r="M290" s="367">
        <v>0.13847000000000001</v>
      </c>
      <c r="N290" s="367">
        <v>0.14677999999999999</v>
      </c>
      <c r="O290" s="367">
        <v>0.12723000000000001</v>
      </c>
      <c r="P290" s="367">
        <v>2.717E-2</v>
      </c>
      <c r="Q290" s="367">
        <v>0.10006</v>
      </c>
    </row>
    <row r="291" spans="2:17" x14ac:dyDescent="0.3">
      <c r="B291" s="365" t="s">
        <v>470</v>
      </c>
      <c r="C291" s="365">
        <v>1.1780000000000001E-2</v>
      </c>
      <c r="D291" s="365">
        <v>0.13877999999999999</v>
      </c>
      <c r="E291" s="365">
        <v>0.14147000000000001</v>
      </c>
      <c r="F291" s="365">
        <v>0.13619000000000001</v>
      </c>
      <c r="G291" s="365">
        <v>3.49E-2</v>
      </c>
      <c r="H291" s="365">
        <v>0.10129000000000001</v>
      </c>
      <c r="K291" s="366">
        <v>41953</v>
      </c>
      <c r="L291" s="367">
        <v>1.112E-2</v>
      </c>
      <c r="M291" s="367">
        <v>0.13686000000000001</v>
      </c>
      <c r="N291" s="367">
        <v>0.14971000000000001</v>
      </c>
      <c r="O291" s="367">
        <v>0.12698000000000001</v>
      </c>
      <c r="P291" s="367">
        <v>2.6859999999999998E-2</v>
      </c>
      <c r="Q291" s="367">
        <v>0.10012</v>
      </c>
    </row>
    <row r="292" spans="2:17" x14ac:dyDescent="0.3">
      <c r="B292" s="365" t="s">
        <v>471</v>
      </c>
      <c r="C292" s="365">
        <v>1.201E-2</v>
      </c>
      <c r="D292" s="365">
        <v>0.13911000000000001</v>
      </c>
      <c r="E292" s="365">
        <v>0.14143</v>
      </c>
      <c r="F292" s="365">
        <v>0.13639000000000001</v>
      </c>
      <c r="G292" s="365">
        <v>3.49E-2</v>
      </c>
      <c r="H292" s="365">
        <v>0.10149</v>
      </c>
      <c r="K292" s="366">
        <v>41950</v>
      </c>
      <c r="L292" s="367">
        <v>1.124E-2</v>
      </c>
      <c r="M292" s="367">
        <v>0.13553000000000001</v>
      </c>
      <c r="N292" s="367">
        <v>0.15051</v>
      </c>
      <c r="O292" s="367">
        <v>0.12651000000000001</v>
      </c>
      <c r="P292" s="367">
        <v>2.6749999999999999E-2</v>
      </c>
      <c r="Q292" s="367">
        <v>9.9760000000000001E-2</v>
      </c>
    </row>
    <row r="293" spans="2:17" x14ac:dyDescent="0.3">
      <c r="B293" s="365" t="s">
        <v>472</v>
      </c>
      <c r="C293" s="365">
        <v>1.197E-2</v>
      </c>
      <c r="D293" s="365">
        <v>0.13850000000000001</v>
      </c>
      <c r="E293" s="365">
        <v>0.14111000000000001</v>
      </c>
      <c r="F293" s="365">
        <v>0.13611000000000001</v>
      </c>
      <c r="G293" s="365">
        <v>3.4700000000000002E-2</v>
      </c>
      <c r="H293" s="365">
        <v>0.10141</v>
      </c>
      <c r="K293" s="366">
        <v>41949</v>
      </c>
      <c r="L293" s="367">
        <v>1.125E-2</v>
      </c>
      <c r="M293" s="367">
        <v>0.13538</v>
      </c>
      <c r="N293" s="367">
        <v>0.14863999999999999</v>
      </c>
      <c r="O293" s="367">
        <v>0.12651999999999999</v>
      </c>
      <c r="P293" s="367">
        <v>2.6419999999999999E-2</v>
      </c>
      <c r="Q293" s="367">
        <v>0.10009999999999999</v>
      </c>
    </row>
    <row r="294" spans="2:17" x14ac:dyDescent="0.3">
      <c r="B294" s="365" t="s">
        <v>473</v>
      </c>
      <c r="C294" s="365">
        <v>1.2109999999999999E-2</v>
      </c>
      <c r="D294" s="365">
        <v>0.13941000000000001</v>
      </c>
      <c r="E294" s="365">
        <v>0.14097999999999999</v>
      </c>
      <c r="F294" s="365">
        <v>0.13653000000000001</v>
      </c>
      <c r="G294" s="365">
        <v>3.4599999999999999E-2</v>
      </c>
      <c r="H294" s="365">
        <v>0.10193000000000001</v>
      </c>
      <c r="K294" s="366">
        <v>41948</v>
      </c>
      <c r="L294" s="367">
        <v>1.129E-2</v>
      </c>
      <c r="M294" s="367">
        <v>0.13622000000000001</v>
      </c>
      <c r="N294" s="367">
        <v>0.14840999999999999</v>
      </c>
      <c r="O294" s="367">
        <v>0.12651999999999999</v>
      </c>
      <c r="P294" s="367">
        <v>2.6370000000000001E-2</v>
      </c>
      <c r="Q294" s="367">
        <v>0.10015</v>
      </c>
    </row>
    <row r="295" spans="2:17" x14ac:dyDescent="0.3">
      <c r="B295" s="365" t="s">
        <v>474</v>
      </c>
      <c r="C295" s="365">
        <v>1.2030000000000001E-2</v>
      </c>
      <c r="D295" s="365">
        <v>0.14155999999999999</v>
      </c>
      <c r="E295" s="365">
        <v>0.14094999999999999</v>
      </c>
      <c r="F295" s="365">
        <v>0.13700000000000001</v>
      </c>
      <c r="G295" s="365">
        <v>3.5099999999999999E-2</v>
      </c>
      <c r="H295" s="365">
        <v>0.1019</v>
      </c>
      <c r="K295" s="366">
        <v>41947</v>
      </c>
      <c r="L295" s="367">
        <v>1.125E-2</v>
      </c>
      <c r="M295" s="367">
        <v>0.13647000000000001</v>
      </c>
      <c r="N295" s="367">
        <v>0.14846000000000001</v>
      </c>
      <c r="O295" s="367">
        <v>0.12667999999999999</v>
      </c>
      <c r="P295" s="367">
        <v>2.63E-2</v>
      </c>
      <c r="Q295" s="367">
        <v>0.10038</v>
      </c>
    </row>
    <row r="296" spans="2:17" x14ac:dyDescent="0.3">
      <c r="B296" s="365" t="s">
        <v>475</v>
      </c>
      <c r="C296" s="365">
        <v>1.209E-2</v>
      </c>
      <c r="D296" s="365">
        <v>0.13941999999999999</v>
      </c>
      <c r="E296" s="365">
        <v>0.14044000000000001</v>
      </c>
      <c r="F296" s="365">
        <v>0.13768</v>
      </c>
      <c r="G296" s="365">
        <v>3.5200000000000002E-2</v>
      </c>
      <c r="H296" s="365">
        <v>0.10248</v>
      </c>
      <c r="K296" s="366">
        <v>41946</v>
      </c>
      <c r="L296" s="367">
        <v>1.1169999999999999E-2</v>
      </c>
      <c r="M296" s="367">
        <v>0.13727</v>
      </c>
      <c r="N296" s="367">
        <v>0.14646999999999999</v>
      </c>
      <c r="O296" s="367">
        <v>0.12653</v>
      </c>
      <c r="P296" s="367">
        <v>2.665E-2</v>
      </c>
      <c r="Q296" s="367">
        <v>9.9879999999999997E-2</v>
      </c>
    </row>
    <row r="297" spans="2:17" x14ac:dyDescent="0.3">
      <c r="B297" s="365" t="s">
        <v>476</v>
      </c>
      <c r="C297" s="365">
        <v>1.205E-2</v>
      </c>
      <c r="D297" s="365">
        <v>0.14280000000000001</v>
      </c>
      <c r="E297" s="365">
        <v>0.13902</v>
      </c>
      <c r="F297" s="365">
        <v>0.13758000000000001</v>
      </c>
      <c r="G297" s="365">
        <v>3.4299999999999997E-2</v>
      </c>
      <c r="H297" s="365">
        <v>0.10328</v>
      </c>
      <c r="K297" s="366">
        <v>41943</v>
      </c>
      <c r="L297" s="367">
        <v>1.111E-2</v>
      </c>
      <c r="M297" s="367">
        <v>0.13281000000000001</v>
      </c>
      <c r="N297" s="367">
        <v>0.14627999999999999</v>
      </c>
      <c r="O297" s="367">
        <v>0.1245</v>
      </c>
      <c r="P297" s="367">
        <v>2.6550000000000001E-2</v>
      </c>
      <c r="Q297" s="367">
        <v>9.7949999999999995E-2</v>
      </c>
    </row>
    <row r="298" spans="2:17" x14ac:dyDescent="0.3">
      <c r="B298" s="365" t="s">
        <v>477</v>
      </c>
      <c r="C298" s="365">
        <v>1.21E-2</v>
      </c>
      <c r="D298" s="365">
        <v>0.14330999999999999</v>
      </c>
      <c r="E298" s="365">
        <v>0.13872999999999999</v>
      </c>
      <c r="F298" s="365">
        <v>0.13819000000000001</v>
      </c>
      <c r="G298" s="365">
        <v>3.4099999999999998E-2</v>
      </c>
      <c r="H298" s="365">
        <v>0.10409</v>
      </c>
      <c r="K298" s="366">
        <v>41942</v>
      </c>
      <c r="L298" s="367">
        <v>1.1140000000000001E-2</v>
      </c>
      <c r="M298" s="367">
        <v>0.13502</v>
      </c>
      <c r="N298" s="367">
        <v>0.14781</v>
      </c>
      <c r="O298" s="367">
        <v>0.12499</v>
      </c>
      <c r="P298" s="367">
        <v>2.6849999999999999E-2</v>
      </c>
      <c r="Q298" s="367">
        <v>9.8140000000000005E-2</v>
      </c>
    </row>
    <row r="299" spans="2:17" x14ac:dyDescent="0.3">
      <c r="B299" s="365" t="s">
        <v>478</v>
      </c>
      <c r="C299" s="365">
        <v>1.226E-2</v>
      </c>
      <c r="D299" s="365">
        <v>0.13921</v>
      </c>
      <c r="E299" s="365">
        <v>0.13879</v>
      </c>
      <c r="F299" s="365">
        <v>0.13869999999999999</v>
      </c>
      <c r="G299" s="365">
        <v>3.4099999999999998E-2</v>
      </c>
      <c r="H299" s="365">
        <v>0.1046</v>
      </c>
      <c r="K299" s="366">
        <v>41941</v>
      </c>
      <c r="L299" s="367">
        <v>1.1140000000000001E-2</v>
      </c>
      <c r="M299" s="367">
        <v>0.13797999999999999</v>
      </c>
      <c r="N299" s="367">
        <v>0.14813000000000001</v>
      </c>
      <c r="O299" s="367">
        <v>0.12578</v>
      </c>
      <c r="P299" s="367">
        <v>2.7019999999999999E-2</v>
      </c>
      <c r="Q299" s="367">
        <v>9.8760000000000001E-2</v>
      </c>
    </row>
    <row r="300" spans="2:17" x14ac:dyDescent="0.3">
      <c r="B300" s="365" t="s">
        <v>479</v>
      </c>
      <c r="C300" s="365">
        <v>1.234E-2</v>
      </c>
      <c r="D300" s="365">
        <v>0.13805000000000001</v>
      </c>
      <c r="E300" s="365">
        <v>0.13935</v>
      </c>
      <c r="F300" s="365">
        <v>0.1381</v>
      </c>
      <c r="G300" s="365">
        <v>3.4200000000000001E-2</v>
      </c>
      <c r="H300" s="365">
        <v>0.10390000000000001</v>
      </c>
      <c r="K300" s="366">
        <v>41940</v>
      </c>
      <c r="L300" s="367">
        <v>1.1379999999999999E-2</v>
      </c>
      <c r="M300" s="367">
        <v>0.13822000000000001</v>
      </c>
      <c r="N300" s="367">
        <v>0.14810000000000001</v>
      </c>
      <c r="O300" s="367">
        <v>0.12656999999999999</v>
      </c>
      <c r="P300" s="367">
        <v>2.7150000000000001E-2</v>
      </c>
      <c r="Q300" s="367">
        <v>9.9419999999999994E-2</v>
      </c>
    </row>
    <row r="301" spans="2:17" x14ac:dyDescent="0.3">
      <c r="B301" s="365" t="s">
        <v>480</v>
      </c>
      <c r="C301" s="365">
        <v>1.231E-2</v>
      </c>
      <c r="D301" s="365">
        <v>0.13755999999999999</v>
      </c>
      <c r="E301" s="365">
        <v>0.14227000000000001</v>
      </c>
      <c r="F301" s="365">
        <v>0.13783000000000001</v>
      </c>
      <c r="G301" s="365">
        <v>3.4099999999999998E-2</v>
      </c>
      <c r="H301" s="365">
        <v>0.10373</v>
      </c>
      <c r="K301" s="366">
        <v>41939</v>
      </c>
      <c r="L301" s="367">
        <v>1.1350000000000001E-2</v>
      </c>
      <c r="M301" s="367">
        <v>0.13669999999999999</v>
      </c>
      <c r="N301" s="367">
        <v>0.14793000000000001</v>
      </c>
      <c r="O301" s="367">
        <v>0.12634999999999999</v>
      </c>
      <c r="P301" s="367">
        <v>2.7199999999999998E-2</v>
      </c>
      <c r="Q301" s="367">
        <v>9.9150000000000002E-2</v>
      </c>
    </row>
    <row r="302" spans="2:17" x14ac:dyDescent="0.3">
      <c r="B302" s="365" t="s">
        <v>481</v>
      </c>
      <c r="C302" s="365">
        <v>1.222E-2</v>
      </c>
      <c r="D302" s="365">
        <v>0.13722999999999999</v>
      </c>
      <c r="E302" s="365">
        <v>0.14161000000000001</v>
      </c>
      <c r="F302" s="365">
        <v>0.13754</v>
      </c>
      <c r="G302" s="365">
        <v>3.4700000000000002E-2</v>
      </c>
      <c r="H302" s="365">
        <v>0.10284</v>
      </c>
      <c r="K302" s="366">
        <v>41936</v>
      </c>
      <c r="L302" s="367">
        <v>1.14E-2</v>
      </c>
      <c r="M302" s="367">
        <v>0.13824</v>
      </c>
      <c r="N302" s="367">
        <v>0.14759</v>
      </c>
      <c r="O302" s="367">
        <v>0.12698000000000001</v>
      </c>
      <c r="P302" s="367">
        <v>2.7E-2</v>
      </c>
      <c r="Q302" s="367">
        <v>9.9979999999999999E-2</v>
      </c>
    </row>
    <row r="303" spans="2:17" x14ac:dyDescent="0.3">
      <c r="B303" s="365" t="s">
        <v>482</v>
      </c>
      <c r="C303" s="365">
        <v>1.2370000000000001E-2</v>
      </c>
      <c r="D303" s="365">
        <v>0.13724</v>
      </c>
      <c r="E303" s="365">
        <v>0.14147999999999999</v>
      </c>
      <c r="F303" s="365">
        <v>0.13797000000000001</v>
      </c>
      <c r="G303" s="365">
        <v>3.44E-2</v>
      </c>
      <c r="H303" s="365">
        <v>0.10357</v>
      </c>
      <c r="K303" s="366">
        <v>41935</v>
      </c>
      <c r="L303" s="367">
        <v>1.137E-2</v>
      </c>
      <c r="M303" s="367">
        <v>0.13813</v>
      </c>
      <c r="N303" s="367">
        <v>0.14743999999999999</v>
      </c>
      <c r="O303" s="367">
        <v>0.12651999999999999</v>
      </c>
      <c r="P303" s="367">
        <v>2.7220000000000001E-2</v>
      </c>
      <c r="Q303" s="367">
        <v>9.9299999999999999E-2</v>
      </c>
    </row>
    <row r="304" spans="2:17" x14ac:dyDescent="0.3">
      <c r="B304" s="365" t="s">
        <v>483</v>
      </c>
      <c r="C304" s="365">
        <v>1.23E-2</v>
      </c>
      <c r="D304" s="365">
        <v>0.1346</v>
      </c>
      <c r="E304" s="365">
        <v>0.14058000000000001</v>
      </c>
      <c r="F304" s="365">
        <v>0.13592000000000001</v>
      </c>
      <c r="G304" s="365">
        <v>3.4500000000000003E-2</v>
      </c>
      <c r="H304" s="365">
        <v>0.10142</v>
      </c>
      <c r="K304" s="366">
        <v>41934</v>
      </c>
      <c r="L304" s="367">
        <v>1.132E-2</v>
      </c>
      <c r="M304" s="367">
        <v>0.13899</v>
      </c>
      <c r="N304" s="367">
        <v>0.14662</v>
      </c>
      <c r="O304" s="367">
        <v>0.12695000000000001</v>
      </c>
      <c r="P304" s="367">
        <v>2.7519999999999999E-2</v>
      </c>
      <c r="Q304" s="367">
        <v>9.9430000000000004E-2</v>
      </c>
    </row>
    <row r="305" spans="2:17" x14ac:dyDescent="0.3">
      <c r="B305" s="365" t="s">
        <v>484</v>
      </c>
      <c r="C305" s="365">
        <v>1.2290000000000001E-2</v>
      </c>
      <c r="D305" s="365">
        <v>0.13938</v>
      </c>
      <c r="E305" s="365">
        <v>0.14019999999999999</v>
      </c>
      <c r="F305" s="365">
        <v>0.13575000000000001</v>
      </c>
      <c r="G305" s="365">
        <v>3.3799999999999997E-2</v>
      </c>
      <c r="H305" s="365">
        <v>0.10195</v>
      </c>
      <c r="K305" s="366">
        <v>41933</v>
      </c>
      <c r="L305" s="367">
        <v>1.145E-2</v>
      </c>
      <c r="M305" s="367">
        <v>0.13961999999999999</v>
      </c>
      <c r="N305" s="367">
        <v>0.14655000000000001</v>
      </c>
      <c r="O305" s="367">
        <v>0.12811</v>
      </c>
      <c r="P305" s="367">
        <v>2.7570000000000001E-2</v>
      </c>
      <c r="Q305" s="367">
        <v>0.10054</v>
      </c>
    </row>
    <row r="306" spans="2:17" x14ac:dyDescent="0.3">
      <c r="B306" s="365" t="s">
        <v>485</v>
      </c>
      <c r="C306" s="365">
        <v>1.2239999999999999E-2</v>
      </c>
      <c r="D306" s="365">
        <v>0.13883000000000001</v>
      </c>
      <c r="E306" s="365">
        <v>0.14004</v>
      </c>
      <c r="F306" s="365">
        <v>0.1356</v>
      </c>
      <c r="G306" s="365">
        <v>3.3700000000000001E-2</v>
      </c>
      <c r="H306" s="365">
        <v>0.1019</v>
      </c>
      <c r="K306" s="366">
        <v>41932</v>
      </c>
      <c r="L306" s="367">
        <v>1.1350000000000001E-2</v>
      </c>
      <c r="M306" s="367">
        <v>0.14163000000000001</v>
      </c>
      <c r="N306" s="367">
        <v>0.15706999999999999</v>
      </c>
      <c r="O306" s="367">
        <v>0.12920000000000001</v>
      </c>
      <c r="P306" s="367">
        <v>2.785E-2</v>
      </c>
      <c r="Q306" s="367">
        <v>0.10135</v>
      </c>
    </row>
    <row r="307" spans="2:17" x14ac:dyDescent="0.3">
      <c r="B307" s="365" t="s">
        <v>486</v>
      </c>
      <c r="C307" s="365">
        <v>1.2630000000000001E-2</v>
      </c>
      <c r="D307" s="365">
        <v>0.14050000000000001</v>
      </c>
      <c r="E307" s="365">
        <v>0.13991999999999999</v>
      </c>
      <c r="F307" s="365">
        <v>0.13802</v>
      </c>
      <c r="G307" s="365">
        <v>3.5299999999999998E-2</v>
      </c>
      <c r="H307" s="365">
        <v>0.10272000000000001</v>
      </c>
      <c r="K307" s="366">
        <v>41929</v>
      </c>
      <c r="L307" s="367">
        <v>1.154E-2</v>
      </c>
      <c r="M307" s="367">
        <v>0.14099999999999999</v>
      </c>
      <c r="N307" s="367">
        <v>0.15659999999999999</v>
      </c>
      <c r="O307" s="367">
        <v>0.12916</v>
      </c>
      <c r="P307" s="367">
        <v>2.7300000000000001E-2</v>
      </c>
      <c r="Q307" s="367">
        <v>0.10186000000000001</v>
      </c>
    </row>
    <row r="308" spans="2:17" x14ac:dyDescent="0.3">
      <c r="B308" s="365" t="s">
        <v>487</v>
      </c>
      <c r="C308" s="365">
        <v>1.26E-2</v>
      </c>
      <c r="D308" s="365">
        <v>0.14577000000000001</v>
      </c>
      <c r="E308" s="365">
        <v>0.1399</v>
      </c>
      <c r="F308" s="365">
        <v>0.14044999999999999</v>
      </c>
      <c r="G308" s="365">
        <v>3.5999999999999997E-2</v>
      </c>
      <c r="H308" s="365">
        <v>0.10445</v>
      </c>
      <c r="K308" s="366">
        <v>41928</v>
      </c>
      <c r="L308" s="367">
        <v>1.141E-2</v>
      </c>
      <c r="M308" s="367">
        <v>0.14061000000000001</v>
      </c>
      <c r="N308" s="367">
        <v>0.15712999999999999</v>
      </c>
      <c r="O308" s="367">
        <v>0.12856999999999999</v>
      </c>
      <c r="P308" s="367">
        <v>2.7349999999999999E-2</v>
      </c>
      <c r="Q308" s="367">
        <v>0.10122</v>
      </c>
    </row>
    <row r="309" spans="2:17" x14ac:dyDescent="0.3">
      <c r="B309" s="365" t="s">
        <v>488</v>
      </c>
      <c r="C309" s="365">
        <v>1.2710000000000001E-2</v>
      </c>
      <c r="D309" s="365">
        <v>0.14410999999999999</v>
      </c>
      <c r="E309" s="365">
        <v>0.13969000000000001</v>
      </c>
      <c r="F309" s="365">
        <v>0.13993</v>
      </c>
      <c r="G309" s="365">
        <v>3.61E-2</v>
      </c>
      <c r="H309" s="365">
        <v>0.10383000000000001</v>
      </c>
      <c r="K309" s="366">
        <v>41927</v>
      </c>
      <c r="L309" s="367">
        <v>1.1390000000000001E-2</v>
      </c>
      <c r="M309" s="367">
        <v>0.14185</v>
      </c>
      <c r="N309" s="367">
        <v>0.15683</v>
      </c>
      <c r="O309" s="367">
        <v>0.12889</v>
      </c>
      <c r="P309" s="367">
        <v>2.8250000000000001E-2</v>
      </c>
      <c r="Q309" s="367">
        <v>0.10063999999999999</v>
      </c>
    </row>
    <row r="310" spans="2:17" x14ac:dyDescent="0.3">
      <c r="B310" s="365" t="s">
        <v>489</v>
      </c>
      <c r="C310" s="365">
        <v>1.261E-2</v>
      </c>
      <c r="D310" s="365">
        <v>0.13824</v>
      </c>
      <c r="E310" s="365">
        <v>0.13905000000000001</v>
      </c>
      <c r="F310" s="365">
        <v>0.13677</v>
      </c>
      <c r="G310" s="365">
        <v>3.5000000000000003E-2</v>
      </c>
      <c r="H310" s="365">
        <v>0.10177</v>
      </c>
      <c r="K310" s="366">
        <v>41926</v>
      </c>
      <c r="L310" s="367">
        <v>1.136E-2</v>
      </c>
      <c r="M310" s="367">
        <v>0.13980999999999999</v>
      </c>
      <c r="N310" s="367">
        <v>0.15654999999999999</v>
      </c>
      <c r="O310" s="367">
        <v>0.12770000000000001</v>
      </c>
      <c r="P310" s="367">
        <v>2.8400000000000002E-2</v>
      </c>
      <c r="Q310" s="367">
        <v>9.9299999999999999E-2</v>
      </c>
    </row>
    <row r="311" spans="2:17" x14ac:dyDescent="0.3">
      <c r="B311" s="365" t="s">
        <v>490</v>
      </c>
      <c r="C311" s="365">
        <v>1.256E-2</v>
      </c>
      <c r="D311" s="365">
        <v>0.13976</v>
      </c>
      <c r="E311" s="365">
        <v>0.13900999999999999</v>
      </c>
      <c r="F311" s="365">
        <v>0.13755000000000001</v>
      </c>
      <c r="G311" s="365">
        <v>3.4599999999999999E-2</v>
      </c>
      <c r="H311" s="365">
        <v>0.10295</v>
      </c>
      <c r="K311" s="366">
        <v>41925</v>
      </c>
      <c r="L311" s="367">
        <v>1.1339999999999999E-2</v>
      </c>
      <c r="M311" s="367">
        <v>0.13855999999999999</v>
      </c>
      <c r="N311" s="367">
        <v>0.15609000000000001</v>
      </c>
      <c r="O311" s="367">
        <v>0.12662000000000001</v>
      </c>
      <c r="P311" s="367">
        <v>2.8199999999999999E-2</v>
      </c>
      <c r="Q311" s="367">
        <v>9.8419999999999994E-2</v>
      </c>
    </row>
    <row r="312" spans="2:17" x14ac:dyDescent="0.3">
      <c r="B312" s="365" t="s">
        <v>491</v>
      </c>
      <c r="C312" s="365">
        <v>1.2659999999999999E-2</v>
      </c>
      <c r="D312" s="365">
        <v>0.13933000000000001</v>
      </c>
      <c r="E312" s="365">
        <v>0.13899</v>
      </c>
      <c r="F312" s="365">
        <v>0.13764000000000001</v>
      </c>
      <c r="G312" s="365">
        <v>3.4500000000000003E-2</v>
      </c>
      <c r="H312" s="365">
        <v>0.10314</v>
      </c>
      <c r="K312" s="366">
        <v>41922</v>
      </c>
      <c r="L312" s="367">
        <v>1.1270000000000001E-2</v>
      </c>
      <c r="M312" s="367">
        <v>0.13916999999999999</v>
      </c>
      <c r="N312" s="367">
        <v>0.15573999999999999</v>
      </c>
      <c r="O312" s="367">
        <v>0.12659000000000001</v>
      </c>
      <c r="P312" s="367">
        <v>2.8170000000000001E-2</v>
      </c>
      <c r="Q312" s="367">
        <v>9.8419999999999994E-2</v>
      </c>
    </row>
    <row r="313" spans="2:17" x14ac:dyDescent="0.3">
      <c r="B313" s="365" t="s">
        <v>492</v>
      </c>
      <c r="C313" s="365">
        <v>1.242E-2</v>
      </c>
      <c r="D313" s="365">
        <v>0.1371</v>
      </c>
      <c r="E313" s="365">
        <v>0.13871</v>
      </c>
      <c r="F313" s="365">
        <v>0.13585</v>
      </c>
      <c r="G313" s="365">
        <v>3.4200000000000001E-2</v>
      </c>
      <c r="H313" s="365">
        <v>0.10165</v>
      </c>
      <c r="K313" s="366">
        <v>41920</v>
      </c>
      <c r="L313" s="367">
        <v>1.1129999999999999E-2</v>
      </c>
      <c r="M313" s="367">
        <v>0.14011999999999999</v>
      </c>
      <c r="N313" s="367">
        <v>0.15545999999999999</v>
      </c>
      <c r="O313" s="367">
        <v>0.12631999999999999</v>
      </c>
      <c r="P313" s="367">
        <v>2.8469999999999999E-2</v>
      </c>
      <c r="Q313" s="367">
        <v>9.7850000000000006E-2</v>
      </c>
    </row>
    <row r="314" spans="2:17" x14ac:dyDescent="0.3">
      <c r="B314" s="365" t="s">
        <v>493</v>
      </c>
      <c r="C314" s="365">
        <v>1.242E-2</v>
      </c>
      <c r="D314" s="365">
        <v>0.13585</v>
      </c>
      <c r="E314" s="365">
        <v>0.13904</v>
      </c>
      <c r="F314" s="365">
        <v>0.13589000000000001</v>
      </c>
      <c r="G314" s="365">
        <v>3.5099999999999999E-2</v>
      </c>
      <c r="H314" s="365">
        <v>0.10079</v>
      </c>
      <c r="K314" s="366">
        <v>41919</v>
      </c>
      <c r="L314" s="367">
        <v>1.108E-2</v>
      </c>
      <c r="M314" s="367">
        <v>0.13800000000000001</v>
      </c>
      <c r="N314" s="367">
        <v>0.15520999999999999</v>
      </c>
      <c r="O314" s="367">
        <v>0.12543000000000001</v>
      </c>
      <c r="P314" s="367">
        <v>2.862E-2</v>
      </c>
      <c r="Q314" s="367">
        <v>9.6809999999999993E-2</v>
      </c>
    </row>
    <row r="315" spans="2:17" x14ac:dyDescent="0.3">
      <c r="B315" s="365" t="s">
        <v>494</v>
      </c>
      <c r="C315" s="365">
        <v>1.2359999999999999E-2</v>
      </c>
      <c r="D315" s="365">
        <v>0.13800999999999999</v>
      </c>
      <c r="E315" s="365">
        <v>0.13905999999999999</v>
      </c>
      <c r="F315" s="365">
        <v>0.13694000000000001</v>
      </c>
      <c r="G315" s="365">
        <v>3.4000000000000002E-2</v>
      </c>
      <c r="H315" s="365">
        <v>0.10294</v>
      </c>
      <c r="K315" s="366">
        <v>41918</v>
      </c>
      <c r="L315" s="367">
        <v>1.111E-2</v>
      </c>
      <c r="M315" s="367">
        <v>0.13743</v>
      </c>
      <c r="N315" s="367">
        <v>0.15447</v>
      </c>
      <c r="O315" s="367">
        <v>0.12447999999999999</v>
      </c>
      <c r="P315" s="367">
        <v>2.8469999999999999E-2</v>
      </c>
      <c r="Q315" s="367">
        <v>9.6009999999999998E-2</v>
      </c>
    </row>
    <row r="316" spans="2:17" x14ac:dyDescent="0.3">
      <c r="B316" s="365" t="s">
        <v>495</v>
      </c>
      <c r="C316" s="365">
        <v>1.256E-2</v>
      </c>
      <c r="D316" s="365">
        <v>0.13816000000000001</v>
      </c>
      <c r="E316" s="365">
        <v>0.13905000000000001</v>
      </c>
      <c r="F316" s="365">
        <v>0.13804</v>
      </c>
      <c r="G316" s="365">
        <v>3.44E-2</v>
      </c>
      <c r="H316" s="365">
        <v>0.10364</v>
      </c>
      <c r="K316" s="366">
        <v>41914</v>
      </c>
      <c r="L316" s="367">
        <v>1.1039999999999999E-2</v>
      </c>
      <c r="M316" s="367">
        <v>0.13716999999999999</v>
      </c>
      <c r="N316" s="367">
        <v>0.15389</v>
      </c>
      <c r="O316" s="367">
        <v>0.12364</v>
      </c>
      <c r="P316" s="367">
        <v>2.8250000000000001E-2</v>
      </c>
      <c r="Q316" s="367">
        <v>9.5390000000000003E-2</v>
      </c>
    </row>
    <row r="317" spans="2:17" x14ac:dyDescent="0.3">
      <c r="B317" s="365" t="s">
        <v>496</v>
      </c>
      <c r="C317" s="365">
        <v>1.294E-2</v>
      </c>
      <c r="D317" s="365">
        <v>0.13816999999999999</v>
      </c>
      <c r="E317" s="365">
        <v>0.13894000000000001</v>
      </c>
      <c r="F317" s="365">
        <v>0.13916000000000001</v>
      </c>
      <c r="G317" s="365">
        <v>3.5000000000000003E-2</v>
      </c>
      <c r="H317" s="365">
        <v>0.10416</v>
      </c>
      <c r="K317" s="366">
        <v>41913</v>
      </c>
      <c r="L317" s="367">
        <v>1.095E-2</v>
      </c>
      <c r="M317" s="367">
        <v>0.13508000000000001</v>
      </c>
      <c r="N317" s="367">
        <v>0.15362999999999999</v>
      </c>
      <c r="O317" s="367">
        <v>0.12246</v>
      </c>
      <c r="P317" s="367">
        <v>2.8049999999999999E-2</v>
      </c>
      <c r="Q317" s="367">
        <v>9.4409999999999994E-2</v>
      </c>
    </row>
    <row r="318" spans="2:17" x14ac:dyDescent="0.3">
      <c r="B318" s="365" t="s">
        <v>497</v>
      </c>
      <c r="C318" s="365">
        <v>1.294E-2</v>
      </c>
      <c r="D318" s="365">
        <v>0.13344</v>
      </c>
      <c r="E318" s="365">
        <v>0.13885</v>
      </c>
      <c r="F318" s="365">
        <v>0.13714999999999999</v>
      </c>
      <c r="G318" s="365">
        <v>3.5799999999999998E-2</v>
      </c>
      <c r="H318" s="365">
        <v>0.10135</v>
      </c>
      <c r="K318" s="366">
        <v>41912</v>
      </c>
      <c r="L318" s="367">
        <v>1.0789999999999999E-2</v>
      </c>
      <c r="M318" s="367">
        <v>0.13566</v>
      </c>
      <c r="N318" s="367">
        <v>0.15343999999999999</v>
      </c>
      <c r="O318" s="367">
        <v>0.12239999999999999</v>
      </c>
      <c r="P318" s="367">
        <v>2.852E-2</v>
      </c>
      <c r="Q318" s="367">
        <v>9.3880000000000005E-2</v>
      </c>
    </row>
    <row r="319" spans="2:17" x14ac:dyDescent="0.3">
      <c r="B319" s="365" t="s">
        <v>498</v>
      </c>
      <c r="C319" s="365">
        <v>1.289E-2</v>
      </c>
      <c r="D319" s="365">
        <v>0.13184999999999999</v>
      </c>
      <c r="E319" s="365">
        <v>0.13958000000000001</v>
      </c>
      <c r="F319" s="365">
        <v>0.13594999999999999</v>
      </c>
      <c r="G319" s="365">
        <v>3.6799999999999999E-2</v>
      </c>
      <c r="H319" s="365">
        <v>9.9150000000000002E-2</v>
      </c>
      <c r="K319" s="366">
        <v>41911</v>
      </c>
      <c r="L319" s="367">
        <v>1.0749999999999999E-2</v>
      </c>
      <c r="M319" s="367">
        <v>0.13528999999999999</v>
      </c>
      <c r="N319" s="367">
        <v>0.15329000000000001</v>
      </c>
      <c r="O319" s="367">
        <v>0.12224</v>
      </c>
      <c r="P319" s="367">
        <v>2.911E-2</v>
      </c>
      <c r="Q319" s="367">
        <v>9.3130000000000004E-2</v>
      </c>
    </row>
    <row r="320" spans="2:17" x14ac:dyDescent="0.3">
      <c r="B320" s="365" t="s">
        <v>499</v>
      </c>
      <c r="C320" s="365">
        <v>1.2710000000000001E-2</v>
      </c>
      <c r="D320" s="365">
        <v>0.13616</v>
      </c>
      <c r="E320" s="365">
        <v>0.13925999999999999</v>
      </c>
      <c r="F320" s="365">
        <v>0.13736000000000001</v>
      </c>
      <c r="G320" s="365">
        <v>3.5799999999999998E-2</v>
      </c>
      <c r="H320" s="365">
        <v>0.10156</v>
      </c>
      <c r="K320" s="366">
        <v>41908</v>
      </c>
      <c r="L320" s="367">
        <v>1.068E-2</v>
      </c>
      <c r="M320" s="367">
        <v>0.13408</v>
      </c>
      <c r="N320" s="367">
        <v>0.15235000000000001</v>
      </c>
      <c r="O320" s="367">
        <v>0.12188</v>
      </c>
      <c r="P320" s="367">
        <v>2.92E-2</v>
      </c>
      <c r="Q320" s="367">
        <v>9.2679999999999998E-2</v>
      </c>
    </row>
    <row r="321" spans="2:17" x14ac:dyDescent="0.3">
      <c r="B321" s="365" t="s">
        <v>500</v>
      </c>
      <c r="C321" s="365">
        <v>1.251E-2</v>
      </c>
      <c r="D321" s="365">
        <v>0.13632</v>
      </c>
      <c r="E321" s="365">
        <v>0.13913</v>
      </c>
      <c r="F321" s="365">
        <v>0.1366</v>
      </c>
      <c r="G321" s="365">
        <v>3.4099999999999998E-2</v>
      </c>
      <c r="H321" s="365">
        <v>0.10249999999999999</v>
      </c>
      <c r="K321" s="366">
        <v>41907</v>
      </c>
      <c r="L321" s="367">
        <v>1.0670000000000001E-2</v>
      </c>
      <c r="M321" s="367">
        <v>0.13441</v>
      </c>
      <c r="N321" s="367">
        <v>0.15165000000000001</v>
      </c>
      <c r="O321" s="367">
        <v>0.12171</v>
      </c>
      <c r="P321" s="367">
        <v>2.9499999999999998E-2</v>
      </c>
      <c r="Q321" s="367">
        <v>9.221E-2</v>
      </c>
    </row>
    <row r="322" spans="2:17" x14ac:dyDescent="0.3">
      <c r="B322" s="365" t="s">
        <v>501</v>
      </c>
      <c r="C322" s="365">
        <v>1.2239999999999999E-2</v>
      </c>
      <c r="D322" s="365">
        <v>0.13644000000000001</v>
      </c>
      <c r="E322" s="365">
        <v>0.13864000000000001</v>
      </c>
      <c r="F322" s="365">
        <v>0.13561999999999999</v>
      </c>
      <c r="G322" s="365">
        <v>3.2399999999999998E-2</v>
      </c>
      <c r="H322" s="365">
        <v>0.10322000000000001</v>
      </c>
      <c r="K322" s="366">
        <v>41906</v>
      </c>
      <c r="L322" s="367">
        <v>1.0659999999999999E-2</v>
      </c>
      <c r="M322" s="367">
        <v>0.13475000000000001</v>
      </c>
      <c r="N322" s="367">
        <v>0.15137999999999999</v>
      </c>
      <c r="O322" s="367">
        <v>0.12189</v>
      </c>
      <c r="P322" s="367">
        <v>2.9700000000000001E-2</v>
      </c>
      <c r="Q322" s="367">
        <v>9.2189999999999994E-2</v>
      </c>
    </row>
    <row r="323" spans="2:17" x14ac:dyDescent="0.3">
      <c r="B323" s="365" t="s">
        <v>502</v>
      </c>
      <c r="C323" s="365">
        <v>1.2160000000000001E-2</v>
      </c>
      <c r="D323" s="365">
        <v>0.13689000000000001</v>
      </c>
      <c r="E323" s="365">
        <v>0.1384</v>
      </c>
      <c r="F323" s="365">
        <v>0.13521</v>
      </c>
      <c r="G323" s="365">
        <v>3.2099999999999997E-2</v>
      </c>
      <c r="H323" s="365">
        <v>0.10310999999999999</v>
      </c>
      <c r="K323" s="366">
        <v>41905</v>
      </c>
      <c r="L323" s="367">
        <v>1.069E-2</v>
      </c>
      <c r="M323" s="367">
        <v>0.13361000000000001</v>
      </c>
      <c r="N323" s="367">
        <v>0.15037</v>
      </c>
      <c r="O323" s="367">
        <v>0.12207</v>
      </c>
      <c r="P323" s="367">
        <v>2.9749999999999999E-2</v>
      </c>
      <c r="Q323" s="367">
        <v>9.2319999999999999E-2</v>
      </c>
    </row>
    <row r="324" spans="2:17" x14ac:dyDescent="0.3">
      <c r="B324" s="365" t="s">
        <v>503</v>
      </c>
      <c r="C324" s="365">
        <v>1.227E-2</v>
      </c>
      <c r="D324" s="365">
        <v>0.13668</v>
      </c>
      <c r="E324" s="365">
        <v>0.13830999999999999</v>
      </c>
      <c r="F324" s="365">
        <v>0.13557</v>
      </c>
      <c r="G324" s="365">
        <v>3.27E-2</v>
      </c>
      <c r="H324" s="365">
        <v>0.10287</v>
      </c>
      <c r="K324" s="366">
        <v>41904</v>
      </c>
      <c r="L324" s="367">
        <v>1.064E-2</v>
      </c>
      <c r="M324" s="367">
        <v>0.13231999999999999</v>
      </c>
      <c r="N324" s="367">
        <v>0.15026</v>
      </c>
      <c r="O324" s="367">
        <v>0.12136</v>
      </c>
      <c r="P324" s="367">
        <v>2.9870000000000001E-2</v>
      </c>
      <c r="Q324" s="367">
        <v>9.1490000000000002E-2</v>
      </c>
    </row>
    <row r="325" spans="2:17" x14ac:dyDescent="0.3">
      <c r="B325" s="365" t="s">
        <v>504</v>
      </c>
      <c r="C325" s="365">
        <v>1.225E-2</v>
      </c>
      <c r="D325" s="365">
        <v>0.13647000000000001</v>
      </c>
      <c r="E325" s="365">
        <v>0.13813</v>
      </c>
      <c r="F325" s="365">
        <v>0.13561999999999999</v>
      </c>
      <c r="G325" s="365">
        <v>3.1899999999999998E-2</v>
      </c>
      <c r="H325" s="365">
        <v>0.10372000000000001</v>
      </c>
      <c r="K325" s="366">
        <v>41901</v>
      </c>
      <c r="L325" s="367">
        <v>1.056E-2</v>
      </c>
      <c r="M325" s="367">
        <v>0.13048000000000001</v>
      </c>
      <c r="N325" s="367">
        <v>0.14935999999999999</v>
      </c>
      <c r="O325" s="367">
        <v>0.12032</v>
      </c>
      <c r="P325" s="367">
        <v>3.0300000000000001E-2</v>
      </c>
      <c r="Q325" s="367">
        <v>9.0020000000000003E-2</v>
      </c>
    </row>
    <row r="326" spans="2:17" x14ac:dyDescent="0.3">
      <c r="B326" s="365" t="s">
        <v>505</v>
      </c>
      <c r="C326" s="365">
        <v>1.2290000000000001E-2</v>
      </c>
      <c r="D326" s="365">
        <v>0.13716999999999999</v>
      </c>
      <c r="E326" s="365">
        <v>0.13816000000000001</v>
      </c>
      <c r="F326" s="365">
        <v>0.13588</v>
      </c>
      <c r="G326" s="365">
        <v>3.2500000000000001E-2</v>
      </c>
      <c r="H326" s="365">
        <v>0.10338</v>
      </c>
      <c r="K326" s="366">
        <v>41900</v>
      </c>
      <c r="L326" s="367">
        <v>1.0580000000000001E-2</v>
      </c>
      <c r="M326" s="367">
        <v>0.13003000000000001</v>
      </c>
      <c r="N326" s="367">
        <v>0.14993000000000001</v>
      </c>
      <c r="O326" s="367">
        <v>0.12016</v>
      </c>
      <c r="P326" s="367">
        <v>3.0190000000000002E-2</v>
      </c>
      <c r="Q326" s="367">
        <v>8.9969999999999994E-2</v>
      </c>
    </row>
    <row r="327" spans="2:17" x14ac:dyDescent="0.3">
      <c r="B327" s="365" t="s">
        <v>506</v>
      </c>
      <c r="C327" s="365">
        <v>1.2070000000000001E-2</v>
      </c>
      <c r="D327" s="365">
        <v>0.13502</v>
      </c>
      <c r="E327" s="365">
        <v>0.13746</v>
      </c>
      <c r="F327" s="365">
        <v>0.13389999999999999</v>
      </c>
      <c r="G327" s="365">
        <v>3.3099999999999997E-2</v>
      </c>
      <c r="H327" s="365">
        <v>0.1008</v>
      </c>
      <c r="K327" s="366">
        <v>41899</v>
      </c>
      <c r="L327" s="367">
        <v>1.0500000000000001E-2</v>
      </c>
      <c r="M327" s="367">
        <v>0.12938</v>
      </c>
      <c r="N327" s="367">
        <v>0.14948</v>
      </c>
      <c r="O327" s="367">
        <v>0.1202</v>
      </c>
      <c r="P327" s="367">
        <v>3.0360000000000002E-2</v>
      </c>
      <c r="Q327" s="367">
        <v>8.9840000000000003E-2</v>
      </c>
    </row>
    <row r="328" spans="2:17" x14ac:dyDescent="0.3">
      <c r="B328" s="365" t="s">
        <v>507</v>
      </c>
      <c r="C328" s="365">
        <v>1.2019999999999999E-2</v>
      </c>
      <c r="D328" s="365">
        <v>0.13486000000000001</v>
      </c>
      <c r="E328" s="365">
        <v>0.13738</v>
      </c>
      <c r="F328" s="365">
        <v>0.13270999999999999</v>
      </c>
      <c r="G328" s="365">
        <v>3.2000000000000001E-2</v>
      </c>
      <c r="H328" s="365">
        <v>0.10070999999999999</v>
      </c>
      <c r="K328" s="366">
        <v>41898</v>
      </c>
      <c r="L328" s="367">
        <v>1.06E-2</v>
      </c>
      <c r="M328" s="367">
        <v>0.12977</v>
      </c>
      <c r="N328" s="367">
        <v>0.14932000000000001</v>
      </c>
      <c r="O328" s="367">
        <v>0.12078999999999999</v>
      </c>
      <c r="P328" s="367">
        <v>3.0470000000000001E-2</v>
      </c>
      <c r="Q328" s="367">
        <v>9.0319999999999998E-2</v>
      </c>
    </row>
    <row r="329" spans="2:17" x14ac:dyDescent="0.3">
      <c r="B329" s="365" t="s">
        <v>508</v>
      </c>
      <c r="C329" s="365">
        <v>1.214E-2</v>
      </c>
      <c r="D329" s="365">
        <v>0.13245999999999999</v>
      </c>
      <c r="E329" s="365">
        <v>0.13718</v>
      </c>
      <c r="F329" s="365">
        <v>0.13164999999999999</v>
      </c>
      <c r="G329" s="365">
        <v>3.15E-2</v>
      </c>
      <c r="H329" s="365">
        <v>0.10015</v>
      </c>
      <c r="K329" s="366">
        <v>41897</v>
      </c>
      <c r="L329" s="367">
        <v>1.0630000000000001E-2</v>
      </c>
      <c r="M329" s="367">
        <v>0.12956999999999999</v>
      </c>
      <c r="N329" s="367">
        <v>0.14917</v>
      </c>
      <c r="O329" s="367">
        <v>0.12076000000000001</v>
      </c>
      <c r="P329" s="367">
        <v>3.0419999999999999E-2</v>
      </c>
      <c r="Q329" s="367">
        <v>9.0340000000000004E-2</v>
      </c>
    </row>
    <row r="330" spans="2:17" x14ac:dyDescent="0.3">
      <c r="B330" s="365" t="s">
        <v>509</v>
      </c>
      <c r="C330" s="365">
        <v>1.223E-2</v>
      </c>
      <c r="D330" s="365">
        <v>0.13231000000000001</v>
      </c>
      <c r="E330" s="365">
        <v>0.13815</v>
      </c>
      <c r="F330" s="365">
        <v>0.13178999999999999</v>
      </c>
      <c r="G330" s="365">
        <v>3.1300000000000001E-2</v>
      </c>
      <c r="H330" s="365">
        <v>0.10049</v>
      </c>
      <c r="K330" s="366">
        <v>41894</v>
      </c>
      <c r="L330" s="367">
        <v>1.0619999999999999E-2</v>
      </c>
      <c r="M330" s="367">
        <v>0.12909000000000001</v>
      </c>
      <c r="N330" s="367">
        <v>0.14904000000000001</v>
      </c>
      <c r="O330" s="367">
        <v>0.12039</v>
      </c>
      <c r="P330" s="367">
        <v>3.0110000000000001E-2</v>
      </c>
      <c r="Q330" s="367">
        <v>9.0279999999999999E-2</v>
      </c>
    </row>
    <row r="331" spans="2:17" x14ac:dyDescent="0.3">
      <c r="B331" s="365" t="s">
        <v>510</v>
      </c>
      <c r="C331" s="365">
        <v>1.2E-2</v>
      </c>
      <c r="D331" s="365">
        <v>0.13270999999999999</v>
      </c>
      <c r="E331" s="365">
        <v>0.13794999999999999</v>
      </c>
      <c r="F331" s="365">
        <v>0.13095999999999999</v>
      </c>
      <c r="G331" s="365">
        <v>3.1600000000000003E-2</v>
      </c>
      <c r="H331" s="365">
        <v>9.9360000000000004E-2</v>
      </c>
      <c r="K331" s="366">
        <v>41893</v>
      </c>
      <c r="L331" s="367">
        <v>1.068E-2</v>
      </c>
      <c r="M331" s="367">
        <v>0.12914</v>
      </c>
      <c r="N331" s="367">
        <v>0.1492</v>
      </c>
      <c r="O331" s="367">
        <v>0.12053999999999999</v>
      </c>
      <c r="P331" s="367">
        <v>3.082E-2</v>
      </c>
      <c r="Q331" s="367">
        <v>8.9719999999999994E-2</v>
      </c>
    </row>
    <row r="332" spans="2:17" x14ac:dyDescent="0.3">
      <c r="B332" s="365" t="s">
        <v>511</v>
      </c>
      <c r="C332" s="365">
        <v>1.183E-2</v>
      </c>
      <c r="D332" s="365">
        <v>0.13353000000000001</v>
      </c>
      <c r="E332" s="365">
        <v>0.13811999999999999</v>
      </c>
      <c r="F332" s="365">
        <v>0.13048000000000001</v>
      </c>
      <c r="G332" s="365">
        <v>3.1300000000000001E-2</v>
      </c>
      <c r="H332" s="365">
        <v>9.9180000000000004E-2</v>
      </c>
      <c r="K332" s="366">
        <v>41887</v>
      </c>
      <c r="L332" s="367">
        <v>1.061E-2</v>
      </c>
      <c r="M332" s="367">
        <v>0.13261000000000001</v>
      </c>
      <c r="N332" s="367">
        <v>0.14857000000000001</v>
      </c>
      <c r="O332" s="367">
        <v>0.12077</v>
      </c>
      <c r="P332" s="367">
        <v>3.0689999999999999E-2</v>
      </c>
      <c r="Q332" s="367">
        <v>9.0079999999999993E-2</v>
      </c>
    </row>
    <row r="333" spans="2:17" x14ac:dyDescent="0.3">
      <c r="B333" s="365" t="s">
        <v>512</v>
      </c>
      <c r="C333" s="365">
        <v>1.1849999999999999E-2</v>
      </c>
      <c r="D333" s="365">
        <v>0.13164999999999999</v>
      </c>
      <c r="E333" s="365">
        <v>0.1381</v>
      </c>
      <c r="F333" s="365">
        <v>0.12941</v>
      </c>
      <c r="G333" s="365">
        <v>3.1199999999999999E-2</v>
      </c>
      <c r="H333" s="365">
        <v>9.8210000000000006E-2</v>
      </c>
      <c r="K333" s="366">
        <v>41886</v>
      </c>
      <c r="L333" s="367">
        <v>1.056E-2</v>
      </c>
      <c r="M333" s="367">
        <v>0.13342999999999999</v>
      </c>
      <c r="N333" s="367">
        <v>0.14838000000000001</v>
      </c>
      <c r="O333" s="367">
        <v>0.12089999999999999</v>
      </c>
      <c r="P333" s="367">
        <v>3.0980000000000001E-2</v>
      </c>
      <c r="Q333" s="367">
        <v>8.992E-2</v>
      </c>
    </row>
    <row r="334" spans="2:17" x14ac:dyDescent="0.3">
      <c r="B334" s="365" t="s">
        <v>513</v>
      </c>
      <c r="C334" s="365">
        <v>1.18E-2</v>
      </c>
      <c r="D334" s="365">
        <v>0.13134000000000001</v>
      </c>
      <c r="E334" s="365">
        <v>0.13839000000000001</v>
      </c>
      <c r="F334" s="365">
        <v>0.12884999999999999</v>
      </c>
      <c r="G334" s="365">
        <v>3.1199999999999999E-2</v>
      </c>
      <c r="H334" s="365">
        <v>9.7650000000000001E-2</v>
      </c>
      <c r="K334" s="366">
        <v>41885</v>
      </c>
      <c r="L334" s="367">
        <v>1.059E-2</v>
      </c>
      <c r="M334" s="367">
        <v>0.13388</v>
      </c>
      <c r="N334" s="367">
        <v>0.14834</v>
      </c>
      <c r="O334" s="367">
        <v>0.12114999999999999</v>
      </c>
      <c r="P334" s="367">
        <v>3.1E-2</v>
      </c>
      <c r="Q334" s="367">
        <v>9.0149999999999994E-2</v>
      </c>
    </row>
    <row r="335" spans="2:17" x14ac:dyDescent="0.3">
      <c r="B335" s="365" t="s">
        <v>514</v>
      </c>
      <c r="C335" s="365">
        <v>1.189E-2</v>
      </c>
      <c r="D335" s="365">
        <v>0.13194</v>
      </c>
      <c r="E335" s="365">
        <v>0.1384</v>
      </c>
      <c r="F335" s="365">
        <v>0.12784000000000001</v>
      </c>
      <c r="G335" s="365">
        <v>3.0499999999999999E-2</v>
      </c>
      <c r="H335" s="365">
        <v>9.7339999999999996E-2</v>
      </c>
      <c r="K335" s="366">
        <v>41884</v>
      </c>
      <c r="L335" s="367">
        <v>1.059E-2</v>
      </c>
      <c r="M335" s="367">
        <v>0.13425000000000001</v>
      </c>
      <c r="N335" s="367">
        <v>0.14824999999999999</v>
      </c>
      <c r="O335" s="367">
        <v>0.12139999999999999</v>
      </c>
      <c r="P335" s="367">
        <v>3.0630000000000001E-2</v>
      </c>
      <c r="Q335" s="367">
        <v>9.0770000000000003E-2</v>
      </c>
    </row>
    <row r="336" spans="2:17" x14ac:dyDescent="0.3">
      <c r="B336" s="365" t="s">
        <v>515</v>
      </c>
      <c r="C336" s="365">
        <v>1.189E-2</v>
      </c>
      <c r="D336" s="365">
        <v>0.11020000000000001</v>
      </c>
      <c r="E336" s="365">
        <v>0.13833000000000001</v>
      </c>
      <c r="F336" s="365">
        <v>0.11851</v>
      </c>
      <c r="G336" s="365">
        <v>3.04E-2</v>
      </c>
      <c r="H336" s="365">
        <v>8.8109999999999994E-2</v>
      </c>
      <c r="K336" s="366">
        <v>41883</v>
      </c>
      <c r="L336" s="367">
        <v>1.0500000000000001E-2</v>
      </c>
      <c r="M336" s="367">
        <v>0.13416</v>
      </c>
      <c r="N336" s="367">
        <v>0.14892</v>
      </c>
      <c r="O336" s="367">
        <v>0.12111</v>
      </c>
      <c r="P336" s="367">
        <v>3.04E-2</v>
      </c>
      <c r="Q336" s="367">
        <v>9.0709999999999999E-2</v>
      </c>
    </row>
    <row r="337" spans="2:17" x14ac:dyDescent="0.3">
      <c r="B337" s="365" t="s">
        <v>516</v>
      </c>
      <c r="C337" s="365">
        <v>1.197E-2</v>
      </c>
      <c r="D337" s="365">
        <v>0.11162999999999999</v>
      </c>
      <c r="E337" s="365">
        <v>0.13825999999999999</v>
      </c>
      <c r="F337" s="365">
        <v>0.11879000000000001</v>
      </c>
      <c r="G337" s="365">
        <v>2.9399999999999999E-2</v>
      </c>
      <c r="H337" s="365">
        <v>8.9389999999999997E-2</v>
      </c>
      <c r="K337" s="366">
        <v>41880</v>
      </c>
      <c r="L337" s="367">
        <v>1.0460000000000001E-2</v>
      </c>
      <c r="M337" s="367">
        <v>0.13161999999999999</v>
      </c>
      <c r="N337" s="367">
        <v>0.16122</v>
      </c>
      <c r="O337" s="367">
        <v>0.11990000000000001</v>
      </c>
      <c r="P337" s="367">
        <v>3.0329999999999999E-2</v>
      </c>
      <c r="Q337" s="367">
        <v>8.9569999999999997E-2</v>
      </c>
    </row>
    <row r="338" spans="2:17" x14ac:dyDescent="0.3">
      <c r="B338" s="365" t="s">
        <v>517</v>
      </c>
      <c r="C338" s="365">
        <v>1.201E-2</v>
      </c>
      <c r="D338" s="365">
        <v>0.10360999999999999</v>
      </c>
      <c r="E338" s="365">
        <v>0.13816000000000001</v>
      </c>
      <c r="F338" s="365">
        <v>0.11573</v>
      </c>
      <c r="G338" s="365">
        <v>2.92E-2</v>
      </c>
      <c r="H338" s="365">
        <v>8.6529999999999996E-2</v>
      </c>
      <c r="K338" s="366">
        <v>41879</v>
      </c>
      <c r="L338" s="367">
        <v>1.043E-2</v>
      </c>
      <c r="M338" s="367">
        <v>0.13070000000000001</v>
      </c>
      <c r="N338" s="367">
        <v>0.16173999999999999</v>
      </c>
      <c r="O338" s="367">
        <v>0.11927</v>
      </c>
      <c r="P338" s="367">
        <v>3.0589999999999999E-2</v>
      </c>
      <c r="Q338" s="367">
        <v>8.8679999999999995E-2</v>
      </c>
    </row>
    <row r="339" spans="2:17" x14ac:dyDescent="0.3">
      <c r="B339" s="365" t="s">
        <v>518</v>
      </c>
      <c r="C339" s="365">
        <v>1.206E-2</v>
      </c>
      <c r="D339" s="365">
        <v>0.10153</v>
      </c>
      <c r="E339" s="365">
        <v>0.13818</v>
      </c>
      <c r="F339" s="365">
        <v>0.11524</v>
      </c>
      <c r="G339" s="365">
        <v>2.9399999999999999E-2</v>
      </c>
      <c r="H339" s="365">
        <v>8.584E-2</v>
      </c>
      <c r="K339" s="366">
        <v>41878</v>
      </c>
      <c r="L339" s="367">
        <v>1.0449999999999999E-2</v>
      </c>
      <c r="M339" s="367">
        <v>0.13061</v>
      </c>
      <c r="N339" s="367">
        <v>0.16153999999999999</v>
      </c>
      <c r="O339" s="367">
        <v>0.11916</v>
      </c>
      <c r="P339" s="367">
        <v>3.0470000000000001E-2</v>
      </c>
      <c r="Q339" s="367">
        <v>8.8690000000000005E-2</v>
      </c>
    </row>
    <row r="340" spans="2:17" x14ac:dyDescent="0.3">
      <c r="B340" s="365" t="s">
        <v>519</v>
      </c>
      <c r="C340" s="365">
        <v>1.21E-2</v>
      </c>
      <c r="D340" s="365">
        <v>0.10145</v>
      </c>
      <c r="E340" s="365">
        <v>0.13861000000000001</v>
      </c>
      <c r="F340" s="365">
        <v>0.11541999999999999</v>
      </c>
      <c r="G340" s="365">
        <v>2.93E-2</v>
      </c>
      <c r="H340" s="365">
        <v>8.6120000000000002E-2</v>
      </c>
      <c r="K340" s="366">
        <v>41877</v>
      </c>
      <c r="L340" s="367">
        <v>1.0500000000000001E-2</v>
      </c>
      <c r="M340" s="367">
        <v>0.13375999999999999</v>
      </c>
      <c r="N340" s="367">
        <v>0.16100999999999999</v>
      </c>
      <c r="O340" s="367">
        <v>0.12067</v>
      </c>
      <c r="P340" s="367">
        <v>3.0620000000000001E-2</v>
      </c>
      <c r="Q340" s="367">
        <v>9.0050000000000005E-2</v>
      </c>
    </row>
    <row r="341" spans="2:17" x14ac:dyDescent="0.3">
      <c r="B341" s="365" t="s">
        <v>520</v>
      </c>
      <c r="C341" s="365">
        <v>1.197E-2</v>
      </c>
      <c r="D341" s="365">
        <v>0.10101</v>
      </c>
      <c r="E341" s="365">
        <v>0.13858999999999999</v>
      </c>
      <c r="F341" s="365">
        <v>0.11483</v>
      </c>
      <c r="G341" s="365">
        <v>2.93E-2</v>
      </c>
      <c r="H341" s="365">
        <v>8.5529999999999995E-2</v>
      </c>
      <c r="K341" s="366">
        <v>41876</v>
      </c>
      <c r="L341" s="367">
        <v>1.0529999999999999E-2</v>
      </c>
      <c r="M341" s="367">
        <v>0.13553999999999999</v>
      </c>
      <c r="N341" s="367">
        <v>0.16123000000000001</v>
      </c>
      <c r="O341" s="367">
        <v>0.12124</v>
      </c>
      <c r="P341" s="367">
        <v>3.1060000000000001E-2</v>
      </c>
      <c r="Q341" s="367">
        <v>9.0179999999999996E-2</v>
      </c>
    </row>
    <row r="342" spans="2:17" x14ac:dyDescent="0.3">
      <c r="B342" s="365" t="s">
        <v>521</v>
      </c>
      <c r="C342" s="365">
        <v>1.2030000000000001E-2</v>
      </c>
      <c r="D342" s="365">
        <v>0.1014</v>
      </c>
      <c r="E342" s="365">
        <v>0.13852</v>
      </c>
      <c r="F342" s="365">
        <v>0.11507000000000001</v>
      </c>
      <c r="G342" s="365">
        <v>2.92E-2</v>
      </c>
      <c r="H342" s="365">
        <v>8.5870000000000002E-2</v>
      </c>
      <c r="K342" s="366">
        <v>41873</v>
      </c>
      <c r="L342" s="367">
        <v>1.055E-2</v>
      </c>
      <c r="M342" s="367">
        <v>0.13388</v>
      </c>
      <c r="N342" s="367">
        <v>0.15939</v>
      </c>
      <c r="O342" s="367">
        <v>0.12096999999999999</v>
      </c>
      <c r="P342" s="367">
        <v>3.1440000000000003E-2</v>
      </c>
      <c r="Q342" s="367">
        <v>8.9529999999999998E-2</v>
      </c>
    </row>
    <row r="343" spans="2:17" x14ac:dyDescent="0.3">
      <c r="B343" s="365" t="s">
        <v>522</v>
      </c>
      <c r="C343" s="365">
        <v>1.1990000000000001E-2</v>
      </c>
      <c r="D343" s="365">
        <v>0.10118000000000001</v>
      </c>
      <c r="E343" s="365">
        <v>0.13830000000000001</v>
      </c>
      <c r="F343" s="365">
        <v>0.11481</v>
      </c>
      <c r="G343" s="365">
        <v>2.92E-2</v>
      </c>
      <c r="H343" s="365">
        <v>8.5610000000000006E-2</v>
      </c>
      <c r="K343" s="366">
        <v>41872</v>
      </c>
      <c r="L343" s="367">
        <v>1.0619999999999999E-2</v>
      </c>
      <c r="M343" s="367">
        <v>0.13399</v>
      </c>
      <c r="N343" s="367">
        <v>0.14874999999999999</v>
      </c>
      <c r="O343" s="367">
        <v>0.12123</v>
      </c>
      <c r="P343" s="367">
        <v>3.1489999999999997E-2</v>
      </c>
      <c r="Q343" s="367">
        <v>8.974E-2</v>
      </c>
    </row>
    <row r="344" spans="2:17" x14ac:dyDescent="0.3">
      <c r="B344" s="365" t="s">
        <v>523</v>
      </c>
      <c r="C344" s="365">
        <v>1.1990000000000001E-2</v>
      </c>
      <c r="D344" s="365">
        <v>9.8989999999999995E-2</v>
      </c>
      <c r="E344" s="365">
        <v>0.13782</v>
      </c>
      <c r="F344" s="365">
        <v>0.11382</v>
      </c>
      <c r="G344" s="365">
        <v>2.8899999999999999E-2</v>
      </c>
      <c r="H344" s="365">
        <v>8.4919999999999995E-2</v>
      </c>
      <c r="K344" s="366">
        <v>41871</v>
      </c>
      <c r="L344" s="367">
        <v>1.0460000000000001E-2</v>
      </c>
      <c r="M344" s="367">
        <v>0.13378000000000001</v>
      </c>
      <c r="N344" s="367">
        <v>0.14863999999999999</v>
      </c>
      <c r="O344" s="367">
        <v>0.12049</v>
      </c>
      <c r="P344" s="367">
        <v>3.1419999999999997E-2</v>
      </c>
      <c r="Q344" s="367">
        <v>8.9069999999999996E-2</v>
      </c>
    </row>
    <row r="345" spans="2:17" x14ac:dyDescent="0.3">
      <c r="B345" s="365" t="s">
        <v>524</v>
      </c>
      <c r="C345" s="365">
        <v>1.21E-2</v>
      </c>
      <c r="D345" s="365">
        <v>9.9250000000000005E-2</v>
      </c>
      <c r="E345" s="365">
        <v>0.13780999999999999</v>
      </c>
      <c r="F345" s="365">
        <v>0.11443</v>
      </c>
      <c r="G345" s="365">
        <v>2.8799999999999999E-2</v>
      </c>
      <c r="H345" s="365">
        <v>8.5629999999999998E-2</v>
      </c>
      <c r="K345" s="366">
        <v>41870</v>
      </c>
      <c r="L345" s="367">
        <v>1.047E-2</v>
      </c>
      <c r="M345" s="367">
        <v>0.13397999999999999</v>
      </c>
      <c r="N345" s="367">
        <v>0.14860999999999999</v>
      </c>
      <c r="O345" s="367">
        <v>0.12067</v>
      </c>
      <c r="P345" s="367">
        <v>3.1419999999999997E-2</v>
      </c>
      <c r="Q345" s="367">
        <v>8.9249999999999996E-2</v>
      </c>
    </row>
    <row r="346" spans="2:17" x14ac:dyDescent="0.3">
      <c r="B346" s="365" t="s">
        <v>525</v>
      </c>
      <c r="C346" s="365">
        <v>1.2109999999999999E-2</v>
      </c>
      <c r="D346" s="365">
        <v>9.8479999999999998E-2</v>
      </c>
      <c r="E346" s="365">
        <v>0.13752</v>
      </c>
      <c r="F346" s="365">
        <v>0.11409999999999999</v>
      </c>
      <c r="G346" s="365">
        <v>2.87E-2</v>
      </c>
      <c r="H346" s="365">
        <v>8.5400000000000004E-2</v>
      </c>
      <c r="K346" s="366">
        <v>41869</v>
      </c>
      <c r="L346" s="367">
        <v>1.057E-2</v>
      </c>
      <c r="M346" s="367">
        <v>0.13413</v>
      </c>
      <c r="N346" s="367">
        <v>0.14832999999999999</v>
      </c>
      <c r="O346" s="367">
        <v>0.12124</v>
      </c>
      <c r="P346" s="367">
        <v>3.1029999999999999E-2</v>
      </c>
      <c r="Q346" s="367">
        <v>9.0209999999999999E-2</v>
      </c>
    </row>
    <row r="347" spans="2:17" x14ac:dyDescent="0.3">
      <c r="B347" s="365" t="s">
        <v>526</v>
      </c>
      <c r="C347" s="365">
        <v>1.227E-2</v>
      </c>
      <c r="D347" s="365">
        <v>9.74E-2</v>
      </c>
      <c r="E347" s="365">
        <v>0.14021</v>
      </c>
      <c r="F347" s="365">
        <v>0.11405</v>
      </c>
      <c r="G347" s="365">
        <v>2.8899999999999999E-2</v>
      </c>
      <c r="H347" s="365">
        <v>8.5150000000000003E-2</v>
      </c>
      <c r="K347" s="366">
        <v>41865</v>
      </c>
      <c r="L347" s="367">
        <v>1.0529999999999999E-2</v>
      </c>
      <c r="M347" s="367">
        <v>0.13388</v>
      </c>
      <c r="N347" s="367">
        <v>0.14568999999999999</v>
      </c>
      <c r="O347" s="367">
        <v>0.1212</v>
      </c>
      <c r="P347" s="367">
        <v>3.065E-2</v>
      </c>
      <c r="Q347" s="367">
        <v>9.0550000000000005E-2</v>
      </c>
    </row>
    <row r="348" spans="2:17" x14ac:dyDescent="0.3">
      <c r="B348" s="365" t="s">
        <v>527</v>
      </c>
      <c r="C348" s="365">
        <v>1.2290000000000001E-2</v>
      </c>
      <c r="D348" s="365">
        <v>9.7960000000000005E-2</v>
      </c>
      <c r="E348" s="365">
        <v>0.14615</v>
      </c>
      <c r="F348" s="365">
        <v>0.11453000000000001</v>
      </c>
      <c r="G348" s="365">
        <v>2.87E-2</v>
      </c>
      <c r="H348" s="365">
        <v>8.5830000000000004E-2</v>
      </c>
      <c r="K348" s="366">
        <v>41864</v>
      </c>
      <c r="L348" s="367">
        <v>1.0529999999999999E-2</v>
      </c>
      <c r="M348" s="367">
        <v>0.13403000000000001</v>
      </c>
      <c r="N348" s="367">
        <v>0.14610000000000001</v>
      </c>
      <c r="O348" s="367">
        <v>0.12117</v>
      </c>
      <c r="P348" s="367">
        <v>3.0700000000000002E-2</v>
      </c>
      <c r="Q348" s="367">
        <v>9.0469999999999995E-2</v>
      </c>
    </row>
    <row r="349" spans="2:17" x14ac:dyDescent="0.3">
      <c r="B349" s="365" t="s">
        <v>528</v>
      </c>
      <c r="C349" s="365">
        <v>1.2070000000000001E-2</v>
      </c>
      <c r="D349" s="365">
        <v>9.7350000000000006E-2</v>
      </c>
      <c r="E349" s="365">
        <v>0.14624999999999999</v>
      </c>
      <c r="F349" s="365">
        <v>0.11354</v>
      </c>
      <c r="G349" s="365">
        <v>2.8400000000000002E-2</v>
      </c>
      <c r="H349" s="365">
        <v>8.5139999999999993E-2</v>
      </c>
      <c r="K349" s="366">
        <v>41863</v>
      </c>
      <c r="L349" s="367">
        <v>1.064E-2</v>
      </c>
      <c r="M349" s="367">
        <v>0.13283</v>
      </c>
      <c r="N349" s="367">
        <v>0.14574999999999999</v>
      </c>
      <c r="O349" s="367">
        <v>0.12173</v>
      </c>
      <c r="P349" s="367">
        <v>3.065E-2</v>
      </c>
      <c r="Q349" s="367">
        <v>9.1079999999999994E-2</v>
      </c>
    </row>
    <row r="350" spans="2:17" x14ac:dyDescent="0.3">
      <c r="B350" s="365" t="s">
        <v>529</v>
      </c>
      <c r="C350" s="365">
        <v>1.2239999999999999E-2</v>
      </c>
      <c r="D350" s="365">
        <v>9.7750000000000004E-2</v>
      </c>
      <c r="E350" s="365">
        <v>0.14593999999999999</v>
      </c>
      <c r="F350" s="365">
        <v>0.11429</v>
      </c>
      <c r="G350" s="365">
        <v>2.8199999999999999E-2</v>
      </c>
      <c r="H350" s="365">
        <v>8.609E-2</v>
      </c>
      <c r="K350" s="366">
        <v>41862</v>
      </c>
      <c r="L350" s="367">
        <v>1.065E-2</v>
      </c>
      <c r="M350" s="367">
        <v>0.13411000000000001</v>
      </c>
      <c r="N350" s="367">
        <v>0.14327000000000001</v>
      </c>
      <c r="O350" s="367">
        <v>0.12181</v>
      </c>
      <c r="P350" s="367">
        <v>3.0470000000000001E-2</v>
      </c>
      <c r="Q350" s="367">
        <v>9.1340000000000005E-2</v>
      </c>
    </row>
    <row r="351" spans="2:17" x14ac:dyDescent="0.3">
      <c r="B351" s="365" t="s">
        <v>530</v>
      </c>
      <c r="C351" s="365">
        <v>1.225E-2</v>
      </c>
      <c r="D351" s="365">
        <v>9.7589999999999996E-2</v>
      </c>
      <c r="E351" s="365">
        <v>0.14604</v>
      </c>
      <c r="F351" s="365">
        <v>0.11426</v>
      </c>
      <c r="G351" s="365">
        <v>2.8000000000000001E-2</v>
      </c>
      <c r="H351" s="365">
        <v>8.6260000000000003E-2</v>
      </c>
      <c r="K351" s="366">
        <v>41859</v>
      </c>
      <c r="L351" s="367">
        <v>1.069E-2</v>
      </c>
      <c r="M351" s="367">
        <v>0.13352</v>
      </c>
      <c r="N351" s="367">
        <v>0.14571000000000001</v>
      </c>
      <c r="O351" s="367">
        <v>0.12159</v>
      </c>
      <c r="P351" s="367">
        <v>3.0380000000000001E-2</v>
      </c>
      <c r="Q351" s="367">
        <v>9.1209999999999999E-2</v>
      </c>
    </row>
    <row r="352" spans="2:17" x14ac:dyDescent="0.3">
      <c r="B352" s="365" t="s">
        <v>531</v>
      </c>
      <c r="C352" s="365">
        <v>1.2189999999999999E-2</v>
      </c>
      <c r="D352" s="365">
        <v>9.5380000000000006E-2</v>
      </c>
      <c r="E352" s="365">
        <v>0.14574999999999999</v>
      </c>
      <c r="F352" s="365">
        <v>0.11382</v>
      </c>
      <c r="G352" s="365">
        <v>2.81E-2</v>
      </c>
      <c r="H352" s="365">
        <v>8.5720000000000005E-2</v>
      </c>
      <c r="K352" s="366">
        <v>41858</v>
      </c>
      <c r="L352" s="367">
        <v>1.04E-2</v>
      </c>
      <c r="M352" s="367">
        <v>0.13250000000000001</v>
      </c>
      <c r="N352" s="367">
        <v>0.14582999999999999</v>
      </c>
      <c r="O352" s="367">
        <v>0.12116</v>
      </c>
      <c r="P352" s="367">
        <v>3.0849999999999999E-2</v>
      </c>
      <c r="Q352" s="367">
        <v>9.0310000000000001E-2</v>
      </c>
    </row>
    <row r="353" spans="2:17" x14ac:dyDescent="0.3">
      <c r="B353" s="365" t="s">
        <v>532</v>
      </c>
      <c r="C353" s="365">
        <v>1.221E-2</v>
      </c>
      <c r="D353" s="365">
        <v>9.4339999999999993E-2</v>
      </c>
      <c r="E353" s="365">
        <v>0.14527999999999999</v>
      </c>
      <c r="F353" s="365">
        <v>0.11348999999999999</v>
      </c>
      <c r="G353" s="365">
        <v>2.7400000000000001E-2</v>
      </c>
      <c r="H353" s="365">
        <v>8.609E-2</v>
      </c>
      <c r="K353" s="366">
        <v>41857</v>
      </c>
      <c r="L353" s="367">
        <v>1.0359999999999999E-2</v>
      </c>
      <c r="M353" s="367">
        <v>0.13788</v>
      </c>
      <c r="N353" s="367">
        <v>0.14574999999999999</v>
      </c>
      <c r="O353" s="367">
        <v>0.12285</v>
      </c>
      <c r="P353" s="367">
        <v>3.0949999999999998E-2</v>
      </c>
      <c r="Q353" s="367">
        <v>9.1899999999999996E-2</v>
      </c>
    </row>
    <row r="354" spans="2:17" x14ac:dyDescent="0.3">
      <c r="B354" s="365" t="s">
        <v>533</v>
      </c>
      <c r="C354" s="365">
        <v>1.226E-2</v>
      </c>
      <c r="D354" s="365">
        <v>9.375E-2</v>
      </c>
      <c r="E354" s="365">
        <v>0.14519000000000001</v>
      </c>
      <c r="F354" s="365">
        <v>0.1135</v>
      </c>
      <c r="G354" s="365">
        <v>2.7300000000000001E-2</v>
      </c>
      <c r="H354" s="365">
        <v>8.6199999999999999E-2</v>
      </c>
      <c r="K354" s="366">
        <v>41856</v>
      </c>
      <c r="L354" s="367">
        <v>1.0330000000000001E-2</v>
      </c>
      <c r="M354" s="367">
        <v>0.13763</v>
      </c>
      <c r="N354" s="367">
        <v>0.14585999999999999</v>
      </c>
      <c r="O354" s="367">
        <v>0.12302</v>
      </c>
      <c r="P354" s="367">
        <v>3.065E-2</v>
      </c>
      <c r="Q354" s="367">
        <v>9.2369999999999994E-2</v>
      </c>
    </row>
    <row r="355" spans="2:17" x14ac:dyDescent="0.3">
      <c r="B355" s="365" t="s">
        <v>534</v>
      </c>
      <c r="C355" s="365">
        <v>1.221E-2</v>
      </c>
      <c r="D355" s="365">
        <v>9.3859999999999999E-2</v>
      </c>
      <c r="E355" s="365">
        <v>0.14505999999999999</v>
      </c>
      <c r="F355" s="365">
        <v>0.11361</v>
      </c>
      <c r="G355" s="365">
        <v>2.7699999999999999E-2</v>
      </c>
      <c r="H355" s="365">
        <v>8.591E-2</v>
      </c>
      <c r="K355" s="366">
        <v>41855</v>
      </c>
      <c r="L355" s="367">
        <v>1.026E-2</v>
      </c>
      <c r="M355" s="367">
        <v>0.13983000000000001</v>
      </c>
      <c r="N355" s="367">
        <v>0.14566000000000001</v>
      </c>
      <c r="O355" s="367">
        <v>0.12303</v>
      </c>
      <c r="P355" s="367">
        <v>3.1050000000000001E-2</v>
      </c>
      <c r="Q355" s="367">
        <v>9.1980000000000006E-2</v>
      </c>
    </row>
    <row r="356" spans="2:17" x14ac:dyDescent="0.3">
      <c r="B356" s="365" t="s">
        <v>535</v>
      </c>
      <c r="C356" s="365">
        <v>1.235E-2</v>
      </c>
      <c r="D356" s="365">
        <v>9.443E-2</v>
      </c>
      <c r="E356" s="365">
        <v>0.14455999999999999</v>
      </c>
      <c r="F356" s="365">
        <v>0.11477999999999999</v>
      </c>
      <c r="G356" s="365">
        <v>2.81E-2</v>
      </c>
      <c r="H356" s="365">
        <v>8.6679999999999993E-2</v>
      </c>
      <c r="K356" s="366">
        <v>41852</v>
      </c>
      <c r="L356" s="367">
        <v>1.0240000000000001E-2</v>
      </c>
      <c r="M356" s="367">
        <v>0.13843</v>
      </c>
      <c r="N356" s="367">
        <v>0.14249000000000001</v>
      </c>
      <c r="O356" s="367">
        <v>0.12252</v>
      </c>
      <c r="P356" s="367">
        <v>3.1019999999999999E-2</v>
      </c>
      <c r="Q356" s="367">
        <v>9.1499999999999998E-2</v>
      </c>
    </row>
    <row r="357" spans="2:17" x14ac:dyDescent="0.3">
      <c r="B357" s="365" t="s">
        <v>536</v>
      </c>
      <c r="C357" s="365">
        <v>1.2319999999999999E-2</v>
      </c>
      <c r="D357" s="365">
        <v>0.10085</v>
      </c>
      <c r="E357" s="365">
        <v>0.14373</v>
      </c>
      <c r="F357" s="365">
        <v>0.11744</v>
      </c>
      <c r="G357" s="365">
        <v>2.8000000000000001E-2</v>
      </c>
      <c r="H357" s="365">
        <v>8.9440000000000006E-2</v>
      </c>
      <c r="K357" s="366">
        <v>41851</v>
      </c>
      <c r="L357" s="367">
        <v>1.0370000000000001E-2</v>
      </c>
      <c r="M357" s="367">
        <v>0.13671</v>
      </c>
      <c r="N357" s="367">
        <v>0.14197000000000001</v>
      </c>
      <c r="O357" s="367">
        <v>0.12256</v>
      </c>
      <c r="P357" s="367">
        <v>3.0540000000000001E-2</v>
      </c>
      <c r="Q357" s="367">
        <v>9.2020000000000005E-2</v>
      </c>
    </row>
    <row r="358" spans="2:17" x14ac:dyDescent="0.3">
      <c r="B358" s="365" t="s">
        <v>537</v>
      </c>
      <c r="C358" s="365">
        <v>1.222E-2</v>
      </c>
      <c r="D358" s="365">
        <v>9.9830000000000002E-2</v>
      </c>
      <c r="E358" s="365">
        <v>0.14246</v>
      </c>
      <c r="F358" s="365">
        <v>0.1167</v>
      </c>
      <c r="G358" s="365">
        <v>2.8199999999999999E-2</v>
      </c>
      <c r="H358" s="365">
        <v>8.8499999999999995E-2</v>
      </c>
      <c r="K358" s="366">
        <v>41850</v>
      </c>
      <c r="L358" s="367">
        <v>1.034E-2</v>
      </c>
      <c r="M358" s="367">
        <v>0.13883000000000001</v>
      </c>
      <c r="N358" s="367">
        <v>0.14215</v>
      </c>
      <c r="O358" s="367">
        <v>0.12382</v>
      </c>
      <c r="P358" s="367">
        <v>3.0370000000000001E-2</v>
      </c>
      <c r="Q358" s="367">
        <v>9.3450000000000005E-2</v>
      </c>
    </row>
    <row r="359" spans="2:17" x14ac:dyDescent="0.3">
      <c r="B359" s="365" t="s">
        <v>538</v>
      </c>
      <c r="C359" s="365">
        <v>1.231E-2</v>
      </c>
      <c r="D359" s="365">
        <v>9.9110000000000004E-2</v>
      </c>
      <c r="E359" s="365">
        <v>0.14232</v>
      </c>
      <c r="F359" s="365">
        <v>0.1166</v>
      </c>
      <c r="G359" s="365">
        <v>2.8500000000000001E-2</v>
      </c>
      <c r="H359" s="365">
        <v>8.8099999999999998E-2</v>
      </c>
      <c r="K359" s="366">
        <v>41849</v>
      </c>
      <c r="L359" s="367">
        <v>1.0449999999999999E-2</v>
      </c>
      <c r="M359" s="367">
        <v>0.13925000000000001</v>
      </c>
      <c r="N359" s="367">
        <v>0.14169999999999999</v>
      </c>
      <c r="O359" s="367">
        <v>0.12562000000000001</v>
      </c>
      <c r="P359" s="367">
        <v>3.0339999999999999E-2</v>
      </c>
      <c r="Q359" s="367">
        <v>9.5280000000000004E-2</v>
      </c>
    </row>
    <row r="360" spans="2:17" x14ac:dyDescent="0.3">
      <c r="B360" s="365" t="s">
        <v>539</v>
      </c>
      <c r="C360" s="365">
        <v>1.2460000000000001E-2</v>
      </c>
      <c r="D360" s="365">
        <v>0.10076</v>
      </c>
      <c r="E360" s="365">
        <v>0.14216999999999999</v>
      </c>
      <c r="F360" s="365">
        <v>0.11641</v>
      </c>
      <c r="G360" s="365">
        <v>2.8500000000000001E-2</v>
      </c>
      <c r="H360" s="365">
        <v>8.7910000000000002E-2</v>
      </c>
      <c r="K360" s="366">
        <v>41848</v>
      </c>
      <c r="L360" s="367">
        <v>1.0529999999999999E-2</v>
      </c>
      <c r="M360" s="367">
        <v>0.1565</v>
      </c>
      <c r="N360" s="367">
        <v>0.14154</v>
      </c>
      <c r="O360" s="367">
        <v>0.13308</v>
      </c>
      <c r="P360" s="367">
        <v>3.0210000000000001E-2</v>
      </c>
      <c r="Q360" s="367">
        <v>0.10287</v>
      </c>
    </row>
    <row r="361" spans="2:17" x14ac:dyDescent="0.3">
      <c r="B361" s="365" t="s">
        <v>540</v>
      </c>
      <c r="C361" s="365">
        <v>1.218E-2</v>
      </c>
      <c r="D361" s="365">
        <v>9.9970000000000003E-2</v>
      </c>
      <c r="E361" s="365">
        <v>0.14222000000000001</v>
      </c>
      <c r="F361" s="365">
        <v>0.11569</v>
      </c>
      <c r="G361" s="365">
        <v>2.87E-2</v>
      </c>
      <c r="H361" s="365">
        <v>8.6989999999999998E-2</v>
      </c>
      <c r="K361" s="366">
        <v>41845</v>
      </c>
      <c r="L361" s="367">
        <v>1.0670000000000001E-2</v>
      </c>
      <c r="M361" s="367">
        <v>0.15867999999999999</v>
      </c>
      <c r="N361" s="367">
        <v>0.14248</v>
      </c>
      <c r="O361" s="367">
        <v>0.13441</v>
      </c>
      <c r="P361" s="367">
        <v>3.0020000000000002E-2</v>
      </c>
      <c r="Q361" s="367">
        <v>0.10439</v>
      </c>
    </row>
    <row r="362" spans="2:17" x14ac:dyDescent="0.3">
      <c r="B362" s="365" t="s">
        <v>541</v>
      </c>
      <c r="C362" s="365">
        <v>1.234E-2</v>
      </c>
      <c r="D362" s="365">
        <v>9.9150000000000002E-2</v>
      </c>
      <c r="E362" s="365">
        <v>0.14224999999999999</v>
      </c>
      <c r="F362" s="365">
        <v>0.11594</v>
      </c>
      <c r="G362" s="365">
        <v>2.87E-2</v>
      </c>
      <c r="H362" s="365">
        <v>8.7239999999999998E-2</v>
      </c>
      <c r="K362" s="366">
        <v>41844</v>
      </c>
      <c r="L362" s="367">
        <v>1.064E-2</v>
      </c>
      <c r="M362" s="367">
        <v>0.15964</v>
      </c>
      <c r="N362" s="367">
        <v>0.14146</v>
      </c>
      <c r="O362" s="367">
        <v>0.13485</v>
      </c>
      <c r="P362" s="367">
        <v>3.014E-2</v>
      </c>
      <c r="Q362" s="367">
        <v>0.10471</v>
      </c>
    </row>
    <row r="363" spans="2:17" x14ac:dyDescent="0.3">
      <c r="B363" s="365" t="s">
        <v>542</v>
      </c>
      <c r="C363" s="365">
        <v>1.239E-2</v>
      </c>
      <c r="D363" s="365">
        <v>9.9159999999999998E-2</v>
      </c>
      <c r="E363" s="365">
        <v>0.14229</v>
      </c>
      <c r="F363" s="365">
        <v>0.11617</v>
      </c>
      <c r="G363" s="365">
        <v>2.86E-2</v>
      </c>
      <c r="H363" s="365">
        <v>8.7569999999999995E-2</v>
      </c>
      <c r="K363" s="366">
        <v>41843</v>
      </c>
      <c r="L363" s="367">
        <v>1.0630000000000001E-2</v>
      </c>
      <c r="M363" s="367">
        <v>0.15770000000000001</v>
      </c>
      <c r="N363" s="367">
        <v>0.14132</v>
      </c>
      <c r="O363" s="367">
        <v>0.1336</v>
      </c>
      <c r="P363" s="367">
        <v>2.9770000000000001E-2</v>
      </c>
      <c r="Q363" s="367">
        <v>0.10383000000000001</v>
      </c>
    </row>
    <row r="364" spans="2:17" x14ac:dyDescent="0.3">
      <c r="B364" s="365" t="s">
        <v>543</v>
      </c>
      <c r="C364" s="365">
        <v>1.222E-2</v>
      </c>
      <c r="D364" s="365">
        <v>9.8900000000000002E-2</v>
      </c>
      <c r="E364" s="365">
        <v>0.14223</v>
      </c>
      <c r="F364" s="365">
        <v>0.11557000000000001</v>
      </c>
      <c r="G364" s="365">
        <v>2.9000000000000001E-2</v>
      </c>
      <c r="H364" s="365">
        <v>8.6569999999999994E-2</v>
      </c>
      <c r="K364" s="366">
        <v>41842</v>
      </c>
      <c r="L364" s="367">
        <v>1.0630000000000001E-2</v>
      </c>
      <c r="M364" s="367">
        <v>0.15651000000000001</v>
      </c>
      <c r="N364" s="367">
        <v>0.14235999999999999</v>
      </c>
      <c r="O364" s="367">
        <v>0.13391</v>
      </c>
      <c r="P364" s="367">
        <v>2.9989999999999999E-2</v>
      </c>
      <c r="Q364" s="367">
        <v>0.10392</v>
      </c>
    </row>
    <row r="365" spans="2:17" x14ac:dyDescent="0.3">
      <c r="B365" s="365" t="s">
        <v>544</v>
      </c>
      <c r="C365" s="365">
        <v>1.223E-2</v>
      </c>
      <c r="D365" s="365">
        <v>9.8710000000000006E-2</v>
      </c>
      <c r="E365" s="365">
        <v>0.14147000000000001</v>
      </c>
      <c r="F365" s="365">
        <v>0.11616</v>
      </c>
      <c r="G365" s="365">
        <v>2.9000000000000001E-2</v>
      </c>
      <c r="H365" s="365">
        <v>8.7160000000000001E-2</v>
      </c>
      <c r="K365" s="366">
        <v>41841</v>
      </c>
      <c r="L365" s="367">
        <v>1.0659999999999999E-2</v>
      </c>
      <c r="M365" s="367">
        <v>0.1555</v>
      </c>
      <c r="N365" s="367">
        <v>0.14247000000000001</v>
      </c>
      <c r="O365" s="367">
        <v>0.13439999999999999</v>
      </c>
      <c r="P365" s="367">
        <v>0.03</v>
      </c>
      <c r="Q365" s="367">
        <v>0.10440000000000001</v>
      </c>
    </row>
    <row r="366" spans="2:17" x14ac:dyDescent="0.3">
      <c r="B366" s="365" t="s">
        <v>545</v>
      </c>
      <c r="C366" s="365">
        <v>1.2239999999999999E-2</v>
      </c>
      <c r="D366" s="365">
        <v>0.10117</v>
      </c>
      <c r="E366" s="365">
        <v>0.14121</v>
      </c>
      <c r="F366" s="365">
        <v>0.11755</v>
      </c>
      <c r="G366" s="365">
        <v>2.9700000000000001E-2</v>
      </c>
      <c r="H366" s="365">
        <v>8.7849999999999998E-2</v>
      </c>
      <c r="K366" s="366">
        <v>41838</v>
      </c>
      <c r="L366" s="367">
        <v>1.0710000000000001E-2</v>
      </c>
      <c r="M366" s="367">
        <v>0.15558</v>
      </c>
      <c r="N366" s="367">
        <v>0.14330000000000001</v>
      </c>
      <c r="O366" s="367">
        <v>0.13489999999999999</v>
      </c>
      <c r="P366" s="367">
        <v>2.9749999999999999E-2</v>
      </c>
      <c r="Q366" s="367">
        <v>0.10514999999999999</v>
      </c>
    </row>
    <row r="367" spans="2:17" x14ac:dyDescent="0.3">
      <c r="B367" s="365" t="s">
        <v>546</v>
      </c>
      <c r="C367" s="365">
        <v>1.227E-2</v>
      </c>
      <c r="D367" s="365">
        <v>0.10278</v>
      </c>
      <c r="E367" s="365">
        <v>0.14158000000000001</v>
      </c>
      <c r="F367" s="365">
        <v>0.11824</v>
      </c>
      <c r="G367" s="365">
        <v>2.9600000000000001E-2</v>
      </c>
      <c r="H367" s="365">
        <v>8.8639999999999997E-2</v>
      </c>
      <c r="K367" s="366">
        <v>41837</v>
      </c>
      <c r="L367" s="367">
        <v>1.0699999999999999E-2</v>
      </c>
      <c r="M367" s="367">
        <v>0.15570000000000001</v>
      </c>
      <c r="N367" s="367">
        <v>0.14341000000000001</v>
      </c>
      <c r="O367" s="367">
        <v>0.13477</v>
      </c>
      <c r="P367" s="367">
        <v>3.0009999999999998E-2</v>
      </c>
      <c r="Q367" s="367">
        <v>0.10476000000000001</v>
      </c>
    </row>
    <row r="368" spans="2:17" x14ac:dyDescent="0.3">
      <c r="B368" s="365" t="s">
        <v>547</v>
      </c>
      <c r="C368" s="365">
        <v>1.208E-2</v>
      </c>
      <c r="D368" s="365">
        <v>0.1023</v>
      </c>
      <c r="E368" s="365">
        <v>0.14169999999999999</v>
      </c>
      <c r="F368" s="365">
        <v>0.11768000000000001</v>
      </c>
      <c r="G368" s="365">
        <v>2.9100000000000001E-2</v>
      </c>
      <c r="H368" s="365">
        <v>8.8580000000000006E-2</v>
      </c>
      <c r="K368" s="366">
        <v>41836</v>
      </c>
      <c r="L368" s="367">
        <v>1.074E-2</v>
      </c>
      <c r="M368" s="367">
        <v>0.15543999999999999</v>
      </c>
      <c r="N368" s="367">
        <v>0.14324000000000001</v>
      </c>
      <c r="O368" s="367">
        <v>0.13475000000000001</v>
      </c>
      <c r="P368" s="367">
        <v>3.041E-2</v>
      </c>
      <c r="Q368" s="367">
        <v>0.10434</v>
      </c>
    </row>
    <row r="369" spans="2:17" x14ac:dyDescent="0.3">
      <c r="B369" s="365" t="s">
        <v>548</v>
      </c>
      <c r="C369" s="365">
        <v>1.217E-2</v>
      </c>
      <c r="D369" s="365">
        <v>0.10273</v>
      </c>
      <c r="E369" s="365">
        <v>0.14293</v>
      </c>
      <c r="F369" s="365">
        <v>0.11897000000000001</v>
      </c>
      <c r="G369" s="365">
        <v>2.7900000000000001E-2</v>
      </c>
      <c r="H369" s="365">
        <v>9.1069999999999998E-2</v>
      </c>
      <c r="K369" s="366">
        <v>41835</v>
      </c>
      <c r="L369" s="367">
        <v>1.0749999999999999E-2</v>
      </c>
      <c r="M369" s="367">
        <v>0.15529999999999999</v>
      </c>
      <c r="N369" s="367">
        <v>0.1434</v>
      </c>
      <c r="O369" s="367">
        <v>0.13482</v>
      </c>
      <c r="P369" s="367">
        <v>3.0679999999999999E-2</v>
      </c>
      <c r="Q369" s="367">
        <v>0.10414</v>
      </c>
    </row>
    <row r="370" spans="2:17" x14ac:dyDescent="0.3">
      <c r="B370" s="365" t="s">
        <v>549</v>
      </c>
      <c r="C370" s="365">
        <v>1.2200000000000001E-2</v>
      </c>
      <c r="D370" s="365">
        <v>0.10707999999999999</v>
      </c>
      <c r="E370" s="365">
        <v>0.14121</v>
      </c>
      <c r="F370" s="365">
        <v>0.12127</v>
      </c>
      <c r="G370" s="365">
        <v>2.7900000000000001E-2</v>
      </c>
      <c r="H370" s="365">
        <v>9.3369999999999995E-2</v>
      </c>
      <c r="K370" s="366">
        <v>41834</v>
      </c>
      <c r="L370" s="367">
        <v>1.0840000000000001E-2</v>
      </c>
      <c r="M370" s="367">
        <v>0.15612000000000001</v>
      </c>
      <c r="N370" s="367">
        <v>0.14329</v>
      </c>
      <c r="O370" s="367">
        <v>0.13544</v>
      </c>
      <c r="P370" s="367">
        <v>3.075E-2</v>
      </c>
      <c r="Q370" s="367">
        <v>0.10469000000000001</v>
      </c>
    </row>
    <row r="371" spans="2:17" x14ac:dyDescent="0.3">
      <c r="B371" s="365" t="s">
        <v>550</v>
      </c>
      <c r="C371" s="365">
        <v>1.221E-2</v>
      </c>
      <c r="D371" s="365">
        <v>0.11069</v>
      </c>
      <c r="E371" s="365">
        <v>0.14079</v>
      </c>
      <c r="F371" s="365">
        <v>0.12214999999999999</v>
      </c>
      <c r="G371" s="365">
        <v>2.7699999999999999E-2</v>
      </c>
      <c r="H371" s="365">
        <v>9.4450000000000006E-2</v>
      </c>
      <c r="K371" s="366">
        <v>41831</v>
      </c>
      <c r="L371" s="367">
        <v>1.09E-2</v>
      </c>
      <c r="M371" s="367">
        <v>0.15572</v>
      </c>
      <c r="N371" s="367">
        <v>0.1426</v>
      </c>
      <c r="O371" s="367">
        <v>0.13527</v>
      </c>
      <c r="P371" s="367">
        <v>3.0599999999999999E-2</v>
      </c>
      <c r="Q371" s="367">
        <v>0.10467</v>
      </c>
    </row>
    <row r="372" spans="2:17" x14ac:dyDescent="0.3">
      <c r="B372" s="365" t="s">
        <v>551</v>
      </c>
      <c r="C372" s="365">
        <v>1.2189999999999999E-2</v>
      </c>
      <c r="D372" s="365">
        <v>0.10766000000000001</v>
      </c>
      <c r="E372" s="365">
        <v>0.14097000000000001</v>
      </c>
      <c r="F372" s="365">
        <v>0.11973</v>
      </c>
      <c r="G372" s="365">
        <v>2.76E-2</v>
      </c>
      <c r="H372" s="365">
        <v>9.2130000000000004E-2</v>
      </c>
      <c r="K372" s="366">
        <v>41830</v>
      </c>
      <c r="L372" s="367">
        <v>1.081E-2</v>
      </c>
      <c r="M372" s="367">
        <v>0.15692</v>
      </c>
      <c r="N372" s="367">
        <v>0.14263000000000001</v>
      </c>
      <c r="O372" s="367">
        <v>0.13553000000000001</v>
      </c>
      <c r="P372" s="367">
        <v>3.125E-2</v>
      </c>
      <c r="Q372" s="367">
        <v>0.10428</v>
      </c>
    </row>
    <row r="373" spans="2:17" x14ac:dyDescent="0.3">
      <c r="B373" s="365" t="s">
        <v>552</v>
      </c>
      <c r="C373" s="365">
        <v>1.157E-2</v>
      </c>
      <c r="D373" s="365">
        <v>0.10599</v>
      </c>
      <c r="E373" s="365">
        <v>0.13023999999999999</v>
      </c>
      <c r="F373" s="365">
        <v>0.11794</v>
      </c>
      <c r="G373" s="365">
        <v>2.7900000000000001E-2</v>
      </c>
      <c r="H373" s="365">
        <v>9.0039999999999995E-2</v>
      </c>
      <c r="K373" s="366">
        <v>41829</v>
      </c>
      <c r="L373" s="367">
        <v>1.082E-2</v>
      </c>
      <c r="M373" s="367">
        <v>0.15681</v>
      </c>
      <c r="N373" s="367">
        <v>0.14294999999999999</v>
      </c>
      <c r="O373" s="367">
        <v>0.13555</v>
      </c>
      <c r="P373" s="367">
        <v>3.1550000000000002E-2</v>
      </c>
      <c r="Q373" s="367">
        <v>0.104</v>
      </c>
    </row>
    <row r="374" spans="2:17" x14ac:dyDescent="0.3">
      <c r="B374" s="365" t="s">
        <v>553</v>
      </c>
      <c r="C374" s="365">
        <v>1.142E-2</v>
      </c>
      <c r="D374" s="365">
        <v>0.10499</v>
      </c>
      <c r="E374" s="365">
        <v>0.13017999999999999</v>
      </c>
      <c r="F374" s="365">
        <v>0.11674</v>
      </c>
      <c r="G374" s="365">
        <v>2.7799999999999998E-2</v>
      </c>
      <c r="H374" s="365">
        <v>8.8940000000000005E-2</v>
      </c>
      <c r="K374" s="366">
        <v>41828</v>
      </c>
      <c r="L374" s="367">
        <v>1.078E-2</v>
      </c>
      <c r="M374" s="367">
        <v>0.15834999999999999</v>
      </c>
      <c r="N374" s="367">
        <v>0.14241999999999999</v>
      </c>
      <c r="O374" s="367">
        <v>0.13592000000000001</v>
      </c>
      <c r="P374" s="367">
        <v>3.1600000000000003E-2</v>
      </c>
      <c r="Q374" s="367">
        <v>0.10432</v>
      </c>
    </row>
    <row r="375" spans="2:17" x14ac:dyDescent="0.3">
      <c r="B375" s="365" t="s">
        <v>554</v>
      </c>
      <c r="C375" s="365">
        <v>1.136E-2</v>
      </c>
      <c r="D375" s="365">
        <v>0.10539</v>
      </c>
      <c r="E375" s="365">
        <v>0.13016</v>
      </c>
      <c r="F375" s="365">
        <v>0.11681</v>
      </c>
      <c r="G375" s="365">
        <v>2.8000000000000001E-2</v>
      </c>
      <c r="H375" s="365">
        <v>8.881E-2</v>
      </c>
      <c r="K375" s="366">
        <v>41827</v>
      </c>
      <c r="L375" s="367">
        <v>1.077E-2</v>
      </c>
      <c r="M375" s="367">
        <v>0.15407999999999999</v>
      </c>
      <c r="N375" s="367">
        <v>0.14185</v>
      </c>
      <c r="O375" s="367">
        <v>0.13400999999999999</v>
      </c>
      <c r="P375" s="367">
        <v>3.1300000000000001E-2</v>
      </c>
      <c r="Q375" s="367">
        <v>0.10271</v>
      </c>
    </row>
    <row r="376" spans="2:17" x14ac:dyDescent="0.3">
      <c r="B376" s="365" t="s">
        <v>555</v>
      </c>
      <c r="C376" s="365">
        <v>1.1299999999999999E-2</v>
      </c>
      <c r="D376" s="365">
        <v>0.10371</v>
      </c>
      <c r="E376" s="365">
        <v>0.13013</v>
      </c>
      <c r="F376" s="365">
        <v>0.11631</v>
      </c>
      <c r="G376" s="365">
        <v>2.81E-2</v>
      </c>
      <c r="H376" s="365">
        <v>8.8209999999999997E-2</v>
      </c>
      <c r="K376" s="366">
        <v>41824</v>
      </c>
      <c r="L376" s="367">
        <v>1.074E-2</v>
      </c>
      <c r="M376" s="367">
        <v>0.14918999999999999</v>
      </c>
      <c r="N376" s="367">
        <v>0.14141999999999999</v>
      </c>
      <c r="O376" s="367">
        <v>0.13184999999999999</v>
      </c>
      <c r="P376" s="367">
        <v>3.125E-2</v>
      </c>
      <c r="Q376" s="367">
        <v>0.10059999999999999</v>
      </c>
    </row>
    <row r="377" spans="2:17" x14ac:dyDescent="0.3">
      <c r="B377" s="365" t="s">
        <v>556</v>
      </c>
      <c r="C377" s="365">
        <v>1.1639999999999999E-2</v>
      </c>
      <c r="D377" s="365">
        <v>0.10706</v>
      </c>
      <c r="E377" s="365">
        <v>0.14144999999999999</v>
      </c>
      <c r="F377" s="365">
        <v>0.11761000000000001</v>
      </c>
      <c r="G377" s="365">
        <v>2.8000000000000001E-2</v>
      </c>
      <c r="H377" s="365">
        <v>8.9609999999999995E-2</v>
      </c>
      <c r="K377" s="366">
        <v>41823</v>
      </c>
      <c r="L377" s="367">
        <v>1.073E-2</v>
      </c>
      <c r="M377" s="367">
        <v>0.14726</v>
      </c>
      <c r="N377" s="367">
        <v>0.14133000000000001</v>
      </c>
      <c r="O377" s="367">
        <v>0.13114000000000001</v>
      </c>
      <c r="P377" s="367">
        <v>3.1050000000000001E-2</v>
      </c>
      <c r="Q377" s="367">
        <v>0.10009</v>
      </c>
    </row>
    <row r="378" spans="2:17" x14ac:dyDescent="0.3">
      <c r="B378" s="365" t="s">
        <v>557</v>
      </c>
      <c r="C378" s="365">
        <v>1.17E-2</v>
      </c>
      <c r="D378" s="365">
        <v>0.1076</v>
      </c>
      <c r="E378" s="365">
        <v>0.14152999999999999</v>
      </c>
      <c r="F378" s="365">
        <v>0.11809</v>
      </c>
      <c r="G378" s="365">
        <v>2.7300000000000001E-2</v>
      </c>
      <c r="H378" s="365">
        <v>9.0789999999999996E-2</v>
      </c>
      <c r="K378" s="366">
        <v>41822</v>
      </c>
      <c r="L378" s="367">
        <v>1.069E-2</v>
      </c>
      <c r="M378" s="367">
        <v>0.14781</v>
      </c>
      <c r="N378" s="367">
        <v>0.14135</v>
      </c>
      <c r="O378" s="367">
        <v>0.13116</v>
      </c>
      <c r="P378" s="367">
        <v>3.0870000000000002E-2</v>
      </c>
      <c r="Q378" s="367">
        <v>0.10029</v>
      </c>
    </row>
    <row r="379" spans="2:17" x14ac:dyDescent="0.3">
      <c r="B379" s="365" t="s">
        <v>558</v>
      </c>
      <c r="C379" s="365">
        <v>1.171E-2</v>
      </c>
      <c r="D379" s="365">
        <v>0.10753</v>
      </c>
      <c r="E379" s="365">
        <v>0.14151</v>
      </c>
      <c r="F379" s="365">
        <v>0.11827</v>
      </c>
      <c r="G379" s="365">
        <v>2.86E-2</v>
      </c>
      <c r="H379" s="365">
        <v>8.967E-2</v>
      </c>
      <c r="K379" s="366">
        <v>41821</v>
      </c>
      <c r="L379" s="367">
        <v>1.078E-2</v>
      </c>
      <c r="M379" s="367">
        <v>0.14196</v>
      </c>
      <c r="N379" s="367">
        <v>0.14137</v>
      </c>
      <c r="O379" s="367">
        <v>0.12926000000000001</v>
      </c>
      <c r="P379" s="367">
        <v>3.1669999999999997E-2</v>
      </c>
      <c r="Q379" s="367">
        <v>9.7589999999999996E-2</v>
      </c>
    </row>
    <row r="380" spans="2:17" x14ac:dyDescent="0.3">
      <c r="B380" s="365" t="s">
        <v>559</v>
      </c>
      <c r="C380" s="365">
        <v>1.1780000000000001E-2</v>
      </c>
      <c r="D380" s="365">
        <v>0.10836999999999999</v>
      </c>
      <c r="E380" s="365">
        <v>0.1414</v>
      </c>
      <c r="F380" s="365">
        <v>0.1192</v>
      </c>
      <c r="G380" s="365">
        <v>2.8799999999999999E-2</v>
      </c>
      <c r="H380" s="365">
        <v>9.0399999999999994E-2</v>
      </c>
      <c r="K380" s="366">
        <v>41820</v>
      </c>
      <c r="L380" s="367">
        <v>1.0749999999999999E-2</v>
      </c>
      <c r="M380" s="367">
        <v>0.14137</v>
      </c>
      <c r="N380" s="367">
        <v>0.14133000000000001</v>
      </c>
      <c r="O380" s="367">
        <v>0.12858</v>
      </c>
      <c r="P380" s="367">
        <v>3.1719999999999998E-2</v>
      </c>
      <c r="Q380" s="367">
        <v>9.6860000000000002E-2</v>
      </c>
    </row>
    <row r="381" spans="2:17" x14ac:dyDescent="0.3">
      <c r="B381" s="365" t="s">
        <v>560</v>
      </c>
      <c r="C381" s="365">
        <v>1.184E-2</v>
      </c>
      <c r="D381" s="365">
        <v>0.10883</v>
      </c>
      <c r="E381" s="365">
        <v>0.14152000000000001</v>
      </c>
      <c r="F381" s="365">
        <v>0.11967999999999999</v>
      </c>
      <c r="G381" s="365">
        <v>2.8799999999999999E-2</v>
      </c>
      <c r="H381" s="365">
        <v>9.0880000000000002E-2</v>
      </c>
      <c r="K381" s="366">
        <v>41817</v>
      </c>
      <c r="L381" s="367">
        <v>1.0840000000000001E-2</v>
      </c>
      <c r="M381" s="367">
        <v>0.13638</v>
      </c>
      <c r="N381" s="367">
        <v>0.14119999999999999</v>
      </c>
      <c r="O381" s="367">
        <v>0.12511</v>
      </c>
      <c r="P381" s="367">
        <v>3.1820000000000001E-2</v>
      </c>
      <c r="Q381" s="367">
        <v>9.3289999999999998E-2</v>
      </c>
    </row>
    <row r="382" spans="2:17" x14ac:dyDescent="0.3">
      <c r="B382" s="365" t="s">
        <v>561</v>
      </c>
      <c r="C382" s="365">
        <v>1.2019999999999999E-2</v>
      </c>
      <c r="D382" s="365">
        <v>0.10835</v>
      </c>
      <c r="E382" s="365">
        <v>0.14069000000000001</v>
      </c>
      <c r="F382" s="365">
        <v>0.11967999999999999</v>
      </c>
      <c r="G382" s="365">
        <v>2.87E-2</v>
      </c>
      <c r="H382" s="365">
        <v>9.0980000000000005E-2</v>
      </c>
      <c r="K382" s="366">
        <v>41816</v>
      </c>
      <c r="L382" s="367">
        <v>1.085E-2</v>
      </c>
      <c r="M382" s="367">
        <v>0.13594999999999999</v>
      </c>
      <c r="N382" s="367">
        <v>0.14108999999999999</v>
      </c>
      <c r="O382" s="367">
        <v>0.12468</v>
      </c>
      <c r="P382" s="367">
        <v>3.2050000000000002E-2</v>
      </c>
      <c r="Q382" s="367">
        <v>9.2630000000000004E-2</v>
      </c>
    </row>
    <row r="383" spans="2:17" x14ac:dyDescent="0.3">
      <c r="B383" s="365" t="s">
        <v>562</v>
      </c>
      <c r="C383" s="365">
        <v>1.2E-2</v>
      </c>
      <c r="D383" s="365">
        <v>0.10944</v>
      </c>
      <c r="E383" s="365">
        <v>0.14066000000000001</v>
      </c>
      <c r="F383" s="365">
        <v>0.11989</v>
      </c>
      <c r="G383" s="365">
        <v>2.8899999999999999E-2</v>
      </c>
      <c r="H383" s="365">
        <v>9.0990000000000001E-2</v>
      </c>
      <c r="K383" s="366">
        <v>41815</v>
      </c>
      <c r="L383" s="367">
        <v>1.0919999999999999E-2</v>
      </c>
      <c r="M383" s="367">
        <v>0.13486999999999999</v>
      </c>
      <c r="N383" s="367">
        <v>0.14107</v>
      </c>
      <c r="O383" s="367">
        <v>0.12458</v>
      </c>
      <c r="P383" s="367">
        <v>3.2169999999999997E-2</v>
      </c>
      <c r="Q383" s="367">
        <v>9.2410000000000006E-2</v>
      </c>
    </row>
    <row r="384" spans="2:17" x14ac:dyDescent="0.3">
      <c r="B384" s="365" t="s">
        <v>563</v>
      </c>
      <c r="C384" s="365">
        <v>1.1939999999999999E-2</v>
      </c>
      <c r="D384" s="365">
        <v>0.10903</v>
      </c>
      <c r="E384" s="365">
        <v>0.14052999999999999</v>
      </c>
      <c r="F384" s="365">
        <v>0.11956</v>
      </c>
      <c r="G384" s="365">
        <v>2.9000000000000001E-2</v>
      </c>
      <c r="H384" s="365">
        <v>9.0560000000000002E-2</v>
      </c>
      <c r="K384" s="366">
        <v>41814</v>
      </c>
      <c r="L384" s="367">
        <v>1.085E-2</v>
      </c>
      <c r="M384" s="367">
        <v>0.13389999999999999</v>
      </c>
      <c r="N384" s="367">
        <v>0.1409</v>
      </c>
      <c r="O384" s="367">
        <v>0.12385</v>
      </c>
      <c r="P384" s="367">
        <v>3.2120000000000003E-2</v>
      </c>
      <c r="Q384" s="367">
        <v>9.1730000000000006E-2</v>
      </c>
    </row>
    <row r="385" spans="2:17" x14ac:dyDescent="0.3">
      <c r="B385" s="365" t="s">
        <v>564</v>
      </c>
      <c r="C385" s="365">
        <v>1.1820000000000001E-2</v>
      </c>
      <c r="D385" s="365">
        <v>0.10969</v>
      </c>
      <c r="E385" s="365">
        <v>0.14043</v>
      </c>
      <c r="F385" s="365">
        <v>0.11948</v>
      </c>
      <c r="G385" s="365">
        <v>2.8799999999999999E-2</v>
      </c>
      <c r="H385" s="365">
        <v>9.0679999999999997E-2</v>
      </c>
      <c r="K385" s="366">
        <v>41813</v>
      </c>
      <c r="L385" s="367">
        <v>1.098E-2</v>
      </c>
      <c r="M385" s="367">
        <v>0.13388</v>
      </c>
      <c r="N385" s="367">
        <v>0.14021</v>
      </c>
      <c r="O385" s="367">
        <v>0.12451</v>
      </c>
      <c r="P385" s="367">
        <v>3.2399999999999998E-2</v>
      </c>
      <c r="Q385" s="367">
        <v>9.2109999999999997E-2</v>
      </c>
    </row>
    <row r="386" spans="2:17" x14ac:dyDescent="0.3">
      <c r="B386" s="365" t="s">
        <v>565</v>
      </c>
      <c r="C386" s="365">
        <v>1.189E-2</v>
      </c>
      <c r="D386" s="365">
        <v>0.11108999999999999</v>
      </c>
      <c r="E386" s="365">
        <v>0.14051</v>
      </c>
      <c r="F386" s="365">
        <v>0.11976000000000001</v>
      </c>
      <c r="G386" s="365">
        <v>2.9000000000000001E-2</v>
      </c>
      <c r="H386" s="365">
        <v>9.0759999999999993E-2</v>
      </c>
      <c r="K386" s="366">
        <v>41810</v>
      </c>
      <c r="L386" s="367">
        <v>1.116E-2</v>
      </c>
      <c r="M386" s="367">
        <v>0.13577</v>
      </c>
      <c r="N386" s="367">
        <v>0.14124999999999999</v>
      </c>
      <c r="O386" s="367">
        <v>0.12592</v>
      </c>
      <c r="P386" s="367">
        <v>3.211E-2</v>
      </c>
      <c r="Q386" s="367">
        <v>9.3810000000000004E-2</v>
      </c>
    </row>
    <row r="387" spans="2:17" x14ac:dyDescent="0.3">
      <c r="B387" s="365" t="s">
        <v>566</v>
      </c>
      <c r="C387" s="365">
        <v>1.18E-2</v>
      </c>
      <c r="D387" s="365">
        <v>0.11208</v>
      </c>
      <c r="E387" s="365">
        <v>0.14061000000000001</v>
      </c>
      <c r="F387" s="365">
        <v>0.12018</v>
      </c>
      <c r="G387" s="365">
        <v>2.93E-2</v>
      </c>
      <c r="H387" s="365">
        <v>9.0880000000000002E-2</v>
      </c>
      <c r="K387" s="366">
        <v>41809</v>
      </c>
      <c r="L387" s="367">
        <v>1.1010000000000001E-2</v>
      </c>
      <c r="M387" s="367">
        <v>0.13621</v>
      </c>
      <c r="N387" s="367">
        <v>0.14069999999999999</v>
      </c>
      <c r="O387" s="367">
        <v>0.12565999999999999</v>
      </c>
      <c r="P387" s="367">
        <v>3.2500000000000001E-2</v>
      </c>
      <c r="Q387" s="367">
        <v>9.3160000000000007E-2</v>
      </c>
    </row>
    <row r="388" spans="2:17" x14ac:dyDescent="0.3">
      <c r="B388" s="365" t="s">
        <v>567</v>
      </c>
      <c r="C388" s="365">
        <v>1.171E-2</v>
      </c>
      <c r="D388" s="365">
        <v>0.11269</v>
      </c>
      <c r="E388" s="365">
        <v>0.14019999999999999</v>
      </c>
      <c r="F388" s="365">
        <v>0.11982</v>
      </c>
      <c r="G388" s="365">
        <v>2.9499999999999998E-2</v>
      </c>
      <c r="H388" s="365">
        <v>9.0319999999999998E-2</v>
      </c>
      <c r="K388" s="366">
        <v>41808</v>
      </c>
      <c r="L388" s="367">
        <v>1.102E-2</v>
      </c>
      <c r="M388" s="367">
        <v>0.1358</v>
      </c>
      <c r="N388" s="367">
        <v>0.14036999999999999</v>
      </c>
      <c r="O388" s="367">
        <v>0.1258</v>
      </c>
      <c r="P388" s="367">
        <v>3.2969999999999999E-2</v>
      </c>
      <c r="Q388" s="367">
        <v>9.2829999999999996E-2</v>
      </c>
    </row>
    <row r="389" spans="2:17" x14ac:dyDescent="0.3">
      <c r="B389" s="365" t="s">
        <v>568</v>
      </c>
      <c r="C389" s="365">
        <v>1.171E-2</v>
      </c>
      <c r="D389" s="365">
        <v>0.11243</v>
      </c>
      <c r="E389" s="365">
        <v>0.14018</v>
      </c>
      <c r="F389" s="365">
        <v>0.11994</v>
      </c>
      <c r="G389" s="365">
        <v>2.9600000000000001E-2</v>
      </c>
      <c r="H389" s="365">
        <v>9.0340000000000004E-2</v>
      </c>
      <c r="K389" s="366">
        <v>41807</v>
      </c>
      <c r="L389" s="367">
        <v>1.095E-2</v>
      </c>
      <c r="M389" s="367">
        <v>0.13425999999999999</v>
      </c>
      <c r="N389" s="367">
        <v>0.14030000000000001</v>
      </c>
      <c r="O389" s="367">
        <v>0.12485</v>
      </c>
      <c r="P389" s="367">
        <v>3.2969999999999999E-2</v>
      </c>
      <c r="Q389" s="367">
        <v>9.1880000000000003E-2</v>
      </c>
    </row>
    <row r="390" spans="2:17" x14ac:dyDescent="0.3">
      <c r="B390" s="365" t="s">
        <v>569</v>
      </c>
      <c r="C390" s="365">
        <v>1.175E-2</v>
      </c>
      <c r="D390" s="365">
        <v>0.11415</v>
      </c>
      <c r="E390" s="365">
        <v>0.14016000000000001</v>
      </c>
      <c r="F390" s="365">
        <v>0.12095</v>
      </c>
      <c r="G390" s="365">
        <v>2.9499999999999998E-2</v>
      </c>
      <c r="H390" s="365">
        <v>9.1450000000000004E-2</v>
      </c>
      <c r="K390" s="366">
        <v>41806</v>
      </c>
      <c r="L390" s="367">
        <v>1.0999999999999999E-2</v>
      </c>
      <c r="M390" s="367">
        <v>0.13478000000000001</v>
      </c>
      <c r="N390" s="367">
        <v>0.14041999999999999</v>
      </c>
      <c r="O390" s="367">
        <v>0.12506999999999999</v>
      </c>
      <c r="P390" s="367">
        <v>3.3149999999999999E-2</v>
      </c>
      <c r="Q390" s="367">
        <v>9.1920000000000002E-2</v>
      </c>
    </row>
    <row r="391" spans="2:17" x14ac:dyDescent="0.3">
      <c r="B391" s="365" t="s">
        <v>570</v>
      </c>
      <c r="C391" s="365">
        <v>1.167E-2</v>
      </c>
      <c r="D391" s="365">
        <v>0.11869</v>
      </c>
      <c r="E391" s="365">
        <v>0.14179</v>
      </c>
      <c r="F391" s="365">
        <v>0.12277</v>
      </c>
      <c r="G391" s="365">
        <v>0.03</v>
      </c>
      <c r="H391" s="365">
        <v>9.2770000000000005E-2</v>
      </c>
      <c r="K391" s="366">
        <v>41803</v>
      </c>
      <c r="L391" s="367">
        <v>1.1010000000000001E-2</v>
      </c>
      <c r="M391" s="367">
        <v>0.13416</v>
      </c>
      <c r="N391" s="367">
        <v>0.14019999999999999</v>
      </c>
      <c r="O391" s="367">
        <v>0.12459000000000001</v>
      </c>
      <c r="P391" s="367">
        <v>3.3099999999999997E-2</v>
      </c>
      <c r="Q391" s="367">
        <v>9.1490000000000002E-2</v>
      </c>
    </row>
    <row r="392" spans="2:17" x14ac:dyDescent="0.3">
      <c r="B392" s="365" t="s">
        <v>571</v>
      </c>
      <c r="C392" s="365">
        <v>1.1650000000000001E-2</v>
      </c>
      <c r="D392" s="365">
        <v>6.2689999999999996E-2</v>
      </c>
      <c r="E392" s="365">
        <v>0.14368</v>
      </c>
      <c r="F392" s="365">
        <v>0.12604000000000001</v>
      </c>
      <c r="G392" s="365">
        <v>2.9899999999999999E-2</v>
      </c>
      <c r="H392" s="365">
        <v>9.6140000000000003E-2</v>
      </c>
      <c r="K392" s="366">
        <v>41802</v>
      </c>
      <c r="L392" s="367">
        <v>1.089E-2</v>
      </c>
      <c r="M392" s="367">
        <v>0.13178000000000001</v>
      </c>
      <c r="N392" s="367">
        <v>0.13974</v>
      </c>
      <c r="O392" s="367">
        <v>0.12325999999999999</v>
      </c>
      <c r="P392" s="367">
        <v>3.3210000000000003E-2</v>
      </c>
      <c r="Q392" s="367">
        <v>9.0050000000000005E-2</v>
      </c>
    </row>
    <row r="393" spans="2:17" x14ac:dyDescent="0.3">
      <c r="B393" s="365" t="s">
        <v>572</v>
      </c>
      <c r="C393" s="365">
        <v>1.1650000000000001E-2</v>
      </c>
      <c r="D393" s="365">
        <v>6.0900000000000003E-2</v>
      </c>
      <c r="E393" s="365">
        <v>0.14341999999999999</v>
      </c>
      <c r="F393" s="365">
        <v>0.12511</v>
      </c>
      <c r="G393" s="365">
        <v>2.9899999999999999E-2</v>
      </c>
      <c r="H393" s="365">
        <v>9.5210000000000003E-2</v>
      </c>
      <c r="K393" s="366">
        <v>41801</v>
      </c>
      <c r="L393" s="367">
        <v>1.0869999999999999E-2</v>
      </c>
      <c r="M393" s="367">
        <v>0.13159999999999999</v>
      </c>
      <c r="N393" s="367">
        <v>0.13972000000000001</v>
      </c>
      <c r="O393" s="367">
        <v>0.12335</v>
      </c>
      <c r="P393" s="367">
        <v>3.3550000000000003E-2</v>
      </c>
      <c r="Q393" s="367">
        <v>8.9800000000000005E-2</v>
      </c>
    </row>
    <row r="394" spans="2:17" x14ac:dyDescent="0.3">
      <c r="B394" s="365" t="s">
        <v>573</v>
      </c>
      <c r="C394" s="365">
        <v>1.1480000000000001E-2</v>
      </c>
      <c r="D394" s="365">
        <v>5.7450000000000001E-2</v>
      </c>
      <c r="E394" s="365">
        <v>0.14315</v>
      </c>
      <c r="F394" s="365">
        <v>0.12286</v>
      </c>
      <c r="G394" s="365">
        <v>2.9600000000000001E-2</v>
      </c>
      <c r="H394" s="365">
        <v>9.3259999999999996E-2</v>
      </c>
      <c r="K394" s="366">
        <v>41800</v>
      </c>
      <c r="L394" s="367">
        <v>1.0880000000000001E-2</v>
      </c>
      <c r="M394" s="367">
        <v>0.13253000000000001</v>
      </c>
      <c r="N394" s="367">
        <v>0.13944999999999999</v>
      </c>
      <c r="O394" s="367">
        <v>0.12368</v>
      </c>
      <c r="P394" s="367">
        <v>3.3399999999999999E-2</v>
      </c>
      <c r="Q394" s="367">
        <v>9.0279999999999999E-2</v>
      </c>
    </row>
    <row r="395" spans="2:17" x14ac:dyDescent="0.3">
      <c r="B395" s="365" t="s">
        <v>574</v>
      </c>
      <c r="C395" s="365">
        <v>1.146E-2</v>
      </c>
      <c r="D395" s="365">
        <v>5.457E-2</v>
      </c>
      <c r="E395" s="365">
        <v>0.14316999999999999</v>
      </c>
      <c r="F395" s="365">
        <v>0.12136</v>
      </c>
      <c r="G395" s="365">
        <v>2.93E-2</v>
      </c>
      <c r="H395" s="365">
        <v>9.2060000000000003E-2</v>
      </c>
      <c r="K395" s="366">
        <v>41799</v>
      </c>
      <c r="L395" s="367">
        <v>1.0999999999999999E-2</v>
      </c>
      <c r="M395" s="367">
        <v>0.12952</v>
      </c>
      <c r="N395" s="367">
        <v>0.13929</v>
      </c>
      <c r="O395" s="367">
        <v>0.12318</v>
      </c>
      <c r="P395" s="367">
        <v>3.3799999999999997E-2</v>
      </c>
      <c r="Q395" s="367">
        <v>8.9380000000000001E-2</v>
      </c>
    </row>
    <row r="396" spans="2:17" x14ac:dyDescent="0.3">
      <c r="B396" s="365" t="s">
        <v>575</v>
      </c>
      <c r="C396" s="365">
        <v>1.1509999999999999E-2</v>
      </c>
      <c r="D396" s="365">
        <v>5.6210000000000003E-2</v>
      </c>
      <c r="E396" s="365">
        <v>0.14333000000000001</v>
      </c>
      <c r="F396" s="365">
        <v>0.12156</v>
      </c>
      <c r="G396" s="365">
        <v>2.9399999999999999E-2</v>
      </c>
      <c r="H396" s="365">
        <v>9.2160000000000006E-2</v>
      </c>
      <c r="K396" s="366">
        <v>41795</v>
      </c>
      <c r="L396" s="367">
        <v>1.0959999999999999E-2</v>
      </c>
      <c r="M396" s="367">
        <v>0.13353000000000001</v>
      </c>
      <c r="N396" s="367">
        <v>0.13861999999999999</v>
      </c>
      <c r="O396" s="367">
        <v>0.12454999999999999</v>
      </c>
      <c r="P396" s="367">
        <v>3.3799999999999997E-2</v>
      </c>
      <c r="Q396" s="367">
        <v>9.0749999999999997E-2</v>
      </c>
    </row>
    <row r="397" spans="2:17" x14ac:dyDescent="0.3">
      <c r="B397" s="365" t="s">
        <v>576</v>
      </c>
      <c r="C397" s="365">
        <v>1.1610000000000001E-2</v>
      </c>
      <c r="D397" s="365">
        <v>6.0150000000000002E-2</v>
      </c>
      <c r="E397" s="365">
        <v>0.14657999999999999</v>
      </c>
      <c r="F397" s="365">
        <v>0.12374</v>
      </c>
      <c r="G397" s="365">
        <v>2.9399999999999999E-2</v>
      </c>
      <c r="H397" s="365">
        <v>9.4339999999999993E-2</v>
      </c>
      <c r="K397" s="366">
        <v>41793</v>
      </c>
      <c r="L397" s="367">
        <v>1.09E-2</v>
      </c>
      <c r="M397" s="367">
        <v>0.12867000000000001</v>
      </c>
      <c r="N397" s="367">
        <v>0.13854</v>
      </c>
      <c r="O397" s="367">
        <v>0.12204</v>
      </c>
      <c r="P397" s="367">
        <v>3.3750000000000002E-2</v>
      </c>
      <c r="Q397" s="367">
        <v>8.8289999999999993E-2</v>
      </c>
    </row>
    <row r="398" spans="2:17" x14ac:dyDescent="0.3">
      <c r="B398" s="365" t="s">
        <v>577</v>
      </c>
      <c r="C398" s="365">
        <v>1.157E-2</v>
      </c>
      <c r="D398" s="365">
        <v>5.9950000000000003E-2</v>
      </c>
      <c r="E398" s="365">
        <v>0.14655000000000001</v>
      </c>
      <c r="F398" s="365">
        <v>0.12424</v>
      </c>
      <c r="G398" s="365">
        <v>2.93E-2</v>
      </c>
      <c r="H398" s="365">
        <v>9.4939999999999997E-2</v>
      </c>
      <c r="K398" s="366">
        <v>41792</v>
      </c>
      <c r="L398" s="367">
        <v>1.094E-2</v>
      </c>
      <c r="M398" s="367">
        <v>0.12640999999999999</v>
      </c>
      <c r="N398" s="367">
        <v>0.13852999999999999</v>
      </c>
      <c r="O398" s="367">
        <v>0.12157</v>
      </c>
      <c r="P398" s="367">
        <v>3.3599999999999998E-2</v>
      </c>
      <c r="Q398" s="367">
        <v>8.7970000000000007E-2</v>
      </c>
    </row>
    <row r="399" spans="2:17" x14ac:dyDescent="0.3">
      <c r="B399" s="365" t="s">
        <v>578</v>
      </c>
      <c r="C399" s="365">
        <v>1.1599999999999999E-2</v>
      </c>
      <c r="D399" s="365">
        <v>5.8819999999999997E-2</v>
      </c>
      <c r="E399" s="365">
        <v>0.14652000000000001</v>
      </c>
      <c r="F399" s="365">
        <v>0.12422999999999999</v>
      </c>
      <c r="G399" s="365">
        <v>2.98E-2</v>
      </c>
      <c r="H399" s="365">
        <v>9.443E-2</v>
      </c>
      <c r="K399" s="366">
        <v>41789</v>
      </c>
      <c r="L399" s="367">
        <v>1.0999999999999999E-2</v>
      </c>
      <c r="M399" s="367">
        <v>0.12617</v>
      </c>
      <c r="N399" s="367">
        <v>0.13824</v>
      </c>
      <c r="O399" s="367">
        <v>0.12224</v>
      </c>
      <c r="P399" s="367">
        <v>3.3399999999999999E-2</v>
      </c>
      <c r="Q399" s="367">
        <v>8.8840000000000002E-2</v>
      </c>
    </row>
    <row r="400" spans="2:17" x14ac:dyDescent="0.3">
      <c r="B400" s="365" t="s">
        <v>579</v>
      </c>
      <c r="C400" s="365">
        <v>1.15E-2</v>
      </c>
      <c r="D400" s="365">
        <v>5.8250000000000003E-2</v>
      </c>
      <c r="E400" s="365">
        <v>0.14643999999999999</v>
      </c>
      <c r="F400" s="365">
        <v>0.12402000000000001</v>
      </c>
      <c r="G400" s="365">
        <v>3.0200000000000001E-2</v>
      </c>
      <c r="H400" s="365">
        <v>9.3820000000000001E-2</v>
      </c>
      <c r="K400" s="366">
        <v>41788</v>
      </c>
      <c r="L400" s="367">
        <v>1.091E-2</v>
      </c>
      <c r="M400" s="367">
        <v>0.12795000000000001</v>
      </c>
      <c r="N400" s="367">
        <v>0.13814000000000001</v>
      </c>
      <c r="O400" s="367">
        <v>0.12207</v>
      </c>
      <c r="P400" s="367">
        <v>3.32E-2</v>
      </c>
      <c r="Q400" s="367">
        <v>8.8870000000000005E-2</v>
      </c>
    </row>
    <row r="401" spans="2:17" x14ac:dyDescent="0.3">
      <c r="B401" s="365" t="s">
        <v>580</v>
      </c>
      <c r="C401" s="365">
        <v>1.175E-2</v>
      </c>
      <c r="D401" s="365">
        <v>6.3310000000000005E-2</v>
      </c>
      <c r="E401" s="365">
        <v>0.14685000000000001</v>
      </c>
      <c r="F401" s="365">
        <v>0.12861</v>
      </c>
      <c r="G401" s="365">
        <v>3.0200000000000001E-2</v>
      </c>
      <c r="H401" s="365">
        <v>9.8409999999999997E-2</v>
      </c>
      <c r="K401" s="366">
        <v>41787</v>
      </c>
      <c r="L401" s="367">
        <v>1.0880000000000001E-2</v>
      </c>
      <c r="M401" s="367">
        <v>0.12651000000000001</v>
      </c>
      <c r="N401" s="367">
        <v>0.13811000000000001</v>
      </c>
      <c r="O401" s="367">
        <v>0.12149</v>
      </c>
      <c r="P401" s="367">
        <v>3.347E-2</v>
      </c>
      <c r="Q401" s="367">
        <v>8.8020000000000001E-2</v>
      </c>
    </row>
    <row r="402" spans="2:17" x14ac:dyDescent="0.3">
      <c r="B402" s="365" t="s">
        <v>581</v>
      </c>
      <c r="C402" s="365">
        <v>1.175E-2</v>
      </c>
      <c r="D402" s="365">
        <v>6.2600000000000003E-2</v>
      </c>
      <c r="E402" s="365">
        <v>0.14685000000000001</v>
      </c>
      <c r="F402" s="365">
        <v>0.12859000000000001</v>
      </c>
      <c r="G402" s="365">
        <v>3.0200000000000001E-2</v>
      </c>
      <c r="H402" s="365">
        <v>9.8390000000000005E-2</v>
      </c>
      <c r="K402" s="366">
        <v>41786</v>
      </c>
      <c r="L402" s="367">
        <v>1.099E-2</v>
      </c>
      <c r="M402" s="367">
        <v>0.12964999999999999</v>
      </c>
      <c r="N402" s="367">
        <v>0.13805999999999999</v>
      </c>
      <c r="O402" s="367">
        <v>0.12286</v>
      </c>
      <c r="P402" s="367">
        <v>3.3669999999999999E-2</v>
      </c>
      <c r="Q402" s="367">
        <v>8.9190000000000005E-2</v>
      </c>
    </row>
    <row r="403" spans="2:17" x14ac:dyDescent="0.3">
      <c r="B403" s="365" t="s">
        <v>582</v>
      </c>
      <c r="C403" s="365">
        <v>1.17E-2</v>
      </c>
      <c r="D403" s="365">
        <v>6.234E-2</v>
      </c>
      <c r="E403" s="365">
        <v>0.14688999999999999</v>
      </c>
      <c r="F403" s="365">
        <v>0.128</v>
      </c>
      <c r="G403" s="365">
        <v>3.04E-2</v>
      </c>
      <c r="H403" s="365">
        <v>9.7600000000000006E-2</v>
      </c>
      <c r="K403" s="366">
        <v>41785</v>
      </c>
      <c r="L403" s="367">
        <v>1.0959999999999999E-2</v>
      </c>
      <c r="M403" s="367">
        <v>0.12948999999999999</v>
      </c>
      <c r="N403" s="367">
        <v>0.13797999999999999</v>
      </c>
      <c r="O403" s="367">
        <v>0.12249</v>
      </c>
      <c r="P403" s="367">
        <v>3.3709999999999997E-2</v>
      </c>
      <c r="Q403" s="367">
        <v>8.8779999999999998E-2</v>
      </c>
    </row>
    <row r="404" spans="2:17" x14ac:dyDescent="0.3">
      <c r="B404" s="365" t="s">
        <v>583</v>
      </c>
      <c r="C404" s="365">
        <v>1.196E-2</v>
      </c>
      <c r="D404" s="365">
        <v>6.1830000000000003E-2</v>
      </c>
      <c r="E404" s="365">
        <v>0.14688000000000001</v>
      </c>
      <c r="F404" s="365">
        <v>0.12839999999999999</v>
      </c>
      <c r="G404" s="365">
        <v>3.0300000000000001E-2</v>
      </c>
      <c r="H404" s="365">
        <v>9.8100000000000007E-2</v>
      </c>
      <c r="K404" s="366">
        <v>41782</v>
      </c>
      <c r="L404" s="367">
        <v>1.0869999999999999E-2</v>
      </c>
      <c r="M404" s="367">
        <v>0.12784000000000001</v>
      </c>
      <c r="N404" s="367">
        <v>0.13625999999999999</v>
      </c>
      <c r="O404" s="367">
        <v>0.12157</v>
      </c>
      <c r="P404" s="367">
        <v>3.381E-2</v>
      </c>
      <c r="Q404" s="367">
        <v>8.7760000000000005E-2</v>
      </c>
    </row>
    <row r="405" spans="2:17" x14ac:dyDescent="0.3">
      <c r="B405" s="365" t="s">
        <v>584</v>
      </c>
      <c r="C405" s="365">
        <v>1.2019999999999999E-2</v>
      </c>
      <c r="D405" s="365">
        <v>6.2140000000000001E-2</v>
      </c>
      <c r="E405" s="365">
        <v>0.1469</v>
      </c>
      <c r="F405" s="365">
        <v>0.12884999999999999</v>
      </c>
      <c r="G405" s="365">
        <v>3.0599999999999999E-2</v>
      </c>
      <c r="H405" s="365">
        <v>9.8250000000000004E-2</v>
      </c>
      <c r="K405" s="366">
        <v>41781</v>
      </c>
      <c r="L405" s="367">
        <v>1.0869999999999999E-2</v>
      </c>
      <c r="M405" s="367">
        <v>0.12694</v>
      </c>
      <c r="N405" s="367">
        <v>0.1363</v>
      </c>
      <c r="O405" s="367">
        <v>0.12124</v>
      </c>
      <c r="P405" s="367">
        <v>3.4070000000000003E-2</v>
      </c>
      <c r="Q405" s="367">
        <v>8.7169999999999997E-2</v>
      </c>
    </row>
    <row r="406" spans="2:17" x14ac:dyDescent="0.3">
      <c r="B406" s="365" t="s">
        <v>585</v>
      </c>
      <c r="C406" s="365">
        <v>1.1979999999999999E-2</v>
      </c>
      <c r="D406" s="365">
        <v>6.3240000000000005E-2</v>
      </c>
      <c r="E406" s="365">
        <v>0.14577999999999999</v>
      </c>
      <c r="F406" s="365">
        <v>0.12898000000000001</v>
      </c>
      <c r="G406" s="365">
        <v>3.0800000000000001E-2</v>
      </c>
      <c r="H406" s="365">
        <v>9.8180000000000003E-2</v>
      </c>
      <c r="K406" s="366">
        <v>41780</v>
      </c>
      <c r="L406" s="367">
        <v>1.0869999999999999E-2</v>
      </c>
      <c r="M406" s="367">
        <v>0.12058000000000001</v>
      </c>
      <c r="N406" s="367">
        <v>0.13582</v>
      </c>
      <c r="O406" s="367">
        <v>0.12207</v>
      </c>
      <c r="P406" s="367">
        <v>3.3799999999999997E-2</v>
      </c>
      <c r="Q406" s="367">
        <v>8.8270000000000001E-2</v>
      </c>
    </row>
    <row r="407" spans="2:17" x14ac:dyDescent="0.3">
      <c r="B407" s="365" t="s">
        <v>586</v>
      </c>
      <c r="C407" s="365">
        <v>1.2E-2</v>
      </c>
      <c r="D407" s="365">
        <v>6.3189999999999996E-2</v>
      </c>
      <c r="E407" s="365">
        <v>0.14585000000000001</v>
      </c>
      <c r="F407" s="365">
        <v>0.12906000000000001</v>
      </c>
      <c r="G407" s="365">
        <v>3.09E-2</v>
      </c>
      <c r="H407" s="365">
        <v>9.8159999999999997E-2</v>
      </c>
      <c r="K407" s="366">
        <v>41779</v>
      </c>
      <c r="L407" s="367">
        <v>1.085E-2</v>
      </c>
      <c r="M407" s="367">
        <v>0.12002</v>
      </c>
      <c r="N407" s="367">
        <v>0.13582</v>
      </c>
      <c r="O407" s="367">
        <v>0.12157999999999999</v>
      </c>
      <c r="P407" s="367">
        <v>3.3820000000000003E-2</v>
      </c>
      <c r="Q407" s="367">
        <v>8.7760000000000005E-2</v>
      </c>
    </row>
    <row r="408" spans="2:17" x14ac:dyDescent="0.3">
      <c r="B408" s="365" t="s">
        <v>587</v>
      </c>
      <c r="C408" s="365">
        <v>1.205E-2</v>
      </c>
      <c r="D408" s="365">
        <v>6.3420000000000004E-2</v>
      </c>
      <c r="E408" s="365">
        <v>0.14584</v>
      </c>
      <c r="F408" s="365">
        <v>0.12905</v>
      </c>
      <c r="G408" s="365">
        <v>3.0800000000000001E-2</v>
      </c>
      <c r="H408" s="365">
        <v>9.8250000000000004E-2</v>
      </c>
      <c r="K408" s="366">
        <v>41778</v>
      </c>
      <c r="L408" s="367">
        <v>1.0829999999999999E-2</v>
      </c>
      <c r="M408" s="367">
        <v>0.11795</v>
      </c>
      <c r="N408" s="367">
        <v>0.13492000000000001</v>
      </c>
      <c r="O408" s="367">
        <v>0.1212</v>
      </c>
      <c r="P408" s="367">
        <v>3.3730000000000003E-2</v>
      </c>
      <c r="Q408" s="367">
        <v>8.7470000000000006E-2</v>
      </c>
    </row>
    <row r="409" spans="2:17" x14ac:dyDescent="0.3">
      <c r="B409" s="365" t="s">
        <v>588</v>
      </c>
      <c r="C409" s="365">
        <v>1.217E-2</v>
      </c>
      <c r="D409" s="365">
        <v>6.3659999999999994E-2</v>
      </c>
      <c r="E409" s="365">
        <v>0.14577000000000001</v>
      </c>
      <c r="F409" s="365">
        <v>0.12952</v>
      </c>
      <c r="G409" s="365">
        <v>3.04E-2</v>
      </c>
      <c r="H409" s="365">
        <v>9.912E-2</v>
      </c>
      <c r="K409" s="366">
        <v>41775</v>
      </c>
      <c r="L409" s="367">
        <v>1.089E-2</v>
      </c>
      <c r="M409" s="367">
        <v>0.11916</v>
      </c>
      <c r="N409" s="367">
        <v>0.13388</v>
      </c>
      <c r="O409" s="367">
        <v>0.12185</v>
      </c>
      <c r="P409" s="367">
        <v>3.3869999999999997E-2</v>
      </c>
      <c r="Q409" s="367">
        <v>8.7980000000000003E-2</v>
      </c>
    </row>
    <row r="410" spans="2:17" x14ac:dyDescent="0.3">
      <c r="B410" s="365" t="s">
        <v>589</v>
      </c>
      <c r="C410" s="365">
        <v>1.2149999999999999E-2</v>
      </c>
      <c r="D410" s="365">
        <v>6.5610000000000002E-2</v>
      </c>
      <c r="E410" s="365">
        <v>0.14538000000000001</v>
      </c>
      <c r="F410" s="365">
        <v>0.12814</v>
      </c>
      <c r="G410" s="365">
        <v>3.0599999999999999E-2</v>
      </c>
      <c r="H410" s="365">
        <v>9.7540000000000002E-2</v>
      </c>
      <c r="K410" s="366">
        <v>41774</v>
      </c>
      <c r="L410" s="367">
        <v>1.091E-2</v>
      </c>
      <c r="M410" s="367">
        <v>0.12216</v>
      </c>
      <c r="N410" s="367">
        <v>0.1338</v>
      </c>
      <c r="O410" s="367">
        <v>0.12225999999999999</v>
      </c>
      <c r="P410" s="367">
        <v>3.3799999999999997E-2</v>
      </c>
      <c r="Q410" s="367">
        <v>8.8459999999999997E-2</v>
      </c>
    </row>
    <row r="411" spans="2:17" x14ac:dyDescent="0.3">
      <c r="B411" s="365" t="s">
        <v>590</v>
      </c>
      <c r="C411" s="365">
        <v>1.159E-2</v>
      </c>
      <c r="D411" s="365">
        <v>6.2920000000000004E-2</v>
      </c>
      <c r="E411" s="365">
        <v>0.14524999999999999</v>
      </c>
      <c r="F411" s="365">
        <v>0.12753999999999999</v>
      </c>
      <c r="G411" s="365">
        <v>3.0599999999999999E-2</v>
      </c>
      <c r="H411" s="365">
        <v>9.6939999999999998E-2</v>
      </c>
      <c r="K411" s="366">
        <v>41773</v>
      </c>
      <c r="L411" s="367">
        <v>1.093E-2</v>
      </c>
      <c r="M411" s="367">
        <v>0.12257</v>
      </c>
      <c r="N411" s="367">
        <v>0.13353000000000001</v>
      </c>
      <c r="O411" s="367">
        <v>0.12236</v>
      </c>
      <c r="P411" s="367">
        <v>3.4419999999999999E-2</v>
      </c>
      <c r="Q411" s="367">
        <v>8.7940000000000004E-2</v>
      </c>
    </row>
    <row r="412" spans="2:17" x14ac:dyDescent="0.3">
      <c r="B412" s="365" t="s">
        <v>591</v>
      </c>
      <c r="C412" s="365">
        <v>1.1140000000000001E-2</v>
      </c>
      <c r="D412" s="365">
        <v>6.2179999999999999E-2</v>
      </c>
      <c r="E412" s="365">
        <v>0.14477000000000001</v>
      </c>
      <c r="F412" s="365">
        <v>0.12705</v>
      </c>
      <c r="G412" s="365">
        <v>3.0700000000000002E-2</v>
      </c>
      <c r="H412" s="365">
        <v>9.6350000000000005E-2</v>
      </c>
      <c r="K412" s="366">
        <v>41772</v>
      </c>
      <c r="L412" s="367">
        <v>1.1089999999999999E-2</v>
      </c>
      <c r="M412" s="367">
        <v>0.12157999999999999</v>
      </c>
      <c r="N412" s="367">
        <v>0.13317000000000001</v>
      </c>
      <c r="O412" s="367">
        <v>0.1231</v>
      </c>
      <c r="P412" s="367">
        <v>3.4520000000000002E-2</v>
      </c>
      <c r="Q412" s="367">
        <v>8.8580000000000006E-2</v>
      </c>
    </row>
    <row r="413" spans="2:17" x14ac:dyDescent="0.3">
      <c r="B413" s="365" t="s">
        <v>592</v>
      </c>
      <c r="C413" s="365">
        <v>1.111E-2</v>
      </c>
      <c r="D413" s="365">
        <v>6.3700000000000007E-2</v>
      </c>
      <c r="E413" s="365">
        <v>0.14480000000000001</v>
      </c>
      <c r="F413" s="365">
        <v>0.12639</v>
      </c>
      <c r="G413" s="365">
        <v>3.0800000000000001E-2</v>
      </c>
      <c r="H413" s="365">
        <v>9.5589999999999994E-2</v>
      </c>
      <c r="K413" s="366">
        <v>41771</v>
      </c>
      <c r="L413" s="367">
        <v>1.119E-2</v>
      </c>
      <c r="M413" s="367">
        <v>0.12184</v>
      </c>
      <c r="N413" s="367">
        <v>0.13092000000000001</v>
      </c>
      <c r="O413" s="367">
        <v>0.12434000000000001</v>
      </c>
      <c r="P413" s="367">
        <v>3.44E-2</v>
      </c>
      <c r="Q413" s="367">
        <v>8.9940000000000006E-2</v>
      </c>
    </row>
    <row r="414" spans="2:17" x14ac:dyDescent="0.3">
      <c r="B414" s="365" t="s">
        <v>593</v>
      </c>
      <c r="C414" s="365">
        <v>1.103E-2</v>
      </c>
      <c r="D414" s="365">
        <v>6.2039999999999998E-2</v>
      </c>
      <c r="E414" s="365">
        <v>0.14476</v>
      </c>
      <c r="F414" s="365">
        <v>0.12526000000000001</v>
      </c>
      <c r="G414" s="365">
        <v>3.1099999999999999E-2</v>
      </c>
      <c r="H414" s="365">
        <v>9.4159999999999994E-2</v>
      </c>
      <c r="K414" s="366">
        <v>41768</v>
      </c>
      <c r="L414" s="367">
        <v>1.1089999999999999E-2</v>
      </c>
      <c r="M414" s="367">
        <v>0.12124</v>
      </c>
      <c r="N414" s="367">
        <v>0.13475000000000001</v>
      </c>
      <c r="O414" s="367">
        <v>0.12367</v>
      </c>
      <c r="P414" s="367">
        <v>3.422E-2</v>
      </c>
      <c r="Q414" s="367">
        <v>8.9450000000000002E-2</v>
      </c>
    </row>
    <row r="415" spans="2:17" x14ac:dyDescent="0.3">
      <c r="B415" s="365" t="s">
        <v>594</v>
      </c>
      <c r="C415" s="365">
        <v>1.0880000000000001E-2</v>
      </c>
      <c r="D415" s="365">
        <v>6.0920000000000002E-2</v>
      </c>
      <c r="E415" s="365">
        <v>0.14446999999999999</v>
      </c>
      <c r="F415" s="365">
        <v>0.12451</v>
      </c>
      <c r="G415" s="365">
        <v>3.1199999999999999E-2</v>
      </c>
      <c r="H415" s="365">
        <v>9.3310000000000004E-2</v>
      </c>
      <c r="K415" s="366">
        <v>41767</v>
      </c>
      <c r="L415" s="367">
        <v>1.112E-2</v>
      </c>
      <c r="M415" s="367">
        <v>0.12173</v>
      </c>
      <c r="N415" s="367">
        <v>0.13478000000000001</v>
      </c>
      <c r="O415" s="367">
        <v>0.12421</v>
      </c>
      <c r="P415" s="367">
        <v>3.4599999999999999E-2</v>
      </c>
      <c r="Q415" s="367">
        <v>8.9609999999999995E-2</v>
      </c>
    </row>
    <row r="416" spans="2:17" x14ac:dyDescent="0.3">
      <c r="B416" s="365" t="s">
        <v>595</v>
      </c>
      <c r="C416" s="365">
        <v>1.2789999999999999E-2</v>
      </c>
      <c r="D416" s="365">
        <v>5.9389999999999998E-2</v>
      </c>
      <c r="E416" s="365">
        <v>0.14388000000000001</v>
      </c>
      <c r="F416" s="365">
        <v>0.12439</v>
      </c>
      <c r="G416" s="365">
        <v>3.1E-2</v>
      </c>
      <c r="H416" s="365">
        <v>9.3390000000000001E-2</v>
      </c>
      <c r="K416" s="366">
        <v>41766</v>
      </c>
      <c r="L416" s="367">
        <v>1.115E-2</v>
      </c>
      <c r="M416" s="367">
        <v>0.12216</v>
      </c>
      <c r="N416" s="367">
        <v>0.13331000000000001</v>
      </c>
      <c r="O416" s="367">
        <v>0.12427000000000001</v>
      </c>
      <c r="P416" s="367">
        <v>3.4660000000000003E-2</v>
      </c>
      <c r="Q416" s="367">
        <v>8.9609999999999995E-2</v>
      </c>
    </row>
    <row r="417" spans="2:17" x14ac:dyDescent="0.3">
      <c r="B417" s="365" t="s">
        <v>596</v>
      </c>
      <c r="C417" s="365">
        <v>1.2749999999999999E-2</v>
      </c>
      <c r="D417" s="365">
        <v>5.9290000000000002E-2</v>
      </c>
      <c r="E417" s="365">
        <v>0.14385999999999999</v>
      </c>
      <c r="F417" s="365">
        <v>0.1241</v>
      </c>
      <c r="G417" s="365">
        <v>3.1E-2</v>
      </c>
      <c r="H417" s="365">
        <v>9.3100000000000002E-2</v>
      </c>
      <c r="K417" s="366">
        <v>41761</v>
      </c>
      <c r="L417" s="367">
        <v>1.106E-2</v>
      </c>
      <c r="M417" s="367">
        <v>0.13128999999999999</v>
      </c>
      <c r="N417" s="367">
        <v>0.13346</v>
      </c>
      <c r="O417" s="367">
        <v>0.12026000000000001</v>
      </c>
      <c r="P417" s="367">
        <v>3.5060000000000001E-2</v>
      </c>
      <c r="Q417" s="367">
        <v>8.5199999999999998E-2</v>
      </c>
    </row>
    <row r="418" spans="2:17" x14ac:dyDescent="0.3">
      <c r="B418" s="365" t="s">
        <v>597</v>
      </c>
      <c r="C418" s="365">
        <v>1.2800000000000001E-2</v>
      </c>
      <c r="D418" s="365">
        <v>5.9549999999999999E-2</v>
      </c>
      <c r="E418" s="365">
        <v>0.14346</v>
      </c>
      <c r="F418" s="365">
        <v>0.12492</v>
      </c>
      <c r="G418" s="365">
        <v>3.04E-2</v>
      </c>
      <c r="H418" s="365">
        <v>9.4520000000000007E-2</v>
      </c>
      <c r="K418" s="366">
        <v>41759</v>
      </c>
      <c r="L418" s="367">
        <v>1.1039999999999999E-2</v>
      </c>
      <c r="M418" s="367">
        <v>0.13170000000000001</v>
      </c>
      <c r="N418" s="367">
        <v>0.13125999999999999</v>
      </c>
      <c r="O418" s="367">
        <v>0.12048</v>
      </c>
      <c r="P418" s="367">
        <v>3.5249999999999997E-2</v>
      </c>
      <c r="Q418" s="367">
        <v>8.523E-2</v>
      </c>
    </row>
    <row r="419" spans="2:17" x14ac:dyDescent="0.3">
      <c r="B419" s="365" t="s">
        <v>598</v>
      </c>
      <c r="C419" s="365">
        <v>1.291E-2</v>
      </c>
      <c r="D419" s="365">
        <v>5.9299999999999999E-2</v>
      </c>
      <c r="E419" s="365">
        <v>0.14294000000000001</v>
      </c>
      <c r="F419" s="365">
        <v>0.12654000000000001</v>
      </c>
      <c r="G419" s="365">
        <v>3.0200000000000001E-2</v>
      </c>
      <c r="H419" s="365">
        <v>9.6339999999999995E-2</v>
      </c>
      <c r="K419" s="366">
        <v>41758</v>
      </c>
      <c r="L419" s="367">
        <v>1.112E-2</v>
      </c>
      <c r="M419" s="367">
        <v>0.13633000000000001</v>
      </c>
      <c r="N419" s="367">
        <v>0.13217000000000001</v>
      </c>
      <c r="O419" s="367">
        <v>0.12798999999999999</v>
      </c>
      <c r="P419" s="367">
        <v>3.5249999999999997E-2</v>
      </c>
      <c r="Q419" s="367">
        <v>9.2740000000000003E-2</v>
      </c>
    </row>
    <row r="420" spans="2:17" x14ac:dyDescent="0.3">
      <c r="B420" s="365" t="s">
        <v>599</v>
      </c>
      <c r="C420" s="365">
        <v>1.2840000000000001E-2</v>
      </c>
      <c r="D420" s="365">
        <v>6.2549999999999994E-2</v>
      </c>
      <c r="E420" s="365">
        <v>0.14124999999999999</v>
      </c>
      <c r="F420" s="365">
        <v>0.12784000000000001</v>
      </c>
      <c r="G420" s="365">
        <v>2.9899999999999999E-2</v>
      </c>
      <c r="H420" s="365">
        <v>9.7939999999999999E-2</v>
      </c>
      <c r="K420" s="366">
        <v>41757</v>
      </c>
      <c r="L420" s="367">
        <v>1.1129999999999999E-2</v>
      </c>
      <c r="M420" s="367">
        <v>0.13669000000000001</v>
      </c>
      <c r="N420" s="367">
        <v>0.13339999999999999</v>
      </c>
      <c r="O420" s="367">
        <v>0.12833</v>
      </c>
      <c r="P420" s="367">
        <v>3.5270000000000003E-2</v>
      </c>
      <c r="Q420" s="367">
        <v>9.3060000000000004E-2</v>
      </c>
    </row>
    <row r="421" spans="2:17" x14ac:dyDescent="0.3">
      <c r="B421" s="365" t="s">
        <v>600</v>
      </c>
      <c r="C421" s="365">
        <v>1.231E-2</v>
      </c>
      <c r="D421" s="365">
        <v>7.6119999999999993E-2</v>
      </c>
      <c r="E421" s="365">
        <v>0.14099</v>
      </c>
      <c r="F421" s="365">
        <v>0.13261000000000001</v>
      </c>
      <c r="G421" s="365">
        <v>0.03</v>
      </c>
      <c r="H421" s="365">
        <v>0.10261000000000001</v>
      </c>
      <c r="K421" s="366">
        <v>41754</v>
      </c>
      <c r="L421" s="367">
        <v>1.111E-2</v>
      </c>
      <c r="M421" s="367">
        <v>0.12576000000000001</v>
      </c>
      <c r="N421" s="367">
        <v>0.13017999999999999</v>
      </c>
      <c r="O421" s="367">
        <v>0.12531</v>
      </c>
      <c r="P421" s="367">
        <v>3.5299999999999998E-2</v>
      </c>
      <c r="Q421" s="367">
        <v>9.0010000000000007E-2</v>
      </c>
    </row>
    <row r="422" spans="2:17" x14ac:dyDescent="0.3">
      <c r="B422" s="365" t="s">
        <v>601</v>
      </c>
      <c r="C422" s="365">
        <v>1.2200000000000001E-2</v>
      </c>
      <c r="D422" s="365">
        <v>7.4579999999999994E-2</v>
      </c>
      <c r="E422" s="365">
        <v>0.14079</v>
      </c>
      <c r="F422" s="365">
        <v>0.13220000000000001</v>
      </c>
      <c r="G422" s="365">
        <v>3.0099999999999998E-2</v>
      </c>
      <c r="H422" s="365">
        <v>0.1021</v>
      </c>
      <c r="K422" s="366">
        <v>41753</v>
      </c>
      <c r="L422" s="367">
        <v>1.095E-2</v>
      </c>
      <c r="M422" s="367">
        <v>0.126</v>
      </c>
      <c r="N422" s="367">
        <v>0.13074</v>
      </c>
      <c r="O422" s="367">
        <v>0.12461999999999999</v>
      </c>
      <c r="P422" s="367">
        <v>3.5470000000000002E-2</v>
      </c>
      <c r="Q422" s="367">
        <v>8.9149999999999993E-2</v>
      </c>
    </row>
    <row r="423" spans="2:17" x14ac:dyDescent="0.3">
      <c r="B423" s="365" t="s">
        <v>602</v>
      </c>
      <c r="C423" s="365">
        <v>1.21E-2</v>
      </c>
      <c r="D423" s="365">
        <v>8.1470000000000001E-2</v>
      </c>
      <c r="E423" s="365">
        <v>0.14072999999999999</v>
      </c>
      <c r="F423" s="365">
        <v>0.13552</v>
      </c>
      <c r="G423" s="365">
        <v>3.0200000000000001E-2</v>
      </c>
      <c r="H423" s="365">
        <v>0.10532</v>
      </c>
      <c r="K423" s="366">
        <v>41752</v>
      </c>
      <c r="L423" s="367">
        <v>1.089E-2</v>
      </c>
      <c r="M423" s="367">
        <v>0.12503</v>
      </c>
      <c r="N423" s="367">
        <v>0.12908</v>
      </c>
      <c r="O423" s="367">
        <v>0.12426</v>
      </c>
      <c r="P423" s="367">
        <v>3.5470000000000002E-2</v>
      </c>
      <c r="Q423" s="367">
        <v>8.8789999999999994E-2</v>
      </c>
    </row>
    <row r="424" spans="2:17" x14ac:dyDescent="0.3">
      <c r="B424" s="365" t="s">
        <v>603</v>
      </c>
      <c r="C424" s="365">
        <v>1.2189999999999999E-2</v>
      </c>
      <c r="D424" s="365">
        <v>7.9570000000000002E-2</v>
      </c>
      <c r="E424" s="365">
        <v>0.14076</v>
      </c>
      <c r="F424" s="365">
        <v>0.13563</v>
      </c>
      <c r="G424" s="365">
        <v>3.0200000000000001E-2</v>
      </c>
      <c r="H424" s="365">
        <v>0.10543</v>
      </c>
      <c r="K424" s="366">
        <v>41751</v>
      </c>
      <c r="L424" s="367">
        <v>1.0880000000000001E-2</v>
      </c>
      <c r="M424" s="367">
        <v>0.12495000000000001</v>
      </c>
      <c r="N424" s="367">
        <v>0.129</v>
      </c>
      <c r="O424" s="367">
        <v>0.12358</v>
      </c>
      <c r="P424" s="367">
        <v>3.5499999999999997E-2</v>
      </c>
      <c r="Q424" s="367">
        <v>8.8080000000000006E-2</v>
      </c>
    </row>
    <row r="425" spans="2:17" x14ac:dyDescent="0.3">
      <c r="B425" s="365" t="s">
        <v>604</v>
      </c>
      <c r="C425" s="365">
        <v>1.213E-2</v>
      </c>
      <c r="D425" s="365">
        <v>7.5160000000000005E-2</v>
      </c>
      <c r="E425" s="365">
        <v>0.14213999999999999</v>
      </c>
      <c r="F425" s="365">
        <v>0.13482</v>
      </c>
      <c r="G425" s="365">
        <v>3.0200000000000001E-2</v>
      </c>
      <c r="H425" s="365">
        <v>0.10462</v>
      </c>
      <c r="K425" s="366">
        <v>41750</v>
      </c>
      <c r="L425" s="367">
        <v>1.09E-2</v>
      </c>
      <c r="M425" s="367">
        <v>0.12275</v>
      </c>
      <c r="N425" s="367">
        <v>0.12889999999999999</v>
      </c>
      <c r="O425" s="367">
        <v>0.12345</v>
      </c>
      <c r="P425" s="367">
        <v>3.5619999999999999E-2</v>
      </c>
      <c r="Q425" s="367">
        <v>8.7830000000000005E-2</v>
      </c>
    </row>
    <row r="426" spans="2:17" x14ac:dyDescent="0.3">
      <c r="B426" s="365" t="s">
        <v>605</v>
      </c>
      <c r="C426" s="365">
        <v>1.222E-2</v>
      </c>
      <c r="D426" s="365">
        <v>7.4349999999999999E-2</v>
      </c>
      <c r="E426" s="365">
        <v>0.1419</v>
      </c>
      <c r="F426" s="365">
        <v>0.13519999999999999</v>
      </c>
      <c r="G426" s="365">
        <v>0.03</v>
      </c>
      <c r="H426" s="365">
        <v>0.1052</v>
      </c>
      <c r="K426" s="366">
        <v>41747</v>
      </c>
      <c r="L426" s="367">
        <v>1.0869999999999999E-2</v>
      </c>
      <c r="M426" s="367">
        <v>0.11955</v>
      </c>
      <c r="N426" s="367">
        <v>0.13117999999999999</v>
      </c>
      <c r="O426" s="367">
        <v>0.12457</v>
      </c>
      <c r="P426" s="367">
        <v>3.517E-2</v>
      </c>
      <c r="Q426" s="367">
        <v>8.9399999999999993E-2</v>
      </c>
    </row>
    <row r="427" spans="2:17" x14ac:dyDescent="0.3">
      <c r="B427" s="365" t="s">
        <v>606</v>
      </c>
      <c r="C427" s="365">
        <v>1.221E-2</v>
      </c>
      <c r="D427" s="365">
        <v>7.2749999999999995E-2</v>
      </c>
      <c r="E427" s="365">
        <v>0.14180999999999999</v>
      </c>
      <c r="F427" s="365">
        <v>0.13458000000000001</v>
      </c>
      <c r="G427" s="365">
        <v>3.0200000000000001E-2</v>
      </c>
      <c r="H427" s="365">
        <v>0.10438</v>
      </c>
      <c r="K427" s="366">
        <v>41746</v>
      </c>
      <c r="L427" s="367">
        <v>1.0919999999999999E-2</v>
      </c>
      <c r="M427" s="367">
        <v>0.13062000000000001</v>
      </c>
      <c r="N427" s="367">
        <v>0.13074</v>
      </c>
      <c r="O427" s="367">
        <v>0.12567</v>
      </c>
      <c r="P427" s="367">
        <v>3.517E-2</v>
      </c>
      <c r="Q427" s="367">
        <v>9.0499999999999997E-2</v>
      </c>
    </row>
    <row r="428" spans="2:17" x14ac:dyDescent="0.3">
      <c r="B428" s="365" t="s">
        <v>607</v>
      </c>
      <c r="C428" s="365">
        <v>1.191E-2</v>
      </c>
      <c r="D428" s="365">
        <v>7.2660000000000002E-2</v>
      </c>
      <c r="E428" s="365">
        <v>0.14163000000000001</v>
      </c>
      <c r="F428" s="365">
        <v>0.13399</v>
      </c>
      <c r="G428" s="365">
        <v>3.0099999999999998E-2</v>
      </c>
      <c r="H428" s="365">
        <v>0.10389</v>
      </c>
      <c r="K428" s="366">
        <v>41745</v>
      </c>
      <c r="L428" s="367">
        <v>1.091E-2</v>
      </c>
      <c r="M428" s="367">
        <v>0.13038</v>
      </c>
      <c r="N428" s="367">
        <v>0.13048999999999999</v>
      </c>
      <c r="O428" s="367">
        <v>0.12597</v>
      </c>
      <c r="P428" s="367">
        <v>3.5479999999999998E-2</v>
      </c>
      <c r="Q428" s="367">
        <v>9.0490000000000001E-2</v>
      </c>
    </row>
    <row r="429" spans="2:17" x14ac:dyDescent="0.3">
      <c r="B429" s="365" t="s">
        <v>608</v>
      </c>
      <c r="C429" s="365">
        <v>1.204E-2</v>
      </c>
      <c r="D429" s="365">
        <v>7.6350000000000001E-2</v>
      </c>
      <c r="E429" s="365">
        <v>0.14161000000000001</v>
      </c>
      <c r="F429" s="365">
        <v>0.13636000000000001</v>
      </c>
      <c r="G429" s="365">
        <v>3.04E-2</v>
      </c>
      <c r="H429" s="365">
        <v>0.10596</v>
      </c>
      <c r="K429" s="366">
        <v>41744</v>
      </c>
      <c r="L429" s="367">
        <v>1.091E-2</v>
      </c>
      <c r="M429" s="367">
        <v>0.13955999999999999</v>
      </c>
      <c r="N429" s="367">
        <v>0.13027</v>
      </c>
      <c r="O429" s="367">
        <v>0.13002</v>
      </c>
      <c r="P429" s="367">
        <v>3.5380000000000002E-2</v>
      </c>
      <c r="Q429" s="367">
        <v>9.4640000000000002E-2</v>
      </c>
    </row>
    <row r="430" spans="2:17" x14ac:dyDescent="0.3">
      <c r="B430" s="365" t="s">
        <v>609</v>
      </c>
      <c r="C430" s="365">
        <v>1.209E-2</v>
      </c>
      <c r="D430" s="365">
        <v>7.0629999999999998E-2</v>
      </c>
      <c r="E430" s="365">
        <v>0.14138999999999999</v>
      </c>
      <c r="F430" s="365">
        <v>0.13464999999999999</v>
      </c>
      <c r="G430" s="365">
        <v>3.0499999999999999E-2</v>
      </c>
      <c r="H430" s="365">
        <v>0.10415000000000001</v>
      </c>
      <c r="K430" s="366">
        <v>41743</v>
      </c>
      <c r="L430" s="367">
        <v>1.0880000000000001E-2</v>
      </c>
      <c r="M430" s="367">
        <v>0.13857</v>
      </c>
      <c r="N430" s="367">
        <v>0.13008</v>
      </c>
      <c r="O430" s="367">
        <v>0.12989000000000001</v>
      </c>
      <c r="P430" s="367">
        <v>3.5380000000000002E-2</v>
      </c>
      <c r="Q430" s="367">
        <v>9.4509999999999997E-2</v>
      </c>
    </row>
    <row r="431" spans="2:17" x14ac:dyDescent="0.3">
      <c r="B431" s="365" t="s">
        <v>610</v>
      </c>
      <c r="C431" s="365">
        <v>1.201E-2</v>
      </c>
      <c r="D431" s="365">
        <v>7.1609999999999993E-2</v>
      </c>
      <c r="E431" s="365">
        <v>0.14141999999999999</v>
      </c>
      <c r="F431" s="365">
        <v>0.13431000000000001</v>
      </c>
      <c r="G431" s="365">
        <v>3.0200000000000001E-2</v>
      </c>
      <c r="H431" s="365">
        <v>0.10410999999999999</v>
      </c>
      <c r="K431" s="366">
        <v>41740</v>
      </c>
      <c r="L431" s="367">
        <v>1.0880000000000001E-2</v>
      </c>
      <c r="M431" s="367">
        <v>0.14258000000000001</v>
      </c>
      <c r="N431" s="367">
        <v>0.13006000000000001</v>
      </c>
      <c r="O431" s="367">
        <v>0.13116</v>
      </c>
      <c r="P431" s="367">
        <v>3.5340000000000003E-2</v>
      </c>
      <c r="Q431" s="367">
        <v>9.5820000000000002E-2</v>
      </c>
    </row>
    <row r="432" spans="2:17" x14ac:dyDescent="0.3">
      <c r="B432" s="365" t="s">
        <v>611</v>
      </c>
      <c r="C432" s="365">
        <v>1.197E-2</v>
      </c>
      <c r="D432" s="365">
        <v>7.2349999999999998E-2</v>
      </c>
      <c r="E432" s="365">
        <v>0.13963</v>
      </c>
      <c r="F432" s="365">
        <v>0.13428999999999999</v>
      </c>
      <c r="G432" s="365">
        <v>3.0499999999999999E-2</v>
      </c>
      <c r="H432" s="365">
        <v>0.10378999999999999</v>
      </c>
      <c r="K432" s="366">
        <v>41739</v>
      </c>
      <c r="L432" s="367">
        <v>1.082E-2</v>
      </c>
      <c r="M432" s="367">
        <v>0.13955999999999999</v>
      </c>
      <c r="N432" s="367">
        <v>0.13017000000000001</v>
      </c>
      <c r="O432" s="367">
        <v>0.12989999999999999</v>
      </c>
      <c r="P432" s="367">
        <v>3.5349999999999999E-2</v>
      </c>
      <c r="Q432" s="367">
        <v>9.4549999999999995E-2</v>
      </c>
    </row>
    <row r="433" spans="2:17" x14ac:dyDescent="0.3">
      <c r="B433" s="365" t="s">
        <v>612</v>
      </c>
      <c r="C433" s="365">
        <v>1.1900000000000001E-2</v>
      </c>
      <c r="D433" s="365">
        <v>6.6839999999999997E-2</v>
      </c>
      <c r="E433" s="365">
        <v>0.13971</v>
      </c>
      <c r="F433" s="365">
        <v>0.13109000000000001</v>
      </c>
      <c r="G433" s="365">
        <v>3.0800000000000001E-2</v>
      </c>
      <c r="H433" s="365">
        <v>0.10029</v>
      </c>
      <c r="K433" s="366">
        <v>41738</v>
      </c>
      <c r="L433" s="367">
        <v>1.0880000000000001E-2</v>
      </c>
      <c r="M433" s="367">
        <v>0.13746</v>
      </c>
      <c r="N433" s="367">
        <v>0.13017999999999999</v>
      </c>
      <c r="O433" s="367">
        <v>0.12955</v>
      </c>
      <c r="P433" s="367">
        <v>3.5229999999999997E-2</v>
      </c>
      <c r="Q433" s="367">
        <v>9.4320000000000001E-2</v>
      </c>
    </row>
    <row r="434" spans="2:17" x14ac:dyDescent="0.3">
      <c r="B434" s="365" t="s">
        <v>613</v>
      </c>
      <c r="C434" s="365">
        <v>1.175E-2</v>
      </c>
      <c r="D434" s="365">
        <v>6.7159999999999997E-2</v>
      </c>
      <c r="E434" s="365">
        <v>0.13658000000000001</v>
      </c>
      <c r="F434" s="365">
        <v>0.13041</v>
      </c>
      <c r="G434" s="365">
        <v>3.1E-2</v>
      </c>
      <c r="H434" s="365">
        <v>9.9409999999999998E-2</v>
      </c>
      <c r="K434" s="366">
        <v>41737</v>
      </c>
      <c r="L434" s="367">
        <v>1.091E-2</v>
      </c>
      <c r="M434" s="367">
        <v>0.13863</v>
      </c>
      <c r="N434" s="367">
        <v>0.13037000000000001</v>
      </c>
      <c r="O434" s="367">
        <v>0.13048000000000001</v>
      </c>
      <c r="P434" s="367">
        <v>3.5450000000000002E-2</v>
      </c>
      <c r="Q434" s="367">
        <v>9.5030000000000003E-2</v>
      </c>
    </row>
    <row r="435" spans="2:17" x14ac:dyDescent="0.3">
      <c r="B435" s="365" t="s">
        <v>614</v>
      </c>
      <c r="C435" s="365">
        <v>1.159E-2</v>
      </c>
      <c r="D435" s="365">
        <v>0.12171999999999999</v>
      </c>
      <c r="E435" s="365">
        <v>0.13192999999999999</v>
      </c>
      <c r="F435" s="365">
        <v>0.12861</v>
      </c>
      <c r="G435" s="365">
        <v>3.1300000000000001E-2</v>
      </c>
      <c r="H435" s="365">
        <v>9.7309999999999994E-2</v>
      </c>
      <c r="K435" s="366">
        <v>41736</v>
      </c>
      <c r="L435" s="367">
        <v>1.091E-2</v>
      </c>
      <c r="M435" s="367">
        <v>0.13532</v>
      </c>
      <c r="N435" s="367">
        <v>0.128</v>
      </c>
      <c r="O435" s="367">
        <v>0.12864</v>
      </c>
      <c r="P435" s="367">
        <v>3.5299999999999998E-2</v>
      </c>
      <c r="Q435" s="367">
        <v>9.3340000000000006E-2</v>
      </c>
    </row>
    <row r="436" spans="2:17" x14ac:dyDescent="0.3">
      <c r="B436" s="365" t="s">
        <v>615</v>
      </c>
      <c r="C436" s="365">
        <v>1.1509999999999999E-2</v>
      </c>
      <c r="D436" s="365">
        <v>0.12203</v>
      </c>
      <c r="E436" s="365">
        <v>0.13191</v>
      </c>
      <c r="F436" s="365">
        <v>0.12892999999999999</v>
      </c>
      <c r="G436" s="365">
        <v>3.1300000000000001E-2</v>
      </c>
      <c r="H436" s="365">
        <v>9.7629999999999995E-2</v>
      </c>
      <c r="K436" s="366">
        <v>41733</v>
      </c>
      <c r="L436" s="367">
        <v>1.0919999999999999E-2</v>
      </c>
      <c r="M436" s="367">
        <v>0.12584999999999999</v>
      </c>
      <c r="N436" s="367">
        <v>0.12741</v>
      </c>
      <c r="O436" s="367">
        <v>0.12673999999999999</v>
      </c>
      <c r="P436" s="367">
        <v>3.56E-2</v>
      </c>
      <c r="Q436" s="367">
        <v>9.1139999999999999E-2</v>
      </c>
    </row>
    <row r="437" spans="2:17" x14ac:dyDescent="0.3">
      <c r="B437" s="365" t="s">
        <v>616</v>
      </c>
      <c r="C437" s="365">
        <v>1.142E-2</v>
      </c>
      <c r="D437" s="365">
        <v>0.12381</v>
      </c>
      <c r="E437" s="365">
        <v>0.13197999999999999</v>
      </c>
      <c r="F437" s="365">
        <v>0.13056999999999999</v>
      </c>
      <c r="G437" s="365">
        <v>3.1899999999999998E-2</v>
      </c>
      <c r="H437" s="365">
        <v>9.8669999999999994E-2</v>
      </c>
      <c r="K437" s="366">
        <v>41732</v>
      </c>
      <c r="L437" s="367">
        <v>1.095E-2</v>
      </c>
      <c r="M437" s="367">
        <v>0.12670999999999999</v>
      </c>
      <c r="N437" s="367">
        <v>0.12716</v>
      </c>
      <c r="O437" s="367">
        <v>0.12656999999999999</v>
      </c>
      <c r="P437" s="367">
        <v>3.5630000000000002E-2</v>
      </c>
      <c r="Q437" s="367">
        <v>9.0939999999999993E-2</v>
      </c>
    </row>
    <row r="438" spans="2:17" x14ac:dyDescent="0.3">
      <c r="B438" s="365" t="s">
        <v>617</v>
      </c>
      <c r="C438" s="365">
        <v>1.2120000000000001E-2</v>
      </c>
      <c r="D438" s="365">
        <v>0.15653</v>
      </c>
      <c r="E438" s="365">
        <v>0.14873</v>
      </c>
      <c r="F438" s="365">
        <v>0.14080999999999999</v>
      </c>
      <c r="G438" s="365">
        <v>3.1600000000000003E-2</v>
      </c>
      <c r="H438" s="365">
        <v>0.10921</v>
      </c>
      <c r="K438" s="366">
        <v>41731</v>
      </c>
      <c r="L438" s="367">
        <v>1.093E-2</v>
      </c>
      <c r="M438" s="367">
        <v>0.12543000000000001</v>
      </c>
      <c r="N438" s="367">
        <v>0.12698000000000001</v>
      </c>
      <c r="O438" s="367">
        <v>0.12608</v>
      </c>
      <c r="P438" s="367">
        <v>3.5589999999999997E-2</v>
      </c>
      <c r="Q438" s="367">
        <v>9.0490000000000001E-2</v>
      </c>
    </row>
    <row r="439" spans="2:17" x14ac:dyDescent="0.3">
      <c r="B439" s="365" t="s">
        <v>618</v>
      </c>
      <c r="C439" s="365">
        <v>1.218E-2</v>
      </c>
      <c r="D439" s="365">
        <v>0.15620999999999999</v>
      </c>
      <c r="E439" s="365">
        <v>0.15092</v>
      </c>
      <c r="F439" s="365">
        <v>0.14094000000000001</v>
      </c>
      <c r="G439" s="365">
        <v>3.2099999999999997E-2</v>
      </c>
      <c r="H439" s="365">
        <v>0.10884000000000001</v>
      </c>
      <c r="K439" s="366">
        <v>41730</v>
      </c>
      <c r="L439" s="367">
        <v>1.0959999999999999E-2</v>
      </c>
      <c r="M439" s="367">
        <v>0.12683</v>
      </c>
      <c r="N439" s="367">
        <v>0.12720000000000001</v>
      </c>
      <c r="O439" s="367">
        <v>0.12687999999999999</v>
      </c>
      <c r="P439" s="367">
        <v>3.5349999999999999E-2</v>
      </c>
      <c r="Q439" s="367">
        <v>9.153E-2</v>
      </c>
    </row>
    <row r="440" spans="2:17" x14ac:dyDescent="0.3">
      <c r="B440" s="365" t="s">
        <v>619</v>
      </c>
      <c r="C440" s="365">
        <v>1.222E-2</v>
      </c>
      <c r="D440" s="365">
        <v>0.15559000000000001</v>
      </c>
      <c r="E440" s="365">
        <v>0.15085000000000001</v>
      </c>
      <c r="F440" s="365">
        <v>0.14091999999999999</v>
      </c>
      <c r="G440" s="365">
        <v>3.2399999999999998E-2</v>
      </c>
      <c r="H440" s="365">
        <v>0.10852000000000001</v>
      </c>
      <c r="K440" s="366">
        <v>41729</v>
      </c>
      <c r="L440" s="367">
        <v>1.1010000000000001E-2</v>
      </c>
      <c r="M440" s="367">
        <v>0.12952</v>
      </c>
      <c r="N440" s="367">
        <v>0.12681999999999999</v>
      </c>
      <c r="O440" s="367">
        <v>0.12573999999999999</v>
      </c>
      <c r="P440" s="367">
        <v>3.5200000000000002E-2</v>
      </c>
      <c r="Q440" s="367">
        <v>9.0539999999999995E-2</v>
      </c>
    </row>
    <row r="441" spans="2:17" x14ac:dyDescent="0.3">
      <c r="B441" s="365" t="s">
        <v>620</v>
      </c>
      <c r="C441" s="365">
        <v>1.223E-2</v>
      </c>
      <c r="D441" s="365">
        <v>0.15748999999999999</v>
      </c>
      <c r="E441" s="365">
        <v>0.15079999999999999</v>
      </c>
      <c r="F441" s="365">
        <v>0.14149</v>
      </c>
      <c r="G441" s="365">
        <v>3.2099999999999997E-2</v>
      </c>
      <c r="H441" s="365">
        <v>0.10939</v>
      </c>
      <c r="K441" s="366">
        <v>41726</v>
      </c>
      <c r="L441" s="367">
        <v>1.106E-2</v>
      </c>
      <c r="M441" s="367">
        <v>0.12759999999999999</v>
      </c>
      <c r="N441" s="367">
        <v>0.13463</v>
      </c>
      <c r="O441" s="367">
        <v>0.12479999999999999</v>
      </c>
      <c r="P441" s="367">
        <v>3.5139999999999998E-2</v>
      </c>
      <c r="Q441" s="367">
        <v>8.9660000000000004E-2</v>
      </c>
    </row>
    <row r="442" spans="2:17" x14ac:dyDescent="0.3">
      <c r="B442" s="365" t="s">
        <v>621</v>
      </c>
      <c r="C442" s="365">
        <v>1.226E-2</v>
      </c>
      <c r="D442" s="365">
        <v>0.15393000000000001</v>
      </c>
      <c r="E442" s="365">
        <v>0.15185000000000001</v>
      </c>
      <c r="F442" s="365">
        <v>0.14019000000000001</v>
      </c>
      <c r="G442" s="365">
        <v>3.1800000000000002E-2</v>
      </c>
      <c r="H442" s="365">
        <v>0.10839</v>
      </c>
      <c r="K442" s="366">
        <v>41725</v>
      </c>
      <c r="L442" s="367">
        <v>1.124E-2</v>
      </c>
      <c r="M442" s="367">
        <v>0.12634000000000001</v>
      </c>
      <c r="N442" s="367">
        <v>0.13514000000000001</v>
      </c>
      <c r="O442" s="367">
        <v>0.12442</v>
      </c>
      <c r="P442" s="367">
        <v>3.5430000000000003E-2</v>
      </c>
      <c r="Q442" s="367">
        <v>8.899E-2</v>
      </c>
    </row>
    <row r="443" spans="2:17" x14ac:dyDescent="0.3">
      <c r="B443" s="365" t="s">
        <v>622</v>
      </c>
      <c r="C443" s="365">
        <v>1.213E-2</v>
      </c>
      <c r="D443" s="365">
        <v>0.15401999999999999</v>
      </c>
      <c r="E443" s="365">
        <v>0.15182999999999999</v>
      </c>
      <c r="F443" s="365">
        <v>0.13966000000000001</v>
      </c>
      <c r="G443" s="365">
        <v>3.2000000000000001E-2</v>
      </c>
      <c r="H443" s="365">
        <v>0.10766000000000001</v>
      </c>
      <c r="K443" s="366">
        <v>41724</v>
      </c>
      <c r="L443" s="367">
        <v>1.133E-2</v>
      </c>
      <c r="M443" s="367">
        <v>0.12703</v>
      </c>
      <c r="N443" s="367">
        <v>0.13496</v>
      </c>
      <c r="O443" s="367">
        <v>0.12476</v>
      </c>
      <c r="P443" s="367">
        <v>3.5430000000000003E-2</v>
      </c>
      <c r="Q443" s="367">
        <v>8.9330000000000007E-2</v>
      </c>
    </row>
    <row r="444" spans="2:17" x14ac:dyDescent="0.3">
      <c r="B444" s="365" t="s">
        <v>623</v>
      </c>
      <c r="C444" s="365">
        <v>1.2189999999999999E-2</v>
      </c>
      <c r="D444" s="365">
        <v>0.154</v>
      </c>
      <c r="E444" s="365">
        <v>0.15201000000000001</v>
      </c>
      <c r="F444" s="365">
        <v>0.13966000000000001</v>
      </c>
      <c r="G444" s="365">
        <v>3.1899999999999998E-2</v>
      </c>
      <c r="H444" s="365">
        <v>0.10775999999999999</v>
      </c>
      <c r="K444" s="366">
        <v>41723</v>
      </c>
      <c r="L444" s="367">
        <v>1.1480000000000001E-2</v>
      </c>
      <c r="M444" s="367">
        <v>0.12368999999999999</v>
      </c>
      <c r="N444" s="367">
        <v>0.13522000000000001</v>
      </c>
      <c r="O444" s="367">
        <v>0.12358</v>
      </c>
      <c r="P444" s="367">
        <v>3.5430000000000003E-2</v>
      </c>
      <c r="Q444" s="367">
        <v>8.8150000000000006E-2</v>
      </c>
    </row>
    <row r="445" spans="2:17" x14ac:dyDescent="0.3">
      <c r="B445" s="365" t="s">
        <v>624</v>
      </c>
      <c r="C445" s="365">
        <v>1.226E-2</v>
      </c>
      <c r="D445" s="365">
        <v>0.15448999999999999</v>
      </c>
      <c r="E445" s="365">
        <v>0.15198</v>
      </c>
      <c r="F445" s="365">
        <v>0.13988999999999999</v>
      </c>
      <c r="G445" s="365">
        <v>3.1600000000000003E-2</v>
      </c>
      <c r="H445" s="365">
        <v>0.10829</v>
      </c>
      <c r="K445" s="366">
        <v>41722</v>
      </c>
      <c r="L445" s="367">
        <v>1.158E-2</v>
      </c>
      <c r="M445" s="367">
        <v>0.12188</v>
      </c>
      <c r="N445" s="367">
        <v>0.13761000000000001</v>
      </c>
      <c r="O445" s="367">
        <v>0.12341000000000001</v>
      </c>
      <c r="P445" s="367">
        <v>3.5680000000000003E-2</v>
      </c>
      <c r="Q445" s="367">
        <v>8.7730000000000002E-2</v>
      </c>
    </row>
    <row r="446" spans="2:17" x14ac:dyDescent="0.3">
      <c r="B446" s="365" t="s">
        <v>625</v>
      </c>
      <c r="C446" s="365">
        <v>1.2149999999999999E-2</v>
      </c>
      <c r="D446" s="365">
        <v>0.14996999999999999</v>
      </c>
      <c r="E446" s="365">
        <v>0.15162</v>
      </c>
      <c r="F446" s="365">
        <v>0.13772999999999999</v>
      </c>
      <c r="G446" s="365">
        <v>3.15E-2</v>
      </c>
      <c r="H446" s="365">
        <v>0.10623</v>
      </c>
      <c r="K446" s="366">
        <v>41719</v>
      </c>
      <c r="L446" s="367">
        <v>1.162E-2</v>
      </c>
      <c r="M446" s="367">
        <v>0.12587000000000001</v>
      </c>
      <c r="N446" s="367">
        <v>0.13643</v>
      </c>
      <c r="O446" s="367">
        <v>0.12909000000000001</v>
      </c>
      <c r="P446" s="367">
        <v>3.56E-2</v>
      </c>
      <c r="Q446" s="367">
        <v>9.3490000000000004E-2</v>
      </c>
    </row>
    <row r="447" spans="2:17" x14ac:dyDescent="0.3">
      <c r="B447" s="365" t="s">
        <v>626</v>
      </c>
      <c r="C447" s="365">
        <v>1.209E-2</v>
      </c>
      <c r="D447" s="365">
        <v>0.15015999999999999</v>
      </c>
      <c r="E447" s="365">
        <v>0.15162</v>
      </c>
      <c r="F447" s="365">
        <v>0.13766</v>
      </c>
      <c r="G447" s="365">
        <v>3.1399999999999997E-2</v>
      </c>
      <c r="H447" s="365">
        <v>0.10625999999999999</v>
      </c>
      <c r="K447" s="366">
        <v>41718</v>
      </c>
      <c r="L447" s="367">
        <v>1.184E-2</v>
      </c>
      <c r="M447" s="367">
        <v>0.12609999999999999</v>
      </c>
      <c r="N447" s="367">
        <v>0.13555</v>
      </c>
      <c r="O447" s="367">
        <v>0.12934999999999999</v>
      </c>
      <c r="P447" s="367">
        <v>3.5349999999999999E-2</v>
      </c>
      <c r="Q447" s="367">
        <v>9.4E-2</v>
      </c>
    </row>
    <row r="448" spans="2:17" x14ac:dyDescent="0.3">
      <c r="B448" s="365" t="s">
        <v>627</v>
      </c>
      <c r="C448" s="365">
        <v>1.226E-2</v>
      </c>
      <c r="D448" s="365">
        <v>0.14993000000000001</v>
      </c>
      <c r="E448" s="365">
        <v>0.15151000000000001</v>
      </c>
      <c r="F448" s="365">
        <v>0.13833999999999999</v>
      </c>
      <c r="G448" s="365">
        <v>3.1E-2</v>
      </c>
      <c r="H448" s="365">
        <v>0.10734</v>
      </c>
      <c r="K448" s="366">
        <v>41717</v>
      </c>
      <c r="L448" s="367">
        <v>1.172E-2</v>
      </c>
      <c r="M448" s="367">
        <v>0.12640000000000001</v>
      </c>
      <c r="N448" s="367">
        <v>0.13582</v>
      </c>
      <c r="O448" s="367">
        <v>0.12923000000000001</v>
      </c>
      <c r="P448" s="367">
        <v>3.5150000000000001E-2</v>
      </c>
      <c r="Q448" s="367">
        <v>9.4079999999999997E-2</v>
      </c>
    </row>
    <row r="449" spans="2:17" x14ac:dyDescent="0.3">
      <c r="B449" s="365" t="s">
        <v>628</v>
      </c>
      <c r="C449" s="365">
        <v>1.2330000000000001E-2</v>
      </c>
      <c r="D449" s="365">
        <v>0.15023</v>
      </c>
      <c r="E449" s="365">
        <v>0.15140999999999999</v>
      </c>
      <c r="F449" s="365">
        <v>0.13863</v>
      </c>
      <c r="G449" s="365">
        <v>3.09E-2</v>
      </c>
      <c r="H449" s="365">
        <v>0.10773000000000001</v>
      </c>
      <c r="K449" s="366">
        <v>41716</v>
      </c>
      <c r="L449" s="367">
        <v>1.179E-2</v>
      </c>
      <c r="M449" s="367">
        <v>0.12931999999999999</v>
      </c>
      <c r="N449" s="367">
        <v>0.13639000000000001</v>
      </c>
      <c r="O449" s="367">
        <v>0.13042999999999999</v>
      </c>
      <c r="P449" s="367">
        <v>3.5349999999999999E-2</v>
      </c>
      <c r="Q449" s="367">
        <v>9.5079999999999998E-2</v>
      </c>
    </row>
    <row r="450" spans="2:17" x14ac:dyDescent="0.3">
      <c r="B450" s="365" t="s">
        <v>629</v>
      </c>
      <c r="C450" s="365">
        <v>1.2370000000000001E-2</v>
      </c>
      <c r="D450" s="365">
        <v>0.15076000000000001</v>
      </c>
      <c r="E450" s="365">
        <v>0.15143000000000001</v>
      </c>
      <c r="F450" s="365">
        <v>0.13888</v>
      </c>
      <c r="G450" s="365">
        <v>3.09E-2</v>
      </c>
      <c r="H450" s="365">
        <v>0.10798000000000001</v>
      </c>
      <c r="K450" s="366">
        <v>41715</v>
      </c>
      <c r="L450" s="367">
        <v>1.187E-2</v>
      </c>
      <c r="M450" s="367">
        <v>0.1255</v>
      </c>
      <c r="N450" s="367">
        <v>0.13619000000000001</v>
      </c>
      <c r="O450" s="367">
        <v>0.12887000000000001</v>
      </c>
      <c r="P450" s="367">
        <v>3.5200000000000002E-2</v>
      </c>
      <c r="Q450" s="367">
        <v>9.3670000000000003E-2</v>
      </c>
    </row>
    <row r="451" spans="2:17" x14ac:dyDescent="0.3">
      <c r="B451" s="365" t="s">
        <v>630</v>
      </c>
      <c r="C451" s="365">
        <v>1.2330000000000001E-2</v>
      </c>
      <c r="D451" s="365">
        <v>0.15135000000000001</v>
      </c>
      <c r="E451" s="365">
        <v>0.15131</v>
      </c>
      <c r="F451" s="365">
        <v>0.13911999999999999</v>
      </c>
      <c r="G451" s="365">
        <v>3.0599999999999999E-2</v>
      </c>
      <c r="H451" s="365">
        <v>0.10852000000000001</v>
      </c>
      <c r="K451" s="366">
        <v>41712</v>
      </c>
      <c r="L451" s="367">
        <v>1.193E-2</v>
      </c>
      <c r="M451" s="367">
        <v>0.12361999999999999</v>
      </c>
      <c r="N451" s="367">
        <v>0.13569000000000001</v>
      </c>
      <c r="O451" s="367">
        <v>0.12858</v>
      </c>
      <c r="P451" s="367">
        <v>3.4729999999999997E-2</v>
      </c>
      <c r="Q451" s="367">
        <v>9.3850000000000003E-2</v>
      </c>
    </row>
    <row r="452" spans="2:17" x14ac:dyDescent="0.3">
      <c r="B452" s="365" t="s">
        <v>631</v>
      </c>
      <c r="C452" s="365">
        <v>1.238E-2</v>
      </c>
      <c r="D452" s="365">
        <v>0.15093999999999999</v>
      </c>
      <c r="E452" s="365">
        <v>0.15132000000000001</v>
      </c>
      <c r="F452" s="365">
        <v>0.13900999999999999</v>
      </c>
      <c r="G452" s="365">
        <v>3.0700000000000002E-2</v>
      </c>
      <c r="H452" s="365">
        <v>0.10831</v>
      </c>
      <c r="K452" s="366">
        <v>41711</v>
      </c>
      <c r="L452" s="367">
        <v>1.184E-2</v>
      </c>
      <c r="M452" s="367">
        <v>0.12302</v>
      </c>
      <c r="N452" s="367">
        <v>0.13568</v>
      </c>
      <c r="O452" s="367">
        <v>0.12798000000000001</v>
      </c>
      <c r="P452" s="367">
        <v>3.533E-2</v>
      </c>
      <c r="Q452" s="367">
        <v>9.2649999999999996E-2</v>
      </c>
    </row>
    <row r="453" spans="2:17" x14ac:dyDescent="0.3">
      <c r="B453" s="365" t="s">
        <v>632</v>
      </c>
      <c r="C453" s="365">
        <v>1.2409999999999999E-2</v>
      </c>
      <c r="D453" s="365">
        <v>0.15128</v>
      </c>
      <c r="E453" s="365">
        <v>0.15146999999999999</v>
      </c>
      <c r="F453" s="365">
        <v>0.13888</v>
      </c>
      <c r="G453" s="365">
        <v>3.0800000000000001E-2</v>
      </c>
      <c r="H453" s="365">
        <v>0.10808</v>
      </c>
      <c r="K453" s="366">
        <v>41710</v>
      </c>
      <c r="L453" s="367">
        <v>1.184E-2</v>
      </c>
      <c r="M453" s="367">
        <v>0.12247</v>
      </c>
      <c r="N453" s="367">
        <v>0.13561999999999999</v>
      </c>
      <c r="O453" s="367">
        <v>0.12792999999999999</v>
      </c>
      <c r="P453" s="367">
        <v>3.5360000000000003E-2</v>
      </c>
      <c r="Q453" s="367">
        <v>9.257E-2</v>
      </c>
    </row>
    <row r="454" spans="2:17" x14ac:dyDescent="0.3">
      <c r="B454" s="365" t="s">
        <v>633</v>
      </c>
      <c r="C454" s="365">
        <v>1.2579999999999999E-2</v>
      </c>
      <c r="D454" s="365">
        <v>0.14943000000000001</v>
      </c>
      <c r="E454" s="365">
        <v>0.15134</v>
      </c>
      <c r="F454" s="365">
        <v>0.13813</v>
      </c>
      <c r="G454" s="365">
        <v>3.04E-2</v>
      </c>
      <c r="H454" s="365">
        <v>0.10773000000000001</v>
      </c>
      <c r="K454" s="366">
        <v>41709</v>
      </c>
      <c r="L454" s="367">
        <v>1.1650000000000001E-2</v>
      </c>
      <c r="M454" s="367">
        <v>0.12221</v>
      </c>
      <c r="N454" s="367">
        <v>0.13525000000000001</v>
      </c>
      <c r="O454" s="367">
        <v>0.12720000000000001</v>
      </c>
      <c r="P454" s="367">
        <v>3.56E-2</v>
      </c>
      <c r="Q454" s="367">
        <v>9.1600000000000001E-2</v>
      </c>
    </row>
    <row r="455" spans="2:17" x14ac:dyDescent="0.3">
      <c r="B455" s="365" t="s">
        <v>634</v>
      </c>
      <c r="C455" s="365">
        <v>1.2540000000000001E-2</v>
      </c>
      <c r="D455" s="365">
        <v>0.14821000000000001</v>
      </c>
      <c r="E455" s="365">
        <v>0.15121999999999999</v>
      </c>
      <c r="F455" s="365">
        <v>0.13772999999999999</v>
      </c>
      <c r="G455" s="365">
        <v>3.0300000000000001E-2</v>
      </c>
      <c r="H455" s="365">
        <v>0.10743</v>
      </c>
      <c r="K455" s="366">
        <v>41708</v>
      </c>
      <c r="L455" s="367">
        <v>1.1690000000000001E-2</v>
      </c>
      <c r="M455" s="367">
        <v>0.12274</v>
      </c>
      <c r="N455" s="367">
        <v>0.13346</v>
      </c>
      <c r="O455" s="367">
        <v>0.12790000000000001</v>
      </c>
      <c r="P455" s="367">
        <v>3.5680000000000003E-2</v>
      </c>
      <c r="Q455" s="367">
        <v>9.2219999999999996E-2</v>
      </c>
    </row>
    <row r="456" spans="2:17" x14ac:dyDescent="0.3">
      <c r="B456" s="365" t="s">
        <v>635</v>
      </c>
      <c r="C456" s="365">
        <v>1.259E-2</v>
      </c>
      <c r="D456" s="365">
        <v>0.14785000000000001</v>
      </c>
      <c r="E456" s="365">
        <v>0.15110999999999999</v>
      </c>
      <c r="F456" s="365">
        <v>0.13800999999999999</v>
      </c>
      <c r="G456" s="365">
        <v>3.0300000000000001E-2</v>
      </c>
      <c r="H456" s="365">
        <v>0.10771</v>
      </c>
      <c r="K456" s="366">
        <v>41705</v>
      </c>
      <c r="L456" s="367">
        <v>1.155E-2</v>
      </c>
      <c r="M456" s="367">
        <v>0.12659999999999999</v>
      </c>
      <c r="N456" s="367">
        <v>0.13647999999999999</v>
      </c>
      <c r="O456" s="367">
        <v>0.12837999999999999</v>
      </c>
      <c r="P456" s="367">
        <v>3.5790000000000002E-2</v>
      </c>
      <c r="Q456" s="367">
        <v>9.2590000000000006E-2</v>
      </c>
    </row>
    <row r="457" spans="2:17" x14ac:dyDescent="0.3">
      <c r="B457" s="365" t="s">
        <v>636</v>
      </c>
      <c r="C457" s="365">
        <v>1.261E-2</v>
      </c>
      <c r="D457" s="365">
        <v>0.14871999999999999</v>
      </c>
      <c r="E457" s="365">
        <v>0.15118999999999999</v>
      </c>
      <c r="F457" s="365">
        <v>0.13825000000000001</v>
      </c>
      <c r="G457" s="365">
        <v>3.0200000000000001E-2</v>
      </c>
      <c r="H457" s="365">
        <v>0.10804999999999999</v>
      </c>
      <c r="K457" s="366">
        <v>41704</v>
      </c>
      <c r="L457" s="367">
        <v>1.154E-2</v>
      </c>
      <c r="M457" s="367">
        <v>0.12694</v>
      </c>
      <c r="N457" s="367">
        <v>0.13150000000000001</v>
      </c>
      <c r="O457" s="367">
        <v>0.12806000000000001</v>
      </c>
      <c r="P457" s="367">
        <v>3.5700000000000003E-2</v>
      </c>
      <c r="Q457" s="367">
        <v>9.2359999999999998E-2</v>
      </c>
    </row>
    <row r="458" spans="2:17" x14ac:dyDescent="0.3">
      <c r="B458" s="365" t="s">
        <v>637</v>
      </c>
      <c r="C458" s="365">
        <v>1.2760000000000001E-2</v>
      </c>
      <c r="D458" s="365">
        <v>0.14943999999999999</v>
      </c>
      <c r="E458" s="365">
        <v>0.15109</v>
      </c>
      <c r="F458" s="365">
        <v>0.13907</v>
      </c>
      <c r="G458" s="365">
        <v>3.0200000000000001E-2</v>
      </c>
      <c r="H458" s="365">
        <v>0.10886999999999999</v>
      </c>
      <c r="K458" s="366">
        <v>41703</v>
      </c>
      <c r="L458" s="367">
        <v>1.159E-2</v>
      </c>
      <c r="M458" s="367">
        <v>0.12570999999999999</v>
      </c>
      <c r="N458" s="367">
        <v>0.13159999999999999</v>
      </c>
      <c r="O458" s="367">
        <v>0.12823000000000001</v>
      </c>
      <c r="P458" s="367">
        <v>3.56E-2</v>
      </c>
      <c r="Q458" s="367">
        <v>9.2630000000000004E-2</v>
      </c>
    </row>
    <row r="459" spans="2:17" x14ac:dyDescent="0.3">
      <c r="B459" s="365" t="s">
        <v>638</v>
      </c>
      <c r="C459" s="365">
        <v>1.268E-2</v>
      </c>
      <c r="D459" s="365">
        <v>0.15007000000000001</v>
      </c>
      <c r="E459" s="365">
        <v>0.15298999999999999</v>
      </c>
      <c r="F459" s="365">
        <v>0.13904</v>
      </c>
      <c r="G459" s="365">
        <v>3.04E-2</v>
      </c>
      <c r="H459" s="365">
        <v>0.10864</v>
      </c>
      <c r="K459" s="366">
        <v>41702</v>
      </c>
      <c r="L459" s="367">
        <v>1.1610000000000001E-2</v>
      </c>
      <c r="M459" s="367">
        <v>0.12595000000000001</v>
      </c>
      <c r="N459" s="367">
        <v>0.13156000000000001</v>
      </c>
      <c r="O459" s="367">
        <v>0.12855</v>
      </c>
      <c r="P459" s="367">
        <v>3.585E-2</v>
      </c>
      <c r="Q459" s="367">
        <v>9.2700000000000005E-2</v>
      </c>
    </row>
    <row r="460" spans="2:17" x14ac:dyDescent="0.3">
      <c r="B460" s="365" t="s">
        <v>639</v>
      </c>
      <c r="C460" s="365">
        <v>1.282E-2</v>
      </c>
      <c r="D460" s="365">
        <v>0.15043000000000001</v>
      </c>
      <c r="E460" s="365">
        <v>0.15135000000000001</v>
      </c>
      <c r="F460" s="365">
        <v>0.13951</v>
      </c>
      <c r="G460" s="365">
        <v>3.0200000000000001E-2</v>
      </c>
      <c r="H460" s="365">
        <v>0.10931</v>
      </c>
      <c r="K460" s="366">
        <v>41701</v>
      </c>
      <c r="L460" s="367">
        <v>1.159E-2</v>
      </c>
      <c r="M460" s="367">
        <v>0.12698999999999999</v>
      </c>
      <c r="N460" s="367">
        <v>0.13062000000000001</v>
      </c>
      <c r="O460" s="367">
        <v>0.12859999999999999</v>
      </c>
      <c r="P460" s="367">
        <v>3.5479999999999998E-2</v>
      </c>
      <c r="Q460" s="367">
        <v>9.3119999999999994E-2</v>
      </c>
    </row>
    <row r="461" spans="2:17" x14ac:dyDescent="0.3">
      <c r="B461" s="365" t="s">
        <v>640</v>
      </c>
      <c r="C461" s="365">
        <v>1.2789999999999999E-2</v>
      </c>
      <c r="D461" s="365">
        <v>0.14979000000000001</v>
      </c>
      <c r="E461" s="365">
        <v>0.15021000000000001</v>
      </c>
      <c r="F461" s="365">
        <v>0.13897000000000001</v>
      </c>
      <c r="G461" s="365">
        <v>3.0300000000000001E-2</v>
      </c>
      <c r="H461" s="365">
        <v>0.10867</v>
      </c>
      <c r="K461" s="366">
        <v>41698</v>
      </c>
      <c r="L461" s="367">
        <v>1.1480000000000001E-2</v>
      </c>
      <c r="M461" s="367">
        <v>0.12648999999999999</v>
      </c>
      <c r="N461" s="367">
        <v>0.12950999999999999</v>
      </c>
      <c r="O461" s="367">
        <v>0.12828000000000001</v>
      </c>
      <c r="P461" s="367">
        <v>3.4970000000000001E-2</v>
      </c>
      <c r="Q461" s="367">
        <v>9.3310000000000004E-2</v>
      </c>
    </row>
    <row r="462" spans="2:17" x14ac:dyDescent="0.3">
      <c r="B462" s="365" t="s">
        <v>641</v>
      </c>
      <c r="C462" s="365">
        <v>1.2880000000000001E-2</v>
      </c>
      <c r="D462" s="365">
        <v>0.14946999999999999</v>
      </c>
      <c r="E462" s="365">
        <v>0.15004999999999999</v>
      </c>
      <c r="F462" s="365">
        <v>0.13924</v>
      </c>
      <c r="G462" s="365">
        <v>3.0099999999999998E-2</v>
      </c>
      <c r="H462" s="365">
        <v>0.10914</v>
      </c>
      <c r="K462" s="366">
        <v>41697</v>
      </c>
      <c r="L462" s="367">
        <v>1.142E-2</v>
      </c>
      <c r="M462" s="367">
        <v>0.12612000000000001</v>
      </c>
      <c r="N462" s="367">
        <v>0.12945999999999999</v>
      </c>
      <c r="O462" s="367">
        <v>0.12826000000000001</v>
      </c>
      <c r="P462" s="367">
        <v>3.5009999999999999E-2</v>
      </c>
      <c r="Q462" s="367">
        <v>9.325E-2</v>
      </c>
    </row>
    <row r="463" spans="2:17" x14ac:dyDescent="0.3">
      <c r="B463" s="365" t="s">
        <v>642</v>
      </c>
      <c r="C463" s="365">
        <v>1.299E-2</v>
      </c>
      <c r="D463" s="365">
        <v>0.14929999999999999</v>
      </c>
      <c r="E463" s="365">
        <v>0.14990000000000001</v>
      </c>
      <c r="F463" s="365">
        <v>0.13963999999999999</v>
      </c>
      <c r="G463" s="365">
        <v>2.9899999999999999E-2</v>
      </c>
      <c r="H463" s="365">
        <v>0.10974</v>
      </c>
      <c r="K463" s="366">
        <v>41696</v>
      </c>
      <c r="L463" s="367">
        <v>1.149E-2</v>
      </c>
      <c r="M463" s="367">
        <v>0.12612000000000001</v>
      </c>
      <c r="N463" s="367">
        <v>0.12966</v>
      </c>
      <c r="O463" s="367">
        <v>0.12856000000000001</v>
      </c>
      <c r="P463" s="367">
        <v>3.5119999999999998E-2</v>
      </c>
      <c r="Q463" s="367">
        <v>9.3439999999999995E-2</v>
      </c>
    </row>
    <row r="464" spans="2:17" x14ac:dyDescent="0.3">
      <c r="B464" s="365" t="s">
        <v>643</v>
      </c>
      <c r="C464" s="365">
        <v>1.2959999999999999E-2</v>
      </c>
      <c r="D464" s="365">
        <v>0.14940000000000001</v>
      </c>
      <c r="E464" s="365">
        <v>0.14992</v>
      </c>
      <c r="F464" s="365">
        <v>0.13972000000000001</v>
      </c>
      <c r="G464" s="365">
        <v>2.9899999999999999E-2</v>
      </c>
      <c r="H464" s="365">
        <v>0.10982</v>
      </c>
      <c r="K464" s="366">
        <v>41695</v>
      </c>
      <c r="L464" s="367">
        <v>1.154E-2</v>
      </c>
      <c r="M464" s="367">
        <v>0.12575</v>
      </c>
      <c r="N464" s="367">
        <v>0.12972</v>
      </c>
      <c r="O464" s="367">
        <v>0.12883</v>
      </c>
      <c r="P464" s="367">
        <v>3.499E-2</v>
      </c>
      <c r="Q464" s="367">
        <v>9.3840000000000007E-2</v>
      </c>
    </row>
    <row r="465" spans="2:17" x14ac:dyDescent="0.3">
      <c r="B465" s="365" t="s">
        <v>644</v>
      </c>
      <c r="C465" s="365">
        <v>1.3050000000000001E-2</v>
      </c>
      <c r="D465" s="365">
        <v>0.14906</v>
      </c>
      <c r="E465" s="365">
        <v>0.14990000000000001</v>
      </c>
      <c r="F465" s="365">
        <v>0.14001</v>
      </c>
      <c r="G465" s="365">
        <v>2.98E-2</v>
      </c>
      <c r="H465" s="365">
        <v>0.11021</v>
      </c>
      <c r="K465" s="366">
        <v>41694</v>
      </c>
      <c r="L465" s="367">
        <v>1.1639999999999999E-2</v>
      </c>
      <c r="M465" s="367">
        <v>0.12424</v>
      </c>
      <c r="N465" s="367">
        <v>0.13006000000000001</v>
      </c>
      <c r="O465" s="367">
        <v>0.12973999999999999</v>
      </c>
      <c r="P465" s="367">
        <v>3.5130000000000002E-2</v>
      </c>
      <c r="Q465" s="367">
        <v>9.461E-2</v>
      </c>
    </row>
    <row r="466" spans="2:17" x14ac:dyDescent="0.3">
      <c r="B466" s="365" t="s">
        <v>645</v>
      </c>
      <c r="C466" s="365">
        <v>1.315E-2</v>
      </c>
      <c r="D466" s="365">
        <v>0.14912</v>
      </c>
      <c r="E466" s="365">
        <v>0.14849999999999999</v>
      </c>
      <c r="F466" s="365">
        <v>0.14077999999999999</v>
      </c>
      <c r="G466" s="365">
        <v>2.9600000000000001E-2</v>
      </c>
      <c r="H466" s="365">
        <v>0.11118</v>
      </c>
      <c r="K466" s="366">
        <v>41691</v>
      </c>
      <c r="L466" s="367">
        <v>1.159E-2</v>
      </c>
      <c r="M466" s="367">
        <v>0.12512999999999999</v>
      </c>
      <c r="N466" s="367">
        <v>0.13128999999999999</v>
      </c>
      <c r="O466" s="367">
        <v>0.129</v>
      </c>
      <c r="P466" s="367">
        <v>3.5299999999999998E-2</v>
      </c>
      <c r="Q466" s="367">
        <v>9.3700000000000006E-2</v>
      </c>
    </row>
    <row r="467" spans="2:17" x14ac:dyDescent="0.3">
      <c r="B467" s="365" t="s">
        <v>646</v>
      </c>
      <c r="C467" s="365">
        <v>1.3089999999999999E-2</v>
      </c>
      <c r="D467" s="365">
        <v>0.15057999999999999</v>
      </c>
      <c r="E467" s="365">
        <v>0.14843999999999999</v>
      </c>
      <c r="F467" s="365">
        <v>0.14376</v>
      </c>
      <c r="G467" s="365">
        <v>2.9700000000000001E-2</v>
      </c>
      <c r="H467" s="365">
        <v>0.11405999999999999</v>
      </c>
      <c r="K467" s="366">
        <v>41690</v>
      </c>
      <c r="L467" s="367">
        <v>1.176E-2</v>
      </c>
      <c r="M467" s="367">
        <v>0.12714</v>
      </c>
      <c r="N467" s="367">
        <v>0.13097</v>
      </c>
      <c r="O467" s="367">
        <v>0.13022</v>
      </c>
      <c r="P467" s="367">
        <v>3.4950000000000002E-2</v>
      </c>
      <c r="Q467" s="367">
        <v>9.5269999999999994E-2</v>
      </c>
    </row>
    <row r="468" spans="2:17" x14ac:dyDescent="0.3">
      <c r="B468" s="365" t="s">
        <v>647</v>
      </c>
      <c r="C468" s="365">
        <v>1.269E-2</v>
      </c>
      <c r="D468" s="365">
        <v>0.16891999999999999</v>
      </c>
      <c r="E468" s="365">
        <v>0.14840999999999999</v>
      </c>
      <c r="F468" s="365">
        <v>0.14931</v>
      </c>
      <c r="G468" s="365">
        <v>2.9700000000000001E-2</v>
      </c>
      <c r="H468" s="365">
        <v>0.11960999999999999</v>
      </c>
      <c r="K468" s="366">
        <v>41689</v>
      </c>
      <c r="L468" s="367">
        <v>1.162E-2</v>
      </c>
      <c r="M468" s="367">
        <v>0.12684999999999999</v>
      </c>
      <c r="N468" s="367">
        <v>0.13099</v>
      </c>
      <c r="O468" s="367">
        <v>0.12964000000000001</v>
      </c>
      <c r="P468" s="367">
        <v>3.4979999999999997E-2</v>
      </c>
      <c r="Q468" s="367">
        <v>9.4659999999999994E-2</v>
      </c>
    </row>
    <row r="469" spans="2:17" x14ac:dyDescent="0.3">
      <c r="B469" s="365" t="s">
        <v>648</v>
      </c>
      <c r="C469" s="365">
        <v>1.274E-2</v>
      </c>
      <c r="D469" s="365">
        <v>0.16508</v>
      </c>
      <c r="E469" s="365">
        <v>0.14843000000000001</v>
      </c>
      <c r="F469" s="365">
        <v>0.14762</v>
      </c>
      <c r="G469" s="365">
        <v>2.9600000000000001E-2</v>
      </c>
      <c r="H469" s="365">
        <v>0.11802</v>
      </c>
      <c r="K469" s="366">
        <v>41688</v>
      </c>
      <c r="L469" s="367">
        <v>1.159E-2</v>
      </c>
      <c r="M469" s="367">
        <v>0.12431</v>
      </c>
      <c r="N469" s="367">
        <v>0.13103999999999999</v>
      </c>
      <c r="O469" s="367">
        <v>0.12988</v>
      </c>
      <c r="P469" s="367">
        <v>3.524E-2</v>
      </c>
      <c r="Q469" s="367">
        <v>9.4640000000000002E-2</v>
      </c>
    </row>
    <row r="470" spans="2:17" x14ac:dyDescent="0.3">
      <c r="B470" s="365" t="s">
        <v>649</v>
      </c>
      <c r="C470" s="365">
        <v>1.268E-2</v>
      </c>
      <c r="D470" s="365">
        <v>0.16528000000000001</v>
      </c>
      <c r="E470" s="365">
        <v>0.14835000000000001</v>
      </c>
      <c r="F470" s="365">
        <v>0.14752999999999999</v>
      </c>
      <c r="G470" s="365">
        <v>2.98E-2</v>
      </c>
      <c r="H470" s="365">
        <v>0.11773</v>
      </c>
      <c r="K470" s="366">
        <v>41687</v>
      </c>
      <c r="L470" s="367">
        <v>1.1610000000000001E-2</v>
      </c>
      <c r="M470" s="367">
        <v>0.12678</v>
      </c>
      <c r="N470" s="367">
        <v>0.13188</v>
      </c>
      <c r="O470" s="367">
        <v>0.13016</v>
      </c>
      <c r="P470" s="367">
        <v>3.5000000000000003E-2</v>
      </c>
      <c r="Q470" s="367">
        <v>9.5159999999999995E-2</v>
      </c>
    </row>
    <row r="471" spans="2:17" x14ac:dyDescent="0.3">
      <c r="B471" s="365" t="s">
        <v>650</v>
      </c>
      <c r="C471" s="365">
        <v>1.2659999999999999E-2</v>
      </c>
      <c r="D471" s="365">
        <v>0.16475999999999999</v>
      </c>
      <c r="E471" s="365">
        <v>0.15695999999999999</v>
      </c>
      <c r="F471" s="365">
        <v>0.14748</v>
      </c>
      <c r="G471" s="365">
        <v>2.98E-2</v>
      </c>
      <c r="H471" s="365">
        <v>0.11768000000000001</v>
      </c>
      <c r="K471" s="366">
        <v>41684</v>
      </c>
      <c r="L471" s="367">
        <v>1.167E-2</v>
      </c>
      <c r="M471" s="367">
        <v>0.11944</v>
      </c>
      <c r="N471" s="367">
        <v>0.13047</v>
      </c>
      <c r="O471" s="367">
        <v>0.12814</v>
      </c>
      <c r="P471" s="367">
        <v>3.4819999999999997E-2</v>
      </c>
      <c r="Q471" s="367">
        <v>9.332E-2</v>
      </c>
    </row>
    <row r="472" spans="2:17" x14ac:dyDescent="0.3">
      <c r="B472" s="365" t="s">
        <v>651</v>
      </c>
      <c r="C472" s="365">
        <v>1.2579999999999999E-2</v>
      </c>
      <c r="D472" s="365">
        <v>0.16589000000000001</v>
      </c>
      <c r="E472" s="365">
        <v>0.15706000000000001</v>
      </c>
      <c r="F472" s="365">
        <v>0.14857999999999999</v>
      </c>
      <c r="G472" s="365">
        <v>2.9600000000000001E-2</v>
      </c>
      <c r="H472" s="365">
        <v>0.11898</v>
      </c>
      <c r="K472" s="366">
        <v>41683</v>
      </c>
      <c r="L472" s="367">
        <v>1.17E-2</v>
      </c>
      <c r="M472" s="367">
        <v>0.11953</v>
      </c>
      <c r="N472" s="367">
        <v>0.12998999999999999</v>
      </c>
      <c r="O472" s="367">
        <v>0.12823000000000001</v>
      </c>
      <c r="P472" s="367">
        <v>3.492E-2</v>
      </c>
      <c r="Q472" s="367">
        <v>9.3310000000000004E-2</v>
      </c>
    </row>
    <row r="473" spans="2:17" x14ac:dyDescent="0.3">
      <c r="B473" s="365" t="s">
        <v>652</v>
      </c>
      <c r="C473" s="365">
        <v>1.242E-2</v>
      </c>
      <c r="D473" s="365">
        <v>0.17227999999999999</v>
      </c>
      <c r="E473" s="365">
        <v>0.15690999999999999</v>
      </c>
      <c r="F473" s="365">
        <v>0.15081</v>
      </c>
      <c r="G473" s="365">
        <v>2.9899999999999999E-2</v>
      </c>
      <c r="H473" s="365">
        <v>0.12091</v>
      </c>
      <c r="K473" s="366">
        <v>41682</v>
      </c>
      <c r="L473" s="367">
        <v>1.1599999999999999E-2</v>
      </c>
      <c r="M473" s="367">
        <v>0.11905</v>
      </c>
      <c r="N473" s="367">
        <v>0.12870000000000001</v>
      </c>
      <c r="O473" s="367">
        <v>0.12828000000000001</v>
      </c>
      <c r="P473" s="367">
        <v>3.5299999999999998E-2</v>
      </c>
      <c r="Q473" s="367">
        <v>9.2979999999999993E-2</v>
      </c>
    </row>
    <row r="474" spans="2:17" x14ac:dyDescent="0.3">
      <c r="B474" s="365" t="s">
        <v>653</v>
      </c>
      <c r="C474" s="365">
        <v>1.248E-2</v>
      </c>
      <c r="D474" s="365">
        <v>0.17165</v>
      </c>
      <c r="E474" s="365">
        <v>0.15719</v>
      </c>
      <c r="F474" s="365">
        <v>0.15090999999999999</v>
      </c>
      <c r="G474" s="365">
        <v>2.9899999999999999E-2</v>
      </c>
      <c r="H474" s="365">
        <v>0.12101000000000001</v>
      </c>
      <c r="K474" s="366">
        <v>41681</v>
      </c>
      <c r="L474" s="367">
        <v>1.1599999999999999E-2</v>
      </c>
      <c r="M474" s="367">
        <v>0.12078999999999999</v>
      </c>
      <c r="N474" s="367">
        <v>0.13119</v>
      </c>
      <c r="O474" s="367">
        <v>0.12852</v>
      </c>
      <c r="P474" s="367">
        <v>3.5299999999999998E-2</v>
      </c>
      <c r="Q474" s="367">
        <v>9.3219999999999997E-2</v>
      </c>
    </row>
    <row r="475" spans="2:17" x14ac:dyDescent="0.3">
      <c r="B475" s="365" t="s">
        <v>654</v>
      </c>
      <c r="C475" s="365">
        <v>1.261E-2</v>
      </c>
      <c r="D475" s="365">
        <v>0.17229</v>
      </c>
      <c r="E475" s="365">
        <v>0.15754000000000001</v>
      </c>
      <c r="F475" s="365">
        <v>0.15168000000000001</v>
      </c>
      <c r="G475" s="365">
        <v>2.9899999999999999E-2</v>
      </c>
      <c r="H475" s="365">
        <v>0.12178</v>
      </c>
      <c r="K475" s="366">
        <v>41680</v>
      </c>
      <c r="L475" s="367">
        <v>1.1599999999999999E-2</v>
      </c>
      <c r="M475" s="367">
        <v>0.11824</v>
      </c>
      <c r="N475" s="367">
        <v>0.13091</v>
      </c>
      <c r="O475" s="367">
        <v>0.12801000000000001</v>
      </c>
      <c r="P475" s="367">
        <v>3.5450000000000002E-2</v>
      </c>
      <c r="Q475" s="367">
        <v>9.2560000000000003E-2</v>
      </c>
    </row>
    <row r="476" spans="2:17" x14ac:dyDescent="0.3">
      <c r="B476" s="365" t="s">
        <v>655</v>
      </c>
      <c r="C476" s="365">
        <v>1.2529999999999999E-2</v>
      </c>
      <c r="D476" s="365">
        <v>0.17330000000000001</v>
      </c>
      <c r="E476" s="365">
        <v>0.15740999999999999</v>
      </c>
      <c r="F476" s="365">
        <v>0.15207000000000001</v>
      </c>
      <c r="G476" s="365">
        <v>2.9700000000000001E-2</v>
      </c>
      <c r="H476" s="365">
        <v>0.12237000000000001</v>
      </c>
      <c r="K476" s="366">
        <v>41677</v>
      </c>
      <c r="L476" s="367">
        <v>1.1650000000000001E-2</v>
      </c>
      <c r="M476" s="367">
        <v>0.11916</v>
      </c>
      <c r="N476" s="367">
        <v>0.13149</v>
      </c>
      <c r="O476" s="367">
        <v>0.12909000000000001</v>
      </c>
      <c r="P476" s="367">
        <v>3.567E-2</v>
      </c>
      <c r="Q476" s="367">
        <v>9.3420000000000003E-2</v>
      </c>
    </row>
    <row r="477" spans="2:17" x14ac:dyDescent="0.3">
      <c r="B477" s="365" t="s">
        <v>656</v>
      </c>
      <c r="C477" s="365">
        <v>1.2670000000000001E-2</v>
      </c>
      <c r="D477" s="365">
        <v>0.17312</v>
      </c>
      <c r="E477" s="365">
        <v>0.15694</v>
      </c>
      <c r="F477" s="365">
        <v>0.15221000000000001</v>
      </c>
      <c r="G477" s="365">
        <v>2.9600000000000001E-2</v>
      </c>
      <c r="H477" s="365">
        <v>0.12261</v>
      </c>
      <c r="K477" s="366">
        <v>41676</v>
      </c>
      <c r="L477" s="367">
        <v>1.108E-2</v>
      </c>
      <c r="M477" s="367">
        <v>0.11885</v>
      </c>
      <c r="N477" s="367">
        <v>0.13141</v>
      </c>
      <c r="O477" s="367">
        <v>0.12967999999999999</v>
      </c>
      <c r="P477" s="367">
        <v>3.5400000000000001E-2</v>
      </c>
      <c r="Q477" s="367">
        <v>9.4280000000000003E-2</v>
      </c>
    </row>
    <row r="478" spans="2:17" x14ac:dyDescent="0.3">
      <c r="B478" s="365" t="s">
        <v>657</v>
      </c>
      <c r="C478" s="365">
        <v>1.257E-2</v>
      </c>
      <c r="D478" s="365">
        <v>0.17091000000000001</v>
      </c>
      <c r="E478" s="365">
        <v>0.15681</v>
      </c>
      <c r="F478" s="365">
        <v>0.15118999999999999</v>
      </c>
      <c r="G478" s="365">
        <v>2.9600000000000001E-2</v>
      </c>
      <c r="H478" s="365">
        <v>0.12159</v>
      </c>
      <c r="K478" s="366">
        <v>41675</v>
      </c>
      <c r="L478" s="367">
        <v>1.1140000000000001E-2</v>
      </c>
      <c r="M478" s="367">
        <v>0.11461</v>
      </c>
      <c r="N478" s="367">
        <v>0.13117999999999999</v>
      </c>
      <c r="O478" s="367">
        <v>0.12845999999999999</v>
      </c>
      <c r="P478" s="367">
        <v>3.5450000000000002E-2</v>
      </c>
      <c r="Q478" s="367">
        <v>9.3009999999999995E-2</v>
      </c>
    </row>
    <row r="479" spans="2:17" x14ac:dyDescent="0.3">
      <c r="B479" s="365" t="s">
        <v>658</v>
      </c>
      <c r="C479" s="365">
        <v>1.265E-2</v>
      </c>
      <c r="D479" s="365">
        <v>0.17194999999999999</v>
      </c>
      <c r="E479" s="365">
        <v>0.15667</v>
      </c>
      <c r="F479" s="365">
        <v>0.15185999999999999</v>
      </c>
      <c r="G479" s="365">
        <v>2.98E-2</v>
      </c>
      <c r="H479" s="365">
        <v>0.12206</v>
      </c>
      <c r="K479" s="366">
        <v>41674</v>
      </c>
      <c r="L479" s="367">
        <v>1.116E-2</v>
      </c>
      <c r="M479" s="367">
        <v>0.11230999999999999</v>
      </c>
      <c r="N479" s="367">
        <v>0.13119</v>
      </c>
      <c r="O479" s="367">
        <v>0.12950999999999999</v>
      </c>
      <c r="P479" s="367">
        <v>3.5439999999999999E-2</v>
      </c>
      <c r="Q479" s="367">
        <v>9.4070000000000001E-2</v>
      </c>
    </row>
    <row r="480" spans="2:17" x14ac:dyDescent="0.3">
      <c r="B480" s="365" t="s">
        <v>659</v>
      </c>
      <c r="C480" s="365">
        <v>1.269E-2</v>
      </c>
      <c r="D480" s="365">
        <v>0.17122000000000001</v>
      </c>
      <c r="E480" s="365">
        <v>0.15670000000000001</v>
      </c>
      <c r="F480" s="365">
        <v>0.15179000000000001</v>
      </c>
      <c r="G480" s="365">
        <v>2.98E-2</v>
      </c>
      <c r="H480" s="365">
        <v>0.12199</v>
      </c>
      <c r="K480" s="366">
        <v>41673</v>
      </c>
      <c r="L480" s="367">
        <v>1.098E-2</v>
      </c>
      <c r="M480" s="367">
        <v>0.12317</v>
      </c>
      <c r="N480" s="367">
        <v>0.13134999999999999</v>
      </c>
      <c r="O480" s="367">
        <v>0.13089000000000001</v>
      </c>
      <c r="P480" s="367">
        <v>3.6069999999999998E-2</v>
      </c>
      <c r="Q480" s="367">
        <v>9.4820000000000002E-2</v>
      </c>
    </row>
    <row r="481" spans="2:17" x14ac:dyDescent="0.3">
      <c r="B481" s="365" t="s">
        <v>660</v>
      </c>
      <c r="C481" s="365">
        <v>1.268E-2</v>
      </c>
      <c r="D481" s="365">
        <v>0.17262</v>
      </c>
      <c r="E481" s="365">
        <v>0.15587000000000001</v>
      </c>
      <c r="F481" s="365">
        <v>0.15198</v>
      </c>
      <c r="G481" s="365">
        <v>2.98E-2</v>
      </c>
      <c r="H481" s="365">
        <v>0.12218</v>
      </c>
      <c r="K481" s="366">
        <v>41668</v>
      </c>
      <c r="L481" s="367">
        <v>1.205E-2</v>
      </c>
      <c r="M481" s="367">
        <v>0.11959</v>
      </c>
      <c r="N481" s="367">
        <v>0.13092999999999999</v>
      </c>
      <c r="O481" s="367">
        <v>0.12870000000000001</v>
      </c>
      <c r="P481" s="367">
        <v>3.6150000000000002E-2</v>
      </c>
      <c r="Q481" s="367">
        <v>9.2549999999999993E-2</v>
      </c>
    </row>
    <row r="482" spans="2:17" x14ac:dyDescent="0.3">
      <c r="B482" s="365" t="s">
        <v>661</v>
      </c>
      <c r="C482" s="365">
        <v>1.2460000000000001E-2</v>
      </c>
      <c r="D482" s="365">
        <v>0.16414999999999999</v>
      </c>
      <c r="E482" s="365">
        <v>0.15573999999999999</v>
      </c>
      <c r="F482" s="365">
        <v>0.14680000000000001</v>
      </c>
      <c r="G482" s="365">
        <v>3.0099999999999998E-2</v>
      </c>
      <c r="H482" s="365">
        <v>0.1167</v>
      </c>
      <c r="K482" s="366">
        <v>41667</v>
      </c>
      <c r="L482" s="367">
        <v>1.218E-2</v>
      </c>
      <c r="M482" s="367">
        <v>0.11975</v>
      </c>
      <c r="N482" s="367">
        <v>0.13028999999999999</v>
      </c>
      <c r="O482" s="367">
        <v>0.12939999999999999</v>
      </c>
      <c r="P482" s="367">
        <v>3.6020000000000003E-2</v>
      </c>
      <c r="Q482" s="367">
        <v>9.3380000000000005E-2</v>
      </c>
    </row>
    <row r="483" spans="2:17" x14ac:dyDescent="0.3">
      <c r="B483" s="365" t="s">
        <v>662</v>
      </c>
      <c r="C483" s="365">
        <v>1.252E-2</v>
      </c>
      <c r="D483" s="365">
        <v>0.16486000000000001</v>
      </c>
      <c r="E483" s="365">
        <v>0.15490999999999999</v>
      </c>
      <c r="F483" s="365">
        <v>0.14727999999999999</v>
      </c>
      <c r="G483" s="365">
        <v>3.0099999999999998E-2</v>
      </c>
      <c r="H483" s="365">
        <v>0.11718000000000001</v>
      </c>
      <c r="K483" s="366">
        <v>41666</v>
      </c>
      <c r="L483" s="367">
        <v>1.2760000000000001E-2</v>
      </c>
      <c r="M483" s="367">
        <v>0.12060999999999999</v>
      </c>
      <c r="N483" s="367">
        <v>0.12998999999999999</v>
      </c>
      <c r="O483" s="367">
        <v>0.12997</v>
      </c>
      <c r="P483" s="367">
        <v>3.6069999999999998E-2</v>
      </c>
      <c r="Q483" s="367">
        <v>9.3899999999999997E-2</v>
      </c>
    </row>
    <row r="484" spans="2:17" x14ac:dyDescent="0.3">
      <c r="B484" s="365" t="s">
        <v>663</v>
      </c>
      <c r="C484" s="365">
        <v>1.243E-2</v>
      </c>
      <c r="D484" s="365">
        <v>0.16044</v>
      </c>
      <c r="E484" s="365">
        <v>0.15473000000000001</v>
      </c>
      <c r="F484" s="365">
        <v>0.14627999999999999</v>
      </c>
      <c r="G484" s="365">
        <v>3.0200000000000001E-2</v>
      </c>
      <c r="H484" s="365">
        <v>0.11608</v>
      </c>
      <c r="K484" s="366">
        <v>41663</v>
      </c>
      <c r="L484" s="367">
        <v>1.26E-2</v>
      </c>
      <c r="M484" s="367">
        <v>0.11538</v>
      </c>
      <c r="N484" s="367">
        <v>0.12881999999999999</v>
      </c>
      <c r="O484" s="367">
        <v>0.12784000000000001</v>
      </c>
      <c r="P484" s="367">
        <v>3.585E-2</v>
      </c>
      <c r="Q484" s="367">
        <v>9.1990000000000002E-2</v>
      </c>
    </row>
    <row r="485" spans="2:17" x14ac:dyDescent="0.3">
      <c r="B485" s="365" t="s">
        <v>664</v>
      </c>
      <c r="C485" s="365">
        <v>1.2319999999999999E-2</v>
      </c>
      <c r="D485" s="365">
        <v>0.16693</v>
      </c>
      <c r="E485" s="365">
        <v>0.15440999999999999</v>
      </c>
      <c r="F485" s="365">
        <v>0.14821999999999999</v>
      </c>
      <c r="G485" s="365">
        <v>3.04E-2</v>
      </c>
      <c r="H485" s="365">
        <v>0.11781999999999999</v>
      </c>
      <c r="K485" s="366">
        <v>41662</v>
      </c>
      <c r="L485" s="367">
        <v>1.158E-2</v>
      </c>
      <c r="M485" s="367">
        <v>0.1158</v>
      </c>
      <c r="N485" s="367">
        <v>0.12856000000000001</v>
      </c>
      <c r="O485" s="367">
        <v>0.12742999999999999</v>
      </c>
      <c r="P485" s="367">
        <v>3.6549999999999999E-2</v>
      </c>
      <c r="Q485" s="367">
        <v>9.0880000000000002E-2</v>
      </c>
    </row>
    <row r="486" spans="2:17" x14ac:dyDescent="0.3">
      <c r="B486" s="365" t="s">
        <v>665</v>
      </c>
      <c r="C486" s="365">
        <v>1.227E-2</v>
      </c>
      <c r="D486" s="365">
        <v>0.16062000000000001</v>
      </c>
      <c r="E486" s="365">
        <v>0.15397</v>
      </c>
      <c r="F486" s="365">
        <v>0.14480999999999999</v>
      </c>
      <c r="G486" s="365">
        <v>3.0200000000000001E-2</v>
      </c>
      <c r="H486" s="365">
        <v>0.11461</v>
      </c>
      <c r="K486" s="366">
        <v>41661</v>
      </c>
      <c r="L486" s="367">
        <v>1.1440000000000001E-2</v>
      </c>
      <c r="M486" s="367">
        <v>0.11430999999999999</v>
      </c>
      <c r="N486" s="367">
        <v>0.12836</v>
      </c>
      <c r="O486" s="367">
        <v>0.12605</v>
      </c>
      <c r="P486" s="367">
        <v>3.6799999999999999E-2</v>
      </c>
      <c r="Q486" s="367">
        <v>8.9249999999999996E-2</v>
      </c>
    </row>
    <row r="487" spans="2:17" x14ac:dyDescent="0.3">
      <c r="B487" s="365" t="s">
        <v>666</v>
      </c>
      <c r="C487" s="365">
        <v>1.2160000000000001E-2</v>
      </c>
      <c r="D487" s="365">
        <v>0.16008</v>
      </c>
      <c r="E487" s="365">
        <v>0.15390000000000001</v>
      </c>
      <c r="F487" s="365">
        <v>0.14430000000000001</v>
      </c>
      <c r="G487" s="365">
        <v>3.0200000000000001E-2</v>
      </c>
      <c r="H487" s="365">
        <v>0.11409999999999999</v>
      </c>
      <c r="K487" s="366">
        <v>41660</v>
      </c>
      <c r="L487" s="367">
        <v>1.1469999999999999E-2</v>
      </c>
      <c r="M487" s="367">
        <v>0.11405</v>
      </c>
      <c r="N487" s="367">
        <v>0.12839</v>
      </c>
      <c r="O487" s="367">
        <v>0.12634000000000001</v>
      </c>
      <c r="P487" s="367">
        <v>3.6650000000000002E-2</v>
      </c>
      <c r="Q487" s="367">
        <v>8.9690000000000006E-2</v>
      </c>
    </row>
    <row r="488" spans="2:17" x14ac:dyDescent="0.3">
      <c r="B488" s="365" t="s">
        <v>667</v>
      </c>
      <c r="C488" s="365">
        <v>1.221E-2</v>
      </c>
      <c r="D488" s="365">
        <v>0.16114000000000001</v>
      </c>
      <c r="E488" s="365">
        <v>0.15372</v>
      </c>
      <c r="F488" s="365">
        <v>0.14469000000000001</v>
      </c>
      <c r="G488" s="365">
        <v>2.98E-2</v>
      </c>
      <c r="H488" s="365">
        <v>0.11489000000000001</v>
      </c>
      <c r="K488" s="366">
        <v>41659</v>
      </c>
      <c r="L488" s="367">
        <v>1.154E-2</v>
      </c>
      <c r="M488" s="367">
        <v>0.11286</v>
      </c>
      <c r="N488" s="367">
        <v>0.12856000000000001</v>
      </c>
      <c r="O488" s="367">
        <v>0.12576000000000001</v>
      </c>
      <c r="P488" s="367">
        <v>3.6499999999999998E-2</v>
      </c>
      <c r="Q488" s="367">
        <v>8.9260000000000006E-2</v>
      </c>
    </row>
    <row r="489" spans="2:17" x14ac:dyDescent="0.3">
      <c r="B489" s="365" t="s">
        <v>668</v>
      </c>
      <c r="C489" s="365">
        <v>1.2290000000000001E-2</v>
      </c>
      <c r="D489" s="365">
        <v>0.16012000000000001</v>
      </c>
      <c r="E489" s="365">
        <v>0.15343999999999999</v>
      </c>
      <c r="F489" s="365">
        <v>0.14534</v>
      </c>
      <c r="G489" s="365">
        <v>2.9600000000000001E-2</v>
      </c>
      <c r="H489" s="365">
        <v>0.11574</v>
      </c>
      <c r="K489" s="366">
        <v>41656</v>
      </c>
      <c r="L489" s="367">
        <v>1.1599999999999999E-2</v>
      </c>
      <c r="M489" s="367">
        <v>0.12207</v>
      </c>
      <c r="N489" s="367">
        <v>0.1285</v>
      </c>
      <c r="O489" s="367">
        <v>0.13036</v>
      </c>
      <c r="P489" s="367">
        <v>3.6499999999999998E-2</v>
      </c>
      <c r="Q489" s="367">
        <v>9.3859999999999999E-2</v>
      </c>
    </row>
    <row r="490" spans="2:17" x14ac:dyDescent="0.3">
      <c r="B490" s="365" t="s">
        <v>669</v>
      </c>
      <c r="C490" s="365">
        <v>1.234E-2</v>
      </c>
      <c r="D490" s="365">
        <v>0.16550000000000001</v>
      </c>
      <c r="E490" s="365">
        <v>0.15298</v>
      </c>
      <c r="F490" s="365">
        <v>0.14684</v>
      </c>
      <c r="G490" s="365">
        <v>2.9399999999999999E-2</v>
      </c>
      <c r="H490" s="365">
        <v>0.11744</v>
      </c>
      <c r="K490" s="366">
        <v>41655</v>
      </c>
      <c r="L490" s="367">
        <v>1.1599999999999999E-2</v>
      </c>
      <c r="M490" s="367">
        <v>0.12454999999999999</v>
      </c>
      <c r="N490" s="367">
        <v>0.12870999999999999</v>
      </c>
      <c r="O490" s="367">
        <v>0.13156999999999999</v>
      </c>
      <c r="P490" s="367">
        <v>3.6450000000000003E-2</v>
      </c>
      <c r="Q490" s="367">
        <v>9.5119999999999996E-2</v>
      </c>
    </row>
    <row r="491" spans="2:17" x14ac:dyDescent="0.3">
      <c r="B491" s="365" t="s">
        <v>670</v>
      </c>
      <c r="C491" s="365">
        <v>1.234E-2</v>
      </c>
      <c r="D491" s="365">
        <v>0.15672</v>
      </c>
      <c r="E491" s="365">
        <v>0.1525</v>
      </c>
      <c r="F491" s="365">
        <v>0.14327999999999999</v>
      </c>
      <c r="G491" s="365">
        <v>2.9499999999999998E-2</v>
      </c>
      <c r="H491" s="365">
        <v>0.11378000000000001</v>
      </c>
      <c r="K491" s="366">
        <v>41654</v>
      </c>
      <c r="L491" s="367">
        <v>1.162E-2</v>
      </c>
      <c r="M491" s="367">
        <v>0.12375</v>
      </c>
      <c r="N491" s="367">
        <v>0.1285</v>
      </c>
      <c r="O491" s="367">
        <v>0.13153000000000001</v>
      </c>
      <c r="P491" s="367">
        <v>3.6650000000000002E-2</v>
      </c>
      <c r="Q491" s="367">
        <v>9.4880000000000006E-2</v>
      </c>
    </row>
    <row r="492" spans="2:17" x14ac:dyDescent="0.3">
      <c r="B492" s="365" t="s">
        <v>671</v>
      </c>
      <c r="C492" s="365">
        <v>1.2330000000000001E-2</v>
      </c>
      <c r="D492" s="365">
        <v>0.15678</v>
      </c>
      <c r="E492" s="365">
        <v>0.15243999999999999</v>
      </c>
      <c r="F492" s="365">
        <v>0.14344999999999999</v>
      </c>
      <c r="G492" s="365">
        <v>2.92E-2</v>
      </c>
      <c r="H492" s="365">
        <v>0.11425</v>
      </c>
      <c r="K492" s="366">
        <v>41653</v>
      </c>
      <c r="L492" s="367">
        <v>1.163E-2</v>
      </c>
      <c r="M492" s="367">
        <v>0.12492</v>
      </c>
      <c r="N492" s="367">
        <v>0.12758</v>
      </c>
      <c r="O492" s="367">
        <v>0.13247</v>
      </c>
      <c r="P492" s="367">
        <v>3.6450000000000003E-2</v>
      </c>
      <c r="Q492" s="367">
        <v>9.6019999999999994E-2</v>
      </c>
    </row>
    <row r="493" spans="2:17" x14ac:dyDescent="0.3">
      <c r="B493" s="365" t="s">
        <v>672</v>
      </c>
      <c r="C493" s="365">
        <v>1.223E-2</v>
      </c>
      <c r="D493" s="365">
        <v>0.15784000000000001</v>
      </c>
      <c r="E493" s="365">
        <v>0.15237000000000001</v>
      </c>
      <c r="F493" s="365">
        <v>0.14368</v>
      </c>
      <c r="G493" s="365">
        <v>2.9100000000000001E-2</v>
      </c>
      <c r="H493" s="365">
        <v>0.11458</v>
      </c>
      <c r="K493" s="366">
        <v>41652</v>
      </c>
      <c r="L493" s="367">
        <v>1.1610000000000001E-2</v>
      </c>
      <c r="M493" s="367">
        <v>0.12529999999999999</v>
      </c>
      <c r="N493" s="367">
        <v>0.12709999999999999</v>
      </c>
      <c r="O493" s="367">
        <v>0.13256000000000001</v>
      </c>
      <c r="P493" s="367">
        <v>3.6269999999999997E-2</v>
      </c>
      <c r="Q493" s="367">
        <v>9.6290000000000001E-2</v>
      </c>
    </row>
    <row r="494" spans="2:17" x14ac:dyDescent="0.3">
      <c r="B494" s="365" t="s">
        <v>673</v>
      </c>
      <c r="C494" s="365">
        <v>1.2019999999999999E-2</v>
      </c>
      <c r="D494" s="365">
        <v>0.1605</v>
      </c>
      <c r="E494" s="365">
        <v>0.15254999999999999</v>
      </c>
      <c r="F494" s="365">
        <v>0.14382</v>
      </c>
      <c r="G494" s="365">
        <v>2.9600000000000001E-2</v>
      </c>
      <c r="H494" s="365">
        <v>0.11422</v>
      </c>
      <c r="K494" s="366">
        <v>41649</v>
      </c>
      <c r="L494" s="367">
        <v>1.176E-2</v>
      </c>
      <c r="M494" s="367">
        <v>0.13255</v>
      </c>
      <c r="N494" s="367">
        <v>0.12608</v>
      </c>
      <c r="O494" s="367">
        <v>0.13386000000000001</v>
      </c>
      <c r="P494" s="367">
        <v>3.6519999999999997E-2</v>
      </c>
      <c r="Q494" s="367">
        <v>9.7339999999999996E-2</v>
      </c>
    </row>
    <row r="495" spans="2:17" x14ac:dyDescent="0.3">
      <c r="B495" s="365" t="s">
        <v>674</v>
      </c>
      <c r="C495" s="365">
        <v>1.201E-2</v>
      </c>
      <c r="D495" s="365">
        <v>0.16141</v>
      </c>
      <c r="E495" s="365">
        <v>0.15261</v>
      </c>
      <c r="F495" s="365">
        <v>0.14294999999999999</v>
      </c>
      <c r="G495" s="365">
        <v>2.9600000000000001E-2</v>
      </c>
      <c r="H495" s="365">
        <v>0.11335000000000001</v>
      </c>
      <c r="K495" s="366">
        <v>41648</v>
      </c>
      <c r="L495" s="367">
        <v>1.17E-2</v>
      </c>
      <c r="M495" s="367">
        <v>0.13285</v>
      </c>
      <c r="N495" s="367">
        <v>0.12581999999999999</v>
      </c>
      <c r="O495" s="367">
        <v>0.13356999999999999</v>
      </c>
      <c r="P495" s="367">
        <v>3.6740000000000002E-2</v>
      </c>
      <c r="Q495" s="367">
        <v>9.6829999999999999E-2</v>
      </c>
    </row>
    <row r="496" spans="2:17" x14ac:dyDescent="0.3">
      <c r="B496" s="365" t="s">
        <v>675</v>
      </c>
      <c r="C496" s="365">
        <v>1.214E-2</v>
      </c>
      <c r="D496" s="365">
        <v>0.13780000000000001</v>
      </c>
      <c r="E496" s="365">
        <v>0.15337000000000001</v>
      </c>
      <c r="F496" s="365">
        <v>0.13070999999999999</v>
      </c>
      <c r="G496" s="365">
        <v>2.9499999999999998E-2</v>
      </c>
      <c r="H496" s="365">
        <v>0.10120999999999999</v>
      </c>
      <c r="K496" s="366">
        <v>41647</v>
      </c>
      <c r="L496" s="367">
        <v>1.157E-2</v>
      </c>
      <c r="M496" s="367">
        <v>0.13289999999999999</v>
      </c>
      <c r="N496" s="367">
        <v>0.12564</v>
      </c>
      <c r="O496" s="367">
        <v>0.13328000000000001</v>
      </c>
      <c r="P496" s="367">
        <v>3.6450000000000003E-2</v>
      </c>
      <c r="Q496" s="367">
        <v>9.6829999999999999E-2</v>
      </c>
    </row>
    <row r="497" spans="2:17" x14ac:dyDescent="0.3">
      <c r="B497" s="365" t="s">
        <v>676</v>
      </c>
      <c r="C497" s="365">
        <v>1.2149999999999999E-2</v>
      </c>
      <c r="D497" s="365">
        <v>0.13704</v>
      </c>
      <c r="E497" s="365">
        <v>0.15342</v>
      </c>
      <c r="F497" s="365">
        <v>0.13070999999999999</v>
      </c>
      <c r="G497" s="365">
        <v>2.9499999999999998E-2</v>
      </c>
      <c r="H497" s="365">
        <v>0.10120999999999999</v>
      </c>
      <c r="K497" s="366">
        <v>41646</v>
      </c>
      <c r="L497" s="367">
        <v>1.1560000000000001E-2</v>
      </c>
      <c r="M497" s="367">
        <v>0.13317000000000001</v>
      </c>
      <c r="N497" s="367">
        <v>0.12512999999999999</v>
      </c>
      <c r="O497" s="367">
        <v>0.13350999999999999</v>
      </c>
      <c r="P497" s="367">
        <v>3.6499999999999998E-2</v>
      </c>
      <c r="Q497" s="367">
        <v>9.7009999999999999E-2</v>
      </c>
    </row>
    <row r="498" spans="2:17" x14ac:dyDescent="0.3">
      <c r="B498" s="365" t="s">
        <v>677</v>
      </c>
      <c r="C498" s="365">
        <v>1.206E-2</v>
      </c>
      <c r="D498" s="365">
        <v>0.13685</v>
      </c>
      <c r="E498" s="365">
        <v>0.15296000000000001</v>
      </c>
      <c r="F498" s="365">
        <v>0.13242999999999999</v>
      </c>
      <c r="G498" s="365">
        <v>2.9700000000000001E-2</v>
      </c>
      <c r="H498" s="365">
        <v>0.10273</v>
      </c>
      <c r="K498" s="366">
        <v>41645</v>
      </c>
      <c r="L498" s="367">
        <v>1.1599999999999999E-2</v>
      </c>
      <c r="M498" s="367">
        <v>0.13228000000000001</v>
      </c>
      <c r="N498" s="367">
        <v>0.12439</v>
      </c>
      <c r="O498" s="367">
        <v>0.13331000000000001</v>
      </c>
      <c r="P498" s="367">
        <v>3.6450000000000003E-2</v>
      </c>
      <c r="Q498" s="367">
        <v>9.6860000000000002E-2</v>
      </c>
    </row>
    <row r="499" spans="2:17" x14ac:dyDescent="0.3">
      <c r="B499" s="376"/>
      <c r="C499" s="377"/>
      <c r="D499" s="377"/>
      <c r="E499" s="377"/>
      <c r="F499" s="377"/>
      <c r="G499" s="377"/>
      <c r="H499" s="377"/>
      <c r="K499" s="376">
        <v>41642</v>
      </c>
      <c r="L499" s="377">
        <v>1.1639999999999999E-2</v>
      </c>
      <c r="M499" s="377">
        <v>0.13216</v>
      </c>
      <c r="N499" s="377">
        <v>0.12422999999999999</v>
      </c>
      <c r="O499" s="377">
        <v>0.1336</v>
      </c>
      <c r="P499" s="377">
        <v>3.6999999999999998E-2</v>
      </c>
      <c r="Q499" s="377">
        <v>9.6600000000000005E-2</v>
      </c>
    </row>
    <row r="500" spans="2:17" x14ac:dyDescent="0.3">
      <c r="K500" s="354">
        <v>41641</v>
      </c>
      <c r="L500" s="354">
        <v>1.1480000000000001E-2</v>
      </c>
      <c r="M500" s="354">
        <v>0.12662999999999999</v>
      </c>
      <c r="N500" s="354">
        <v>0.12408</v>
      </c>
      <c r="O500" s="354">
        <v>0.1331</v>
      </c>
      <c r="P500" s="354">
        <v>3.6799999999999999E-2</v>
      </c>
      <c r="Q500" s="354">
        <v>9.6299999999999997E-2</v>
      </c>
    </row>
    <row r="501" spans="2:17" x14ac:dyDescent="0.3">
      <c r="K501" s="354">
        <v>41638</v>
      </c>
      <c r="L501" s="354">
        <v>1.1270000000000001E-2</v>
      </c>
      <c r="M501" s="354">
        <v>0.14956</v>
      </c>
      <c r="N501" s="354">
        <v>0.13533000000000001</v>
      </c>
      <c r="O501" s="354">
        <v>0.13413</v>
      </c>
      <c r="P501" s="354">
        <v>3.585E-2</v>
      </c>
      <c r="Q501" s="354">
        <v>9.8280000000000006E-2</v>
      </c>
    </row>
    <row r="502" spans="2:17" x14ac:dyDescent="0.3">
      <c r="K502" s="354">
        <v>41635</v>
      </c>
      <c r="L502" s="354">
        <v>1.132E-2</v>
      </c>
      <c r="M502" s="354">
        <v>0.14865</v>
      </c>
      <c r="N502" s="354">
        <v>0.13500000000000001</v>
      </c>
      <c r="O502" s="354">
        <v>0.13417999999999999</v>
      </c>
      <c r="P502" s="354">
        <v>3.5499999999999997E-2</v>
      </c>
      <c r="Q502" s="354">
        <v>9.8680000000000004E-2</v>
      </c>
    </row>
    <row r="503" spans="2:17" x14ac:dyDescent="0.3">
      <c r="K503" s="354">
        <v>41634</v>
      </c>
      <c r="L503" s="354">
        <v>1.1350000000000001E-2</v>
      </c>
      <c r="M503" s="354">
        <v>0.14792</v>
      </c>
      <c r="N503" s="354">
        <v>0.13492999999999999</v>
      </c>
      <c r="O503" s="354">
        <v>0.13383999999999999</v>
      </c>
      <c r="P503" s="354">
        <v>3.5749999999999997E-2</v>
      </c>
      <c r="Q503" s="354">
        <v>9.8089999999999997E-2</v>
      </c>
    </row>
    <row r="504" spans="2:17" x14ac:dyDescent="0.3">
      <c r="K504" s="354">
        <v>41632</v>
      </c>
      <c r="L504" s="354">
        <v>1.133E-2</v>
      </c>
      <c r="M504" s="354">
        <v>0.14717</v>
      </c>
      <c r="N504" s="354">
        <v>0.13491</v>
      </c>
      <c r="O504" s="354">
        <v>0.13325000000000001</v>
      </c>
      <c r="P504" s="354">
        <v>3.5650000000000001E-2</v>
      </c>
      <c r="Q504" s="354">
        <v>9.7600000000000006E-2</v>
      </c>
    </row>
    <row r="505" spans="2:17" x14ac:dyDescent="0.3">
      <c r="K505" s="354">
        <v>41631</v>
      </c>
      <c r="L505" s="354">
        <v>1.136E-2</v>
      </c>
      <c r="M505" s="354">
        <v>0.14732000000000001</v>
      </c>
      <c r="N505" s="354">
        <v>0.1351</v>
      </c>
      <c r="O505" s="354">
        <v>0.13341</v>
      </c>
      <c r="P505" s="354">
        <v>3.5799999999999998E-2</v>
      </c>
      <c r="Q505" s="354">
        <v>9.7610000000000002E-2</v>
      </c>
    </row>
    <row r="506" spans="2:17" x14ac:dyDescent="0.3">
      <c r="K506" s="354">
        <v>41628</v>
      </c>
      <c r="L506" s="354">
        <v>1.1440000000000001E-2</v>
      </c>
      <c r="M506" s="354">
        <v>0.14394999999999999</v>
      </c>
      <c r="N506" s="354">
        <v>0.13483999999999999</v>
      </c>
      <c r="O506" s="354">
        <v>0.13242999999999999</v>
      </c>
      <c r="P506" s="354">
        <v>3.6249999999999998E-2</v>
      </c>
      <c r="Q506" s="354">
        <v>9.6180000000000002E-2</v>
      </c>
    </row>
    <row r="507" spans="2:17" x14ac:dyDescent="0.3">
      <c r="K507" s="354">
        <v>41627</v>
      </c>
      <c r="L507" s="354">
        <v>1.149E-2</v>
      </c>
      <c r="M507" s="354">
        <v>0.14384</v>
      </c>
      <c r="N507" s="354">
        <v>0.13469999999999999</v>
      </c>
      <c r="O507" s="354">
        <v>0.13256999999999999</v>
      </c>
      <c r="P507" s="354">
        <v>3.6299999999999999E-2</v>
      </c>
      <c r="Q507" s="354">
        <v>9.6269999999999994E-2</v>
      </c>
    </row>
    <row r="508" spans="2:17" x14ac:dyDescent="0.3">
      <c r="K508" s="354">
        <v>41626</v>
      </c>
      <c r="L508" s="354">
        <v>1.15E-2</v>
      </c>
      <c r="M508" s="354">
        <v>0.14355000000000001</v>
      </c>
      <c r="N508" s="354">
        <v>0.13469999999999999</v>
      </c>
      <c r="O508" s="354">
        <v>0.13249</v>
      </c>
      <c r="P508" s="354">
        <v>3.6200000000000003E-2</v>
      </c>
      <c r="Q508" s="354">
        <v>9.6290000000000001E-2</v>
      </c>
    </row>
    <row r="509" spans="2:17" x14ac:dyDescent="0.3">
      <c r="K509" s="354">
        <v>41625</v>
      </c>
      <c r="L509" s="354">
        <v>1.155E-2</v>
      </c>
      <c r="M509" s="354">
        <v>0.14360000000000001</v>
      </c>
      <c r="N509" s="354">
        <v>0.13457</v>
      </c>
      <c r="O509" s="354">
        <v>0.13261999999999999</v>
      </c>
      <c r="P509" s="354">
        <v>3.6049999999999999E-2</v>
      </c>
      <c r="Q509" s="354">
        <v>9.6570000000000003E-2</v>
      </c>
    </row>
    <row r="510" spans="2:17" x14ac:dyDescent="0.3">
      <c r="K510" s="354">
        <v>41624</v>
      </c>
      <c r="L510" s="354">
        <v>1.158E-2</v>
      </c>
      <c r="M510" s="354">
        <v>0.14188000000000001</v>
      </c>
      <c r="N510" s="354">
        <v>0.13439999999999999</v>
      </c>
      <c r="O510" s="354">
        <v>0.13236999999999999</v>
      </c>
      <c r="P510" s="354">
        <v>3.6299999999999999E-2</v>
      </c>
      <c r="Q510" s="354">
        <v>9.6070000000000003E-2</v>
      </c>
    </row>
    <row r="511" spans="2:17" x14ac:dyDescent="0.3">
      <c r="K511" s="354">
        <v>41621</v>
      </c>
      <c r="L511" s="354">
        <v>1.157E-2</v>
      </c>
      <c r="M511" s="354">
        <v>0.1439</v>
      </c>
      <c r="N511" s="354">
        <v>0.13436999999999999</v>
      </c>
      <c r="O511" s="354">
        <v>0.13358</v>
      </c>
      <c r="P511" s="354">
        <v>3.6799999999999999E-2</v>
      </c>
      <c r="Q511" s="354">
        <v>9.6780000000000005E-2</v>
      </c>
    </row>
    <row r="512" spans="2:17" x14ac:dyDescent="0.3">
      <c r="K512" s="354">
        <v>41620</v>
      </c>
      <c r="L512" s="354">
        <v>1.154E-2</v>
      </c>
      <c r="M512" s="354">
        <v>0.14354</v>
      </c>
      <c r="N512" s="354">
        <v>0.13431000000000001</v>
      </c>
      <c r="O512" s="354">
        <v>0.13338</v>
      </c>
      <c r="P512" s="354">
        <v>3.7100000000000001E-2</v>
      </c>
      <c r="Q512" s="354">
        <v>9.6280000000000004E-2</v>
      </c>
    </row>
    <row r="513" spans="11:17" x14ac:dyDescent="0.3">
      <c r="K513" s="354">
        <v>41619</v>
      </c>
      <c r="L513" s="354">
        <v>1.1480000000000001E-2</v>
      </c>
      <c r="M513" s="354">
        <v>0.14377000000000001</v>
      </c>
      <c r="N513" s="354">
        <v>0.13397000000000001</v>
      </c>
      <c r="O513" s="354">
        <v>0.13317000000000001</v>
      </c>
      <c r="P513" s="354">
        <v>3.7150000000000002E-2</v>
      </c>
      <c r="Q513" s="354">
        <v>9.6019999999999994E-2</v>
      </c>
    </row>
    <row r="514" spans="11:17" x14ac:dyDescent="0.3">
      <c r="K514" s="354">
        <v>41618</v>
      </c>
      <c r="L514" s="354">
        <v>1.1390000000000001E-2</v>
      </c>
      <c r="M514" s="354">
        <v>0.14385999999999999</v>
      </c>
      <c r="N514" s="354">
        <v>0.13389999999999999</v>
      </c>
      <c r="O514" s="354">
        <v>0.13292999999999999</v>
      </c>
      <c r="P514" s="354">
        <v>3.6900000000000002E-2</v>
      </c>
      <c r="Q514" s="354">
        <v>9.6030000000000004E-2</v>
      </c>
    </row>
    <row r="515" spans="11:17" x14ac:dyDescent="0.3">
      <c r="K515" s="354">
        <v>41617</v>
      </c>
      <c r="L515" s="354">
        <v>1.1339999999999999E-2</v>
      </c>
      <c r="M515" s="354">
        <v>0.14346999999999999</v>
      </c>
      <c r="N515" s="354">
        <v>0.13392000000000001</v>
      </c>
      <c r="O515" s="354">
        <v>0.13281999999999999</v>
      </c>
      <c r="P515" s="354">
        <v>3.6799999999999999E-2</v>
      </c>
      <c r="Q515" s="354">
        <v>9.6019999999999994E-2</v>
      </c>
    </row>
    <row r="516" spans="11:17" x14ac:dyDescent="0.3">
      <c r="K516" s="354">
        <v>41614</v>
      </c>
      <c r="L516" s="354">
        <v>1.1469999999999999E-2</v>
      </c>
      <c r="M516" s="354">
        <v>0.14391000000000001</v>
      </c>
      <c r="N516" s="354">
        <v>0.13403000000000001</v>
      </c>
      <c r="O516" s="354">
        <v>0.13336999999999999</v>
      </c>
      <c r="P516" s="354">
        <v>3.73E-2</v>
      </c>
      <c r="Q516" s="354">
        <v>9.6070000000000003E-2</v>
      </c>
    </row>
    <row r="517" spans="11:17" x14ac:dyDescent="0.3">
      <c r="K517" s="354">
        <v>41613</v>
      </c>
      <c r="L517" s="354">
        <v>1.145E-2</v>
      </c>
      <c r="M517" s="354">
        <v>0.14371999999999999</v>
      </c>
      <c r="N517" s="354">
        <v>0.13411999999999999</v>
      </c>
      <c r="O517" s="354">
        <v>0.13317999999999999</v>
      </c>
      <c r="P517" s="354">
        <v>3.7499999999999999E-2</v>
      </c>
      <c r="Q517" s="354">
        <v>9.5680000000000001E-2</v>
      </c>
    </row>
    <row r="518" spans="11:17" x14ac:dyDescent="0.3">
      <c r="K518" s="354">
        <v>41612</v>
      </c>
      <c r="L518" s="354">
        <v>1.1429999999999999E-2</v>
      </c>
      <c r="M518" s="354">
        <v>0.14380000000000001</v>
      </c>
      <c r="N518" s="354">
        <v>0.13358</v>
      </c>
      <c r="O518" s="354">
        <v>0.13291</v>
      </c>
      <c r="P518" s="354">
        <v>3.73E-2</v>
      </c>
      <c r="Q518" s="354">
        <v>9.5610000000000001E-2</v>
      </c>
    </row>
    <row r="519" spans="11:17" x14ac:dyDescent="0.3">
      <c r="K519" s="354">
        <v>41611</v>
      </c>
      <c r="L519" s="354">
        <v>1.1299999999999999E-2</v>
      </c>
      <c r="M519" s="354">
        <v>0.14373</v>
      </c>
      <c r="N519" s="354">
        <v>0.13328000000000001</v>
      </c>
      <c r="O519" s="354">
        <v>0.13235</v>
      </c>
      <c r="P519" s="354">
        <v>3.73E-2</v>
      </c>
      <c r="Q519" s="354">
        <v>9.5049999999999996E-2</v>
      </c>
    </row>
    <row r="520" spans="11:17" x14ac:dyDescent="0.3">
      <c r="K520" s="354">
        <v>41610</v>
      </c>
      <c r="L520" s="354">
        <v>1.1180000000000001E-2</v>
      </c>
      <c r="M520" s="354">
        <v>0.14401</v>
      </c>
      <c r="N520" s="354">
        <v>0.13335</v>
      </c>
      <c r="O520" s="354">
        <v>0.13202</v>
      </c>
      <c r="P520" s="354">
        <v>3.73E-2</v>
      </c>
      <c r="Q520" s="354">
        <v>9.4719999999999999E-2</v>
      </c>
    </row>
    <row r="521" spans="11:17" x14ac:dyDescent="0.3">
      <c r="K521" s="354">
        <v>41607</v>
      </c>
      <c r="L521" s="354">
        <v>1.111E-2</v>
      </c>
      <c r="M521" s="354">
        <v>0.14516000000000001</v>
      </c>
      <c r="N521" s="354">
        <v>0.13333999999999999</v>
      </c>
      <c r="O521" s="354">
        <v>0.13184000000000001</v>
      </c>
      <c r="P521" s="354">
        <v>3.6700000000000003E-2</v>
      </c>
      <c r="Q521" s="354">
        <v>9.5140000000000002E-2</v>
      </c>
    </row>
    <row r="522" spans="11:17" x14ac:dyDescent="0.3">
      <c r="K522" s="354">
        <v>41606</v>
      </c>
      <c r="L522" s="354">
        <v>1.1089999999999999E-2</v>
      </c>
      <c r="M522" s="354">
        <v>0.14235</v>
      </c>
      <c r="N522" s="354">
        <v>0.13322999999999999</v>
      </c>
      <c r="O522" s="354">
        <v>0.13153000000000001</v>
      </c>
      <c r="P522" s="354">
        <v>3.6499999999999998E-2</v>
      </c>
      <c r="Q522" s="354">
        <v>9.5030000000000003E-2</v>
      </c>
    </row>
    <row r="523" spans="11:17" x14ac:dyDescent="0.3">
      <c r="K523" s="354">
        <v>41605</v>
      </c>
      <c r="L523" s="354">
        <v>1.119E-2</v>
      </c>
      <c r="M523" s="354">
        <v>0.14241999999999999</v>
      </c>
      <c r="N523" s="354">
        <v>0.13320000000000001</v>
      </c>
      <c r="O523" s="354">
        <v>0.13195000000000001</v>
      </c>
      <c r="P523" s="354">
        <v>3.6400000000000002E-2</v>
      </c>
      <c r="Q523" s="354">
        <v>9.5549999999999996E-2</v>
      </c>
    </row>
    <row r="524" spans="11:17" x14ac:dyDescent="0.3">
      <c r="K524" s="354">
        <v>41604</v>
      </c>
      <c r="L524" s="354">
        <v>1.123E-2</v>
      </c>
      <c r="M524" s="354">
        <v>0.14124999999999999</v>
      </c>
      <c r="N524" s="354">
        <v>0.13303000000000001</v>
      </c>
      <c r="O524" s="354">
        <v>0.13169</v>
      </c>
      <c r="P524" s="354">
        <v>3.6400000000000002E-2</v>
      </c>
      <c r="Q524" s="354">
        <v>9.529E-2</v>
      </c>
    </row>
    <row r="525" spans="11:17" x14ac:dyDescent="0.3">
      <c r="K525" s="354">
        <v>41603</v>
      </c>
      <c r="L525" s="354">
        <v>1.1270000000000001E-2</v>
      </c>
      <c r="M525" s="354">
        <v>0.14122999999999999</v>
      </c>
      <c r="N525" s="354">
        <v>0.13295999999999999</v>
      </c>
      <c r="O525" s="354">
        <v>0.13153999999999999</v>
      </c>
      <c r="P525" s="354">
        <v>3.6499999999999998E-2</v>
      </c>
      <c r="Q525" s="354">
        <v>9.5039999999999999E-2</v>
      </c>
    </row>
    <row r="526" spans="11:17" x14ac:dyDescent="0.3">
      <c r="K526" s="354">
        <v>41600</v>
      </c>
      <c r="L526" s="354">
        <v>1.1350000000000001E-2</v>
      </c>
      <c r="M526" s="354">
        <v>0.13983999999999999</v>
      </c>
      <c r="N526" s="354">
        <v>0.13161999999999999</v>
      </c>
      <c r="O526" s="354">
        <v>0.13144</v>
      </c>
      <c r="P526" s="354">
        <v>3.6400000000000002E-2</v>
      </c>
      <c r="Q526" s="354">
        <v>9.5039999999999999E-2</v>
      </c>
    </row>
    <row r="527" spans="11:17" x14ac:dyDescent="0.3">
      <c r="K527" s="354">
        <v>41599</v>
      </c>
      <c r="L527" s="354">
        <v>1.1429999999999999E-2</v>
      </c>
      <c r="M527" s="354">
        <v>0.13921</v>
      </c>
      <c r="N527" s="354">
        <v>0.13186</v>
      </c>
      <c r="O527" s="354">
        <v>0.13148000000000001</v>
      </c>
      <c r="P527" s="354">
        <v>3.6799999999999999E-2</v>
      </c>
      <c r="Q527" s="354">
        <v>9.468E-2</v>
      </c>
    </row>
    <row r="528" spans="11:17" x14ac:dyDescent="0.3">
      <c r="K528" s="354">
        <v>41598</v>
      </c>
      <c r="L528" s="354">
        <v>1.129E-2</v>
      </c>
      <c r="M528" s="354">
        <v>0.13897000000000001</v>
      </c>
      <c r="N528" s="354">
        <v>0.13174</v>
      </c>
      <c r="O528" s="354">
        <v>0.13081999999999999</v>
      </c>
      <c r="P528" s="354">
        <v>3.6400000000000002E-2</v>
      </c>
      <c r="Q528" s="354">
        <v>9.4420000000000004E-2</v>
      </c>
    </row>
    <row r="529" spans="11:17" x14ac:dyDescent="0.3">
      <c r="K529" s="354">
        <v>41597</v>
      </c>
      <c r="L529" s="354">
        <v>1.12E-2</v>
      </c>
      <c r="M529" s="354">
        <v>0.13893</v>
      </c>
      <c r="N529" s="354">
        <v>0.13189000000000001</v>
      </c>
      <c r="O529" s="354">
        <v>0.13045000000000001</v>
      </c>
      <c r="P529" s="354">
        <v>3.6299999999999999E-2</v>
      </c>
      <c r="Q529" s="354">
        <v>9.4149999999999998E-2</v>
      </c>
    </row>
    <row r="530" spans="11:17" x14ac:dyDescent="0.3">
      <c r="K530" s="354">
        <v>41596</v>
      </c>
      <c r="L530" s="354">
        <v>1.132E-2</v>
      </c>
      <c r="M530" s="354">
        <v>0.13865</v>
      </c>
      <c r="N530" s="354">
        <v>0.13184999999999999</v>
      </c>
      <c r="O530" s="354">
        <v>0.13050999999999999</v>
      </c>
      <c r="P530" s="354">
        <v>3.5900000000000001E-2</v>
      </c>
      <c r="Q530" s="354">
        <v>9.461E-2</v>
      </c>
    </row>
    <row r="531" spans="11:17" x14ac:dyDescent="0.3">
      <c r="K531" s="354">
        <v>41593</v>
      </c>
      <c r="L531" s="354">
        <v>1.1379999999999999E-2</v>
      </c>
      <c r="M531" s="354">
        <v>0.13733999999999999</v>
      </c>
      <c r="N531" s="354">
        <v>0.13314000000000001</v>
      </c>
      <c r="O531" s="354">
        <v>0.12952</v>
      </c>
      <c r="P531" s="354">
        <v>3.5999999999999997E-2</v>
      </c>
      <c r="Q531" s="354">
        <v>9.3520000000000006E-2</v>
      </c>
    </row>
    <row r="532" spans="11:17" x14ac:dyDescent="0.3">
      <c r="K532" s="354">
        <v>41592</v>
      </c>
      <c r="L532" s="354">
        <v>1.162E-2</v>
      </c>
      <c r="M532" s="354">
        <v>0.13550999999999999</v>
      </c>
      <c r="N532" s="354">
        <v>0.13636000000000001</v>
      </c>
      <c r="O532" s="354">
        <v>0.12963</v>
      </c>
      <c r="P532" s="354">
        <v>3.5799999999999998E-2</v>
      </c>
      <c r="Q532" s="354">
        <v>9.3829999999999997E-2</v>
      </c>
    </row>
    <row r="533" spans="11:17" x14ac:dyDescent="0.3">
      <c r="K533" s="354">
        <v>41591</v>
      </c>
      <c r="L533" s="354">
        <v>1.1639999999999999E-2</v>
      </c>
      <c r="M533" s="354">
        <v>0.13613</v>
      </c>
      <c r="N533" s="354">
        <v>0.13622999999999999</v>
      </c>
      <c r="O533" s="354">
        <v>0.12995999999999999</v>
      </c>
      <c r="P533" s="354">
        <v>3.56E-2</v>
      </c>
      <c r="Q533" s="354">
        <v>9.4359999999999999E-2</v>
      </c>
    </row>
    <row r="534" spans="11:17" x14ac:dyDescent="0.3">
      <c r="K534" s="354">
        <v>41590</v>
      </c>
      <c r="L534" s="354">
        <v>1.145E-2</v>
      </c>
      <c r="M534" s="354">
        <v>0.13567000000000001</v>
      </c>
      <c r="N534" s="354">
        <v>0.13700999999999999</v>
      </c>
      <c r="O534" s="354">
        <v>0.12984000000000001</v>
      </c>
      <c r="P534" s="354">
        <v>3.5900000000000001E-2</v>
      </c>
      <c r="Q534" s="354">
        <v>9.3939999999999996E-2</v>
      </c>
    </row>
    <row r="535" spans="11:17" x14ac:dyDescent="0.3">
      <c r="K535" s="354">
        <v>41589</v>
      </c>
      <c r="L535" s="354">
        <v>1.154E-2</v>
      </c>
      <c r="M535" s="354">
        <v>0.13397999999999999</v>
      </c>
      <c r="N535" s="354">
        <v>0.13778000000000001</v>
      </c>
      <c r="O535" s="354">
        <v>0.13250999999999999</v>
      </c>
      <c r="P535" s="354">
        <v>3.5799999999999998E-2</v>
      </c>
      <c r="Q535" s="354">
        <v>9.6710000000000004E-2</v>
      </c>
    </row>
    <row r="536" spans="11:17" x14ac:dyDescent="0.3">
      <c r="K536" s="354">
        <v>41586</v>
      </c>
      <c r="L536" s="354">
        <v>1.1429999999999999E-2</v>
      </c>
      <c r="M536" s="354">
        <v>0.13428000000000001</v>
      </c>
      <c r="N536" s="354">
        <v>0.14112</v>
      </c>
      <c r="O536" s="354">
        <v>0.13142999999999999</v>
      </c>
      <c r="P536" s="354">
        <v>3.49E-2</v>
      </c>
      <c r="Q536" s="354">
        <v>9.6530000000000005E-2</v>
      </c>
    </row>
    <row r="537" spans="11:17" x14ac:dyDescent="0.3">
      <c r="K537" s="354">
        <v>41585</v>
      </c>
      <c r="L537" s="354">
        <v>1.132E-2</v>
      </c>
      <c r="M537" s="354">
        <v>0.13303999999999999</v>
      </c>
      <c r="N537" s="354">
        <v>0.14096</v>
      </c>
      <c r="O537" s="354">
        <v>0.13031999999999999</v>
      </c>
      <c r="P537" s="354">
        <v>3.5200000000000002E-2</v>
      </c>
      <c r="Q537" s="354">
        <v>9.5119999999999996E-2</v>
      </c>
    </row>
    <row r="538" spans="11:17" x14ac:dyDescent="0.3">
      <c r="K538" s="354">
        <v>41584</v>
      </c>
      <c r="L538" s="354">
        <v>1.1270000000000001E-2</v>
      </c>
      <c r="M538" s="354">
        <v>0.13283</v>
      </c>
      <c r="N538" s="354">
        <v>0.14057</v>
      </c>
      <c r="O538" s="354">
        <v>0.13006000000000001</v>
      </c>
      <c r="P538" s="354">
        <v>3.5000000000000003E-2</v>
      </c>
      <c r="Q538" s="354">
        <v>9.5060000000000006E-2</v>
      </c>
    </row>
    <row r="539" spans="11:17" x14ac:dyDescent="0.3">
      <c r="K539" s="354">
        <v>41583</v>
      </c>
      <c r="L539" s="354">
        <v>1.125E-2</v>
      </c>
      <c r="M539" s="354">
        <v>0.13256000000000001</v>
      </c>
      <c r="N539" s="354">
        <v>0.14068</v>
      </c>
      <c r="O539" s="354">
        <v>0.12983</v>
      </c>
      <c r="P539" s="354">
        <v>3.5200000000000002E-2</v>
      </c>
      <c r="Q539" s="354">
        <v>9.4630000000000006E-2</v>
      </c>
    </row>
    <row r="540" spans="11:17" x14ac:dyDescent="0.3">
      <c r="K540" s="354">
        <v>41582</v>
      </c>
      <c r="L540" s="354">
        <v>1.119E-2</v>
      </c>
      <c r="M540" s="354">
        <v>0.13178999999999999</v>
      </c>
      <c r="N540" s="354">
        <v>0.14118</v>
      </c>
      <c r="O540" s="354">
        <v>0.12953000000000001</v>
      </c>
      <c r="P540" s="354">
        <v>3.4799999999999998E-2</v>
      </c>
      <c r="Q540" s="354">
        <v>9.4729999999999995E-2</v>
      </c>
    </row>
    <row r="541" spans="11:17" x14ac:dyDescent="0.3">
      <c r="K541" s="354">
        <v>41579</v>
      </c>
      <c r="L541" s="354">
        <v>1.106E-2</v>
      </c>
      <c r="M541" s="354">
        <v>0.13231000000000001</v>
      </c>
      <c r="N541" s="354">
        <v>0.14055999999999999</v>
      </c>
      <c r="O541" s="354">
        <v>0.12941</v>
      </c>
      <c r="P541" s="354">
        <v>3.4500000000000003E-2</v>
      </c>
      <c r="Q541" s="354">
        <v>9.4909999999999994E-2</v>
      </c>
    </row>
    <row r="542" spans="11:17" x14ac:dyDescent="0.3">
      <c r="K542" s="354">
        <v>41578</v>
      </c>
      <c r="L542" s="354">
        <v>1.112E-2</v>
      </c>
      <c r="M542" s="354">
        <v>0.1321</v>
      </c>
      <c r="N542" s="354">
        <v>0.13977999999999999</v>
      </c>
      <c r="O542" s="354">
        <v>0.12927</v>
      </c>
      <c r="P542" s="354">
        <v>3.39E-2</v>
      </c>
      <c r="Q542" s="354">
        <v>9.5369999999999996E-2</v>
      </c>
    </row>
    <row r="543" spans="11:17" x14ac:dyDescent="0.3">
      <c r="K543" s="354">
        <v>41577</v>
      </c>
      <c r="L543" s="354">
        <v>1.0959999999999999E-2</v>
      </c>
      <c r="M543" s="354">
        <v>0.13189000000000001</v>
      </c>
      <c r="N543" s="354">
        <v>0.13947999999999999</v>
      </c>
      <c r="O543" s="354">
        <v>0.12859000000000001</v>
      </c>
      <c r="P543" s="354">
        <v>3.3700000000000001E-2</v>
      </c>
      <c r="Q543" s="354">
        <v>9.4890000000000002E-2</v>
      </c>
    </row>
    <row r="544" spans="11:17" x14ac:dyDescent="0.3">
      <c r="K544" s="354">
        <v>41576</v>
      </c>
      <c r="L544" s="354">
        <v>1.102E-2</v>
      </c>
      <c r="M544" s="354">
        <v>0.1323</v>
      </c>
      <c r="N544" s="354">
        <v>0.13957</v>
      </c>
      <c r="O544" s="354">
        <v>0.12906000000000001</v>
      </c>
      <c r="P544" s="354">
        <v>3.4000000000000002E-2</v>
      </c>
      <c r="Q544" s="354">
        <v>9.5060000000000006E-2</v>
      </c>
    </row>
    <row r="545" spans="11:17" x14ac:dyDescent="0.3">
      <c r="K545" s="354">
        <v>41575</v>
      </c>
      <c r="L545" s="354">
        <v>1.1050000000000001E-2</v>
      </c>
      <c r="M545" s="354">
        <v>0.13181000000000001</v>
      </c>
      <c r="N545" s="354">
        <v>0.13952999999999999</v>
      </c>
      <c r="O545" s="354">
        <v>0.12819</v>
      </c>
      <c r="P545" s="354">
        <v>3.4000000000000002E-2</v>
      </c>
      <c r="Q545" s="354">
        <v>9.4189999999999996E-2</v>
      </c>
    </row>
    <row r="546" spans="11:17" x14ac:dyDescent="0.3">
      <c r="K546" s="354">
        <v>41572</v>
      </c>
      <c r="L546" s="354">
        <v>1.1129999999999999E-2</v>
      </c>
      <c r="M546" s="354">
        <v>0.12912000000000001</v>
      </c>
      <c r="N546" s="354">
        <v>0.1391</v>
      </c>
      <c r="O546" s="354">
        <v>0.12764</v>
      </c>
      <c r="P546" s="354">
        <v>3.3599999999999998E-2</v>
      </c>
      <c r="Q546" s="354">
        <v>9.4039999999999999E-2</v>
      </c>
    </row>
    <row r="547" spans="11:17" x14ac:dyDescent="0.3">
      <c r="K547" s="354">
        <v>41571</v>
      </c>
      <c r="L547" s="354">
        <v>1.108E-2</v>
      </c>
      <c r="M547" s="354">
        <v>0.13148000000000001</v>
      </c>
      <c r="N547" s="354">
        <v>0.13857</v>
      </c>
      <c r="O547" s="354">
        <v>0.12827</v>
      </c>
      <c r="P547" s="354">
        <v>3.3700000000000001E-2</v>
      </c>
      <c r="Q547" s="354">
        <v>9.4570000000000001E-2</v>
      </c>
    </row>
    <row r="548" spans="11:17" x14ac:dyDescent="0.3">
      <c r="K548" s="354">
        <v>41570</v>
      </c>
      <c r="L548" s="354">
        <v>1.1140000000000001E-2</v>
      </c>
      <c r="M548" s="354">
        <v>0.13389999999999999</v>
      </c>
      <c r="N548" s="354">
        <v>0.13846</v>
      </c>
      <c r="O548" s="354">
        <v>0.12884999999999999</v>
      </c>
      <c r="P548" s="354">
        <v>3.3500000000000002E-2</v>
      </c>
      <c r="Q548" s="354">
        <v>9.5350000000000004E-2</v>
      </c>
    </row>
    <row r="549" spans="11:17" x14ac:dyDescent="0.3">
      <c r="K549" s="354">
        <v>41569</v>
      </c>
      <c r="L549" s="354">
        <v>1.102E-2</v>
      </c>
      <c r="M549" s="354">
        <v>0.13353000000000001</v>
      </c>
      <c r="N549" s="354">
        <v>0.13872000000000001</v>
      </c>
      <c r="O549" s="354">
        <v>0.12822</v>
      </c>
      <c r="P549" s="354">
        <v>3.44E-2</v>
      </c>
      <c r="Q549" s="354">
        <v>9.3820000000000001E-2</v>
      </c>
    </row>
    <row r="550" spans="11:17" x14ac:dyDescent="0.3">
      <c r="K550" s="354">
        <v>41568</v>
      </c>
      <c r="L550" s="354">
        <v>1.103E-2</v>
      </c>
      <c r="M550" s="354">
        <v>0.13441</v>
      </c>
      <c r="N550" s="354">
        <v>0.13836000000000001</v>
      </c>
      <c r="O550" s="354">
        <v>0.12837999999999999</v>
      </c>
      <c r="P550" s="354">
        <v>3.4500000000000003E-2</v>
      </c>
      <c r="Q550" s="354">
        <v>9.3880000000000005E-2</v>
      </c>
    </row>
    <row r="551" spans="11:17" x14ac:dyDescent="0.3">
      <c r="K551" s="354">
        <v>41565</v>
      </c>
      <c r="L551" s="354">
        <v>1.098E-2</v>
      </c>
      <c r="M551" s="354">
        <v>0.13095999999999999</v>
      </c>
      <c r="N551" s="354">
        <v>0.13674</v>
      </c>
      <c r="O551" s="354">
        <v>0.12673000000000001</v>
      </c>
      <c r="P551" s="354">
        <v>3.44E-2</v>
      </c>
      <c r="Q551" s="354">
        <v>9.2329999999999995E-2</v>
      </c>
    </row>
    <row r="552" spans="11:17" x14ac:dyDescent="0.3">
      <c r="K552" s="354">
        <v>41564</v>
      </c>
      <c r="L552" s="354">
        <v>1.112E-2</v>
      </c>
      <c r="M552" s="354">
        <v>0.13091</v>
      </c>
      <c r="N552" s="354">
        <v>0.13705999999999999</v>
      </c>
      <c r="O552" s="354">
        <v>0.12748000000000001</v>
      </c>
      <c r="P552" s="354">
        <v>3.49E-2</v>
      </c>
      <c r="Q552" s="354">
        <v>9.2579999999999996E-2</v>
      </c>
    </row>
    <row r="553" spans="11:17" x14ac:dyDescent="0.3">
      <c r="K553" s="354">
        <v>41563</v>
      </c>
      <c r="L553" s="354">
        <v>1.1169999999999999E-2</v>
      </c>
      <c r="M553" s="354">
        <v>0.13153000000000001</v>
      </c>
      <c r="N553" s="354">
        <v>0.13694000000000001</v>
      </c>
      <c r="O553" s="354">
        <v>0.12791</v>
      </c>
      <c r="P553" s="354">
        <v>3.5099999999999999E-2</v>
      </c>
      <c r="Q553" s="354">
        <v>9.2810000000000004E-2</v>
      </c>
    </row>
    <row r="554" spans="11:17" x14ac:dyDescent="0.3">
      <c r="K554" s="354">
        <v>41562</v>
      </c>
      <c r="L554" s="354">
        <v>1.115E-2</v>
      </c>
      <c r="M554" s="354">
        <v>0.13352</v>
      </c>
      <c r="N554" s="354">
        <v>0.13697999999999999</v>
      </c>
      <c r="O554" s="354">
        <v>0.12781000000000001</v>
      </c>
      <c r="P554" s="354">
        <v>3.5299999999999998E-2</v>
      </c>
      <c r="Q554" s="354">
        <v>9.2509999999999995E-2</v>
      </c>
    </row>
    <row r="555" spans="11:17" x14ac:dyDescent="0.3">
      <c r="K555" s="354">
        <v>41561</v>
      </c>
      <c r="L555" s="354">
        <v>1.1259999999999999E-2</v>
      </c>
      <c r="M555" s="354">
        <v>0.13281999999999999</v>
      </c>
      <c r="N555" s="354">
        <v>0.13638</v>
      </c>
      <c r="O555" s="354">
        <v>0.12753</v>
      </c>
      <c r="P555" s="354">
        <v>3.5400000000000001E-2</v>
      </c>
      <c r="Q555" s="354">
        <v>9.2130000000000004E-2</v>
      </c>
    </row>
    <row r="556" spans="11:17" x14ac:dyDescent="0.3">
      <c r="K556" s="354">
        <v>41558</v>
      </c>
      <c r="L556" s="354">
        <v>1.123E-2</v>
      </c>
      <c r="M556" s="354">
        <v>0.12963</v>
      </c>
      <c r="N556" s="354">
        <v>0.13594999999999999</v>
      </c>
      <c r="O556" s="354">
        <v>0.12604000000000001</v>
      </c>
      <c r="P556" s="354">
        <v>3.5000000000000003E-2</v>
      </c>
      <c r="Q556" s="354">
        <v>9.1039999999999996E-2</v>
      </c>
    </row>
    <row r="557" spans="11:17" x14ac:dyDescent="0.3">
      <c r="K557" s="354">
        <v>41557</v>
      </c>
      <c r="L557" s="354">
        <v>1.137E-2</v>
      </c>
      <c r="M557" s="354">
        <v>0.12894</v>
      </c>
      <c r="N557" s="354">
        <v>0.13589000000000001</v>
      </c>
      <c r="O557" s="354">
        <v>0.12640000000000001</v>
      </c>
      <c r="P557" s="354">
        <v>3.5099999999999999E-2</v>
      </c>
      <c r="Q557" s="354">
        <v>9.1300000000000006E-2</v>
      </c>
    </row>
    <row r="558" spans="11:17" x14ac:dyDescent="0.3">
      <c r="K558" s="354">
        <v>41555</v>
      </c>
      <c r="L558" s="354">
        <v>1.137E-2</v>
      </c>
      <c r="M558" s="354">
        <v>0.13239999999999999</v>
      </c>
      <c r="N558" s="354">
        <v>0.1358</v>
      </c>
      <c r="O558" s="354">
        <v>0.12781000000000001</v>
      </c>
      <c r="P558" s="354">
        <v>3.4599999999999999E-2</v>
      </c>
      <c r="Q558" s="354">
        <v>9.3210000000000001E-2</v>
      </c>
    </row>
    <row r="559" spans="11:17" x14ac:dyDescent="0.3">
      <c r="K559" s="354">
        <v>41554</v>
      </c>
      <c r="L559" s="354">
        <v>1.142E-2</v>
      </c>
      <c r="M559" s="354">
        <v>0.13078999999999999</v>
      </c>
      <c r="N559" s="354">
        <v>0.13578999999999999</v>
      </c>
      <c r="O559" s="354">
        <v>0.12745999999999999</v>
      </c>
      <c r="P559" s="354">
        <v>3.4200000000000001E-2</v>
      </c>
      <c r="Q559" s="354">
        <v>9.3259999999999996E-2</v>
      </c>
    </row>
    <row r="560" spans="11:17" x14ac:dyDescent="0.3">
      <c r="K560" s="354">
        <v>41551</v>
      </c>
      <c r="L560" s="354">
        <v>1.141E-2</v>
      </c>
      <c r="M560" s="354">
        <v>0.13173000000000001</v>
      </c>
      <c r="N560" s="354">
        <v>0.13652</v>
      </c>
      <c r="O560" s="354">
        <v>0.12759999999999999</v>
      </c>
      <c r="P560" s="354">
        <v>3.4000000000000002E-2</v>
      </c>
      <c r="Q560" s="354">
        <v>9.3600000000000003E-2</v>
      </c>
    </row>
    <row r="561" spans="11:17" x14ac:dyDescent="0.3">
      <c r="K561" s="354">
        <v>41549</v>
      </c>
      <c r="L561" s="354">
        <v>1.141E-2</v>
      </c>
      <c r="M561" s="354">
        <v>0.13238</v>
      </c>
      <c r="N561" s="354">
        <v>0.13643</v>
      </c>
      <c r="O561" s="354">
        <v>0.12773000000000001</v>
      </c>
      <c r="P561" s="354">
        <v>3.4099999999999998E-2</v>
      </c>
      <c r="Q561" s="354">
        <v>9.3630000000000005E-2</v>
      </c>
    </row>
    <row r="562" spans="11:17" x14ac:dyDescent="0.3">
      <c r="K562" s="354">
        <v>41548</v>
      </c>
      <c r="L562" s="354">
        <v>1.141E-2</v>
      </c>
      <c r="M562" s="354">
        <v>0.1323</v>
      </c>
      <c r="N562" s="354">
        <v>0.13621</v>
      </c>
      <c r="O562" s="354">
        <v>0.12748000000000001</v>
      </c>
      <c r="P562" s="354">
        <v>3.4500000000000003E-2</v>
      </c>
      <c r="Q562" s="354">
        <v>9.2979999999999993E-2</v>
      </c>
    </row>
    <row r="563" spans="11:17" x14ac:dyDescent="0.3">
      <c r="K563" s="354">
        <v>41547</v>
      </c>
      <c r="L563" s="354">
        <v>1.1440000000000001E-2</v>
      </c>
      <c r="M563" s="354">
        <v>0.13186999999999999</v>
      </c>
      <c r="N563" s="354">
        <v>0.13599</v>
      </c>
      <c r="O563" s="354">
        <v>0.12787999999999999</v>
      </c>
      <c r="P563" s="354">
        <v>3.4200000000000001E-2</v>
      </c>
      <c r="Q563" s="354">
        <v>9.3679999999999999E-2</v>
      </c>
    </row>
    <row r="564" spans="11:17" x14ac:dyDescent="0.3">
      <c r="K564" s="354">
        <v>41544</v>
      </c>
      <c r="L564" s="354">
        <v>1.1339999999999999E-2</v>
      </c>
      <c r="M564" s="354">
        <v>0.13533000000000001</v>
      </c>
      <c r="N564" s="354">
        <v>0.13593</v>
      </c>
      <c r="O564" s="354">
        <v>0.12964000000000001</v>
      </c>
      <c r="P564" s="354">
        <v>3.44E-2</v>
      </c>
      <c r="Q564" s="354">
        <v>9.5240000000000005E-2</v>
      </c>
    </row>
    <row r="565" spans="11:17" x14ac:dyDescent="0.3">
      <c r="K565" s="354">
        <v>41543</v>
      </c>
      <c r="L565" s="354">
        <v>1.136E-2</v>
      </c>
      <c r="M565" s="354">
        <v>0.13628999999999999</v>
      </c>
      <c r="N565" s="354">
        <v>0.13558000000000001</v>
      </c>
      <c r="O565" s="354">
        <v>0.13016</v>
      </c>
      <c r="P565" s="354">
        <v>3.4599999999999999E-2</v>
      </c>
      <c r="Q565" s="354">
        <v>9.5560000000000006E-2</v>
      </c>
    </row>
    <row r="566" spans="11:17" x14ac:dyDescent="0.3">
      <c r="K566" s="354">
        <v>41542</v>
      </c>
      <c r="L566" s="354">
        <v>1.141E-2</v>
      </c>
      <c r="M566" s="354">
        <v>0.13607</v>
      </c>
      <c r="N566" s="354">
        <v>0.13563</v>
      </c>
      <c r="O566" s="354">
        <v>0.13017000000000001</v>
      </c>
      <c r="P566" s="354">
        <v>3.4000000000000002E-2</v>
      </c>
      <c r="Q566" s="354">
        <v>9.6170000000000005E-2</v>
      </c>
    </row>
    <row r="567" spans="11:17" x14ac:dyDescent="0.3">
      <c r="K567" s="354">
        <v>41541</v>
      </c>
      <c r="L567" s="354">
        <v>1.136E-2</v>
      </c>
      <c r="M567" s="354">
        <v>0.13178000000000001</v>
      </c>
      <c r="N567" s="354">
        <v>0.13558999999999999</v>
      </c>
      <c r="O567" s="354">
        <v>0.12964999999999999</v>
      </c>
      <c r="P567" s="354">
        <v>3.39E-2</v>
      </c>
      <c r="Q567" s="354">
        <v>9.5750000000000002E-2</v>
      </c>
    </row>
    <row r="568" spans="11:17" x14ac:dyDescent="0.3">
      <c r="K568" s="354">
        <v>41540</v>
      </c>
      <c r="L568" s="354">
        <v>1.1390000000000001E-2</v>
      </c>
      <c r="M568" s="354">
        <v>0.1522</v>
      </c>
      <c r="N568" s="354">
        <v>0.13624</v>
      </c>
      <c r="O568" s="354">
        <v>0.14058999999999999</v>
      </c>
      <c r="P568" s="354">
        <v>3.4000000000000002E-2</v>
      </c>
      <c r="Q568" s="354">
        <v>0.10659</v>
      </c>
    </row>
    <row r="569" spans="11:17" x14ac:dyDescent="0.3">
      <c r="K569" s="354">
        <v>41534</v>
      </c>
      <c r="L569" s="354">
        <v>1.145E-2</v>
      </c>
      <c r="M569" s="354">
        <v>0.15143000000000001</v>
      </c>
      <c r="N569" s="354">
        <v>0.13625000000000001</v>
      </c>
      <c r="O569" s="354">
        <v>0.13983999999999999</v>
      </c>
      <c r="P569" s="354">
        <v>3.4700000000000002E-2</v>
      </c>
      <c r="Q569" s="354">
        <v>0.10514</v>
      </c>
    </row>
    <row r="570" spans="11:17" x14ac:dyDescent="0.3">
      <c r="K570" s="354">
        <v>41533</v>
      </c>
      <c r="L570" s="354">
        <v>1.14E-2</v>
      </c>
      <c r="M570" s="354">
        <v>0.15104000000000001</v>
      </c>
      <c r="N570" s="354">
        <v>0.13605999999999999</v>
      </c>
      <c r="O570" s="354">
        <v>0.13866000000000001</v>
      </c>
      <c r="P570" s="354">
        <v>3.5000000000000003E-2</v>
      </c>
      <c r="Q570" s="354">
        <v>0.10366</v>
      </c>
    </row>
    <row r="571" spans="11:17" x14ac:dyDescent="0.3">
      <c r="K571" s="354">
        <v>41530</v>
      </c>
      <c r="L571" s="354">
        <v>1.1520000000000001E-2</v>
      </c>
      <c r="M571" s="354">
        <v>0.14368</v>
      </c>
      <c r="N571" s="354">
        <v>0.13602</v>
      </c>
      <c r="O571" s="354">
        <v>0.13536999999999999</v>
      </c>
      <c r="P571" s="354">
        <v>3.5700000000000003E-2</v>
      </c>
      <c r="Q571" s="354">
        <v>9.9669999999999995E-2</v>
      </c>
    </row>
    <row r="572" spans="11:17" x14ac:dyDescent="0.3">
      <c r="K572" s="354">
        <v>41529</v>
      </c>
      <c r="L572" s="354">
        <v>1.145E-2</v>
      </c>
      <c r="M572" s="354">
        <v>0.14329</v>
      </c>
      <c r="N572" s="354">
        <v>0.13591</v>
      </c>
      <c r="O572" s="354">
        <v>0.13505</v>
      </c>
      <c r="P572" s="354">
        <v>3.5299999999999998E-2</v>
      </c>
      <c r="Q572" s="354">
        <v>9.9750000000000005E-2</v>
      </c>
    </row>
    <row r="573" spans="11:17" x14ac:dyDescent="0.3">
      <c r="K573" s="354">
        <v>41528</v>
      </c>
      <c r="L573" s="354">
        <v>1.145E-2</v>
      </c>
      <c r="M573" s="354">
        <v>0.14330999999999999</v>
      </c>
      <c r="N573" s="354">
        <v>0.13608999999999999</v>
      </c>
      <c r="O573" s="354">
        <v>0.13508999999999999</v>
      </c>
      <c r="P573" s="354">
        <v>3.5499999999999997E-2</v>
      </c>
      <c r="Q573" s="354">
        <v>9.9589999999999998E-2</v>
      </c>
    </row>
    <row r="574" spans="11:17" x14ac:dyDescent="0.3">
      <c r="K574" s="354">
        <v>41527</v>
      </c>
      <c r="L574" s="354">
        <v>1.15E-2</v>
      </c>
      <c r="M574" s="354">
        <v>0.14022999999999999</v>
      </c>
      <c r="N574" s="354">
        <v>0.13617000000000001</v>
      </c>
      <c r="O574" s="354">
        <v>0.13400999999999999</v>
      </c>
      <c r="P574" s="354">
        <v>3.6200000000000003E-2</v>
      </c>
      <c r="Q574" s="354">
        <v>9.7809999999999994E-2</v>
      </c>
    </row>
    <row r="575" spans="11:17" x14ac:dyDescent="0.3">
      <c r="K575" s="354">
        <v>41526</v>
      </c>
      <c r="L575" s="354">
        <v>1.1610000000000001E-2</v>
      </c>
      <c r="M575" s="354">
        <v>0.14001</v>
      </c>
      <c r="N575" s="354">
        <v>0.13638</v>
      </c>
      <c r="O575" s="354">
        <v>0.13456000000000001</v>
      </c>
      <c r="P575" s="354">
        <v>3.5900000000000001E-2</v>
      </c>
      <c r="Q575" s="354">
        <v>9.8659999999999998E-2</v>
      </c>
    </row>
    <row r="576" spans="11:17" x14ac:dyDescent="0.3">
      <c r="K576" s="354">
        <v>41523</v>
      </c>
      <c r="L576" s="354">
        <v>1.1730000000000001E-2</v>
      </c>
      <c r="M576" s="354">
        <v>0.13983000000000001</v>
      </c>
      <c r="N576" s="354">
        <v>0.13627</v>
      </c>
      <c r="O576" s="354">
        <v>0.13517999999999999</v>
      </c>
      <c r="P576" s="354">
        <v>3.6900000000000002E-2</v>
      </c>
      <c r="Q576" s="354">
        <v>9.8280000000000006E-2</v>
      </c>
    </row>
    <row r="577" spans="11:17" x14ac:dyDescent="0.3">
      <c r="K577" s="354">
        <v>41522</v>
      </c>
      <c r="L577" s="354">
        <v>1.176E-2</v>
      </c>
      <c r="M577" s="354">
        <v>0.13977000000000001</v>
      </c>
      <c r="N577" s="354">
        <v>0.13619000000000001</v>
      </c>
      <c r="O577" s="354">
        <v>0.13522000000000001</v>
      </c>
      <c r="P577" s="354">
        <v>3.6999999999999998E-2</v>
      </c>
      <c r="Q577" s="354">
        <v>9.8220000000000002E-2</v>
      </c>
    </row>
    <row r="578" spans="11:17" x14ac:dyDescent="0.3">
      <c r="K578" s="354">
        <v>41521</v>
      </c>
      <c r="L578" s="354">
        <v>1.187E-2</v>
      </c>
      <c r="M578" s="354">
        <v>0.13958000000000001</v>
      </c>
      <c r="N578" s="354">
        <v>0.13617000000000001</v>
      </c>
      <c r="O578" s="354">
        <v>0.13571</v>
      </c>
      <c r="P578" s="354">
        <v>3.6299999999999999E-2</v>
      </c>
      <c r="Q578" s="354">
        <v>9.9409999999999998E-2</v>
      </c>
    </row>
    <row r="579" spans="11:17" x14ac:dyDescent="0.3">
      <c r="K579" s="354">
        <v>41520</v>
      </c>
      <c r="L579" s="354">
        <v>1.1860000000000001E-2</v>
      </c>
      <c r="M579" s="354">
        <v>0.13938</v>
      </c>
      <c r="N579" s="354">
        <v>0.13614999999999999</v>
      </c>
      <c r="O579" s="354">
        <v>0.13555</v>
      </c>
      <c r="P579" s="354">
        <v>3.5999999999999997E-2</v>
      </c>
      <c r="Q579" s="354">
        <v>9.955E-2</v>
      </c>
    </row>
    <row r="580" spans="11:17" x14ac:dyDescent="0.3">
      <c r="K580" s="354">
        <v>41519</v>
      </c>
      <c r="L580" s="354">
        <v>1.191E-2</v>
      </c>
      <c r="M580" s="354">
        <v>0.13944000000000001</v>
      </c>
      <c r="N580" s="354">
        <v>0.13628999999999999</v>
      </c>
      <c r="O580" s="354">
        <v>0.13582</v>
      </c>
      <c r="P580" s="354">
        <v>3.5900000000000001E-2</v>
      </c>
      <c r="Q580" s="354">
        <v>9.9919999999999995E-2</v>
      </c>
    </row>
    <row r="581" spans="11:17" x14ac:dyDescent="0.3">
      <c r="K581" s="354">
        <v>41516</v>
      </c>
      <c r="L581" s="354">
        <v>1.191E-2</v>
      </c>
      <c r="M581" s="354">
        <v>0.13689999999999999</v>
      </c>
      <c r="N581" s="354">
        <v>0.13619999999999999</v>
      </c>
      <c r="O581" s="354">
        <v>0.13514999999999999</v>
      </c>
      <c r="P581" s="354">
        <v>3.5299999999999998E-2</v>
      </c>
      <c r="Q581" s="354">
        <v>9.9849999999999994E-2</v>
      </c>
    </row>
    <row r="582" spans="11:17" x14ac:dyDescent="0.3">
      <c r="K582" s="354">
        <v>41515</v>
      </c>
      <c r="L582" s="354">
        <v>1.204E-2</v>
      </c>
      <c r="M582" s="354">
        <v>0.13736000000000001</v>
      </c>
      <c r="N582" s="354">
        <v>0.13636999999999999</v>
      </c>
      <c r="O582" s="354">
        <v>0.13578999999999999</v>
      </c>
      <c r="P582" s="354">
        <v>3.5799999999999998E-2</v>
      </c>
      <c r="Q582" s="354">
        <v>9.9989999999999996E-2</v>
      </c>
    </row>
    <row r="583" spans="11:17" x14ac:dyDescent="0.3">
      <c r="K583" s="354">
        <v>41514</v>
      </c>
      <c r="L583" s="354">
        <v>1.218E-2</v>
      </c>
      <c r="M583" s="354">
        <v>0.13730000000000001</v>
      </c>
      <c r="N583" s="354">
        <v>0.13638</v>
      </c>
      <c r="O583" s="354">
        <v>0.13644000000000001</v>
      </c>
      <c r="P583" s="354">
        <v>3.61E-2</v>
      </c>
      <c r="Q583" s="354">
        <v>0.10034</v>
      </c>
    </row>
    <row r="584" spans="11:17" x14ac:dyDescent="0.3">
      <c r="K584" s="354">
        <v>41513</v>
      </c>
      <c r="L584" s="354">
        <v>1.218E-2</v>
      </c>
      <c r="M584" s="354">
        <v>0.13719999999999999</v>
      </c>
      <c r="N584" s="354">
        <v>0.13630999999999999</v>
      </c>
      <c r="O584" s="354">
        <v>0.13671</v>
      </c>
      <c r="P584" s="354">
        <v>3.6600000000000001E-2</v>
      </c>
      <c r="Q584" s="354">
        <v>0.10011</v>
      </c>
    </row>
    <row r="585" spans="11:17" x14ac:dyDescent="0.3">
      <c r="K585" s="354">
        <v>41512</v>
      </c>
      <c r="L585" s="354">
        <v>1.217E-2</v>
      </c>
      <c r="M585" s="354">
        <v>0.13975000000000001</v>
      </c>
      <c r="N585" s="354">
        <v>0.13617000000000001</v>
      </c>
      <c r="O585" s="354">
        <v>0.13702</v>
      </c>
      <c r="P585" s="354">
        <v>3.6700000000000003E-2</v>
      </c>
      <c r="Q585" s="354">
        <v>0.10032000000000001</v>
      </c>
    </row>
    <row r="586" spans="11:17" x14ac:dyDescent="0.3">
      <c r="K586" s="354">
        <v>41509</v>
      </c>
      <c r="L586" s="354">
        <v>1.2290000000000001E-2</v>
      </c>
      <c r="M586" s="354">
        <v>0.14401</v>
      </c>
      <c r="N586" s="354">
        <v>0.13605</v>
      </c>
      <c r="O586" s="354">
        <v>0.14044000000000001</v>
      </c>
      <c r="P586" s="354">
        <v>3.7199999999999997E-2</v>
      </c>
      <c r="Q586" s="354">
        <v>0.10324</v>
      </c>
    </row>
    <row r="587" spans="11:17" x14ac:dyDescent="0.3">
      <c r="K587" s="354">
        <v>41508</v>
      </c>
      <c r="L587" s="354">
        <v>1.243E-2</v>
      </c>
      <c r="M587" s="354">
        <v>0.14382</v>
      </c>
      <c r="N587" s="354">
        <v>0.13599</v>
      </c>
      <c r="O587" s="354">
        <v>0.14086000000000001</v>
      </c>
      <c r="P587" s="354">
        <v>3.73E-2</v>
      </c>
      <c r="Q587" s="354">
        <v>0.10356</v>
      </c>
    </row>
    <row r="588" spans="11:17" x14ac:dyDescent="0.3">
      <c r="K588" s="354">
        <v>41507</v>
      </c>
      <c r="L588" s="354">
        <v>1.2319999999999999E-2</v>
      </c>
      <c r="M588" s="354">
        <v>0.14668999999999999</v>
      </c>
      <c r="N588" s="354">
        <v>0.13600999999999999</v>
      </c>
      <c r="O588" s="354">
        <v>0.14111000000000001</v>
      </c>
      <c r="P588" s="354">
        <v>3.6600000000000001E-2</v>
      </c>
      <c r="Q588" s="354">
        <v>0.10451000000000001</v>
      </c>
    </row>
    <row r="589" spans="11:17" x14ac:dyDescent="0.3">
      <c r="K589" s="354">
        <v>41506</v>
      </c>
      <c r="L589" s="354">
        <v>1.2189999999999999E-2</v>
      </c>
      <c r="M589" s="354">
        <v>0.14613999999999999</v>
      </c>
      <c r="N589" s="354">
        <v>0.13583999999999999</v>
      </c>
      <c r="O589" s="354">
        <v>0.14044999999999999</v>
      </c>
      <c r="P589" s="354">
        <v>3.6400000000000002E-2</v>
      </c>
      <c r="Q589" s="354">
        <v>0.10405</v>
      </c>
    </row>
    <row r="590" spans="11:17" x14ac:dyDescent="0.3">
      <c r="K590" s="354">
        <v>41505</v>
      </c>
      <c r="L590" s="354">
        <v>1.2E-2</v>
      </c>
      <c r="M590" s="354">
        <v>0.14655000000000001</v>
      </c>
      <c r="N590" s="354">
        <v>0.13571</v>
      </c>
      <c r="O590" s="354">
        <v>0.14002999999999999</v>
      </c>
      <c r="P590" s="354">
        <v>3.7400000000000003E-2</v>
      </c>
      <c r="Q590" s="354">
        <v>0.10263</v>
      </c>
    </row>
    <row r="591" spans="11:17" x14ac:dyDescent="0.3">
      <c r="K591" s="354">
        <v>41502</v>
      </c>
      <c r="L591" s="354">
        <v>1.1979999999999999E-2</v>
      </c>
      <c r="M591" s="354">
        <v>0.14263000000000001</v>
      </c>
      <c r="N591" s="354">
        <v>0.13563</v>
      </c>
      <c r="O591" s="354">
        <v>0.14024</v>
      </c>
      <c r="P591" s="354">
        <v>3.6700000000000003E-2</v>
      </c>
      <c r="Q591" s="354">
        <v>0.10353999999999999</v>
      </c>
    </row>
    <row r="592" spans="11:17" x14ac:dyDescent="0.3">
      <c r="K592" s="354">
        <v>41500</v>
      </c>
      <c r="L592" s="354">
        <v>1.193E-2</v>
      </c>
      <c r="M592" s="354">
        <v>0.14163999999999999</v>
      </c>
      <c r="N592" s="354">
        <v>0.1366</v>
      </c>
      <c r="O592" s="354">
        <v>0.13976</v>
      </c>
      <c r="P592" s="354">
        <v>3.6600000000000001E-2</v>
      </c>
      <c r="Q592" s="354">
        <v>0.10316</v>
      </c>
    </row>
    <row r="593" spans="11:17" x14ac:dyDescent="0.3">
      <c r="K593" s="354">
        <v>41499</v>
      </c>
      <c r="L593" s="354">
        <v>1.201E-2</v>
      </c>
      <c r="M593" s="354">
        <v>0.14180999999999999</v>
      </c>
      <c r="N593" s="354">
        <v>0.13694999999999999</v>
      </c>
      <c r="O593" s="354">
        <v>0.14005999999999999</v>
      </c>
      <c r="P593" s="354">
        <v>3.5700000000000003E-2</v>
      </c>
      <c r="Q593" s="354">
        <v>0.10435999999999999</v>
      </c>
    </row>
    <row r="594" spans="11:17" x14ac:dyDescent="0.3">
      <c r="K594" s="354">
        <v>41498</v>
      </c>
      <c r="L594" s="354">
        <v>1.221E-2</v>
      </c>
      <c r="M594" s="354">
        <v>0.14621999999999999</v>
      </c>
      <c r="N594" s="354">
        <v>0.13669999999999999</v>
      </c>
      <c r="O594" s="354">
        <v>0.14079</v>
      </c>
      <c r="P594" s="354">
        <v>3.5400000000000001E-2</v>
      </c>
      <c r="Q594" s="354">
        <v>0.10539</v>
      </c>
    </row>
    <row r="595" spans="11:17" x14ac:dyDescent="0.3">
      <c r="K595" s="354">
        <v>41495</v>
      </c>
      <c r="L595" s="354">
        <v>1.2239999999999999E-2</v>
      </c>
      <c r="M595" s="354">
        <v>0.14804999999999999</v>
      </c>
      <c r="N595" s="354">
        <v>0.14174</v>
      </c>
      <c r="O595" s="354">
        <v>0.14108999999999999</v>
      </c>
      <c r="P595" s="354">
        <v>3.5799999999999998E-2</v>
      </c>
      <c r="Q595" s="354">
        <v>0.10528999999999999</v>
      </c>
    </row>
    <row r="596" spans="11:17" x14ac:dyDescent="0.3">
      <c r="K596" s="354">
        <v>41494</v>
      </c>
      <c r="L596" s="354">
        <v>1.221E-2</v>
      </c>
      <c r="M596" s="354">
        <v>0.14760999999999999</v>
      </c>
      <c r="N596" s="354">
        <v>0.14155999999999999</v>
      </c>
      <c r="O596" s="354">
        <v>0.14093</v>
      </c>
      <c r="P596" s="354">
        <v>3.5799999999999998E-2</v>
      </c>
      <c r="Q596" s="354">
        <v>0.10513</v>
      </c>
    </row>
    <row r="597" spans="11:17" x14ac:dyDescent="0.3">
      <c r="K597" s="354">
        <v>41493</v>
      </c>
      <c r="L597" s="354">
        <v>1.2239999999999999E-2</v>
      </c>
      <c r="M597" s="354">
        <v>0.14776</v>
      </c>
      <c r="N597" s="354">
        <v>0.1416</v>
      </c>
      <c r="O597" s="354">
        <v>0.14088000000000001</v>
      </c>
      <c r="P597" s="354">
        <v>3.5900000000000001E-2</v>
      </c>
      <c r="Q597" s="354">
        <v>0.10498</v>
      </c>
    </row>
    <row r="598" spans="11:17" x14ac:dyDescent="0.3">
      <c r="K598" s="354">
        <v>41492</v>
      </c>
      <c r="L598" s="354">
        <v>1.205E-2</v>
      </c>
      <c r="M598" s="354">
        <v>0.14491000000000001</v>
      </c>
      <c r="N598" s="354">
        <v>0.14147000000000001</v>
      </c>
      <c r="O598" s="354">
        <v>0.13847999999999999</v>
      </c>
      <c r="P598" s="354">
        <v>3.5200000000000002E-2</v>
      </c>
      <c r="Q598" s="354">
        <v>0.10328</v>
      </c>
    </row>
    <row r="599" spans="11:17" x14ac:dyDescent="0.3">
      <c r="K599" s="354">
        <v>41491</v>
      </c>
      <c r="L599" s="354">
        <v>1.1979999999999999E-2</v>
      </c>
      <c r="M599" s="354">
        <v>0.14466999999999999</v>
      </c>
      <c r="N599" s="354">
        <v>0.14146</v>
      </c>
      <c r="O599" s="354">
        <v>0.13797000000000001</v>
      </c>
      <c r="P599" s="354">
        <v>3.5099999999999999E-2</v>
      </c>
      <c r="Q599" s="354">
        <v>0.10287</v>
      </c>
    </row>
    <row r="600" spans="11:17" x14ac:dyDescent="0.3">
      <c r="K600" s="354">
        <v>41488</v>
      </c>
      <c r="L600" s="354">
        <v>1.1769999999999999E-2</v>
      </c>
      <c r="M600" s="354">
        <v>0.14055999999999999</v>
      </c>
      <c r="N600" s="354">
        <v>0.14133999999999999</v>
      </c>
      <c r="O600" s="354">
        <v>0.13625000000000001</v>
      </c>
      <c r="P600" s="354">
        <v>3.5799999999999998E-2</v>
      </c>
      <c r="Q600" s="354">
        <v>0.10045</v>
      </c>
    </row>
    <row r="601" spans="11:17" x14ac:dyDescent="0.3">
      <c r="K601" s="354">
        <v>41487</v>
      </c>
      <c r="L601" s="354">
        <v>1.1780000000000001E-2</v>
      </c>
      <c r="M601" s="354">
        <v>0.13877999999999999</v>
      </c>
      <c r="N601" s="354">
        <v>0.14147000000000001</v>
      </c>
      <c r="O601" s="354">
        <v>0.13619000000000001</v>
      </c>
      <c r="P601" s="354">
        <v>3.49E-2</v>
      </c>
      <c r="Q601" s="354">
        <v>0.10129000000000001</v>
      </c>
    </row>
    <row r="602" spans="11:17" x14ac:dyDescent="0.3">
      <c r="K602" s="354">
        <v>41486</v>
      </c>
      <c r="L602" s="354">
        <v>1.201E-2</v>
      </c>
      <c r="M602" s="354">
        <v>0.13911000000000001</v>
      </c>
      <c r="N602" s="354">
        <v>0.14143</v>
      </c>
      <c r="O602" s="354">
        <v>0.13639000000000001</v>
      </c>
      <c r="P602" s="354">
        <v>3.49E-2</v>
      </c>
      <c r="Q602" s="354">
        <v>0.10149</v>
      </c>
    </row>
    <row r="603" spans="11:17" x14ac:dyDescent="0.3">
      <c r="K603" s="354">
        <v>41485</v>
      </c>
      <c r="L603" s="354">
        <v>1.197E-2</v>
      </c>
      <c r="M603" s="354">
        <v>0.13850000000000001</v>
      </c>
      <c r="N603" s="354">
        <v>0.14111000000000001</v>
      </c>
      <c r="O603" s="354">
        <v>0.13611000000000001</v>
      </c>
      <c r="P603" s="354">
        <v>3.4700000000000002E-2</v>
      </c>
      <c r="Q603" s="354">
        <v>0.10141</v>
      </c>
    </row>
    <row r="604" spans="11:17" x14ac:dyDescent="0.3">
      <c r="K604" s="354">
        <v>41484</v>
      </c>
      <c r="L604" s="354">
        <v>1.2109999999999999E-2</v>
      </c>
      <c r="M604" s="354">
        <v>0.13941000000000001</v>
      </c>
      <c r="N604" s="354">
        <v>0.14097999999999999</v>
      </c>
      <c r="O604" s="354">
        <v>0.13653000000000001</v>
      </c>
      <c r="P604" s="354">
        <v>3.4599999999999999E-2</v>
      </c>
      <c r="Q604" s="354">
        <v>0.10193000000000001</v>
      </c>
    </row>
    <row r="605" spans="11:17" x14ac:dyDescent="0.3">
      <c r="K605" s="354">
        <v>41481</v>
      </c>
      <c r="L605" s="354">
        <v>1.2030000000000001E-2</v>
      </c>
      <c r="M605" s="354">
        <v>0.14155999999999999</v>
      </c>
      <c r="N605" s="354">
        <v>0.14094999999999999</v>
      </c>
      <c r="O605" s="354">
        <v>0.13700000000000001</v>
      </c>
      <c r="P605" s="354">
        <v>3.5099999999999999E-2</v>
      </c>
      <c r="Q605" s="354">
        <v>0.1019</v>
      </c>
    </row>
    <row r="606" spans="11:17" x14ac:dyDescent="0.3">
      <c r="K606" s="354">
        <v>41480</v>
      </c>
      <c r="L606" s="354">
        <v>1.209E-2</v>
      </c>
      <c r="M606" s="354">
        <v>0.13941999999999999</v>
      </c>
      <c r="N606" s="354">
        <v>0.14044000000000001</v>
      </c>
      <c r="O606" s="354">
        <v>0.13768</v>
      </c>
      <c r="P606" s="354">
        <v>3.5200000000000002E-2</v>
      </c>
      <c r="Q606" s="354">
        <v>0.10248</v>
      </c>
    </row>
    <row r="607" spans="11:17" x14ac:dyDescent="0.3">
      <c r="K607" s="354">
        <v>41479</v>
      </c>
      <c r="L607" s="354">
        <v>1.205E-2</v>
      </c>
      <c r="M607" s="354">
        <v>0.14280000000000001</v>
      </c>
      <c r="N607" s="354">
        <v>0.13902</v>
      </c>
      <c r="O607" s="354">
        <v>0.13758000000000001</v>
      </c>
      <c r="P607" s="354">
        <v>3.4299999999999997E-2</v>
      </c>
      <c r="Q607" s="354">
        <v>0.10328</v>
      </c>
    </row>
    <row r="608" spans="11:17" x14ac:dyDescent="0.3">
      <c r="K608" s="354">
        <v>41478</v>
      </c>
      <c r="L608" s="354">
        <v>1.21E-2</v>
      </c>
      <c r="M608" s="354">
        <v>0.14330999999999999</v>
      </c>
      <c r="N608" s="354">
        <v>0.13872999999999999</v>
      </c>
      <c r="O608" s="354">
        <v>0.13819000000000001</v>
      </c>
      <c r="P608" s="354">
        <v>3.4099999999999998E-2</v>
      </c>
      <c r="Q608" s="354">
        <v>0.10409</v>
      </c>
    </row>
    <row r="609" spans="11:17" x14ac:dyDescent="0.3">
      <c r="K609" s="354">
        <v>41477</v>
      </c>
      <c r="L609" s="354">
        <v>1.226E-2</v>
      </c>
      <c r="M609" s="354">
        <v>0.13921</v>
      </c>
      <c r="N609" s="354">
        <v>0.13879</v>
      </c>
      <c r="O609" s="354">
        <v>0.13869999999999999</v>
      </c>
      <c r="P609" s="354">
        <v>3.4099999999999998E-2</v>
      </c>
      <c r="Q609" s="354">
        <v>0.1046</v>
      </c>
    </row>
    <row r="610" spans="11:17" x14ac:dyDescent="0.3">
      <c r="K610" s="354">
        <v>41474</v>
      </c>
      <c r="L610" s="354">
        <v>1.234E-2</v>
      </c>
      <c r="M610" s="354">
        <v>0.13805000000000001</v>
      </c>
      <c r="N610" s="354">
        <v>0.13935</v>
      </c>
      <c r="O610" s="354">
        <v>0.1381</v>
      </c>
      <c r="P610" s="354">
        <v>3.4200000000000001E-2</v>
      </c>
      <c r="Q610" s="354">
        <v>0.10390000000000001</v>
      </c>
    </row>
    <row r="611" spans="11:17" x14ac:dyDescent="0.3">
      <c r="K611" s="354">
        <v>41473</v>
      </c>
      <c r="L611" s="354">
        <v>1.231E-2</v>
      </c>
      <c r="M611" s="354">
        <v>0.13755999999999999</v>
      </c>
      <c r="N611" s="354">
        <v>0.14227000000000001</v>
      </c>
      <c r="O611" s="354">
        <v>0.13783000000000001</v>
      </c>
      <c r="P611" s="354">
        <v>3.4099999999999998E-2</v>
      </c>
      <c r="Q611" s="354">
        <v>0.10373</v>
      </c>
    </row>
    <row r="612" spans="11:17" x14ac:dyDescent="0.3">
      <c r="K612" s="354">
        <v>41472</v>
      </c>
      <c r="L612" s="354">
        <v>1.222E-2</v>
      </c>
      <c r="M612" s="354">
        <v>0.13722999999999999</v>
      </c>
      <c r="N612" s="354">
        <v>0.14161000000000001</v>
      </c>
      <c r="O612" s="354">
        <v>0.13754</v>
      </c>
      <c r="P612" s="354">
        <v>3.4700000000000002E-2</v>
      </c>
      <c r="Q612" s="354">
        <v>0.10284</v>
      </c>
    </row>
    <row r="613" spans="11:17" x14ac:dyDescent="0.3">
      <c r="K613" s="354">
        <v>41471</v>
      </c>
      <c r="L613" s="354">
        <v>1.2370000000000001E-2</v>
      </c>
      <c r="M613" s="354">
        <v>0.13724</v>
      </c>
      <c r="N613" s="354">
        <v>0.14147999999999999</v>
      </c>
      <c r="O613" s="354">
        <v>0.13797000000000001</v>
      </c>
      <c r="P613" s="354">
        <v>3.44E-2</v>
      </c>
      <c r="Q613" s="354">
        <v>0.10357</v>
      </c>
    </row>
    <row r="614" spans="11:17" x14ac:dyDescent="0.3">
      <c r="K614" s="354">
        <v>41470</v>
      </c>
      <c r="L614" s="354">
        <v>1.23E-2</v>
      </c>
      <c r="M614" s="354">
        <v>0.1346</v>
      </c>
      <c r="N614" s="354">
        <v>0.14058000000000001</v>
      </c>
      <c r="O614" s="354">
        <v>0.13592000000000001</v>
      </c>
      <c r="P614" s="354">
        <v>3.4500000000000003E-2</v>
      </c>
      <c r="Q614" s="354">
        <v>0.10142</v>
      </c>
    </row>
    <row r="615" spans="11:17" x14ac:dyDescent="0.3">
      <c r="K615" s="354">
        <v>41467</v>
      </c>
      <c r="L615" s="354">
        <v>1.2290000000000001E-2</v>
      </c>
      <c r="M615" s="354">
        <v>0.13938</v>
      </c>
      <c r="N615" s="354">
        <v>0.14019999999999999</v>
      </c>
      <c r="O615" s="354">
        <v>0.13575000000000001</v>
      </c>
      <c r="P615" s="354">
        <v>3.3799999999999997E-2</v>
      </c>
      <c r="Q615" s="354">
        <v>0.10195</v>
      </c>
    </row>
    <row r="616" spans="11:17" x14ac:dyDescent="0.3">
      <c r="K616" s="354">
        <v>41466</v>
      </c>
      <c r="L616" s="354">
        <v>1.2239999999999999E-2</v>
      </c>
      <c r="M616" s="354">
        <v>0.13883000000000001</v>
      </c>
      <c r="N616" s="354">
        <v>0.14004</v>
      </c>
      <c r="O616" s="354">
        <v>0.1356</v>
      </c>
      <c r="P616" s="354">
        <v>3.3700000000000001E-2</v>
      </c>
      <c r="Q616" s="354">
        <v>0.1019</v>
      </c>
    </row>
    <row r="617" spans="11:17" x14ac:dyDescent="0.3">
      <c r="K617" s="354">
        <v>41465</v>
      </c>
      <c r="L617" s="354">
        <v>1.2630000000000001E-2</v>
      </c>
      <c r="M617" s="354">
        <v>0.14050000000000001</v>
      </c>
      <c r="N617" s="354">
        <v>0.13991999999999999</v>
      </c>
      <c r="O617" s="354">
        <v>0.13802</v>
      </c>
      <c r="P617" s="354">
        <v>3.5299999999999998E-2</v>
      </c>
      <c r="Q617" s="354">
        <v>0.10272000000000001</v>
      </c>
    </row>
    <row r="618" spans="11:17" x14ac:dyDescent="0.3">
      <c r="K618" s="354">
        <v>41464</v>
      </c>
      <c r="L618" s="354">
        <v>1.26E-2</v>
      </c>
      <c r="M618" s="354">
        <v>0.14577000000000001</v>
      </c>
      <c r="N618" s="354">
        <v>0.1399</v>
      </c>
      <c r="O618" s="354">
        <v>0.14044999999999999</v>
      </c>
      <c r="P618" s="354">
        <v>3.5999999999999997E-2</v>
      </c>
      <c r="Q618" s="354">
        <v>0.10445</v>
      </c>
    </row>
    <row r="619" spans="11:17" x14ac:dyDescent="0.3">
      <c r="K619" s="354">
        <v>41463</v>
      </c>
      <c r="L619" s="354">
        <v>1.2710000000000001E-2</v>
      </c>
      <c r="M619" s="354">
        <v>0.14410999999999999</v>
      </c>
      <c r="N619" s="354">
        <v>0.13969000000000001</v>
      </c>
      <c r="O619" s="354">
        <v>0.13993</v>
      </c>
      <c r="P619" s="354">
        <v>3.61E-2</v>
      </c>
      <c r="Q619" s="354">
        <v>0.10383000000000001</v>
      </c>
    </row>
    <row r="620" spans="11:17" x14ac:dyDescent="0.3">
      <c r="K620" s="354">
        <v>41460</v>
      </c>
      <c r="L620" s="354">
        <v>1.261E-2</v>
      </c>
      <c r="M620" s="354">
        <v>0.13824</v>
      </c>
      <c r="N620" s="354">
        <v>0.13905000000000001</v>
      </c>
      <c r="O620" s="354">
        <v>0.13677</v>
      </c>
      <c r="P620" s="354">
        <v>3.5000000000000003E-2</v>
      </c>
      <c r="Q620" s="354">
        <v>0.10177</v>
      </c>
    </row>
    <row r="621" spans="11:17" x14ac:dyDescent="0.3">
      <c r="K621" s="354">
        <v>41459</v>
      </c>
      <c r="L621" s="354">
        <v>1.256E-2</v>
      </c>
      <c r="M621" s="354">
        <v>0.13976</v>
      </c>
      <c r="N621" s="354">
        <v>0.13900999999999999</v>
      </c>
      <c r="O621" s="354">
        <v>0.13755000000000001</v>
      </c>
      <c r="P621" s="354">
        <v>3.4599999999999999E-2</v>
      </c>
      <c r="Q621" s="354">
        <v>0.10295</v>
      </c>
    </row>
    <row r="622" spans="11:17" x14ac:dyDescent="0.3">
      <c r="K622" s="354">
        <v>41458</v>
      </c>
      <c r="L622" s="354">
        <v>1.2659999999999999E-2</v>
      </c>
      <c r="M622" s="354">
        <v>0.13933000000000001</v>
      </c>
      <c r="N622" s="354">
        <v>0.13899</v>
      </c>
      <c r="O622" s="354">
        <v>0.13764000000000001</v>
      </c>
      <c r="P622" s="354">
        <v>3.4500000000000003E-2</v>
      </c>
      <c r="Q622" s="354">
        <v>0.10314</v>
      </c>
    </row>
    <row r="623" spans="11:17" x14ac:dyDescent="0.3">
      <c r="K623" s="354">
        <v>41457</v>
      </c>
      <c r="L623" s="354">
        <v>1.242E-2</v>
      </c>
      <c r="M623" s="354">
        <v>0.1371</v>
      </c>
      <c r="N623" s="354">
        <v>0.13871</v>
      </c>
      <c r="O623" s="354">
        <v>0.13585</v>
      </c>
      <c r="P623" s="354">
        <v>3.4200000000000001E-2</v>
      </c>
      <c r="Q623" s="354">
        <v>0.10165</v>
      </c>
    </row>
    <row r="624" spans="11:17" x14ac:dyDescent="0.3">
      <c r="K624" s="354">
        <v>41456</v>
      </c>
      <c r="L624" s="354">
        <v>1.242E-2</v>
      </c>
      <c r="M624" s="354">
        <v>0.13585</v>
      </c>
      <c r="N624" s="354">
        <v>0.13904</v>
      </c>
      <c r="O624" s="354">
        <v>0.13589000000000001</v>
      </c>
      <c r="P624" s="354">
        <v>3.5099999999999999E-2</v>
      </c>
      <c r="Q624" s="354">
        <v>0.10079</v>
      </c>
    </row>
    <row r="625" spans="11:17" x14ac:dyDescent="0.3">
      <c r="K625" s="354">
        <v>41453</v>
      </c>
      <c r="L625" s="354">
        <v>1.2359999999999999E-2</v>
      </c>
      <c r="M625" s="354">
        <v>0.13800999999999999</v>
      </c>
      <c r="N625" s="354">
        <v>0.13905999999999999</v>
      </c>
      <c r="O625" s="354">
        <v>0.13694000000000001</v>
      </c>
      <c r="P625" s="354">
        <v>3.4000000000000002E-2</v>
      </c>
      <c r="Q625" s="354">
        <v>0.10294</v>
      </c>
    </row>
    <row r="626" spans="11:17" x14ac:dyDescent="0.3">
      <c r="K626" s="354">
        <v>41452</v>
      </c>
      <c r="L626" s="354">
        <v>1.256E-2</v>
      </c>
      <c r="M626" s="354">
        <v>0.13816000000000001</v>
      </c>
      <c r="N626" s="354">
        <v>0.13905000000000001</v>
      </c>
      <c r="O626" s="354">
        <v>0.13804</v>
      </c>
      <c r="P626" s="354">
        <v>3.44E-2</v>
      </c>
      <c r="Q626" s="354">
        <v>0.10364</v>
      </c>
    </row>
    <row r="627" spans="11:17" x14ac:dyDescent="0.3">
      <c r="K627" s="354">
        <v>41451</v>
      </c>
      <c r="L627" s="354">
        <v>1.294E-2</v>
      </c>
      <c r="M627" s="354">
        <v>0.13816999999999999</v>
      </c>
      <c r="N627" s="354">
        <v>0.13894000000000001</v>
      </c>
      <c r="O627" s="354">
        <v>0.13916000000000001</v>
      </c>
      <c r="P627" s="354">
        <v>3.5000000000000003E-2</v>
      </c>
      <c r="Q627" s="354">
        <v>0.10416</v>
      </c>
    </row>
    <row r="628" spans="11:17" x14ac:dyDescent="0.3">
      <c r="K628" s="354">
        <v>41450</v>
      </c>
      <c r="L628" s="354">
        <v>1.294E-2</v>
      </c>
      <c r="M628" s="354">
        <v>0.13344</v>
      </c>
      <c r="N628" s="354">
        <v>0.13885</v>
      </c>
      <c r="O628" s="354">
        <v>0.13714999999999999</v>
      </c>
      <c r="P628" s="354">
        <v>3.5799999999999998E-2</v>
      </c>
      <c r="Q628" s="354">
        <v>0.10135</v>
      </c>
    </row>
    <row r="629" spans="11:17" x14ac:dyDescent="0.3">
      <c r="K629" s="354">
        <v>41449</v>
      </c>
      <c r="L629" s="354">
        <v>1.289E-2</v>
      </c>
      <c r="M629" s="354">
        <v>0.13184999999999999</v>
      </c>
      <c r="N629" s="354">
        <v>0.13958000000000001</v>
      </c>
      <c r="O629" s="354">
        <v>0.13594999999999999</v>
      </c>
      <c r="P629" s="354">
        <v>3.6799999999999999E-2</v>
      </c>
      <c r="Q629" s="354">
        <v>9.9150000000000002E-2</v>
      </c>
    </row>
    <row r="630" spans="11:17" x14ac:dyDescent="0.3">
      <c r="K630" s="354">
        <v>41446</v>
      </c>
      <c r="L630" s="354">
        <v>1.2710000000000001E-2</v>
      </c>
      <c r="M630" s="354">
        <v>0.13616</v>
      </c>
      <c r="N630" s="354">
        <v>0.13925999999999999</v>
      </c>
      <c r="O630" s="354">
        <v>0.13736000000000001</v>
      </c>
      <c r="P630" s="354">
        <v>3.5799999999999998E-2</v>
      </c>
      <c r="Q630" s="354">
        <v>0.10156</v>
      </c>
    </row>
    <row r="631" spans="11:17" x14ac:dyDescent="0.3">
      <c r="K631" s="354">
        <v>41445</v>
      </c>
      <c r="L631" s="354">
        <v>1.251E-2</v>
      </c>
      <c r="M631" s="354">
        <v>0.13632</v>
      </c>
      <c r="N631" s="354">
        <v>0.13913</v>
      </c>
      <c r="O631" s="354">
        <v>0.1366</v>
      </c>
      <c r="P631" s="354">
        <v>3.4099999999999998E-2</v>
      </c>
      <c r="Q631" s="354">
        <v>0.10249999999999999</v>
      </c>
    </row>
    <row r="632" spans="11:17" x14ac:dyDescent="0.3">
      <c r="K632" s="354">
        <v>41444</v>
      </c>
      <c r="L632" s="354">
        <v>1.2239999999999999E-2</v>
      </c>
      <c r="M632" s="354">
        <v>0.13644000000000001</v>
      </c>
      <c r="N632" s="354">
        <v>0.13864000000000001</v>
      </c>
      <c r="O632" s="354">
        <v>0.13561999999999999</v>
      </c>
      <c r="P632" s="354">
        <v>3.2399999999999998E-2</v>
      </c>
      <c r="Q632" s="354">
        <v>0.10322000000000001</v>
      </c>
    </row>
    <row r="633" spans="11:17" x14ac:dyDescent="0.3">
      <c r="K633" s="354">
        <v>41443</v>
      </c>
      <c r="L633" s="354">
        <v>1.2160000000000001E-2</v>
      </c>
      <c r="M633" s="354">
        <v>0.13689000000000001</v>
      </c>
      <c r="N633" s="354">
        <v>0.1384</v>
      </c>
      <c r="O633" s="354">
        <v>0.13521</v>
      </c>
      <c r="P633" s="354">
        <v>3.2099999999999997E-2</v>
      </c>
      <c r="Q633" s="354">
        <v>0.10310999999999999</v>
      </c>
    </row>
    <row r="634" spans="11:17" x14ac:dyDescent="0.3">
      <c r="K634" s="354">
        <v>41442</v>
      </c>
      <c r="L634" s="354">
        <v>1.227E-2</v>
      </c>
      <c r="M634" s="354">
        <v>0.13668</v>
      </c>
      <c r="N634" s="354">
        <v>0.13830999999999999</v>
      </c>
      <c r="O634" s="354">
        <v>0.13557</v>
      </c>
      <c r="P634" s="354">
        <v>3.27E-2</v>
      </c>
      <c r="Q634" s="354">
        <v>0.10287</v>
      </c>
    </row>
    <row r="635" spans="11:17" x14ac:dyDescent="0.3">
      <c r="K635" s="354">
        <v>41439</v>
      </c>
      <c r="L635" s="354">
        <v>1.225E-2</v>
      </c>
      <c r="M635" s="354">
        <v>0.13647000000000001</v>
      </c>
      <c r="N635" s="354">
        <v>0.13813</v>
      </c>
      <c r="O635" s="354">
        <v>0.13561999999999999</v>
      </c>
      <c r="P635" s="354">
        <v>3.1899999999999998E-2</v>
      </c>
      <c r="Q635" s="354">
        <v>0.10372000000000001</v>
      </c>
    </row>
    <row r="636" spans="11:17" x14ac:dyDescent="0.3">
      <c r="K636" s="354">
        <v>41438</v>
      </c>
      <c r="L636" s="354">
        <v>1.2290000000000001E-2</v>
      </c>
      <c r="M636" s="354">
        <v>0.13716999999999999</v>
      </c>
      <c r="N636" s="354">
        <v>0.13816000000000001</v>
      </c>
      <c r="O636" s="354">
        <v>0.13588</v>
      </c>
      <c r="P636" s="354">
        <v>3.2500000000000001E-2</v>
      </c>
      <c r="Q636" s="354">
        <v>0.10338</v>
      </c>
    </row>
    <row r="637" spans="11:17" x14ac:dyDescent="0.3">
      <c r="K637" s="354">
        <v>41437</v>
      </c>
      <c r="L637" s="354">
        <v>1.2070000000000001E-2</v>
      </c>
      <c r="M637" s="354">
        <v>0.13502</v>
      </c>
      <c r="N637" s="354">
        <v>0.13746</v>
      </c>
      <c r="O637" s="354">
        <v>0.13389999999999999</v>
      </c>
      <c r="P637" s="354">
        <v>3.3099999999999997E-2</v>
      </c>
      <c r="Q637" s="354">
        <v>0.1008</v>
      </c>
    </row>
    <row r="638" spans="11:17" x14ac:dyDescent="0.3">
      <c r="K638" s="354">
        <v>41436</v>
      </c>
      <c r="L638" s="354">
        <v>1.2019999999999999E-2</v>
      </c>
      <c r="M638" s="354">
        <v>0.13486000000000001</v>
      </c>
      <c r="N638" s="354">
        <v>0.13738</v>
      </c>
      <c r="O638" s="354">
        <v>0.13270999999999999</v>
      </c>
      <c r="P638" s="354">
        <v>3.2000000000000001E-2</v>
      </c>
      <c r="Q638" s="354">
        <v>0.10070999999999999</v>
      </c>
    </row>
    <row r="639" spans="11:17" x14ac:dyDescent="0.3">
      <c r="K639" s="354">
        <v>41435</v>
      </c>
      <c r="L639" s="354">
        <v>1.214E-2</v>
      </c>
      <c r="M639" s="354">
        <v>0.13245999999999999</v>
      </c>
      <c r="N639" s="354">
        <v>0.13718</v>
      </c>
      <c r="O639" s="354">
        <v>0.13164999999999999</v>
      </c>
      <c r="P639" s="354">
        <v>3.15E-2</v>
      </c>
      <c r="Q639" s="354">
        <v>0.10015</v>
      </c>
    </row>
    <row r="640" spans="11:17" x14ac:dyDescent="0.3">
      <c r="K640" s="354">
        <v>41432</v>
      </c>
      <c r="L640" s="354">
        <v>1.223E-2</v>
      </c>
      <c r="M640" s="354">
        <v>0.13231000000000001</v>
      </c>
      <c r="N640" s="354">
        <v>0.13815</v>
      </c>
      <c r="O640" s="354">
        <v>0.13178999999999999</v>
      </c>
      <c r="P640" s="354">
        <v>3.1300000000000001E-2</v>
      </c>
      <c r="Q640" s="354">
        <v>0.10049</v>
      </c>
    </row>
    <row r="641" spans="11:17" x14ac:dyDescent="0.3">
      <c r="K641" s="354">
        <v>41430</v>
      </c>
      <c r="L641" s="354">
        <v>1.2E-2</v>
      </c>
      <c r="M641" s="354">
        <v>0.13270999999999999</v>
      </c>
      <c r="N641" s="354">
        <v>0.13794999999999999</v>
      </c>
      <c r="O641" s="354">
        <v>0.13095999999999999</v>
      </c>
      <c r="P641" s="354">
        <v>3.1600000000000003E-2</v>
      </c>
      <c r="Q641" s="354">
        <v>9.9360000000000004E-2</v>
      </c>
    </row>
    <row r="642" spans="11:17" x14ac:dyDescent="0.3">
      <c r="K642" s="354">
        <v>41429</v>
      </c>
      <c r="L642" s="354">
        <v>1.183E-2</v>
      </c>
      <c r="M642" s="354">
        <v>0.13353000000000001</v>
      </c>
      <c r="N642" s="354">
        <v>0.13811999999999999</v>
      </c>
      <c r="O642" s="354">
        <v>0.13048000000000001</v>
      </c>
      <c r="P642" s="354">
        <v>3.1300000000000001E-2</v>
      </c>
      <c r="Q642" s="354">
        <v>9.9180000000000004E-2</v>
      </c>
    </row>
    <row r="643" spans="11:17" x14ac:dyDescent="0.3">
      <c r="K643" s="354">
        <v>41428</v>
      </c>
      <c r="L643" s="354">
        <v>1.1849999999999999E-2</v>
      </c>
      <c r="M643" s="354">
        <v>0.13164999999999999</v>
      </c>
      <c r="N643" s="354">
        <v>0.1381</v>
      </c>
      <c r="O643" s="354">
        <v>0.12941</v>
      </c>
      <c r="P643" s="354">
        <v>3.1199999999999999E-2</v>
      </c>
      <c r="Q643" s="354">
        <v>9.8210000000000006E-2</v>
      </c>
    </row>
    <row r="644" spans="11:17" x14ac:dyDescent="0.3">
      <c r="K644" s="354">
        <v>41425</v>
      </c>
      <c r="L644" s="354">
        <v>1.18E-2</v>
      </c>
      <c r="M644" s="354">
        <v>0.13134000000000001</v>
      </c>
      <c r="N644" s="354">
        <v>0.13839000000000001</v>
      </c>
      <c r="O644" s="354">
        <v>0.12884999999999999</v>
      </c>
      <c r="P644" s="354">
        <v>3.1199999999999999E-2</v>
      </c>
      <c r="Q644" s="354">
        <v>9.7650000000000001E-2</v>
      </c>
    </row>
    <row r="645" spans="11:17" x14ac:dyDescent="0.3">
      <c r="K645" s="354">
        <v>41424</v>
      </c>
      <c r="L645" s="354">
        <v>1.189E-2</v>
      </c>
      <c r="M645" s="354">
        <v>0.13194</v>
      </c>
      <c r="N645" s="354">
        <v>0.1384</v>
      </c>
      <c r="O645" s="354">
        <v>0.12784000000000001</v>
      </c>
      <c r="P645" s="354">
        <v>3.0499999999999999E-2</v>
      </c>
      <c r="Q645" s="354">
        <v>9.7339999999999996E-2</v>
      </c>
    </row>
    <row r="646" spans="11:17" x14ac:dyDescent="0.3">
      <c r="K646" s="354">
        <v>41423</v>
      </c>
      <c r="L646" s="354">
        <v>1.189E-2</v>
      </c>
      <c r="M646" s="354">
        <v>0.11020000000000001</v>
      </c>
      <c r="N646" s="354">
        <v>0.13833000000000001</v>
      </c>
      <c r="O646" s="354">
        <v>0.11851</v>
      </c>
      <c r="P646" s="354">
        <v>3.04E-2</v>
      </c>
      <c r="Q646" s="354">
        <v>8.8109999999999994E-2</v>
      </c>
    </row>
    <row r="647" spans="11:17" x14ac:dyDescent="0.3">
      <c r="K647" s="354">
        <v>41422</v>
      </c>
      <c r="L647" s="354">
        <v>1.197E-2</v>
      </c>
      <c r="M647" s="354">
        <v>0.11162999999999999</v>
      </c>
      <c r="N647" s="354">
        <v>0.13825999999999999</v>
      </c>
      <c r="O647" s="354">
        <v>0.11879000000000001</v>
      </c>
      <c r="P647" s="354">
        <v>2.9399999999999999E-2</v>
      </c>
      <c r="Q647" s="354">
        <v>8.9389999999999997E-2</v>
      </c>
    </row>
    <row r="648" spans="11:17" x14ac:dyDescent="0.3">
      <c r="K648" s="354">
        <v>41421</v>
      </c>
      <c r="L648" s="354">
        <v>1.201E-2</v>
      </c>
      <c r="M648" s="354">
        <v>0.10360999999999999</v>
      </c>
      <c r="N648" s="354">
        <v>0.13816000000000001</v>
      </c>
      <c r="O648" s="354">
        <v>0.11573</v>
      </c>
      <c r="P648" s="354">
        <v>2.92E-2</v>
      </c>
      <c r="Q648" s="354">
        <v>8.6529999999999996E-2</v>
      </c>
    </row>
    <row r="649" spans="11:17" x14ac:dyDescent="0.3">
      <c r="K649" s="354">
        <v>41418</v>
      </c>
      <c r="L649" s="354">
        <v>1.206E-2</v>
      </c>
      <c r="M649" s="354">
        <v>0.10153</v>
      </c>
      <c r="N649" s="354">
        <v>0.13818</v>
      </c>
      <c r="O649" s="354">
        <v>0.11524</v>
      </c>
      <c r="P649" s="354">
        <v>2.9399999999999999E-2</v>
      </c>
      <c r="Q649" s="354">
        <v>8.584E-2</v>
      </c>
    </row>
    <row r="650" spans="11:17" x14ac:dyDescent="0.3">
      <c r="K650" s="354">
        <v>41417</v>
      </c>
      <c r="L650" s="354">
        <v>1.21E-2</v>
      </c>
      <c r="M650" s="354">
        <v>0.10145</v>
      </c>
      <c r="N650" s="354">
        <v>0.13861000000000001</v>
      </c>
      <c r="O650" s="354">
        <v>0.11541999999999999</v>
      </c>
      <c r="P650" s="354">
        <v>2.93E-2</v>
      </c>
      <c r="Q650" s="354">
        <v>8.6120000000000002E-2</v>
      </c>
    </row>
    <row r="651" spans="11:17" x14ac:dyDescent="0.3">
      <c r="K651" s="354">
        <v>41416</v>
      </c>
      <c r="L651" s="354">
        <v>1.197E-2</v>
      </c>
      <c r="M651" s="354">
        <v>0.10101</v>
      </c>
      <c r="N651" s="354">
        <v>0.13858999999999999</v>
      </c>
      <c r="O651" s="354">
        <v>0.11483</v>
      </c>
      <c r="P651" s="354">
        <v>2.93E-2</v>
      </c>
      <c r="Q651" s="354">
        <v>8.5529999999999995E-2</v>
      </c>
    </row>
    <row r="652" spans="11:17" x14ac:dyDescent="0.3">
      <c r="K652" s="354">
        <v>41415</v>
      </c>
      <c r="L652" s="354">
        <v>1.2030000000000001E-2</v>
      </c>
      <c r="M652" s="354">
        <v>0.1014</v>
      </c>
      <c r="N652" s="354">
        <v>0.13852</v>
      </c>
      <c r="O652" s="354">
        <v>0.11507000000000001</v>
      </c>
      <c r="P652" s="354">
        <v>2.92E-2</v>
      </c>
      <c r="Q652" s="354">
        <v>8.5870000000000002E-2</v>
      </c>
    </row>
    <row r="653" spans="11:17" x14ac:dyDescent="0.3">
      <c r="K653" s="354">
        <v>41414</v>
      </c>
      <c r="L653" s="354">
        <v>1.1990000000000001E-2</v>
      </c>
      <c r="M653" s="354">
        <v>0.10118000000000001</v>
      </c>
      <c r="N653" s="354">
        <v>0.13830000000000001</v>
      </c>
      <c r="O653" s="354">
        <v>0.11481</v>
      </c>
      <c r="P653" s="354">
        <v>2.92E-2</v>
      </c>
      <c r="Q653" s="354">
        <v>8.5610000000000006E-2</v>
      </c>
    </row>
    <row r="654" spans="11:17" x14ac:dyDescent="0.3">
      <c r="K654" s="354">
        <v>41410</v>
      </c>
      <c r="L654" s="354">
        <v>1.1990000000000001E-2</v>
      </c>
      <c r="M654" s="354">
        <v>9.8989999999999995E-2</v>
      </c>
      <c r="N654" s="354">
        <v>0.13782</v>
      </c>
      <c r="O654" s="354">
        <v>0.11382</v>
      </c>
      <c r="P654" s="354">
        <v>2.8899999999999999E-2</v>
      </c>
      <c r="Q654" s="354">
        <v>8.4919999999999995E-2</v>
      </c>
    </row>
    <row r="655" spans="11:17" x14ac:dyDescent="0.3">
      <c r="K655" s="354">
        <v>41409</v>
      </c>
      <c r="L655" s="354">
        <v>1.21E-2</v>
      </c>
      <c r="M655" s="354">
        <v>9.9250000000000005E-2</v>
      </c>
      <c r="N655" s="354">
        <v>0.13780999999999999</v>
      </c>
      <c r="O655" s="354">
        <v>0.11443</v>
      </c>
      <c r="P655" s="354">
        <v>2.8799999999999999E-2</v>
      </c>
      <c r="Q655" s="354">
        <v>8.5629999999999998E-2</v>
      </c>
    </row>
    <row r="656" spans="11:17" x14ac:dyDescent="0.3">
      <c r="K656" s="354">
        <v>41408</v>
      </c>
      <c r="L656" s="354">
        <v>1.2109999999999999E-2</v>
      </c>
      <c r="M656" s="354">
        <v>9.8479999999999998E-2</v>
      </c>
      <c r="N656" s="354">
        <v>0.13752</v>
      </c>
      <c r="O656" s="354">
        <v>0.11409999999999999</v>
      </c>
      <c r="P656" s="354">
        <v>2.87E-2</v>
      </c>
      <c r="Q656" s="354">
        <v>8.5400000000000004E-2</v>
      </c>
    </row>
    <row r="657" spans="11:17" x14ac:dyDescent="0.3">
      <c r="K657" s="354">
        <v>41407</v>
      </c>
      <c r="L657" s="354">
        <v>1.227E-2</v>
      </c>
      <c r="M657" s="354">
        <v>9.74E-2</v>
      </c>
      <c r="N657" s="354">
        <v>0.14021</v>
      </c>
      <c r="O657" s="354">
        <v>0.11405</v>
      </c>
      <c r="P657" s="354">
        <v>2.8899999999999999E-2</v>
      </c>
      <c r="Q657" s="354">
        <v>8.5150000000000003E-2</v>
      </c>
    </row>
    <row r="658" spans="11:17" x14ac:dyDescent="0.3">
      <c r="K658" s="354">
        <v>41404</v>
      </c>
      <c r="L658" s="354">
        <v>1.2290000000000001E-2</v>
      </c>
      <c r="M658" s="354">
        <v>9.7960000000000005E-2</v>
      </c>
      <c r="N658" s="354">
        <v>0.14615</v>
      </c>
      <c r="O658" s="354">
        <v>0.11453000000000001</v>
      </c>
      <c r="P658" s="354">
        <v>2.87E-2</v>
      </c>
      <c r="Q658" s="354">
        <v>8.5830000000000004E-2</v>
      </c>
    </row>
    <row r="659" spans="11:17" x14ac:dyDescent="0.3">
      <c r="K659" s="354">
        <v>41403</v>
      </c>
      <c r="L659" s="354">
        <v>1.2070000000000001E-2</v>
      </c>
      <c r="M659" s="354">
        <v>9.7350000000000006E-2</v>
      </c>
      <c r="N659" s="354">
        <v>0.14624999999999999</v>
      </c>
      <c r="O659" s="354">
        <v>0.11354</v>
      </c>
      <c r="P659" s="354">
        <v>2.8400000000000002E-2</v>
      </c>
      <c r="Q659" s="354">
        <v>8.5139999999999993E-2</v>
      </c>
    </row>
    <row r="660" spans="11:17" x14ac:dyDescent="0.3">
      <c r="K660" s="354">
        <v>41402</v>
      </c>
      <c r="L660" s="354">
        <v>1.2239999999999999E-2</v>
      </c>
      <c r="M660" s="354">
        <v>9.7750000000000004E-2</v>
      </c>
      <c r="N660" s="354">
        <v>0.14593999999999999</v>
      </c>
      <c r="O660" s="354">
        <v>0.11429</v>
      </c>
      <c r="P660" s="354">
        <v>2.8199999999999999E-2</v>
      </c>
      <c r="Q660" s="354">
        <v>8.609E-2</v>
      </c>
    </row>
    <row r="661" spans="11:17" x14ac:dyDescent="0.3">
      <c r="K661" s="354">
        <v>41401</v>
      </c>
      <c r="L661" s="354">
        <v>1.225E-2</v>
      </c>
      <c r="M661" s="354">
        <v>9.7589999999999996E-2</v>
      </c>
      <c r="N661" s="354">
        <v>0.14604</v>
      </c>
      <c r="O661" s="354">
        <v>0.11426</v>
      </c>
      <c r="P661" s="354">
        <v>2.8000000000000001E-2</v>
      </c>
      <c r="Q661" s="354">
        <v>8.6260000000000003E-2</v>
      </c>
    </row>
    <row r="662" spans="11:17" x14ac:dyDescent="0.3">
      <c r="K662" s="354">
        <v>41400</v>
      </c>
      <c r="L662" s="354">
        <v>1.2189999999999999E-2</v>
      </c>
      <c r="M662" s="354">
        <v>9.5380000000000006E-2</v>
      </c>
      <c r="N662" s="354">
        <v>0.14574999999999999</v>
      </c>
      <c r="O662" s="354">
        <v>0.11382</v>
      </c>
      <c r="P662" s="354">
        <v>2.81E-2</v>
      </c>
      <c r="Q662" s="354">
        <v>8.5720000000000005E-2</v>
      </c>
    </row>
    <row r="663" spans="11:17" x14ac:dyDescent="0.3">
      <c r="K663" s="354">
        <v>41397</v>
      </c>
      <c r="L663" s="354">
        <v>1.221E-2</v>
      </c>
      <c r="M663" s="354">
        <v>9.4339999999999993E-2</v>
      </c>
      <c r="N663" s="354">
        <v>0.14527999999999999</v>
      </c>
      <c r="O663" s="354">
        <v>0.11348999999999999</v>
      </c>
      <c r="P663" s="354">
        <v>2.7400000000000001E-2</v>
      </c>
      <c r="Q663" s="354">
        <v>8.609E-2</v>
      </c>
    </row>
    <row r="664" spans="11:17" x14ac:dyDescent="0.3">
      <c r="K664" s="354">
        <v>41396</v>
      </c>
      <c r="L664" s="354">
        <v>1.226E-2</v>
      </c>
      <c r="M664" s="354">
        <v>9.375E-2</v>
      </c>
      <c r="N664" s="354">
        <v>0.14519000000000001</v>
      </c>
      <c r="O664" s="354">
        <v>0.1135</v>
      </c>
      <c r="P664" s="354">
        <v>2.7300000000000001E-2</v>
      </c>
      <c r="Q664" s="354">
        <v>8.6199999999999999E-2</v>
      </c>
    </row>
    <row r="665" spans="11:17" x14ac:dyDescent="0.3">
      <c r="K665" s="354">
        <v>41394</v>
      </c>
      <c r="L665" s="354">
        <v>1.221E-2</v>
      </c>
      <c r="M665" s="354">
        <v>9.3859999999999999E-2</v>
      </c>
      <c r="N665" s="354">
        <v>0.14505999999999999</v>
      </c>
      <c r="O665" s="354">
        <v>0.11361</v>
      </c>
      <c r="P665" s="354">
        <v>2.7699999999999999E-2</v>
      </c>
      <c r="Q665" s="354">
        <v>8.591E-2</v>
      </c>
    </row>
    <row r="666" spans="11:17" x14ac:dyDescent="0.3">
      <c r="K666" s="354">
        <v>41393</v>
      </c>
      <c r="L666" s="354">
        <v>1.235E-2</v>
      </c>
      <c r="M666" s="354">
        <v>9.443E-2</v>
      </c>
      <c r="N666" s="354">
        <v>0.14455999999999999</v>
      </c>
      <c r="O666" s="354">
        <v>0.11477999999999999</v>
      </c>
      <c r="P666" s="354">
        <v>2.81E-2</v>
      </c>
      <c r="Q666" s="354">
        <v>8.6679999999999993E-2</v>
      </c>
    </row>
    <row r="667" spans="11:17" x14ac:dyDescent="0.3">
      <c r="K667" s="354">
        <v>41390</v>
      </c>
      <c r="L667" s="354">
        <v>1.2319999999999999E-2</v>
      </c>
      <c r="M667" s="354">
        <v>0.10085</v>
      </c>
      <c r="N667" s="354">
        <v>0.14373</v>
      </c>
      <c r="O667" s="354">
        <v>0.11744</v>
      </c>
      <c r="P667" s="354">
        <v>2.8000000000000001E-2</v>
      </c>
      <c r="Q667" s="354">
        <v>8.9440000000000006E-2</v>
      </c>
    </row>
    <row r="668" spans="11:17" x14ac:dyDescent="0.3">
      <c r="K668" s="354">
        <v>41389</v>
      </c>
      <c r="L668" s="354">
        <v>1.222E-2</v>
      </c>
      <c r="M668" s="354">
        <v>9.9830000000000002E-2</v>
      </c>
      <c r="N668" s="354">
        <v>0.14246</v>
      </c>
      <c r="O668" s="354">
        <v>0.1167</v>
      </c>
      <c r="P668" s="354">
        <v>2.8199999999999999E-2</v>
      </c>
      <c r="Q668" s="354">
        <v>8.8499999999999995E-2</v>
      </c>
    </row>
    <row r="669" spans="11:17" x14ac:dyDescent="0.3">
      <c r="K669" s="354">
        <v>41388</v>
      </c>
      <c r="L669" s="354">
        <v>1.231E-2</v>
      </c>
      <c r="M669" s="354">
        <v>9.9110000000000004E-2</v>
      </c>
      <c r="N669" s="354">
        <v>0.14232</v>
      </c>
      <c r="O669" s="354">
        <v>0.1166</v>
      </c>
      <c r="P669" s="354">
        <v>2.8500000000000001E-2</v>
      </c>
      <c r="Q669" s="354">
        <v>8.8099999999999998E-2</v>
      </c>
    </row>
    <row r="670" spans="11:17" x14ac:dyDescent="0.3">
      <c r="K670" s="354">
        <v>41387</v>
      </c>
      <c r="L670" s="354">
        <v>1.2460000000000001E-2</v>
      </c>
      <c r="M670" s="354">
        <v>0.10076</v>
      </c>
      <c r="N670" s="354">
        <v>0.14216999999999999</v>
      </c>
      <c r="O670" s="354">
        <v>0.11641</v>
      </c>
      <c r="P670" s="354">
        <v>2.8500000000000001E-2</v>
      </c>
      <c r="Q670" s="354">
        <v>8.7910000000000002E-2</v>
      </c>
    </row>
    <row r="671" spans="11:17" x14ac:dyDescent="0.3">
      <c r="K671" s="354">
        <v>41386</v>
      </c>
      <c r="L671" s="354">
        <v>1.218E-2</v>
      </c>
      <c r="M671" s="354">
        <v>9.9970000000000003E-2</v>
      </c>
      <c r="N671" s="354">
        <v>0.14222000000000001</v>
      </c>
      <c r="O671" s="354">
        <v>0.11569</v>
      </c>
      <c r="P671" s="354">
        <v>2.87E-2</v>
      </c>
      <c r="Q671" s="354">
        <v>8.6989999999999998E-2</v>
      </c>
    </row>
    <row r="672" spans="11:17" x14ac:dyDescent="0.3">
      <c r="K672" s="354">
        <v>41383</v>
      </c>
      <c r="L672" s="354">
        <v>1.234E-2</v>
      </c>
      <c r="M672" s="354">
        <v>9.9150000000000002E-2</v>
      </c>
      <c r="N672" s="354">
        <v>0.14224999999999999</v>
      </c>
      <c r="O672" s="354">
        <v>0.11594</v>
      </c>
      <c r="P672" s="354">
        <v>2.87E-2</v>
      </c>
      <c r="Q672" s="354">
        <v>8.7239999999999998E-2</v>
      </c>
    </row>
    <row r="673" spans="11:17" x14ac:dyDescent="0.3">
      <c r="K673" s="354">
        <v>41382</v>
      </c>
      <c r="L673" s="354">
        <v>1.239E-2</v>
      </c>
      <c r="M673" s="354">
        <v>9.9159999999999998E-2</v>
      </c>
      <c r="N673" s="354">
        <v>0.14229</v>
      </c>
      <c r="O673" s="354">
        <v>0.11617</v>
      </c>
      <c r="P673" s="354">
        <v>2.86E-2</v>
      </c>
      <c r="Q673" s="354">
        <v>8.7569999999999995E-2</v>
      </c>
    </row>
    <row r="674" spans="11:17" x14ac:dyDescent="0.3">
      <c r="K674" s="354">
        <v>41381</v>
      </c>
      <c r="L674" s="354">
        <v>1.222E-2</v>
      </c>
      <c r="M674" s="354">
        <v>9.8900000000000002E-2</v>
      </c>
      <c r="N674" s="354">
        <v>0.14223</v>
      </c>
      <c r="O674" s="354">
        <v>0.11557000000000001</v>
      </c>
      <c r="P674" s="354">
        <v>2.9000000000000001E-2</v>
      </c>
      <c r="Q674" s="354">
        <v>8.6569999999999994E-2</v>
      </c>
    </row>
    <row r="675" spans="11:17" x14ac:dyDescent="0.3">
      <c r="K675" s="354">
        <v>41380</v>
      </c>
      <c r="L675" s="354">
        <v>1.223E-2</v>
      </c>
      <c r="M675" s="354">
        <v>9.8710000000000006E-2</v>
      </c>
      <c r="N675" s="354">
        <v>0.14147000000000001</v>
      </c>
      <c r="O675" s="354">
        <v>0.11616</v>
      </c>
      <c r="P675" s="354">
        <v>2.9000000000000001E-2</v>
      </c>
      <c r="Q675" s="354">
        <v>8.7160000000000001E-2</v>
      </c>
    </row>
    <row r="676" spans="11:17" x14ac:dyDescent="0.3">
      <c r="K676" s="354">
        <v>41379</v>
      </c>
      <c r="L676" s="354">
        <v>1.2239999999999999E-2</v>
      </c>
      <c r="M676" s="354">
        <v>0.10117</v>
      </c>
      <c r="N676" s="354">
        <v>0.14121</v>
      </c>
      <c r="O676" s="354">
        <v>0.11755</v>
      </c>
      <c r="P676" s="354">
        <v>2.9700000000000001E-2</v>
      </c>
      <c r="Q676" s="354">
        <v>8.7849999999999998E-2</v>
      </c>
    </row>
    <row r="677" spans="11:17" x14ac:dyDescent="0.3">
      <c r="K677" s="354">
        <v>41376</v>
      </c>
      <c r="L677" s="354">
        <v>1.227E-2</v>
      </c>
      <c r="M677" s="354">
        <v>0.10278</v>
      </c>
      <c r="N677" s="354">
        <v>0.14158000000000001</v>
      </c>
      <c r="O677" s="354">
        <v>0.11824</v>
      </c>
      <c r="P677" s="354">
        <v>2.9600000000000001E-2</v>
      </c>
      <c r="Q677" s="354">
        <v>8.8639999999999997E-2</v>
      </c>
    </row>
    <row r="678" spans="11:17" x14ac:dyDescent="0.3">
      <c r="K678" s="354">
        <v>41375</v>
      </c>
      <c r="L678" s="354">
        <v>1.208E-2</v>
      </c>
      <c r="M678" s="354">
        <v>0.1023</v>
      </c>
      <c r="N678" s="354">
        <v>0.14169999999999999</v>
      </c>
      <c r="O678" s="354">
        <v>0.11768000000000001</v>
      </c>
      <c r="P678" s="354">
        <v>2.9100000000000001E-2</v>
      </c>
      <c r="Q678" s="354">
        <v>8.8580000000000006E-2</v>
      </c>
    </row>
    <row r="679" spans="11:17" x14ac:dyDescent="0.3">
      <c r="K679" s="354">
        <v>41374</v>
      </c>
      <c r="L679" s="354">
        <v>1.217E-2</v>
      </c>
      <c r="M679" s="354">
        <v>0.10273</v>
      </c>
      <c r="N679" s="354">
        <v>0.14293</v>
      </c>
      <c r="O679" s="354">
        <v>0.11897000000000001</v>
      </c>
      <c r="P679" s="354">
        <v>2.7900000000000001E-2</v>
      </c>
      <c r="Q679" s="354">
        <v>9.1069999999999998E-2</v>
      </c>
    </row>
    <row r="680" spans="11:17" x14ac:dyDescent="0.3">
      <c r="K680" s="354">
        <v>41373</v>
      </c>
      <c r="L680" s="354">
        <v>1.2200000000000001E-2</v>
      </c>
      <c r="M680" s="354">
        <v>0.10707999999999999</v>
      </c>
      <c r="N680" s="354">
        <v>0.14121</v>
      </c>
      <c r="O680" s="354">
        <v>0.12127</v>
      </c>
      <c r="P680" s="354">
        <v>2.7900000000000001E-2</v>
      </c>
      <c r="Q680" s="354">
        <v>9.3369999999999995E-2</v>
      </c>
    </row>
    <row r="681" spans="11:17" x14ac:dyDescent="0.3">
      <c r="K681" s="354">
        <v>41372</v>
      </c>
      <c r="L681" s="354">
        <v>1.221E-2</v>
      </c>
      <c r="M681" s="354">
        <v>0.11069</v>
      </c>
      <c r="N681" s="354">
        <v>0.14079</v>
      </c>
      <c r="O681" s="354">
        <v>0.12214999999999999</v>
      </c>
      <c r="P681" s="354">
        <v>2.7699999999999999E-2</v>
      </c>
      <c r="Q681" s="354">
        <v>9.4450000000000006E-2</v>
      </c>
    </row>
    <row r="682" spans="11:17" x14ac:dyDescent="0.3">
      <c r="K682" s="354">
        <v>41369</v>
      </c>
      <c r="L682" s="354">
        <v>1.2189999999999999E-2</v>
      </c>
      <c r="M682" s="354">
        <v>0.10766000000000001</v>
      </c>
      <c r="N682" s="354">
        <v>0.14097000000000001</v>
      </c>
      <c r="O682" s="354">
        <v>0.11973</v>
      </c>
      <c r="P682" s="354">
        <v>2.76E-2</v>
      </c>
      <c r="Q682" s="354">
        <v>9.2130000000000004E-2</v>
      </c>
    </row>
    <row r="683" spans="11:17" x14ac:dyDescent="0.3">
      <c r="K683" s="354">
        <v>41368</v>
      </c>
      <c r="L683" s="354">
        <v>1.157E-2</v>
      </c>
      <c r="M683" s="354">
        <v>0.10599</v>
      </c>
      <c r="N683" s="354">
        <v>0.13023999999999999</v>
      </c>
      <c r="O683" s="354">
        <v>0.11794</v>
      </c>
      <c r="P683" s="354">
        <v>2.7900000000000001E-2</v>
      </c>
      <c r="Q683" s="354">
        <v>9.0039999999999995E-2</v>
      </c>
    </row>
    <row r="684" spans="11:17" x14ac:dyDescent="0.3">
      <c r="K684" s="354">
        <v>41367</v>
      </c>
      <c r="L684" s="354">
        <v>1.142E-2</v>
      </c>
      <c r="M684" s="354">
        <v>0.10499</v>
      </c>
      <c r="N684" s="354">
        <v>0.13017999999999999</v>
      </c>
      <c r="O684" s="354">
        <v>0.11674</v>
      </c>
      <c r="P684" s="354">
        <v>2.7799999999999998E-2</v>
      </c>
      <c r="Q684" s="354">
        <v>8.8940000000000005E-2</v>
      </c>
    </row>
    <row r="685" spans="11:17" x14ac:dyDescent="0.3">
      <c r="K685" s="354">
        <v>41366</v>
      </c>
      <c r="L685" s="354">
        <v>1.136E-2</v>
      </c>
      <c r="M685" s="354">
        <v>0.10539</v>
      </c>
      <c r="N685" s="354">
        <v>0.13016</v>
      </c>
      <c r="O685" s="354">
        <v>0.11681</v>
      </c>
      <c r="P685" s="354">
        <v>2.8000000000000001E-2</v>
      </c>
      <c r="Q685" s="354">
        <v>8.881E-2</v>
      </c>
    </row>
    <row r="686" spans="11:17" x14ac:dyDescent="0.3">
      <c r="K686" s="354">
        <v>41365</v>
      </c>
      <c r="L686" s="354">
        <v>1.1299999999999999E-2</v>
      </c>
      <c r="M686" s="354">
        <v>0.10371</v>
      </c>
      <c r="N686" s="354">
        <v>0.13013</v>
      </c>
      <c r="O686" s="354">
        <v>0.11631</v>
      </c>
      <c r="P686" s="354">
        <v>2.81E-2</v>
      </c>
      <c r="Q686" s="354">
        <v>8.8209999999999997E-2</v>
      </c>
    </row>
    <row r="687" spans="11:17" x14ac:dyDescent="0.3">
      <c r="K687" s="354">
        <v>41362</v>
      </c>
      <c r="L687" s="354">
        <v>1.1639999999999999E-2</v>
      </c>
      <c r="M687" s="354">
        <v>0.10706</v>
      </c>
      <c r="N687" s="354">
        <v>0.14144999999999999</v>
      </c>
      <c r="O687" s="354">
        <v>0.11761000000000001</v>
      </c>
      <c r="P687" s="354">
        <v>2.8000000000000001E-2</v>
      </c>
      <c r="Q687" s="354">
        <v>8.9609999999999995E-2</v>
      </c>
    </row>
    <row r="688" spans="11:17" x14ac:dyDescent="0.3">
      <c r="K688" s="354">
        <v>41361</v>
      </c>
      <c r="L688" s="354">
        <v>1.17E-2</v>
      </c>
      <c r="M688" s="354">
        <v>0.1076</v>
      </c>
      <c r="N688" s="354">
        <v>0.14152999999999999</v>
      </c>
      <c r="O688" s="354">
        <v>0.11809</v>
      </c>
      <c r="P688" s="354">
        <v>2.7300000000000001E-2</v>
      </c>
      <c r="Q688" s="354">
        <v>9.0789999999999996E-2</v>
      </c>
    </row>
    <row r="689" spans="11:17" x14ac:dyDescent="0.3">
      <c r="K689" s="354">
        <v>41360</v>
      </c>
      <c r="L689" s="354">
        <v>1.171E-2</v>
      </c>
      <c r="M689" s="354">
        <v>0.10753</v>
      </c>
      <c r="N689" s="354">
        <v>0.14151</v>
      </c>
      <c r="O689" s="354">
        <v>0.11827</v>
      </c>
      <c r="P689" s="354">
        <v>2.86E-2</v>
      </c>
      <c r="Q689" s="354">
        <v>8.967E-2</v>
      </c>
    </row>
    <row r="690" spans="11:17" x14ac:dyDescent="0.3">
      <c r="K690" s="354">
        <v>41359</v>
      </c>
      <c r="L690" s="354">
        <v>1.1780000000000001E-2</v>
      </c>
      <c r="M690" s="354">
        <v>0.10836999999999999</v>
      </c>
      <c r="N690" s="354">
        <v>0.1414</v>
      </c>
      <c r="O690" s="354">
        <v>0.1192</v>
      </c>
      <c r="P690" s="354">
        <v>2.8799999999999999E-2</v>
      </c>
      <c r="Q690" s="354">
        <v>9.0399999999999994E-2</v>
      </c>
    </row>
    <row r="691" spans="11:17" x14ac:dyDescent="0.3">
      <c r="K691" s="354">
        <v>41358</v>
      </c>
      <c r="L691" s="354">
        <v>1.184E-2</v>
      </c>
      <c r="M691" s="354">
        <v>0.10883</v>
      </c>
      <c r="N691" s="354">
        <v>0.14152000000000001</v>
      </c>
      <c r="O691" s="354">
        <v>0.11967999999999999</v>
      </c>
      <c r="P691" s="354">
        <v>2.8799999999999999E-2</v>
      </c>
      <c r="Q691" s="354">
        <v>9.0880000000000002E-2</v>
      </c>
    </row>
    <row r="692" spans="11:17" x14ac:dyDescent="0.3">
      <c r="K692" s="354">
        <v>41355</v>
      </c>
      <c r="L692" s="354">
        <v>1.2019999999999999E-2</v>
      </c>
      <c r="M692" s="354">
        <v>0.10835</v>
      </c>
      <c r="N692" s="354">
        <v>0.14069000000000001</v>
      </c>
      <c r="O692" s="354">
        <v>0.11967999999999999</v>
      </c>
      <c r="P692" s="354">
        <v>2.87E-2</v>
      </c>
      <c r="Q692" s="354">
        <v>9.0980000000000005E-2</v>
      </c>
    </row>
    <row r="693" spans="11:17" x14ac:dyDescent="0.3">
      <c r="K693" s="354">
        <v>41354</v>
      </c>
      <c r="L693" s="354">
        <v>1.2E-2</v>
      </c>
      <c r="M693" s="354">
        <v>0.10944</v>
      </c>
      <c r="N693" s="354">
        <v>0.14066000000000001</v>
      </c>
      <c r="O693" s="354">
        <v>0.11989</v>
      </c>
      <c r="P693" s="354">
        <v>2.8899999999999999E-2</v>
      </c>
      <c r="Q693" s="354">
        <v>9.0990000000000001E-2</v>
      </c>
    </row>
    <row r="694" spans="11:17" x14ac:dyDescent="0.3">
      <c r="K694" s="354">
        <v>41353</v>
      </c>
      <c r="L694" s="354">
        <v>1.1939999999999999E-2</v>
      </c>
      <c r="M694" s="354">
        <v>0.10903</v>
      </c>
      <c r="N694" s="354">
        <v>0.14052999999999999</v>
      </c>
      <c r="O694" s="354">
        <v>0.11956</v>
      </c>
      <c r="P694" s="354">
        <v>2.9000000000000001E-2</v>
      </c>
      <c r="Q694" s="354">
        <v>9.0560000000000002E-2</v>
      </c>
    </row>
    <row r="695" spans="11:17" x14ac:dyDescent="0.3">
      <c r="K695" s="354">
        <v>41352</v>
      </c>
      <c r="L695" s="354">
        <v>1.1820000000000001E-2</v>
      </c>
      <c r="M695" s="354">
        <v>0.10969</v>
      </c>
      <c r="N695" s="354">
        <v>0.14043</v>
      </c>
      <c r="O695" s="354">
        <v>0.11948</v>
      </c>
      <c r="P695" s="354">
        <v>2.8799999999999999E-2</v>
      </c>
      <c r="Q695" s="354">
        <v>9.0679999999999997E-2</v>
      </c>
    </row>
    <row r="696" spans="11:17" x14ac:dyDescent="0.3">
      <c r="K696" s="354">
        <v>41351</v>
      </c>
      <c r="L696" s="354">
        <v>1.189E-2</v>
      </c>
      <c r="M696" s="354">
        <v>0.11108999999999999</v>
      </c>
      <c r="N696" s="354">
        <v>0.14051</v>
      </c>
      <c r="O696" s="354">
        <v>0.11976000000000001</v>
      </c>
      <c r="P696" s="354">
        <v>2.9000000000000001E-2</v>
      </c>
      <c r="Q696" s="354">
        <v>9.0759999999999993E-2</v>
      </c>
    </row>
    <row r="697" spans="11:17" x14ac:dyDescent="0.3">
      <c r="K697" s="354">
        <v>41348</v>
      </c>
      <c r="L697" s="354">
        <v>1.18E-2</v>
      </c>
      <c r="M697" s="354">
        <v>0.11208</v>
      </c>
      <c r="N697" s="354">
        <v>0.14061000000000001</v>
      </c>
      <c r="O697" s="354">
        <v>0.12018</v>
      </c>
      <c r="P697" s="354">
        <v>2.93E-2</v>
      </c>
      <c r="Q697" s="354">
        <v>9.0880000000000002E-2</v>
      </c>
    </row>
    <row r="698" spans="11:17" x14ac:dyDescent="0.3">
      <c r="K698" s="354">
        <v>41347</v>
      </c>
      <c r="L698" s="354">
        <v>1.171E-2</v>
      </c>
      <c r="M698" s="354">
        <v>0.11269</v>
      </c>
      <c r="N698" s="354">
        <v>0.14019999999999999</v>
      </c>
      <c r="O698" s="354">
        <v>0.11982</v>
      </c>
      <c r="P698" s="354">
        <v>2.9499999999999998E-2</v>
      </c>
      <c r="Q698" s="354">
        <v>9.0319999999999998E-2</v>
      </c>
    </row>
    <row r="699" spans="11:17" x14ac:dyDescent="0.3">
      <c r="K699" s="354">
        <v>41346</v>
      </c>
      <c r="L699" s="354">
        <v>1.171E-2</v>
      </c>
      <c r="M699" s="354">
        <v>0.11243</v>
      </c>
      <c r="N699" s="354">
        <v>0.14018</v>
      </c>
      <c r="O699" s="354">
        <v>0.11994</v>
      </c>
      <c r="P699" s="354">
        <v>2.9600000000000001E-2</v>
      </c>
      <c r="Q699" s="354">
        <v>9.0340000000000004E-2</v>
      </c>
    </row>
    <row r="700" spans="11:17" x14ac:dyDescent="0.3">
      <c r="K700" s="354">
        <v>41345</v>
      </c>
      <c r="L700" s="354">
        <v>1.175E-2</v>
      </c>
      <c r="M700" s="354">
        <v>0.11415</v>
      </c>
      <c r="N700" s="354">
        <v>0.14016000000000001</v>
      </c>
      <c r="O700" s="354">
        <v>0.12095</v>
      </c>
      <c r="P700" s="354">
        <v>2.9499999999999998E-2</v>
      </c>
      <c r="Q700" s="354">
        <v>9.1450000000000004E-2</v>
      </c>
    </row>
    <row r="701" spans="11:17" x14ac:dyDescent="0.3">
      <c r="K701" s="354">
        <v>41344</v>
      </c>
      <c r="L701" s="354">
        <v>1.167E-2</v>
      </c>
      <c r="M701" s="354">
        <v>0.11869</v>
      </c>
      <c r="N701" s="354">
        <v>0.14179</v>
      </c>
      <c r="O701" s="354">
        <v>0.12277</v>
      </c>
      <c r="P701" s="354">
        <v>0.03</v>
      </c>
      <c r="Q701" s="354">
        <v>9.2770000000000005E-2</v>
      </c>
    </row>
    <row r="702" spans="11:17" x14ac:dyDescent="0.3">
      <c r="K702" s="354">
        <v>41341</v>
      </c>
      <c r="L702" s="354">
        <v>1.1650000000000001E-2</v>
      </c>
      <c r="M702" s="354">
        <v>6.2689999999999996E-2</v>
      </c>
      <c r="N702" s="354">
        <v>0.14368</v>
      </c>
      <c r="O702" s="354">
        <v>0.12604000000000001</v>
      </c>
      <c r="P702" s="354">
        <v>2.9899999999999999E-2</v>
      </c>
      <c r="Q702" s="354">
        <v>9.6140000000000003E-2</v>
      </c>
    </row>
    <row r="703" spans="11:17" x14ac:dyDescent="0.3">
      <c r="K703" s="354">
        <v>41340</v>
      </c>
      <c r="L703" s="354">
        <v>1.1650000000000001E-2</v>
      </c>
      <c r="M703" s="354">
        <v>6.0900000000000003E-2</v>
      </c>
      <c r="N703" s="354">
        <v>0.14341999999999999</v>
      </c>
      <c r="O703" s="354">
        <v>0.12511</v>
      </c>
      <c r="P703" s="354">
        <v>2.9899999999999999E-2</v>
      </c>
      <c r="Q703" s="354">
        <v>9.5210000000000003E-2</v>
      </c>
    </row>
    <row r="704" spans="11:17" x14ac:dyDescent="0.3">
      <c r="K704" s="354">
        <v>41339</v>
      </c>
      <c r="L704" s="354">
        <v>1.1480000000000001E-2</v>
      </c>
      <c r="M704" s="354">
        <v>5.7450000000000001E-2</v>
      </c>
      <c r="N704" s="354">
        <v>0.14315</v>
      </c>
      <c r="O704" s="354">
        <v>0.12286</v>
      </c>
      <c r="P704" s="354">
        <v>2.9600000000000001E-2</v>
      </c>
      <c r="Q704" s="354">
        <v>9.3259999999999996E-2</v>
      </c>
    </row>
    <row r="705" spans="11:17" x14ac:dyDescent="0.3">
      <c r="K705" s="354">
        <v>41338</v>
      </c>
      <c r="L705" s="354">
        <v>1.146E-2</v>
      </c>
      <c r="M705" s="354">
        <v>5.457E-2</v>
      </c>
      <c r="N705" s="354">
        <v>0.14316999999999999</v>
      </c>
      <c r="O705" s="354">
        <v>0.12136</v>
      </c>
      <c r="P705" s="354">
        <v>2.93E-2</v>
      </c>
      <c r="Q705" s="354">
        <v>9.2060000000000003E-2</v>
      </c>
    </row>
    <row r="706" spans="11:17" x14ac:dyDescent="0.3">
      <c r="K706" s="354">
        <v>41337</v>
      </c>
      <c r="L706" s="354">
        <v>1.1509999999999999E-2</v>
      </c>
      <c r="M706" s="354">
        <v>5.6210000000000003E-2</v>
      </c>
      <c r="N706" s="354">
        <v>0.14333000000000001</v>
      </c>
      <c r="O706" s="354">
        <v>0.12156</v>
      </c>
      <c r="P706" s="354">
        <v>2.9399999999999999E-2</v>
      </c>
      <c r="Q706" s="354">
        <v>9.2160000000000006E-2</v>
      </c>
    </row>
    <row r="707" spans="11:17" x14ac:dyDescent="0.3">
      <c r="K707" s="354">
        <v>41333</v>
      </c>
      <c r="L707" s="354">
        <v>1.1610000000000001E-2</v>
      </c>
      <c r="M707" s="354">
        <v>6.0150000000000002E-2</v>
      </c>
      <c r="N707" s="354">
        <v>0.14657999999999999</v>
      </c>
      <c r="O707" s="354">
        <v>0.12374</v>
      </c>
      <c r="P707" s="354">
        <v>2.9399999999999999E-2</v>
      </c>
      <c r="Q707" s="354">
        <v>9.4339999999999993E-2</v>
      </c>
    </row>
    <row r="708" spans="11:17" x14ac:dyDescent="0.3">
      <c r="K708" s="354">
        <v>41332</v>
      </c>
      <c r="L708" s="354">
        <v>1.157E-2</v>
      </c>
      <c r="M708" s="354">
        <v>5.9950000000000003E-2</v>
      </c>
      <c r="N708" s="354">
        <v>0.14655000000000001</v>
      </c>
      <c r="O708" s="354">
        <v>0.12424</v>
      </c>
      <c r="P708" s="354">
        <v>2.93E-2</v>
      </c>
      <c r="Q708" s="354">
        <v>9.4939999999999997E-2</v>
      </c>
    </row>
    <row r="709" spans="11:17" x14ac:dyDescent="0.3">
      <c r="K709" s="354">
        <v>41331</v>
      </c>
      <c r="L709" s="354">
        <v>1.1599999999999999E-2</v>
      </c>
      <c r="M709" s="354">
        <v>5.8819999999999997E-2</v>
      </c>
      <c r="N709" s="354">
        <v>0.14652000000000001</v>
      </c>
      <c r="O709" s="354">
        <v>0.12422999999999999</v>
      </c>
      <c r="P709" s="354">
        <v>2.98E-2</v>
      </c>
      <c r="Q709" s="354">
        <v>9.443E-2</v>
      </c>
    </row>
    <row r="710" spans="11:17" x14ac:dyDescent="0.3">
      <c r="K710" s="354">
        <v>41330</v>
      </c>
      <c r="L710" s="354">
        <v>1.15E-2</v>
      </c>
      <c r="M710" s="354">
        <v>5.8250000000000003E-2</v>
      </c>
      <c r="N710" s="354">
        <v>0.14643999999999999</v>
      </c>
      <c r="O710" s="354">
        <v>0.12402000000000001</v>
      </c>
      <c r="P710" s="354">
        <v>3.0200000000000001E-2</v>
      </c>
      <c r="Q710" s="354">
        <v>9.3820000000000001E-2</v>
      </c>
    </row>
    <row r="711" spans="11:17" x14ac:dyDescent="0.3">
      <c r="K711" s="354">
        <v>41327</v>
      </c>
      <c r="L711" s="354">
        <v>1.175E-2</v>
      </c>
      <c r="M711" s="354">
        <v>6.3310000000000005E-2</v>
      </c>
      <c r="N711" s="354">
        <v>0.14685000000000001</v>
      </c>
      <c r="O711" s="354">
        <v>0.12861</v>
      </c>
      <c r="P711" s="354">
        <v>3.0200000000000001E-2</v>
      </c>
      <c r="Q711" s="354">
        <v>9.8409999999999997E-2</v>
      </c>
    </row>
    <row r="712" spans="11:17" x14ac:dyDescent="0.3">
      <c r="K712" s="354">
        <v>41326</v>
      </c>
      <c r="L712" s="354">
        <v>1.175E-2</v>
      </c>
      <c r="M712" s="354">
        <v>6.2600000000000003E-2</v>
      </c>
      <c r="N712" s="354">
        <v>0.14685000000000001</v>
      </c>
      <c r="O712" s="354">
        <v>0.12859000000000001</v>
      </c>
      <c r="P712" s="354">
        <v>3.0200000000000001E-2</v>
      </c>
      <c r="Q712" s="354">
        <v>9.8390000000000005E-2</v>
      </c>
    </row>
    <row r="713" spans="11:17" x14ac:dyDescent="0.3">
      <c r="K713" s="354">
        <v>41325</v>
      </c>
      <c r="L713" s="354">
        <v>1.17E-2</v>
      </c>
      <c r="M713" s="354">
        <v>6.234E-2</v>
      </c>
      <c r="N713" s="354">
        <v>0.14688999999999999</v>
      </c>
      <c r="O713" s="354">
        <v>0.128</v>
      </c>
      <c r="P713" s="354">
        <v>3.04E-2</v>
      </c>
      <c r="Q713" s="354">
        <v>9.7600000000000006E-2</v>
      </c>
    </row>
    <row r="714" spans="11:17" x14ac:dyDescent="0.3">
      <c r="K714" s="354">
        <v>41324</v>
      </c>
      <c r="L714" s="354">
        <v>1.196E-2</v>
      </c>
      <c r="M714" s="354">
        <v>6.1830000000000003E-2</v>
      </c>
      <c r="N714" s="354">
        <v>0.14688000000000001</v>
      </c>
      <c r="O714" s="354">
        <v>0.12839999999999999</v>
      </c>
      <c r="P714" s="354">
        <v>3.0300000000000001E-2</v>
      </c>
      <c r="Q714" s="354">
        <v>9.8100000000000007E-2</v>
      </c>
    </row>
    <row r="715" spans="11:17" x14ac:dyDescent="0.3">
      <c r="K715" s="354">
        <v>41323</v>
      </c>
      <c r="L715" s="354">
        <v>1.2019999999999999E-2</v>
      </c>
      <c r="M715" s="354">
        <v>6.2140000000000001E-2</v>
      </c>
      <c r="N715" s="354">
        <v>0.1469</v>
      </c>
      <c r="O715" s="354">
        <v>0.12884999999999999</v>
      </c>
      <c r="P715" s="354">
        <v>3.0599999999999999E-2</v>
      </c>
      <c r="Q715" s="354">
        <v>9.8250000000000004E-2</v>
      </c>
    </row>
    <row r="716" spans="11:17" x14ac:dyDescent="0.3">
      <c r="K716" s="354">
        <v>41320</v>
      </c>
      <c r="L716" s="354">
        <v>1.1979999999999999E-2</v>
      </c>
      <c r="M716" s="354">
        <v>6.3240000000000005E-2</v>
      </c>
      <c r="N716" s="354">
        <v>0.14577999999999999</v>
      </c>
      <c r="O716" s="354">
        <v>0.12898000000000001</v>
      </c>
      <c r="P716" s="354">
        <v>3.0800000000000001E-2</v>
      </c>
      <c r="Q716" s="354">
        <v>9.8180000000000003E-2</v>
      </c>
    </row>
    <row r="717" spans="11:17" x14ac:dyDescent="0.3">
      <c r="K717" s="354">
        <v>41319</v>
      </c>
      <c r="L717" s="354">
        <v>1.2E-2</v>
      </c>
      <c r="M717" s="354">
        <v>6.3189999999999996E-2</v>
      </c>
      <c r="N717" s="354">
        <v>0.14585000000000001</v>
      </c>
      <c r="O717" s="354">
        <v>0.12906000000000001</v>
      </c>
      <c r="P717" s="354">
        <v>3.09E-2</v>
      </c>
      <c r="Q717" s="354">
        <v>9.8159999999999997E-2</v>
      </c>
    </row>
    <row r="718" spans="11:17" x14ac:dyDescent="0.3">
      <c r="K718" s="354">
        <v>41318</v>
      </c>
      <c r="L718" s="354">
        <v>1.205E-2</v>
      </c>
      <c r="M718" s="354">
        <v>6.3420000000000004E-2</v>
      </c>
      <c r="N718" s="354">
        <v>0.14584</v>
      </c>
      <c r="O718" s="354">
        <v>0.12905</v>
      </c>
      <c r="P718" s="354">
        <v>3.0800000000000001E-2</v>
      </c>
      <c r="Q718" s="354">
        <v>9.8250000000000004E-2</v>
      </c>
    </row>
    <row r="719" spans="11:17" x14ac:dyDescent="0.3">
      <c r="K719" s="354">
        <v>41317</v>
      </c>
      <c r="L719" s="354">
        <v>1.217E-2</v>
      </c>
      <c r="M719" s="354">
        <v>6.3659999999999994E-2</v>
      </c>
      <c r="N719" s="354">
        <v>0.14577000000000001</v>
      </c>
      <c r="O719" s="354">
        <v>0.12952</v>
      </c>
      <c r="P719" s="354">
        <v>3.04E-2</v>
      </c>
      <c r="Q719" s="354">
        <v>9.912E-2</v>
      </c>
    </row>
    <row r="720" spans="11:17" x14ac:dyDescent="0.3">
      <c r="K720" s="354">
        <v>41313</v>
      </c>
      <c r="L720" s="354">
        <v>1.2149999999999999E-2</v>
      </c>
      <c r="M720" s="354">
        <v>6.5610000000000002E-2</v>
      </c>
      <c r="N720" s="354">
        <v>0.14538000000000001</v>
      </c>
      <c r="O720" s="354">
        <v>0.12814</v>
      </c>
      <c r="P720" s="354">
        <v>3.0599999999999999E-2</v>
      </c>
      <c r="Q720" s="354">
        <v>9.7540000000000002E-2</v>
      </c>
    </row>
    <row r="721" spans="11:17" x14ac:dyDescent="0.3">
      <c r="K721" s="354">
        <v>41312</v>
      </c>
      <c r="L721" s="354">
        <v>1.159E-2</v>
      </c>
      <c r="M721" s="354">
        <v>6.2920000000000004E-2</v>
      </c>
      <c r="N721" s="354">
        <v>0.14524999999999999</v>
      </c>
      <c r="O721" s="354">
        <v>0.12753999999999999</v>
      </c>
      <c r="P721" s="354">
        <v>3.0599999999999999E-2</v>
      </c>
      <c r="Q721" s="354">
        <v>9.6939999999999998E-2</v>
      </c>
    </row>
    <row r="722" spans="11:17" x14ac:dyDescent="0.3">
      <c r="K722" s="354">
        <v>41311</v>
      </c>
      <c r="L722" s="354">
        <v>1.1140000000000001E-2</v>
      </c>
      <c r="M722" s="354">
        <v>6.2179999999999999E-2</v>
      </c>
      <c r="N722" s="354">
        <v>0.14477000000000001</v>
      </c>
      <c r="O722" s="354">
        <v>0.12705</v>
      </c>
      <c r="P722" s="354">
        <v>3.0700000000000002E-2</v>
      </c>
      <c r="Q722" s="354">
        <v>9.6350000000000005E-2</v>
      </c>
    </row>
    <row r="723" spans="11:17" x14ac:dyDescent="0.3">
      <c r="K723" s="354">
        <v>41310</v>
      </c>
      <c r="L723" s="354">
        <v>1.111E-2</v>
      </c>
      <c r="M723" s="354">
        <v>6.3700000000000007E-2</v>
      </c>
      <c r="N723" s="354">
        <v>0.14480000000000001</v>
      </c>
      <c r="O723" s="354">
        <v>0.12639</v>
      </c>
      <c r="P723" s="354">
        <v>3.0800000000000001E-2</v>
      </c>
      <c r="Q723" s="354">
        <v>9.5589999999999994E-2</v>
      </c>
    </row>
    <row r="724" spans="11:17" x14ac:dyDescent="0.3">
      <c r="K724" s="354">
        <v>41309</v>
      </c>
      <c r="L724" s="354">
        <v>1.103E-2</v>
      </c>
      <c r="M724" s="354">
        <v>6.2039999999999998E-2</v>
      </c>
      <c r="N724" s="354">
        <v>0.14476</v>
      </c>
      <c r="O724" s="354">
        <v>0.12526000000000001</v>
      </c>
      <c r="P724" s="354">
        <v>3.1099999999999999E-2</v>
      </c>
      <c r="Q724" s="354">
        <v>9.4159999999999994E-2</v>
      </c>
    </row>
    <row r="725" spans="11:17" x14ac:dyDescent="0.3">
      <c r="K725" s="354">
        <v>41306</v>
      </c>
      <c r="L725" s="354">
        <v>1.0880000000000001E-2</v>
      </c>
      <c r="M725" s="354">
        <v>6.0920000000000002E-2</v>
      </c>
      <c r="N725" s="354">
        <v>0.14446999999999999</v>
      </c>
      <c r="O725" s="354">
        <v>0.12451</v>
      </c>
      <c r="P725" s="354">
        <v>3.1199999999999999E-2</v>
      </c>
      <c r="Q725" s="354">
        <v>9.3310000000000004E-2</v>
      </c>
    </row>
    <row r="726" spans="11:17" x14ac:dyDescent="0.3">
      <c r="K726" s="354">
        <v>41305</v>
      </c>
      <c r="L726" s="354">
        <v>1.2789999999999999E-2</v>
      </c>
      <c r="M726" s="354">
        <v>5.9389999999999998E-2</v>
      </c>
      <c r="N726" s="354">
        <v>0.14388000000000001</v>
      </c>
      <c r="O726" s="354">
        <v>0.12439</v>
      </c>
      <c r="P726" s="354">
        <v>3.1E-2</v>
      </c>
      <c r="Q726" s="354">
        <v>9.3390000000000001E-2</v>
      </c>
    </row>
    <row r="727" spans="11:17" x14ac:dyDescent="0.3">
      <c r="K727" s="354">
        <v>41304</v>
      </c>
      <c r="L727" s="354">
        <v>1.2749999999999999E-2</v>
      </c>
      <c r="M727" s="354">
        <v>5.9290000000000002E-2</v>
      </c>
      <c r="N727" s="354">
        <v>0.14385999999999999</v>
      </c>
      <c r="O727" s="354">
        <v>0.1241</v>
      </c>
      <c r="P727" s="354">
        <v>3.1E-2</v>
      </c>
      <c r="Q727" s="354">
        <v>9.3100000000000002E-2</v>
      </c>
    </row>
    <row r="728" spans="11:17" x14ac:dyDescent="0.3">
      <c r="K728" s="354">
        <v>41303</v>
      </c>
      <c r="L728" s="354">
        <v>1.2800000000000001E-2</v>
      </c>
      <c r="M728" s="354">
        <v>5.9549999999999999E-2</v>
      </c>
      <c r="N728" s="354">
        <v>0.14346</v>
      </c>
      <c r="O728" s="354">
        <v>0.12492</v>
      </c>
      <c r="P728" s="354">
        <v>3.04E-2</v>
      </c>
      <c r="Q728" s="354">
        <v>9.4520000000000007E-2</v>
      </c>
    </row>
    <row r="729" spans="11:17" x14ac:dyDescent="0.3">
      <c r="K729" s="354">
        <v>41302</v>
      </c>
      <c r="L729" s="354">
        <v>1.291E-2</v>
      </c>
      <c r="M729" s="354">
        <v>5.9299999999999999E-2</v>
      </c>
      <c r="N729" s="354">
        <v>0.14294000000000001</v>
      </c>
      <c r="O729" s="354">
        <v>0.12654000000000001</v>
      </c>
      <c r="P729" s="354">
        <v>3.0200000000000001E-2</v>
      </c>
      <c r="Q729" s="354">
        <v>9.6339999999999995E-2</v>
      </c>
    </row>
    <row r="730" spans="11:17" x14ac:dyDescent="0.3">
      <c r="K730" s="354">
        <v>41299</v>
      </c>
      <c r="L730" s="354">
        <v>1.2840000000000001E-2</v>
      </c>
      <c r="M730" s="354">
        <v>6.2549999999999994E-2</v>
      </c>
      <c r="N730" s="354">
        <v>0.14124999999999999</v>
      </c>
      <c r="O730" s="354">
        <v>0.12784000000000001</v>
      </c>
      <c r="P730" s="354">
        <v>2.9899999999999999E-2</v>
      </c>
      <c r="Q730" s="354">
        <v>9.7939999999999999E-2</v>
      </c>
    </row>
    <row r="731" spans="11:17" x14ac:dyDescent="0.3">
      <c r="K731" s="354">
        <v>41298</v>
      </c>
      <c r="L731" s="354">
        <v>1.231E-2</v>
      </c>
      <c r="M731" s="354">
        <v>7.6119999999999993E-2</v>
      </c>
      <c r="N731" s="354">
        <v>0.14099</v>
      </c>
      <c r="O731" s="354">
        <v>0.13261000000000001</v>
      </c>
      <c r="P731" s="354">
        <v>0.03</v>
      </c>
      <c r="Q731" s="354">
        <v>0.10261000000000001</v>
      </c>
    </row>
    <row r="732" spans="11:17" x14ac:dyDescent="0.3">
      <c r="K732" s="354">
        <v>41297</v>
      </c>
      <c r="L732" s="354">
        <v>1.2200000000000001E-2</v>
      </c>
      <c r="M732" s="354">
        <v>7.4579999999999994E-2</v>
      </c>
      <c r="N732" s="354">
        <v>0.14079</v>
      </c>
      <c r="O732" s="354">
        <v>0.13220000000000001</v>
      </c>
      <c r="P732" s="354">
        <v>3.0099999999999998E-2</v>
      </c>
      <c r="Q732" s="354">
        <v>0.1021</v>
      </c>
    </row>
    <row r="733" spans="11:17" x14ac:dyDescent="0.3">
      <c r="K733" s="354">
        <v>41296</v>
      </c>
      <c r="L733" s="354">
        <v>1.21E-2</v>
      </c>
      <c r="M733" s="354">
        <v>8.1470000000000001E-2</v>
      </c>
      <c r="N733" s="354">
        <v>0.14072999999999999</v>
      </c>
      <c r="O733" s="354">
        <v>0.13552</v>
      </c>
      <c r="P733" s="354">
        <v>3.0200000000000001E-2</v>
      </c>
      <c r="Q733" s="354">
        <v>0.10532</v>
      </c>
    </row>
    <row r="734" spans="11:17" x14ac:dyDescent="0.3">
      <c r="K734" s="354">
        <v>41295</v>
      </c>
      <c r="L734" s="354">
        <v>1.2189999999999999E-2</v>
      </c>
      <c r="M734" s="354">
        <v>7.9570000000000002E-2</v>
      </c>
      <c r="N734" s="354">
        <v>0.14076</v>
      </c>
      <c r="O734" s="354">
        <v>0.13563</v>
      </c>
      <c r="P734" s="354">
        <v>3.0200000000000001E-2</v>
      </c>
      <c r="Q734" s="354">
        <v>0.10543</v>
      </c>
    </row>
    <row r="735" spans="11:17" x14ac:dyDescent="0.3">
      <c r="K735" s="354">
        <v>41292</v>
      </c>
      <c r="L735" s="354">
        <v>1.213E-2</v>
      </c>
      <c r="M735" s="354">
        <v>7.5160000000000005E-2</v>
      </c>
      <c r="N735" s="354">
        <v>0.14213999999999999</v>
      </c>
      <c r="O735" s="354">
        <v>0.13482</v>
      </c>
      <c r="P735" s="354">
        <v>3.0200000000000001E-2</v>
      </c>
      <c r="Q735" s="354">
        <v>0.10462</v>
      </c>
    </row>
    <row r="736" spans="11:17" x14ac:dyDescent="0.3">
      <c r="K736" s="354">
        <v>41291</v>
      </c>
      <c r="L736" s="354">
        <v>1.222E-2</v>
      </c>
      <c r="M736" s="354">
        <v>7.4349999999999999E-2</v>
      </c>
      <c r="N736" s="354">
        <v>0.1419</v>
      </c>
      <c r="O736" s="354">
        <v>0.13519999999999999</v>
      </c>
      <c r="P736" s="354">
        <v>0.03</v>
      </c>
      <c r="Q736" s="354">
        <v>0.1052</v>
      </c>
    </row>
    <row r="737" spans="11:17" x14ac:dyDescent="0.3">
      <c r="K737" s="354">
        <v>41290</v>
      </c>
      <c r="L737" s="354">
        <v>1.221E-2</v>
      </c>
      <c r="M737" s="354">
        <v>7.2749999999999995E-2</v>
      </c>
      <c r="N737" s="354">
        <v>0.14180999999999999</v>
      </c>
      <c r="O737" s="354">
        <v>0.13458000000000001</v>
      </c>
      <c r="P737" s="354">
        <v>3.0200000000000001E-2</v>
      </c>
      <c r="Q737" s="354">
        <v>0.10438</v>
      </c>
    </row>
    <row r="738" spans="11:17" x14ac:dyDescent="0.3">
      <c r="K738" s="354">
        <v>41289</v>
      </c>
      <c r="L738" s="354">
        <v>1.191E-2</v>
      </c>
      <c r="M738" s="354">
        <v>7.2660000000000002E-2</v>
      </c>
      <c r="N738" s="354">
        <v>0.14163000000000001</v>
      </c>
      <c r="O738" s="354">
        <v>0.13399</v>
      </c>
      <c r="P738" s="354">
        <v>3.0099999999999998E-2</v>
      </c>
      <c r="Q738" s="354">
        <v>0.10389</v>
      </c>
    </row>
    <row r="739" spans="11:17" x14ac:dyDescent="0.3">
      <c r="K739" s="354">
        <v>41288</v>
      </c>
      <c r="L739" s="354">
        <v>1.204E-2</v>
      </c>
      <c r="M739" s="354">
        <v>7.6350000000000001E-2</v>
      </c>
      <c r="N739" s="354">
        <v>0.14161000000000001</v>
      </c>
      <c r="O739" s="354">
        <v>0.13636000000000001</v>
      </c>
      <c r="P739" s="354">
        <v>3.04E-2</v>
      </c>
      <c r="Q739" s="354">
        <v>0.10596</v>
      </c>
    </row>
    <row r="740" spans="11:17" x14ac:dyDescent="0.3">
      <c r="K740" s="354">
        <v>41285</v>
      </c>
      <c r="L740" s="354">
        <v>1.209E-2</v>
      </c>
      <c r="M740" s="354">
        <v>7.0629999999999998E-2</v>
      </c>
      <c r="N740" s="354">
        <v>0.14138999999999999</v>
      </c>
      <c r="O740" s="354">
        <v>0.13464999999999999</v>
      </c>
      <c r="P740" s="354">
        <v>3.0499999999999999E-2</v>
      </c>
      <c r="Q740" s="354">
        <v>0.10415000000000001</v>
      </c>
    </row>
    <row r="741" spans="11:17" x14ac:dyDescent="0.3">
      <c r="K741" s="354">
        <v>41284</v>
      </c>
      <c r="L741" s="354">
        <v>1.201E-2</v>
      </c>
      <c r="M741" s="354">
        <v>7.1609999999999993E-2</v>
      </c>
      <c r="N741" s="354">
        <v>0.14141999999999999</v>
      </c>
      <c r="O741" s="354">
        <v>0.13431000000000001</v>
      </c>
      <c r="P741" s="354">
        <v>3.0200000000000001E-2</v>
      </c>
      <c r="Q741" s="354">
        <v>0.10410999999999999</v>
      </c>
    </row>
    <row r="742" spans="11:17" x14ac:dyDescent="0.3">
      <c r="K742" s="354">
        <v>41283</v>
      </c>
      <c r="L742" s="354">
        <v>1.197E-2</v>
      </c>
      <c r="M742" s="354">
        <v>7.2349999999999998E-2</v>
      </c>
      <c r="N742" s="354">
        <v>0.13963</v>
      </c>
      <c r="O742" s="354">
        <v>0.13428999999999999</v>
      </c>
      <c r="P742" s="354">
        <v>3.0499999999999999E-2</v>
      </c>
      <c r="Q742" s="354">
        <v>0.10378999999999999</v>
      </c>
    </row>
    <row r="743" spans="11:17" x14ac:dyDescent="0.3">
      <c r="K743" s="354">
        <v>41282</v>
      </c>
      <c r="L743" s="354">
        <v>1.1900000000000001E-2</v>
      </c>
      <c r="M743" s="354">
        <v>6.6839999999999997E-2</v>
      </c>
      <c r="N743" s="354">
        <v>0.13971</v>
      </c>
      <c r="O743" s="354">
        <v>0.13109000000000001</v>
      </c>
      <c r="P743" s="354">
        <v>3.0800000000000001E-2</v>
      </c>
      <c r="Q743" s="354">
        <v>0.10029</v>
      </c>
    </row>
    <row r="744" spans="11:17" x14ac:dyDescent="0.3">
      <c r="K744" s="354">
        <v>41281</v>
      </c>
      <c r="L744" s="354">
        <v>1.175E-2</v>
      </c>
      <c r="M744" s="354">
        <v>6.7159999999999997E-2</v>
      </c>
      <c r="N744" s="354">
        <v>0.13658000000000001</v>
      </c>
      <c r="O744" s="354">
        <v>0.13041</v>
      </c>
      <c r="P744" s="354">
        <v>3.1E-2</v>
      </c>
      <c r="Q744" s="354">
        <v>9.9409999999999998E-2</v>
      </c>
    </row>
    <row r="745" spans="11:17" x14ac:dyDescent="0.3">
      <c r="K745" s="354">
        <v>41278</v>
      </c>
      <c r="L745" s="354">
        <v>1.159E-2</v>
      </c>
      <c r="M745" s="354">
        <v>0.12171999999999999</v>
      </c>
      <c r="N745" s="354">
        <v>0.13192999999999999</v>
      </c>
      <c r="O745" s="354">
        <v>0.12861</v>
      </c>
      <c r="P745" s="354">
        <v>3.1300000000000001E-2</v>
      </c>
      <c r="Q745" s="354">
        <v>9.7309999999999994E-2</v>
      </c>
    </row>
    <row r="746" spans="11:17" x14ac:dyDescent="0.3">
      <c r="K746" s="354">
        <v>41277</v>
      </c>
      <c r="L746" s="354">
        <v>1.1509999999999999E-2</v>
      </c>
      <c r="M746" s="354">
        <v>0.12203</v>
      </c>
      <c r="N746" s="354">
        <v>0.13191</v>
      </c>
      <c r="O746" s="354">
        <v>0.12892999999999999</v>
      </c>
      <c r="P746" s="354">
        <v>3.1300000000000001E-2</v>
      </c>
      <c r="Q746" s="354">
        <v>9.7629999999999995E-2</v>
      </c>
    </row>
    <row r="747" spans="11:17" x14ac:dyDescent="0.3">
      <c r="K747" s="354">
        <v>41276</v>
      </c>
      <c r="L747" s="354">
        <v>1.142E-2</v>
      </c>
      <c r="M747" s="354">
        <v>0.12381</v>
      </c>
      <c r="N747" s="354">
        <v>0.13197999999999999</v>
      </c>
      <c r="O747" s="354">
        <v>0.13056999999999999</v>
      </c>
      <c r="P747" s="354">
        <v>3.1899999999999998E-2</v>
      </c>
      <c r="Q747" s="354">
        <v>9.8669999999999994E-2</v>
      </c>
    </row>
    <row r="748" spans="11:17" x14ac:dyDescent="0.3">
      <c r="K748" s="354">
        <v>41271</v>
      </c>
      <c r="L748" s="354">
        <v>1.2120000000000001E-2</v>
      </c>
      <c r="M748" s="354">
        <v>0.15653</v>
      </c>
      <c r="N748" s="354">
        <v>0.14873</v>
      </c>
      <c r="O748" s="354">
        <v>0.14080999999999999</v>
      </c>
      <c r="P748" s="354">
        <v>3.1600000000000003E-2</v>
      </c>
      <c r="Q748" s="354">
        <v>0.10921</v>
      </c>
    </row>
    <row r="749" spans="11:17" x14ac:dyDescent="0.3">
      <c r="K749" s="354">
        <v>41270</v>
      </c>
      <c r="L749" s="354">
        <v>1.218E-2</v>
      </c>
      <c r="M749" s="354">
        <v>0.15620999999999999</v>
      </c>
      <c r="N749" s="354">
        <v>0.15092</v>
      </c>
      <c r="O749" s="354">
        <v>0.14094000000000001</v>
      </c>
      <c r="P749" s="354">
        <v>3.2099999999999997E-2</v>
      </c>
      <c r="Q749" s="354">
        <v>0.10884000000000001</v>
      </c>
    </row>
    <row r="750" spans="11:17" x14ac:dyDescent="0.3">
      <c r="K750" s="354">
        <v>41269</v>
      </c>
      <c r="L750" s="354">
        <v>1.222E-2</v>
      </c>
      <c r="M750" s="354">
        <v>0.15559000000000001</v>
      </c>
      <c r="N750" s="354">
        <v>0.15085000000000001</v>
      </c>
      <c r="O750" s="354">
        <v>0.14091999999999999</v>
      </c>
      <c r="P750" s="354">
        <v>3.2399999999999998E-2</v>
      </c>
      <c r="Q750" s="354">
        <v>0.10852000000000001</v>
      </c>
    </row>
    <row r="751" spans="11:17" x14ac:dyDescent="0.3">
      <c r="K751" s="354">
        <v>41267</v>
      </c>
      <c r="L751" s="354">
        <v>1.223E-2</v>
      </c>
      <c r="M751" s="354">
        <v>0.15748999999999999</v>
      </c>
      <c r="N751" s="354">
        <v>0.15079999999999999</v>
      </c>
      <c r="O751" s="354">
        <v>0.14149</v>
      </c>
      <c r="P751" s="354">
        <v>3.2099999999999997E-2</v>
      </c>
      <c r="Q751" s="354">
        <v>0.10939</v>
      </c>
    </row>
    <row r="752" spans="11:17" x14ac:dyDescent="0.3">
      <c r="K752" s="354">
        <v>41264</v>
      </c>
      <c r="L752" s="354">
        <v>1.226E-2</v>
      </c>
      <c r="M752" s="354">
        <v>0.15393000000000001</v>
      </c>
      <c r="N752" s="354">
        <v>0.15185000000000001</v>
      </c>
      <c r="O752" s="354">
        <v>0.14019000000000001</v>
      </c>
      <c r="P752" s="354">
        <v>3.1800000000000002E-2</v>
      </c>
      <c r="Q752" s="354">
        <v>0.10839</v>
      </c>
    </row>
    <row r="753" spans="11:17" x14ac:dyDescent="0.3">
      <c r="K753" s="354">
        <v>41263</v>
      </c>
      <c r="L753" s="354">
        <v>1.213E-2</v>
      </c>
      <c r="M753" s="354">
        <v>0.15401999999999999</v>
      </c>
      <c r="N753" s="354">
        <v>0.15182999999999999</v>
      </c>
      <c r="O753" s="354">
        <v>0.13966000000000001</v>
      </c>
      <c r="P753" s="354">
        <v>3.2000000000000001E-2</v>
      </c>
      <c r="Q753" s="354">
        <v>0.10766000000000001</v>
      </c>
    </row>
    <row r="754" spans="11:17" x14ac:dyDescent="0.3">
      <c r="K754" s="354">
        <v>41261</v>
      </c>
      <c r="L754" s="354">
        <v>1.2189999999999999E-2</v>
      </c>
      <c r="M754" s="354">
        <v>0.154</v>
      </c>
      <c r="N754" s="354">
        <v>0.15201000000000001</v>
      </c>
      <c r="O754" s="354">
        <v>0.13966000000000001</v>
      </c>
      <c r="P754" s="354">
        <v>3.1899999999999998E-2</v>
      </c>
      <c r="Q754" s="354">
        <v>0.10775999999999999</v>
      </c>
    </row>
    <row r="755" spans="11:17" x14ac:dyDescent="0.3">
      <c r="K755" s="354">
        <v>41260</v>
      </c>
      <c r="L755" s="354">
        <v>1.226E-2</v>
      </c>
      <c r="M755" s="354">
        <v>0.15448999999999999</v>
      </c>
      <c r="N755" s="354">
        <v>0.15198</v>
      </c>
      <c r="O755" s="354">
        <v>0.13988999999999999</v>
      </c>
      <c r="P755" s="354">
        <v>3.1600000000000003E-2</v>
      </c>
      <c r="Q755" s="354">
        <v>0.10829</v>
      </c>
    </row>
    <row r="756" spans="11:17" x14ac:dyDescent="0.3">
      <c r="K756" s="354">
        <v>41257</v>
      </c>
      <c r="L756" s="354">
        <v>1.2149999999999999E-2</v>
      </c>
      <c r="M756" s="354">
        <v>0.14996999999999999</v>
      </c>
      <c r="N756" s="354">
        <v>0.15162</v>
      </c>
      <c r="O756" s="354">
        <v>0.13772999999999999</v>
      </c>
      <c r="P756" s="354">
        <v>3.15E-2</v>
      </c>
      <c r="Q756" s="354">
        <v>0.10623</v>
      </c>
    </row>
    <row r="757" spans="11:17" x14ac:dyDescent="0.3">
      <c r="K757" s="354">
        <v>41256</v>
      </c>
      <c r="L757" s="354">
        <v>1.209E-2</v>
      </c>
      <c r="M757" s="354">
        <v>0.15015999999999999</v>
      </c>
      <c r="N757" s="354">
        <v>0.15162</v>
      </c>
      <c r="O757" s="354">
        <v>0.13766</v>
      </c>
      <c r="P757" s="354">
        <v>3.1399999999999997E-2</v>
      </c>
      <c r="Q757" s="354">
        <v>0.10625999999999999</v>
      </c>
    </row>
    <row r="758" spans="11:17" x14ac:dyDescent="0.3">
      <c r="K758" s="354">
        <v>41255</v>
      </c>
      <c r="L758" s="354">
        <v>1.226E-2</v>
      </c>
      <c r="M758" s="354">
        <v>0.14993000000000001</v>
      </c>
      <c r="N758" s="354">
        <v>0.15151000000000001</v>
      </c>
      <c r="O758" s="354">
        <v>0.13833999999999999</v>
      </c>
      <c r="P758" s="354">
        <v>3.1E-2</v>
      </c>
      <c r="Q758" s="354">
        <v>0.10734</v>
      </c>
    </row>
    <row r="759" spans="11:17" x14ac:dyDescent="0.3">
      <c r="K759" s="354">
        <v>41254</v>
      </c>
      <c r="L759" s="354">
        <v>1.2330000000000001E-2</v>
      </c>
      <c r="M759" s="354">
        <v>0.15023</v>
      </c>
      <c r="N759" s="354">
        <v>0.15140999999999999</v>
      </c>
      <c r="O759" s="354">
        <v>0.13863</v>
      </c>
      <c r="P759" s="354">
        <v>3.09E-2</v>
      </c>
      <c r="Q759" s="354">
        <v>0.10773000000000001</v>
      </c>
    </row>
    <row r="760" spans="11:17" x14ac:dyDescent="0.3">
      <c r="K760" s="354">
        <v>41253</v>
      </c>
      <c r="L760" s="354">
        <v>1.2370000000000001E-2</v>
      </c>
      <c r="M760" s="354">
        <v>0.15076000000000001</v>
      </c>
      <c r="N760" s="354">
        <v>0.15143000000000001</v>
      </c>
      <c r="O760" s="354">
        <v>0.13888</v>
      </c>
      <c r="P760" s="354">
        <v>3.09E-2</v>
      </c>
      <c r="Q760" s="354">
        <v>0.10798000000000001</v>
      </c>
    </row>
    <row r="761" spans="11:17" x14ac:dyDescent="0.3">
      <c r="K761" s="354">
        <v>41250</v>
      </c>
      <c r="L761" s="354">
        <v>1.2330000000000001E-2</v>
      </c>
      <c r="M761" s="354">
        <v>0.15135000000000001</v>
      </c>
      <c r="N761" s="354">
        <v>0.15131</v>
      </c>
      <c r="O761" s="354">
        <v>0.13911999999999999</v>
      </c>
      <c r="P761" s="354">
        <v>3.0599999999999999E-2</v>
      </c>
      <c r="Q761" s="354">
        <v>0.10852000000000001</v>
      </c>
    </row>
    <row r="762" spans="11:17" x14ac:dyDescent="0.3">
      <c r="K762" s="354">
        <v>41249</v>
      </c>
      <c r="L762" s="354">
        <v>1.238E-2</v>
      </c>
      <c r="M762" s="354">
        <v>0.15093999999999999</v>
      </c>
      <c r="N762" s="354">
        <v>0.15132000000000001</v>
      </c>
      <c r="O762" s="354">
        <v>0.13900999999999999</v>
      </c>
      <c r="P762" s="354">
        <v>3.0700000000000002E-2</v>
      </c>
      <c r="Q762" s="354">
        <v>0.10831</v>
      </c>
    </row>
    <row r="763" spans="11:17" x14ac:dyDescent="0.3">
      <c r="K763" s="354">
        <v>41248</v>
      </c>
      <c r="L763" s="354">
        <v>1.2409999999999999E-2</v>
      </c>
      <c r="M763" s="354">
        <v>0.15128</v>
      </c>
      <c r="N763" s="354">
        <v>0.15146999999999999</v>
      </c>
      <c r="O763" s="354">
        <v>0.13888</v>
      </c>
      <c r="P763" s="354">
        <v>3.0800000000000001E-2</v>
      </c>
      <c r="Q763" s="354">
        <v>0.10808</v>
      </c>
    </row>
    <row r="764" spans="11:17" x14ac:dyDescent="0.3">
      <c r="K764" s="354">
        <v>41247</v>
      </c>
      <c r="L764" s="354">
        <v>1.2579999999999999E-2</v>
      </c>
      <c r="M764" s="354">
        <v>0.14943000000000001</v>
      </c>
      <c r="N764" s="354">
        <v>0.15134</v>
      </c>
      <c r="O764" s="354">
        <v>0.13813</v>
      </c>
      <c r="P764" s="354">
        <v>3.04E-2</v>
      </c>
      <c r="Q764" s="354">
        <v>0.10773000000000001</v>
      </c>
    </row>
    <row r="765" spans="11:17" x14ac:dyDescent="0.3">
      <c r="K765" s="354">
        <v>41246</v>
      </c>
      <c r="L765" s="354">
        <v>1.2540000000000001E-2</v>
      </c>
      <c r="M765" s="354">
        <v>0.14821000000000001</v>
      </c>
      <c r="N765" s="354">
        <v>0.15121999999999999</v>
      </c>
      <c r="O765" s="354">
        <v>0.13772999999999999</v>
      </c>
      <c r="P765" s="354">
        <v>3.0300000000000001E-2</v>
      </c>
      <c r="Q765" s="354">
        <v>0.10743</v>
      </c>
    </row>
    <row r="766" spans="11:17" x14ac:dyDescent="0.3">
      <c r="K766" s="354">
        <v>41243</v>
      </c>
      <c r="L766" s="354">
        <v>1.259E-2</v>
      </c>
      <c r="M766" s="354">
        <v>0.14785000000000001</v>
      </c>
      <c r="N766" s="354">
        <v>0.15110999999999999</v>
      </c>
      <c r="O766" s="354">
        <v>0.13800999999999999</v>
      </c>
      <c r="P766" s="354">
        <v>3.0300000000000001E-2</v>
      </c>
      <c r="Q766" s="354">
        <v>0.10771</v>
      </c>
    </row>
    <row r="767" spans="11:17" x14ac:dyDescent="0.3">
      <c r="K767" s="354">
        <v>41242</v>
      </c>
      <c r="L767" s="354">
        <v>1.261E-2</v>
      </c>
      <c r="M767" s="354">
        <v>0.14871999999999999</v>
      </c>
      <c r="N767" s="354">
        <v>0.15118999999999999</v>
      </c>
      <c r="O767" s="354">
        <v>0.13825000000000001</v>
      </c>
      <c r="P767" s="354">
        <v>3.0200000000000001E-2</v>
      </c>
      <c r="Q767" s="354">
        <v>0.10804999999999999</v>
      </c>
    </row>
    <row r="768" spans="11:17" x14ac:dyDescent="0.3">
      <c r="K768" s="354">
        <v>41241</v>
      </c>
      <c r="L768" s="354">
        <v>1.2760000000000001E-2</v>
      </c>
      <c r="M768" s="354">
        <v>0.14943999999999999</v>
      </c>
      <c r="N768" s="354">
        <v>0.15109</v>
      </c>
      <c r="O768" s="354">
        <v>0.13907</v>
      </c>
      <c r="P768" s="354">
        <v>3.0200000000000001E-2</v>
      </c>
      <c r="Q768" s="354">
        <v>0.10886999999999999</v>
      </c>
    </row>
    <row r="769" spans="11:17" x14ac:dyDescent="0.3">
      <c r="K769" s="354">
        <v>41240</v>
      </c>
      <c r="L769" s="354">
        <v>1.268E-2</v>
      </c>
      <c r="M769" s="354">
        <v>0.15007000000000001</v>
      </c>
      <c r="N769" s="354">
        <v>0.15298999999999999</v>
      </c>
      <c r="O769" s="354">
        <v>0.13904</v>
      </c>
      <c r="P769" s="354">
        <v>3.04E-2</v>
      </c>
      <c r="Q769" s="354">
        <v>0.10864</v>
      </c>
    </row>
    <row r="770" spans="11:17" x14ac:dyDescent="0.3">
      <c r="K770" s="354">
        <v>41239</v>
      </c>
      <c r="L770" s="354">
        <v>1.282E-2</v>
      </c>
      <c r="M770" s="354">
        <v>0.15043000000000001</v>
      </c>
      <c r="N770" s="354">
        <v>0.15135000000000001</v>
      </c>
      <c r="O770" s="354">
        <v>0.13951</v>
      </c>
      <c r="P770" s="354">
        <v>3.0200000000000001E-2</v>
      </c>
      <c r="Q770" s="354">
        <v>0.10931</v>
      </c>
    </row>
    <row r="771" spans="11:17" x14ac:dyDescent="0.3">
      <c r="K771" s="354">
        <v>41236</v>
      </c>
      <c r="L771" s="354">
        <v>1.2789999999999999E-2</v>
      </c>
      <c r="M771" s="354">
        <v>0.14979000000000001</v>
      </c>
      <c r="N771" s="354">
        <v>0.15021000000000001</v>
      </c>
      <c r="O771" s="354">
        <v>0.13897000000000001</v>
      </c>
      <c r="P771" s="354">
        <v>3.0300000000000001E-2</v>
      </c>
      <c r="Q771" s="354">
        <v>0.10867</v>
      </c>
    </row>
    <row r="772" spans="11:17" x14ac:dyDescent="0.3">
      <c r="K772" s="354">
        <v>41235</v>
      </c>
      <c r="L772" s="354">
        <v>1.2880000000000001E-2</v>
      </c>
      <c r="M772" s="354">
        <v>0.14946999999999999</v>
      </c>
      <c r="N772" s="354">
        <v>0.15004999999999999</v>
      </c>
      <c r="O772" s="354">
        <v>0.13924</v>
      </c>
      <c r="P772" s="354">
        <v>3.0099999999999998E-2</v>
      </c>
      <c r="Q772" s="354">
        <v>0.10914</v>
      </c>
    </row>
    <row r="773" spans="11:17" x14ac:dyDescent="0.3">
      <c r="K773" s="354">
        <v>41234</v>
      </c>
      <c r="L773" s="354">
        <v>1.299E-2</v>
      </c>
      <c r="M773" s="354">
        <v>0.14929999999999999</v>
      </c>
      <c r="N773" s="354">
        <v>0.14990000000000001</v>
      </c>
      <c r="O773" s="354">
        <v>0.13963999999999999</v>
      </c>
      <c r="P773" s="354">
        <v>2.9899999999999999E-2</v>
      </c>
      <c r="Q773" s="354">
        <v>0.10974</v>
      </c>
    </row>
    <row r="774" spans="11:17" x14ac:dyDescent="0.3">
      <c r="K774" s="354">
        <v>41233</v>
      </c>
      <c r="L774" s="354">
        <v>1.2959999999999999E-2</v>
      </c>
      <c r="M774" s="354">
        <v>0.14940000000000001</v>
      </c>
      <c r="N774" s="354">
        <v>0.14992</v>
      </c>
      <c r="O774" s="354">
        <v>0.13972000000000001</v>
      </c>
      <c r="P774" s="354">
        <v>2.9899999999999999E-2</v>
      </c>
      <c r="Q774" s="354">
        <v>0.10982</v>
      </c>
    </row>
    <row r="775" spans="11:17" x14ac:dyDescent="0.3">
      <c r="K775" s="354">
        <v>41232</v>
      </c>
      <c r="L775" s="354">
        <v>1.3050000000000001E-2</v>
      </c>
      <c r="M775" s="354">
        <v>0.14906</v>
      </c>
      <c r="N775" s="354">
        <v>0.14990000000000001</v>
      </c>
      <c r="O775" s="354">
        <v>0.14001</v>
      </c>
      <c r="P775" s="354">
        <v>2.98E-2</v>
      </c>
      <c r="Q775" s="354">
        <v>0.11021</v>
      </c>
    </row>
    <row r="776" spans="11:17" x14ac:dyDescent="0.3">
      <c r="K776" s="354">
        <v>41229</v>
      </c>
      <c r="L776" s="354">
        <v>1.315E-2</v>
      </c>
      <c r="M776" s="354">
        <v>0.14912</v>
      </c>
      <c r="N776" s="354">
        <v>0.14849999999999999</v>
      </c>
      <c r="O776" s="354">
        <v>0.14077999999999999</v>
      </c>
      <c r="P776" s="354">
        <v>2.9600000000000001E-2</v>
      </c>
      <c r="Q776" s="354">
        <v>0.11118</v>
      </c>
    </row>
    <row r="777" spans="11:17" x14ac:dyDescent="0.3">
      <c r="K777" s="354">
        <v>41228</v>
      </c>
      <c r="L777" s="354">
        <v>1.3089999999999999E-2</v>
      </c>
      <c r="M777" s="354">
        <v>0.15057999999999999</v>
      </c>
      <c r="N777" s="354">
        <v>0.14843999999999999</v>
      </c>
      <c r="O777" s="354">
        <v>0.14376</v>
      </c>
      <c r="P777" s="354">
        <v>2.9700000000000001E-2</v>
      </c>
      <c r="Q777" s="354">
        <v>0.11405999999999999</v>
      </c>
    </row>
    <row r="778" spans="11:17" x14ac:dyDescent="0.3">
      <c r="K778" s="354">
        <v>41227</v>
      </c>
      <c r="L778" s="354">
        <v>1.269E-2</v>
      </c>
      <c r="M778" s="354">
        <v>0.16891999999999999</v>
      </c>
      <c r="N778" s="354">
        <v>0.14840999999999999</v>
      </c>
      <c r="O778" s="354">
        <v>0.14931</v>
      </c>
      <c r="P778" s="354">
        <v>2.9700000000000001E-2</v>
      </c>
      <c r="Q778" s="354">
        <v>0.11960999999999999</v>
      </c>
    </row>
    <row r="779" spans="11:17" x14ac:dyDescent="0.3">
      <c r="K779" s="354">
        <v>41226</v>
      </c>
      <c r="L779" s="354">
        <v>1.274E-2</v>
      </c>
      <c r="M779" s="354">
        <v>0.16508</v>
      </c>
      <c r="N779" s="354">
        <v>0.14843000000000001</v>
      </c>
      <c r="O779" s="354">
        <v>0.14762</v>
      </c>
      <c r="P779" s="354">
        <v>2.9600000000000001E-2</v>
      </c>
      <c r="Q779" s="354">
        <v>0.11802</v>
      </c>
    </row>
    <row r="780" spans="11:17" x14ac:dyDescent="0.3">
      <c r="K780" s="354">
        <v>41225</v>
      </c>
      <c r="L780" s="354">
        <v>1.268E-2</v>
      </c>
      <c r="M780" s="354">
        <v>0.16528000000000001</v>
      </c>
      <c r="N780" s="354">
        <v>0.14835000000000001</v>
      </c>
      <c r="O780" s="354">
        <v>0.14752999999999999</v>
      </c>
      <c r="P780" s="354">
        <v>2.98E-2</v>
      </c>
      <c r="Q780" s="354">
        <v>0.11773</v>
      </c>
    </row>
    <row r="781" spans="11:17" x14ac:dyDescent="0.3">
      <c r="K781" s="354">
        <v>41222</v>
      </c>
      <c r="L781" s="354">
        <v>1.2659999999999999E-2</v>
      </c>
      <c r="M781" s="354">
        <v>0.16475999999999999</v>
      </c>
      <c r="N781" s="354">
        <v>0.15695999999999999</v>
      </c>
      <c r="O781" s="354">
        <v>0.14748</v>
      </c>
      <c r="P781" s="354">
        <v>2.98E-2</v>
      </c>
      <c r="Q781" s="354">
        <v>0.11768000000000001</v>
      </c>
    </row>
    <row r="782" spans="11:17" x14ac:dyDescent="0.3">
      <c r="K782" s="354">
        <v>41221</v>
      </c>
      <c r="L782" s="354">
        <v>1.2579999999999999E-2</v>
      </c>
      <c r="M782" s="354">
        <v>0.16589000000000001</v>
      </c>
      <c r="N782" s="354">
        <v>0.15706000000000001</v>
      </c>
      <c r="O782" s="354">
        <v>0.14857999999999999</v>
      </c>
      <c r="P782" s="354">
        <v>2.9600000000000001E-2</v>
      </c>
      <c r="Q782" s="354">
        <v>0.11898</v>
      </c>
    </row>
    <row r="783" spans="11:17" x14ac:dyDescent="0.3">
      <c r="K783" s="354">
        <v>41220</v>
      </c>
      <c r="L783" s="354">
        <v>1.242E-2</v>
      </c>
      <c r="M783" s="354">
        <v>0.17227999999999999</v>
      </c>
      <c r="N783" s="354">
        <v>0.15690999999999999</v>
      </c>
      <c r="O783" s="354">
        <v>0.15081</v>
      </c>
      <c r="P783" s="354">
        <v>2.9899999999999999E-2</v>
      </c>
      <c r="Q783" s="354">
        <v>0.12091</v>
      </c>
    </row>
    <row r="784" spans="11:17" x14ac:dyDescent="0.3">
      <c r="K784" s="354">
        <v>41219</v>
      </c>
      <c r="L784" s="354">
        <v>1.248E-2</v>
      </c>
      <c r="M784" s="354">
        <v>0.17165</v>
      </c>
      <c r="N784" s="354">
        <v>0.15719</v>
      </c>
      <c r="O784" s="354">
        <v>0.15090999999999999</v>
      </c>
      <c r="P784" s="354">
        <v>2.9899999999999999E-2</v>
      </c>
      <c r="Q784" s="354">
        <v>0.12101000000000001</v>
      </c>
    </row>
    <row r="785" spans="11:17" x14ac:dyDescent="0.3">
      <c r="K785" s="354">
        <v>41218</v>
      </c>
      <c r="L785" s="354">
        <v>1.261E-2</v>
      </c>
      <c r="M785" s="354">
        <v>0.17229</v>
      </c>
      <c r="N785" s="354">
        <v>0.15754000000000001</v>
      </c>
      <c r="O785" s="354">
        <v>0.15168000000000001</v>
      </c>
      <c r="P785" s="354">
        <v>2.9899999999999999E-2</v>
      </c>
      <c r="Q785" s="354">
        <v>0.12178</v>
      </c>
    </row>
    <row r="786" spans="11:17" x14ac:dyDescent="0.3">
      <c r="K786" s="354">
        <v>41215</v>
      </c>
      <c r="L786" s="354">
        <v>1.2529999999999999E-2</v>
      </c>
      <c r="M786" s="354">
        <v>0.17330000000000001</v>
      </c>
      <c r="N786" s="354">
        <v>0.15740999999999999</v>
      </c>
      <c r="O786" s="354">
        <v>0.15207000000000001</v>
      </c>
      <c r="P786" s="354">
        <v>2.9700000000000001E-2</v>
      </c>
      <c r="Q786" s="354">
        <v>0.12237000000000001</v>
      </c>
    </row>
    <row r="787" spans="11:17" x14ac:dyDescent="0.3">
      <c r="K787" s="354">
        <v>41214</v>
      </c>
      <c r="L787" s="354">
        <v>1.2670000000000001E-2</v>
      </c>
      <c r="M787" s="354">
        <v>0.17312</v>
      </c>
      <c r="N787" s="354">
        <v>0.15694</v>
      </c>
      <c r="O787" s="354">
        <v>0.15221000000000001</v>
      </c>
      <c r="P787" s="354">
        <v>2.9600000000000001E-2</v>
      </c>
      <c r="Q787" s="354">
        <v>0.12261</v>
      </c>
    </row>
    <row r="788" spans="11:17" x14ac:dyDescent="0.3">
      <c r="K788" s="354">
        <v>41213</v>
      </c>
      <c r="L788" s="354">
        <v>1.257E-2</v>
      </c>
      <c r="M788" s="354">
        <v>0.17091000000000001</v>
      </c>
      <c r="N788" s="354">
        <v>0.15681</v>
      </c>
      <c r="O788" s="354">
        <v>0.15118999999999999</v>
      </c>
      <c r="P788" s="354">
        <v>2.9600000000000001E-2</v>
      </c>
      <c r="Q788" s="354">
        <v>0.12159</v>
      </c>
    </row>
    <row r="789" spans="11:17" x14ac:dyDescent="0.3">
      <c r="K789" s="354">
        <v>41212</v>
      </c>
      <c r="L789" s="354">
        <v>1.265E-2</v>
      </c>
      <c r="M789" s="354">
        <v>0.17194999999999999</v>
      </c>
      <c r="N789" s="354">
        <v>0.15667</v>
      </c>
      <c r="O789" s="354">
        <v>0.15185999999999999</v>
      </c>
      <c r="P789" s="354">
        <v>2.98E-2</v>
      </c>
      <c r="Q789" s="354">
        <v>0.12206</v>
      </c>
    </row>
    <row r="790" spans="11:17" x14ac:dyDescent="0.3">
      <c r="K790" s="354">
        <v>41211</v>
      </c>
      <c r="L790" s="354">
        <v>1.269E-2</v>
      </c>
      <c r="M790" s="354">
        <v>0.17122000000000001</v>
      </c>
      <c r="N790" s="354">
        <v>0.15670000000000001</v>
      </c>
      <c r="O790" s="354">
        <v>0.15179000000000001</v>
      </c>
      <c r="P790" s="354">
        <v>2.98E-2</v>
      </c>
      <c r="Q790" s="354">
        <v>0.12199</v>
      </c>
    </row>
    <row r="791" spans="11:17" x14ac:dyDescent="0.3">
      <c r="K791" s="354">
        <v>41208</v>
      </c>
      <c r="L791" s="354">
        <v>1.268E-2</v>
      </c>
      <c r="M791" s="354">
        <v>0.17262</v>
      </c>
      <c r="N791" s="354">
        <v>0.15587000000000001</v>
      </c>
      <c r="O791" s="354">
        <v>0.15198</v>
      </c>
      <c r="P791" s="354">
        <v>2.98E-2</v>
      </c>
      <c r="Q791" s="354">
        <v>0.12218</v>
      </c>
    </row>
    <row r="792" spans="11:17" x14ac:dyDescent="0.3">
      <c r="K792" s="354">
        <v>41207</v>
      </c>
      <c r="L792" s="354">
        <v>1.2460000000000001E-2</v>
      </c>
      <c r="M792" s="354">
        <v>0.16414999999999999</v>
      </c>
      <c r="N792" s="354">
        <v>0.15573999999999999</v>
      </c>
      <c r="O792" s="354">
        <v>0.14680000000000001</v>
      </c>
      <c r="P792" s="354">
        <v>3.0099999999999998E-2</v>
      </c>
      <c r="Q792" s="354">
        <v>0.1167</v>
      </c>
    </row>
    <row r="793" spans="11:17" x14ac:dyDescent="0.3">
      <c r="K793" s="354">
        <v>41206</v>
      </c>
      <c r="L793" s="354">
        <v>1.252E-2</v>
      </c>
      <c r="M793" s="354">
        <v>0.16486000000000001</v>
      </c>
      <c r="N793" s="354">
        <v>0.15490999999999999</v>
      </c>
      <c r="O793" s="354">
        <v>0.14727999999999999</v>
      </c>
      <c r="P793" s="354">
        <v>3.0099999999999998E-2</v>
      </c>
      <c r="Q793" s="354">
        <v>0.11718000000000001</v>
      </c>
    </row>
    <row r="794" spans="11:17" x14ac:dyDescent="0.3">
      <c r="K794" s="354">
        <v>41205</v>
      </c>
      <c r="L794" s="354">
        <v>1.243E-2</v>
      </c>
      <c r="M794" s="354">
        <v>0.16044</v>
      </c>
      <c r="N794" s="354">
        <v>0.15473000000000001</v>
      </c>
      <c r="O794" s="354">
        <v>0.14627999999999999</v>
      </c>
      <c r="P794" s="354">
        <v>3.0200000000000001E-2</v>
      </c>
      <c r="Q794" s="354">
        <v>0.11608</v>
      </c>
    </row>
    <row r="795" spans="11:17" x14ac:dyDescent="0.3">
      <c r="K795" s="354">
        <v>41204</v>
      </c>
      <c r="L795" s="354">
        <v>1.2319999999999999E-2</v>
      </c>
      <c r="M795" s="354">
        <v>0.16693</v>
      </c>
      <c r="N795" s="354">
        <v>0.15440999999999999</v>
      </c>
      <c r="O795" s="354">
        <v>0.14821999999999999</v>
      </c>
      <c r="P795" s="354">
        <v>3.04E-2</v>
      </c>
      <c r="Q795" s="354">
        <v>0.11781999999999999</v>
      </c>
    </row>
    <row r="796" spans="11:17" x14ac:dyDescent="0.3">
      <c r="K796" s="354">
        <v>41201</v>
      </c>
      <c r="L796" s="354">
        <v>1.227E-2</v>
      </c>
      <c r="M796" s="354">
        <v>0.16062000000000001</v>
      </c>
      <c r="N796" s="354">
        <v>0.15397</v>
      </c>
      <c r="O796" s="354">
        <v>0.14480999999999999</v>
      </c>
      <c r="P796" s="354">
        <v>3.0200000000000001E-2</v>
      </c>
      <c r="Q796" s="354">
        <v>0.11461</v>
      </c>
    </row>
    <row r="797" spans="11:17" x14ac:dyDescent="0.3">
      <c r="K797" s="354">
        <v>41200</v>
      </c>
      <c r="L797" s="354">
        <v>1.2160000000000001E-2</v>
      </c>
      <c r="M797" s="354">
        <v>0.16008</v>
      </c>
      <c r="N797" s="354">
        <v>0.15390000000000001</v>
      </c>
      <c r="O797" s="354">
        <v>0.14430000000000001</v>
      </c>
      <c r="P797" s="354">
        <v>3.0200000000000001E-2</v>
      </c>
      <c r="Q797" s="354">
        <v>0.11409999999999999</v>
      </c>
    </row>
    <row r="798" spans="11:17" x14ac:dyDescent="0.3">
      <c r="K798" s="354">
        <v>41199</v>
      </c>
      <c r="L798" s="354">
        <v>1.221E-2</v>
      </c>
      <c r="M798" s="354">
        <v>0.16114000000000001</v>
      </c>
      <c r="N798" s="354">
        <v>0.15372</v>
      </c>
      <c r="O798" s="354">
        <v>0.14469000000000001</v>
      </c>
      <c r="P798" s="354">
        <v>2.98E-2</v>
      </c>
      <c r="Q798" s="354">
        <v>0.11489000000000001</v>
      </c>
    </row>
    <row r="799" spans="11:17" x14ac:dyDescent="0.3">
      <c r="K799" s="354">
        <v>41198</v>
      </c>
      <c r="L799" s="354">
        <v>1.2290000000000001E-2</v>
      </c>
      <c r="M799" s="354">
        <v>0.16012000000000001</v>
      </c>
      <c r="N799" s="354">
        <v>0.15343999999999999</v>
      </c>
      <c r="O799" s="354">
        <v>0.14534</v>
      </c>
      <c r="P799" s="354">
        <v>2.9600000000000001E-2</v>
      </c>
      <c r="Q799" s="354">
        <v>0.11574</v>
      </c>
    </row>
    <row r="800" spans="11:17" x14ac:dyDescent="0.3">
      <c r="K800" s="354">
        <v>41197</v>
      </c>
      <c r="L800" s="354">
        <v>1.234E-2</v>
      </c>
      <c r="M800" s="354">
        <v>0.16550000000000001</v>
      </c>
      <c r="N800" s="354">
        <v>0.15298</v>
      </c>
      <c r="O800" s="354">
        <v>0.14684</v>
      </c>
      <c r="P800" s="354">
        <v>2.9399999999999999E-2</v>
      </c>
      <c r="Q800" s="354">
        <v>0.11744</v>
      </c>
    </row>
    <row r="801" spans="11:17" x14ac:dyDescent="0.3">
      <c r="K801" s="354">
        <v>41194</v>
      </c>
      <c r="L801" s="354">
        <v>1.234E-2</v>
      </c>
      <c r="M801" s="354">
        <v>0.15672</v>
      </c>
      <c r="N801" s="354">
        <v>0.1525</v>
      </c>
      <c r="O801" s="354">
        <v>0.14327999999999999</v>
      </c>
      <c r="P801" s="354">
        <v>2.9499999999999998E-2</v>
      </c>
      <c r="Q801" s="354">
        <v>0.11378000000000001</v>
      </c>
    </row>
    <row r="802" spans="11:17" x14ac:dyDescent="0.3">
      <c r="K802" s="354">
        <v>41193</v>
      </c>
      <c r="L802" s="354">
        <v>1.2330000000000001E-2</v>
      </c>
      <c r="M802" s="354">
        <v>0.15678</v>
      </c>
      <c r="N802" s="354">
        <v>0.15243999999999999</v>
      </c>
      <c r="O802" s="354">
        <v>0.14344999999999999</v>
      </c>
      <c r="P802" s="354">
        <v>2.92E-2</v>
      </c>
      <c r="Q802" s="354">
        <v>0.11425</v>
      </c>
    </row>
    <row r="803" spans="11:17" x14ac:dyDescent="0.3">
      <c r="K803" s="354">
        <v>41192</v>
      </c>
      <c r="L803" s="354">
        <v>1.223E-2</v>
      </c>
      <c r="M803" s="354">
        <v>0.15784000000000001</v>
      </c>
      <c r="N803" s="354">
        <v>0.15237000000000001</v>
      </c>
      <c r="O803" s="354">
        <v>0.14368</v>
      </c>
      <c r="P803" s="354">
        <v>2.9100000000000001E-2</v>
      </c>
      <c r="Q803" s="354">
        <v>0.11458</v>
      </c>
    </row>
    <row r="804" spans="11:17" x14ac:dyDescent="0.3">
      <c r="K804" s="354">
        <v>41191</v>
      </c>
      <c r="L804" s="354">
        <v>1.2019999999999999E-2</v>
      </c>
      <c r="M804" s="354">
        <v>0.1605</v>
      </c>
      <c r="N804" s="354">
        <v>0.15254999999999999</v>
      </c>
      <c r="O804" s="354">
        <v>0.14382</v>
      </c>
      <c r="P804" s="354">
        <v>2.9600000000000001E-2</v>
      </c>
      <c r="Q804" s="354">
        <v>0.11422</v>
      </c>
    </row>
    <row r="805" spans="11:17" x14ac:dyDescent="0.3">
      <c r="K805" s="354">
        <v>41190</v>
      </c>
      <c r="L805" s="354">
        <v>1.201E-2</v>
      </c>
      <c r="M805" s="354">
        <v>0.16141</v>
      </c>
      <c r="N805" s="354">
        <v>0.15261</v>
      </c>
      <c r="O805" s="354">
        <v>0.14294999999999999</v>
      </c>
      <c r="P805" s="354">
        <v>2.9600000000000001E-2</v>
      </c>
      <c r="Q805" s="354">
        <v>0.11335000000000001</v>
      </c>
    </row>
    <row r="806" spans="11:17" x14ac:dyDescent="0.3">
      <c r="K806" s="354">
        <v>41187</v>
      </c>
      <c r="L806" s="354">
        <v>1.214E-2</v>
      </c>
      <c r="M806" s="354">
        <v>0.13780000000000001</v>
      </c>
      <c r="N806" s="354">
        <v>0.15337000000000001</v>
      </c>
      <c r="O806" s="354">
        <v>0.13070999999999999</v>
      </c>
      <c r="P806" s="354">
        <v>2.9499999999999998E-2</v>
      </c>
      <c r="Q806" s="354">
        <v>0.10120999999999999</v>
      </c>
    </row>
    <row r="807" spans="11:17" x14ac:dyDescent="0.3">
      <c r="K807" s="354">
        <v>41186</v>
      </c>
      <c r="L807" s="354">
        <v>1.2149999999999999E-2</v>
      </c>
      <c r="M807" s="354">
        <v>0.13704</v>
      </c>
      <c r="N807" s="354">
        <v>0.15342</v>
      </c>
      <c r="O807" s="354">
        <v>0.13070999999999999</v>
      </c>
      <c r="P807" s="354">
        <v>2.9499999999999998E-2</v>
      </c>
      <c r="Q807" s="354">
        <v>0.10120999999999999</v>
      </c>
    </row>
    <row r="808" spans="11:17" x14ac:dyDescent="0.3">
      <c r="K808" s="354">
        <v>41184</v>
      </c>
      <c r="L808" s="354">
        <v>1.206E-2</v>
      </c>
      <c r="M808" s="354">
        <v>0.13685</v>
      </c>
      <c r="N808" s="354">
        <v>0.15296000000000001</v>
      </c>
      <c r="O808" s="354">
        <v>0.13242999999999999</v>
      </c>
      <c r="P808" s="354">
        <v>2.9700000000000001E-2</v>
      </c>
      <c r="Q808" s="354">
        <v>0.10273</v>
      </c>
    </row>
    <row r="809" spans="11:17" x14ac:dyDescent="0.3">
      <c r="K809" s="354">
        <v>41180</v>
      </c>
      <c r="L809" s="354">
        <v>1.209E-2</v>
      </c>
      <c r="M809" s="354">
        <v>0.14415</v>
      </c>
      <c r="N809" s="354">
        <v>0.15331</v>
      </c>
      <c r="O809" s="354">
        <v>0.13569000000000001</v>
      </c>
      <c r="P809" s="354">
        <v>3.0200000000000001E-2</v>
      </c>
      <c r="Q809" s="354">
        <v>0.10549</v>
      </c>
    </row>
    <row r="810" spans="11:17" x14ac:dyDescent="0.3">
      <c r="K810" s="354">
        <v>41179</v>
      </c>
      <c r="L810" s="354">
        <v>1.213E-2</v>
      </c>
      <c r="M810" s="354">
        <v>0.14407</v>
      </c>
      <c r="N810" s="354">
        <v>0.15332999999999999</v>
      </c>
      <c r="O810" s="354">
        <v>0.13613</v>
      </c>
      <c r="P810" s="354">
        <v>3.0499999999999999E-2</v>
      </c>
      <c r="Q810" s="354">
        <v>0.10563</v>
      </c>
    </row>
    <row r="811" spans="11:17" x14ac:dyDescent="0.3">
      <c r="K811" s="354">
        <v>41178</v>
      </c>
      <c r="L811" s="354">
        <v>1.2189999999999999E-2</v>
      </c>
      <c r="M811" s="354">
        <v>0.14416000000000001</v>
      </c>
      <c r="N811" s="354">
        <v>0.15265000000000001</v>
      </c>
      <c r="O811" s="354">
        <v>0.13747999999999999</v>
      </c>
      <c r="P811" s="354">
        <v>3.0300000000000001E-2</v>
      </c>
      <c r="Q811" s="354">
        <v>0.10718</v>
      </c>
    </row>
    <row r="812" spans="11:17" x14ac:dyDescent="0.3">
      <c r="K812" s="354">
        <v>41177</v>
      </c>
      <c r="L812" s="354">
        <v>1.191E-2</v>
      </c>
      <c r="M812" s="354">
        <v>0.16386000000000001</v>
      </c>
      <c r="N812" s="354">
        <v>0.15253</v>
      </c>
      <c r="O812" s="354">
        <v>0.14591000000000001</v>
      </c>
      <c r="P812" s="354">
        <v>3.04E-2</v>
      </c>
      <c r="Q812" s="354">
        <v>0.11551</v>
      </c>
    </row>
    <row r="813" spans="11:17" x14ac:dyDescent="0.3">
      <c r="K813" s="354">
        <v>41176</v>
      </c>
      <c r="L813" s="354">
        <v>1.1860000000000001E-2</v>
      </c>
      <c r="M813" s="354">
        <v>0.15268999999999999</v>
      </c>
      <c r="N813" s="354">
        <v>0.15251000000000001</v>
      </c>
      <c r="O813" s="354">
        <v>0.13977999999999999</v>
      </c>
      <c r="P813" s="354">
        <v>3.0499999999999999E-2</v>
      </c>
      <c r="Q813" s="354">
        <v>0.10928</v>
      </c>
    </row>
    <row r="814" spans="11:17" x14ac:dyDescent="0.3">
      <c r="K814" s="354">
        <v>41173</v>
      </c>
      <c r="L814" s="354">
        <v>1.1860000000000001E-2</v>
      </c>
      <c r="M814" s="354">
        <v>0.15109</v>
      </c>
      <c r="N814" s="354">
        <v>0.1517</v>
      </c>
      <c r="O814" s="354">
        <v>0.13976</v>
      </c>
      <c r="P814" s="354">
        <v>3.0700000000000002E-2</v>
      </c>
      <c r="Q814" s="354">
        <v>0.10906</v>
      </c>
    </row>
    <row r="815" spans="11:17" x14ac:dyDescent="0.3">
      <c r="K815" s="354">
        <v>41172</v>
      </c>
      <c r="L815" s="354">
        <v>1.193E-2</v>
      </c>
      <c r="M815" s="354">
        <v>0.15076000000000001</v>
      </c>
      <c r="N815" s="354">
        <v>0.15174000000000001</v>
      </c>
      <c r="O815" s="354">
        <v>0.13996</v>
      </c>
      <c r="P815" s="354">
        <v>3.0499999999999999E-2</v>
      </c>
      <c r="Q815" s="354">
        <v>0.10946</v>
      </c>
    </row>
  </sheetData>
  <phoneticPr fontId="1" type="noConversion"/>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0">
    <tabColor theme="0" tint="-0.499984740745262"/>
  </sheetPr>
  <dimension ref="B1:R20"/>
  <sheetViews>
    <sheetView showGridLines="0" zoomScaleNormal="100" workbookViewId="0">
      <selection activeCell="M16" sqref="M16"/>
    </sheetView>
  </sheetViews>
  <sheetFormatPr defaultColWidth="9" defaultRowHeight="12" x14ac:dyDescent="0.3"/>
  <cols>
    <col min="1" max="1" width="1.625" style="383" customWidth="1"/>
    <col min="2" max="2" width="11.875" style="383" bestFit="1" customWidth="1"/>
    <col min="3" max="3" width="9.75" style="383" bestFit="1" customWidth="1"/>
    <col min="4" max="4" width="9" style="383"/>
    <col min="5" max="52" width="6.625" style="383" customWidth="1"/>
    <col min="53" max="16384" width="9" style="383"/>
  </cols>
  <sheetData>
    <row r="1" spans="2:18" ht="27" customHeight="1" x14ac:dyDescent="0.3">
      <c r="B1" s="379" t="s">
        <v>701</v>
      </c>
      <c r="C1" s="380"/>
      <c r="D1" s="380"/>
      <c r="E1" s="380"/>
      <c r="F1" s="380"/>
      <c r="G1" s="380"/>
      <c r="H1" s="380"/>
      <c r="I1" s="381"/>
      <c r="J1" s="381"/>
      <c r="K1" s="380"/>
      <c r="L1" s="382"/>
      <c r="M1" s="380"/>
      <c r="N1" s="380"/>
      <c r="O1" s="380"/>
      <c r="P1" s="380"/>
      <c r="Q1" s="380"/>
      <c r="R1" s="380"/>
    </row>
    <row r="2" spans="2:18" ht="21" customHeight="1" x14ac:dyDescent="0.3">
      <c r="B2" s="384" t="s">
        <v>702</v>
      </c>
      <c r="C2" s="385"/>
      <c r="D2" s="385"/>
      <c r="E2" s="385"/>
      <c r="F2" s="385"/>
      <c r="G2" s="385"/>
      <c r="H2" s="385"/>
      <c r="I2" s="385"/>
      <c r="J2" s="385"/>
      <c r="K2" s="385"/>
      <c r="L2" s="385"/>
      <c r="M2" s="385"/>
      <c r="N2" s="385"/>
      <c r="O2" s="385"/>
      <c r="P2" s="385"/>
      <c r="Q2" s="385"/>
      <c r="R2" s="385"/>
    </row>
    <row r="5" spans="2:18" ht="19.5" x14ac:dyDescent="0.3">
      <c r="B5" s="1190" t="s">
        <v>2050</v>
      </c>
      <c r="C5" s="1191"/>
      <c r="D5" s="819"/>
      <c r="E5" s="819"/>
      <c r="F5" s="819"/>
      <c r="G5" s="819"/>
      <c r="H5" s="819"/>
      <c r="I5" s="819"/>
      <c r="J5" s="819"/>
      <c r="K5" s="819"/>
      <c r="L5" s="819"/>
      <c r="M5" s="819"/>
      <c r="N5" s="819"/>
      <c r="O5" s="819"/>
    </row>
    <row r="6" spans="2:18" ht="13.5" x14ac:dyDescent="0.3">
      <c r="B6" s="136" t="s">
        <v>2051</v>
      </c>
      <c r="C6" s="136"/>
      <c r="D6" s="136"/>
      <c r="E6" s="136"/>
      <c r="F6" s="136"/>
      <c r="G6" s="136"/>
      <c r="H6" s="136"/>
      <c r="I6" s="136"/>
      <c r="J6" s="136"/>
      <c r="K6" s="136"/>
      <c r="L6" s="136"/>
      <c r="M6" s="136"/>
      <c r="N6" s="136"/>
      <c r="O6" s="136"/>
    </row>
    <row r="7" spans="2:18" ht="13.5" x14ac:dyDescent="0.3">
      <c r="B7" s="136" t="s">
        <v>2829</v>
      </c>
      <c r="C7" s="136"/>
      <c r="D7" s="136"/>
      <c r="E7" s="136"/>
      <c r="F7" s="136"/>
      <c r="G7" s="136"/>
      <c r="H7" s="136"/>
      <c r="I7" s="136"/>
      <c r="J7" s="136"/>
      <c r="K7" s="136"/>
      <c r="L7" s="136"/>
      <c r="M7" s="136"/>
      <c r="N7" s="136"/>
      <c r="O7" s="136"/>
    </row>
    <row r="8" spans="2:18" ht="13.5" x14ac:dyDescent="0.3">
      <c r="B8" s="819"/>
      <c r="C8" s="819"/>
      <c r="D8" s="819"/>
      <c r="E8" s="819"/>
      <c r="F8" s="819"/>
      <c r="G8" s="819"/>
      <c r="H8" s="819"/>
      <c r="I8" s="819"/>
      <c r="J8" s="819"/>
      <c r="K8" s="819"/>
      <c r="L8" s="819"/>
      <c r="M8" s="819"/>
      <c r="N8" s="819"/>
      <c r="O8" s="819"/>
    </row>
    <row r="9" spans="2:18" ht="13.5" x14ac:dyDescent="0.3">
      <c r="B9" s="2216" t="s">
        <v>2052</v>
      </c>
      <c r="C9" s="2216" t="s">
        <v>2053</v>
      </c>
      <c r="D9" s="2216" t="s">
        <v>2054</v>
      </c>
      <c r="E9" s="2216" t="s">
        <v>2055</v>
      </c>
      <c r="F9" s="2216" t="s">
        <v>2056</v>
      </c>
      <c r="G9" s="2216" t="s">
        <v>2057</v>
      </c>
      <c r="H9" s="2216" t="s">
        <v>2058</v>
      </c>
      <c r="I9" s="1192" t="s">
        <v>2058</v>
      </c>
      <c r="J9" s="2216" t="s">
        <v>2059</v>
      </c>
      <c r="K9" s="1192" t="s">
        <v>2059</v>
      </c>
      <c r="L9" s="2216" t="s">
        <v>2060</v>
      </c>
      <c r="M9" s="2216" t="s">
        <v>2061</v>
      </c>
      <c r="N9" s="1192" t="s">
        <v>2062</v>
      </c>
      <c r="O9" s="2216" t="s">
        <v>2063</v>
      </c>
    </row>
    <row r="10" spans="2:18" ht="13.5" x14ac:dyDescent="0.3">
      <c r="B10" s="2216"/>
      <c r="C10" s="2216"/>
      <c r="D10" s="2216"/>
      <c r="E10" s="2216"/>
      <c r="F10" s="2216"/>
      <c r="G10" s="2216"/>
      <c r="H10" s="2216"/>
      <c r="I10" s="1192" t="s">
        <v>2056</v>
      </c>
      <c r="J10" s="2216"/>
      <c r="K10" s="1192" t="s">
        <v>2056</v>
      </c>
      <c r="L10" s="2216"/>
      <c r="M10" s="2216"/>
      <c r="N10" s="1192" t="s">
        <v>2064</v>
      </c>
      <c r="O10" s="2216"/>
    </row>
    <row r="11" spans="2:18" ht="13.5" x14ac:dyDescent="0.3">
      <c r="B11" s="2217" t="s">
        <v>2065</v>
      </c>
      <c r="C11" s="2217" t="s">
        <v>2066</v>
      </c>
      <c r="D11" s="1193" t="s">
        <v>80</v>
      </c>
      <c r="E11" s="1194">
        <v>1.7709999999999999</v>
      </c>
      <c r="F11" s="1194">
        <v>1.806</v>
      </c>
      <c r="G11" s="1194">
        <v>1.8380000000000001</v>
      </c>
      <c r="H11" s="1194">
        <v>1.8740000000000001</v>
      </c>
      <c r="I11" s="1194">
        <v>1.883</v>
      </c>
      <c r="J11" s="1194">
        <v>1.913</v>
      </c>
      <c r="K11" s="1194">
        <v>1.9330000000000001</v>
      </c>
      <c r="L11" s="1194">
        <v>1.966</v>
      </c>
      <c r="M11" s="1194">
        <v>2.1309999999999998</v>
      </c>
      <c r="N11" s="1195">
        <v>2.4380000000000002</v>
      </c>
      <c r="O11" s="1195">
        <v>2.6080000000000001</v>
      </c>
    </row>
    <row r="12" spans="2:18" ht="13.5" x14ac:dyDescent="0.3">
      <c r="B12" s="2217"/>
      <c r="C12" s="2217"/>
      <c r="D12" s="1193" t="s">
        <v>81</v>
      </c>
      <c r="E12" s="1194">
        <v>1.8460000000000001</v>
      </c>
      <c r="F12" s="1194">
        <v>1.8939999999999999</v>
      </c>
      <c r="G12" s="1194">
        <v>1.927</v>
      </c>
      <c r="H12" s="1194">
        <v>1.9570000000000001</v>
      </c>
      <c r="I12" s="1194">
        <v>1.966</v>
      </c>
      <c r="J12" s="1194">
        <v>2.0510000000000002</v>
      </c>
      <c r="K12" s="1194">
        <v>2.0750000000000002</v>
      </c>
      <c r="L12" s="1194">
        <v>2.1419999999999999</v>
      </c>
      <c r="M12" s="1196">
        <v>2.3119999999999998</v>
      </c>
      <c r="N12" s="1195">
        <v>2.6619999999999999</v>
      </c>
      <c r="O12" s="1195">
        <v>2.99</v>
      </c>
    </row>
    <row r="13" spans="2:18" ht="13.5" x14ac:dyDescent="0.3">
      <c r="B13" s="2217"/>
      <c r="C13" s="2217"/>
      <c r="D13" s="1193" t="s">
        <v>82</v>
      </c>
      <c r="E13" s="1194">
        <v>1.8859999999999999</v>
      </c>
      <c r="F13" s="1194">
        <v>1.9339999999999999</v>
      </c>
      <c r="G13" s="1194">
        <v>1.972</v>
      </c>
      <c r="H13" s="1194">
        <v>2.0049999999999999</v>
      </c>
      <c r="I13" s="1194">
        <v>2.016</v>
      </c>
      <c r="J13" s="1194">
        <v>2.101</v>
      </c>
      <c r="K13" s="1194">
        <v>2.125</v>
      </c>
      <c r="L13" s="1194">
        <v>2.1840000000000002</v>
      </c>
      <c r="M13" s="1194">
        <v>2.3919999999999999</v>
      </c>
      <c r="N13" s="1195">
        <v>3.0419999999999998</v>
      </c>
      <c r="O13" s="1195">
        <v>3.59</v>
      </c>
    </row>
    <row r="14" spans="2:18" ht="13.5" x14ac:dyDescent="0.3">
      <c r="B14" s="2217"/>
      <c r="C14" s="2217"/>
      <c r="D14" s="1193" t="s">
        <v>83</v>
      </c>
      <c r="E14" s="1194">
        <v>1.931</v>
      </c>
      <c r="F14" s="1194">
        <v>1.9790000000000001</v>
      </c>
      <c r="G14" s="1194">
        <v>2.012</v>
      </c>
      <c r="H14" s="1194">
        <v>2.0569999999999999</v>
      </c>
      <c r="I14" s="1194">
        <v>2.0659999999999998</v>
      </c>
      <c r="J14" s="1194">
        <v>2.1509999999999998</v>
      </c>
      <c r="K14" s="1194">
        <v>2.1749999999999998</v>
      </c>
      <c r="L14" s="1194">
        <v>2.2440000000000002</v>
      </c>
      <c r="M14" s="1194">
        <v>2.5019999999999998</v>
      </c>
      <c r="N14" s="1195">
        <v>3.4020000000000001</v>
      </c>
      <c r="O14" s="1195">
        <v>4.1399999999999997</v>
      </c>
    </row>
    <row r="15" spans="2:18" ht="13.5" x14ac:dyDescent="0.3">
      <c r="B15" s="2217"/>
      <c r="C15" s="2217"/>
      <c r="D15" s="1193" t="s">
        <v>84</v>
      </c>
      <c r="E15" s="1194">
        <v>2.1259999999999999</v>
      </c>
      <c r="F15" s="1194">
        <v>2.1989999999999998</v>
      </c>
      <c r="G15" s="1194">
        <v>2.2570000000000001</v>
      </c>
      <c r="H15" s="1194">
        <v>2.3519999999999999</v>
      </c>
      <c r="I15" s="1194">
        <v>2.3759999999999999</v>
      </c>
      <c r="J15" s="1194">
        <v>2.476</v>
      </c>
      <c r="K15" s="1194">
        <v>2.5070000000000001</v>
      </c>
      <c r="L15" s="1194">
        <v>2.6539999999999999</v>
      </c>
      <c r="M15" s="1196">
        <v>3.0059999999999998</v>
      </c>
      <c r="N15" s="1195">
        <v>3.9119999999999999</v>
      </c>
      <c r="O15" s="1195">
        <v>4.6349999999999998</v>
      </c>
    </row>
    <row r="16" spans="2:18" ht="13.5" x14ac:dyDescent="0.3">
      <c r="B16" s="2217"/>
      <c r="C16" s="2217"/>
      <c r="D16" s="1193" t="s">
        <v>85</v>
      </c>
      <c r="E16" s="1194">
        <v>2.2759999999999998</v>
      </c>
      <c r="F16" s="1194">
        <v>2.339</v>
      </c>
      <c r="G16" s="1194">
        <v>2.4020000000000001</v>
      </c>
      <c r="H16" s="1194">
        <v>2.5070000000000001</v>
      </c>
      <c r="I16" s="1194">
        <v>2.5310000000000001</v>
      </c>
      <c r="J16" s="1194">
        <v>2.6259999999999999</v>
      </c>
      <c r="K16" s="1194">
        <v>2.6920000000000002</v>
      </c>
      <c r="L16" s="1194">
        <v>2.8940000000000001</v>
      </c>
      <c r="M16" s="1194">
        <v>3.4009999999999998</v>
      </c>
      <c r="N16" s="1195">
        <v>4.3470000000000004</v>
      </c>
      <c r="O16" s="1195">
        <v>4.9850000000000003</v>
      </c>
    </row>
    <row r="17" spans="2:15" ht="13.5" x14ac:dyDescent="0.3">
      <c r="B17" s="2217"/>
      <c r="C17" s="2217"/>
      <c r="D17" s="1193" t="s">
        <v>86</v>
      </c>
      <c r="E17" s="1194">
        <v>2.476</v>
      </c>
      <c r="F17" s="1194">
        <v>2.5590000000000002</v>
      </c>
      <c r="G17" s="1194">
        <v>2.6219999999999999</v>
      </c>
      <c r="H17" s="1194">
        <v>2.7370000000000001</v>
      </c>
      <c r="I17" s="1194">
        <v>2.7610000000000001</v>
      </c>
      <c r="J17" s="1194">
        <v>2.8759999999999999</v>
      </c>
      <c r="K17" s="1194">
        <v>3.012</v>
      </c>
      <c r="L17" s="1194">
        <v>3.2440000000000002</v>
      </c>
      <c r="M17" s="1197">
        <v>3.9209999999999998</v>
      </c>
      <c r="N17" s="1195">
        <v>4.8070000000000004</v>
      </c>
      <c r="O17" s="1195">
        <v>5.4649999999999999</v>
      </c>
    </row>
    <row r="18" spans="2:15" ht="13.5" x14ac:dyDescent="0.3">
      <c r="B18" s="2217"/>
      <c r="C18" s="2217"/>
      <c r="D18" s="1193" t="s">
        <v>87</v>
      </c>
      <c r="E18" s="1194">
        <v>2.9660000000000002</v>
      </c>
      <c r="F18" s="1194">
        <v>3.3759999999999999</v>
      </c>
      <c r="G18" s="1194">
        <v>3.7789999999999999</v>
      </c>
      <c r="H18" s="1194">
        <v>4.0270000000000001</v>
      </c>
      <c r="I18" s="1194">
        <v>4.452</v>
      </c>
      <c r="J18" s="1194">
        <v>4.9859999999999998</v>
      </c>
      <c r="K18" s="1194">
        <v>5.3769999999999998</v>
      </c>
      <c r="L18" s="1194">
        <v>5.7359999999999998</v>
      </c>
      <c r="M18" s="1194">
        <v>5.9989999999999997</v>
      </c>
      <c r="N18" s="1195">
        <v>6.4420000000000002</v>
      </c>
      <c r="O18" s="1195">
        <v>7.17</v>
      </c>
    </row>
    <row r="19" spans="2:15" ht="13.5" x14ac:dyDescent="0.3">
      <c r="B19" s="2217"/>
      <c r="C19" s="2217"/>
      <c r="D19" s="1193" t="s">
        <v>88</v>
      </c>
      <c r="E19" s="1194">
        <v>3.3460000000000001</v>
      </c>
      <c r="F19" s="1194">
        <v>3.8759999999999999</v>
      </c>
      <c r="G19" s="1194">
        <v>4.359</v>
      </c>
      <c r="H19" s="1194">
        <v>4.6970000000000001</v>
      </c>
      <c r="I19" s="1194">
        <v>5.2619999999999996</v>
      </c>
      <c r="J19" s="1194">
        <v>5.9260000000000002</v>
      </c>
      <c r="K19" s="1194">
        <v>6.407</v>
      </c>
      <c r="L19" s="1194">
        <v>6.7859999999999996</v>
      </c>
      <c r="M19" s="1194">
        <v>7.0490000000000004</v>
      </c>
      <c r="N19" s="1195">
        <v>7.5620000000000003</v>
      </c>
      <c r="O19" s="1195">
        <v>8.35</v>
      </c>
    </row>
    <row r="20" spans="2:15" ht="13.5" x14ac:dyDescent="0.3">
      <c r="B20" s="2217"/>
      <c r="C20" s="2217"/>
      <c r="D20" s="1193" t="s">
        <v>89</v>
      </c>
      <c r="E20" s="1194">
        <v>4.016</v>
      </c>
      <c r="F20" s="1194">
        <v>4.6660000000000004</v>
      </c>
      <c r="G20" s="1194">
        <v>5.2889999999999997</v>
      </c>
      <c r="H20" s="1194">
        <v>5.6769999999999996</v>
      </c>
      <c r="I20" s="1194">
        <v>6.3719999999999999</v>
      </c>
      <c r="J20" s="1194">
        <v>7.0759999999999996</v>
      </c>
      <c r="K20" s="1194">
        <v>7.6269999999999998</v>
      </c>
      <c r="L20" s="1194">
        <v>8.1460000000000008</v>
      </c>
      <c r="M20" s="1194">
        <v>8.4689999999999994</v>
      </c>
      <c r="N20" s="1195">
        <v>8.9819999999999993</v>
      </c>
      <c r="O20" s="1195">
        <v>9.77</v>
      </c>
    </row>
  </sheetData>
  <mergeCells count="13">
    <mergeCell ref="E9:E10"/>
    <mergeCell ref="F9:F10"/>
    <mergeCell ref="G9:G10"/>
    <mergeCell ref="B11:B20"/>
    <mergeCell ref="C11:C20"/>
    <mergeCell ref="B9:B10"/>
    <mergeCell ref="C9:C10"/>
    <mergeCell ref="D9:D10"/>
    <mergeCell ref="H9:H10"/>
    <mergeCell ref="J9:J10"/>
    <mergeCell ref="L9:L10"/>
    <mergeCell ref="M9:M10"/>
    <mergeCell ref="O9:O10"/>
  </mergeCells>
  <phoneticPr fontId="1" type="noConversion"/>
  <hyperlinks>
    <hyperlink ref="B5" r:id="rId1"/>
  </hyperlinks>
  <pageMargins left="0.7" right="0.7" top="0.75" bottom="0.75" header="0.3" footer="0.3"/>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tabColor theme="0" tint="-0.499984740745262"/>
  </sheetPr>
  <dimension ref="A1:V134"/>
  <sheetViews>
    <sheetView showGridLines="0" topLeftCell="A20" zoomScale="85" zoomScaleNormal="85" workbookViewId="0">
      <selection activeCell="R67" sqref="R67"/>
    </sheetView>
  </sheetViews>
  <sheetFormatPr defaultRowHeight="13.5" outlineLevelCol="1" x14ac:dyDescent="0.3"/>
  <cols>
    <col min="1" max="1" width="1.625" style="143" customWidth="1"/>
    <col min="2" max="2" width="40.625" style="143" customWidth="1"/>
    <col min="3" max="4" width="9.375" style="197" customWidth="1" outlineLevel="1"/>
    <col min="5" max="5" width="9.375" style="197" customWidth="1"/>
    <col min="6" max="14" width="9.375" style="143" customWidth="1"/>
    <col min="15" max="16384" width="9" style="143"/>
  </cols>
  <sheetData>
    <row r="1" spans="1:22" ht="30" customHeight="1" x14ac:dyDescent="0.3">
      <c r="A1" s="185"/>
      <c r="B1" s="58" t="str">
        <f>"Project"&amp;" "&amp;Title!L6</f>
        <v>Project IT</v>
      </c>
      <c r="C1" s="59"/>
      <c r="D1" s="59"/>
      <c r="E1" s="59"/>
      <c r="F1" s="59"/>
      <c r="G1" s="59"/>
      <c r="H1" s="59"/>
      <c r="I1" s="59"/>
      <c r="J1" s="59"/>
      <c r="K1" s="59"/>
      <c r="L1" s="59"/>
      <c r="M1" s="61"/>
      <c r="N1" s="61" t="str">
        <f>Des!C12</f>
        <v>DRAFT - For Discussion Purposes Only</v>
      </c>
    </row>
    <row r="2" spans="1:22" ht="20.100000000000001" customHeight="1" x14ac:dyDescent="0.3">
      <c r="A2" s="186"/>
      <c r="B2" s="51" t="s">
        <v>164</v>
      </c>
      <c r="C2" s="51"/>
      <c r="D2" s="51"/>
      <c r="E2" s="51"/>
      <c r="F2" s="51"/>
      <c r="G2" s="51"/>
      <c r="H2" s="51"/>
      <c r="I2" s="51"/>
      <c r="J2" s="51"/>
      <c r="K2" s="51"/>
      <c r="L2" s="51"/>
      <c r="M2" s="51"/>
      <c r="N2" s="51"/>
    </row>
    <row r="3" spans="1:22" ht="15" customHeight="1" x14ac:dyDescent="0.3">
      <c r="A3" s="186"/>
      <c r="B3" s="187"/>
      <c r="N3" s="206"/>
    </row>
    <row r="4" spans="1:22" ht="17.25" x14ac:dyDescent="0.3">
      <c r="B4" s="1023" t="s">
        <v>1227</v>
      </c>
      <c r="F4" s="819"/>
      <c r="G4" s="819"/>
      <c r="H4" s="819"/>
      <c r="I4" s="819"/>
      <c r="J4" s="819"/>
      <c r="K4" s="819"/>
      <c r="L4" s="819"/>
      <c r="M4" s="819"/>
      <c r="N4" s="819"/>
      <c r="O4" s="819"/>
      <c r="P4" s="819"/>
      <c r="Q4" s="819"/>
      <c r="R4" s="819"/>
      <c r="S4" s="819"/>
      <c r="T4" s="819"/>
      <c r="U4" s="819"/>
      <c r="V4" s="819"/>
    </row>
    <row r="5" spans="1:22" x14ac:dyDescent="0.3">
      <c r="B5" s="1024" t="s">
        <v>1228</v>
      </c>
      <c r="F5" s="819"/>
      <c r="G5" s="819"/>
      <c r="H5" s="819"/>
      <c r="I5" s="819"/>
      <c r="J5" s="819"/>
      <c r="K5" s="819"/>
      <c r="L5" s="819"/>
      <c r="M5" s="819"/>
      <c r="N5" s="819"/>
      <c r="O5" s="819"/>
      <c r="P5" s="819"/>
      <c r="Q5" s="819"/>
      <c r="R5" s="819"/>
      <c r="S5" s="819"/>
      <c r="T5" s="819"/>
      <c r="U5" s="819"/>
      <c r="V5" s="819"/>
    </row>
    <row r="6" spans="1:22" x14ac:dyDescent="0.3">
      <c r="B6" s="1025" t="s">
        <v>1229</v>
      </c>
      <c r="C6" s="1026" t="s">
        <v>1230</v>
      </c>
      <c r="D6" s="1026" t="s">
        <v>1231</v>
      </c>
      <c r="E6" s="1026" t="s">
        <v>1232</v>
      </c>
      <c r="F6" s="1027" t="s">
        <v>1233</v>
      </c>
      <c r="G6" s="1027" t="s">
        <v>1234</v>
      </c>
      <c r="H6" s="1027" t="s">
        <v>1235</v>
      </c>
      <c r="I6" s="1027" t="s">
        <v>1236</v>
      </c>
      <c r="J6" s="1027" t="s">
        <v>1237</v>
      </c>
      <c r="K6" s="1027" t="s">
        <v>1238</v>
      </c>
      <c r="L6" s="1027" t="s">
        <v>1239</v>
      </c>
      <c r="M6" s="1027" t="s">
        <v>1240</v>
      </c>
      <c r="N6" s="1027" t="s">
        <v>1241</v>
      </c>
      <c r="O6" s="1027" t="s">
        <v>1242</v>
      </c>
      <c r="P6" s="1027" t="s">
        <v>1243</v>
      </c>
      <c r="Q6" s="1027" t="s">
        <v>1244</v>
      </c>
      <c r="R6" s="1027" t="s">
        <v>1245</v>
      </c>
      <c r="S6" s="1025" t="s">
        <v>1246</v>
      </c>
      <c r="T6" s="1025" t="s">
        <v>1247</v>
      </c>
      <c r="U6" s="1025" t="s">
        <v>1248</v>
      </c>
      <c r="V6" s="1025"/>
    </row>
    <row r="7" spans="1:22" x14ac:dyDescent="0.3">
      <c r="B7" s="819" t="s">
        <v>1249</v>
      </c>
      <c r="C7" s="197" t="s">
        <v>1250</v>
      </c>
      <c r="D7" s="197" t="s">
        <v>1251</v>
      </c>
      <c r="E7" s="197" t="s">
        <v>1252</v>
      </c>
      <c r="F7" s="1028">
        <v>1179771.3</v>
      </c>
      <c r="G7" s="1028">
        <v>1188118.3999999999</v>
      </c>
      <c r="H7" s="1029">
        <v>1265307.8999999999</v>
      </c>
      <c r="I7" s="1028">
        <v>1311892.6000000001</v>
      </c>
      <c r="J7" s="1028">
        <v>1341966.5</v>
      </c>
      <c r="K7" s="1028">
        <v>1380832.7</v>
      </c>
      <c r="L7" s="1028">
        <v>1426540.3</v>
      </c>
      <c r="M7" s="1028">
        <v>1462589.8</v>
      </c>
      <c r="N7" s="1028">
        <v>1504420.4</v>
      </c>
      <c r="O7" s="1028">
        <v>1545944.1</v>
      </c>
      <c r="P7" s="1028">
        <v>1592433.1</v>
      </c>
      <c r="Q7" s="1028">
        <v>1638924</v>
      </c>
      <c r="R7" s="1028">
        <v>1688718</v>
      </c>
      <c r="S7" s="1028" t="s">
        <v>1253</v>
      </c>
      <c r="T7" s="1028" t="s">
        <v>1254</v>
      </c>
      <c r="U7" s="819" t="s">
        <v>1255</v>
      </c>
      <c r="V7" s="819"/>
    </row>
    <row r="8" spans="1:22" x14ac:dyDescent="0.3">
      <c r="B8" s="819" t="s">
        <v>1256</v>
      </c>
      <c r="C8" s="197" t="s">
        <v>1257</v>
      </c>
      <c r="D8" s="197" t="s">
        <v>1251</v>
      </c>
      <c r="E8" s="197" t="s">
        <v>1252</v>
      </c>
      <c r="F8" s="1028">
        <v>609005.4</v>
      </c>
      <c r="G8" s="1028">
        <v>609997.19999999995</v>
      </c>
      <c r="H8" s="1029">
        <v>636712.6</v>
      </c>
      <c r="I8" s="1028">
        <v>655181.1</v>
      </c>
      <c r="J8" s="1028">
        <v>667781.19999999995</v>
      </c>
      <c r="K8" s="1028">
        <v>680349.6</v>
      </c>
      <c r="L8" s="1028">
        <v>692594</v>
      </c>
      <c r="M8" s="1028">
        <v>707291.3</v>
      </c>
      <c r="N8" s="1028">
        <v>721265.2</v>
      </c>
      <c r="O8" s="1028">
        <v>737308.1</v>
      </c>
      <c r="P8" s="1028">
        <v>753211</v>
      </c>
      <c r="Q8" s="1028">
        <v>767176.5</v>
      </c>
      <c r="R8" s="1028">
        <v>780815.9</v>
      </c>
      <c r="S8" s="1028" t="s">
        <v>1258</v>
      </c>
      <c r="T8" s="1028" t="s">
        <v>1259</v>
      </c>
      <c r="U8" s="819" t="s">
        <v>1255</v>
      </c>
      <c r="V8" s="819"/>
    </row>
    <row r="9" spans="1:22" x14ac:dyDescent="0.3">
      <c r="B9" s="819" t="s">
        <v>1260</v>
      </c>
      <c r="C9" s="197" t="s">
        <v>1261</v>
      </c>
      <c r="D9" s="197" t="s">
        <v>1251</v>
      </c>
      <c r="E9" s="197" t="s">
        <v>1252</v>
      </c>
      <c r="F9" s="1028">
        <v>167543.1</v>
      </c>
      <c r="G9" s="1028">
        <v>176323.4</v>
      </c>
      <c r="H9" s="1029">
        <v>183108.6</v>
      </c>
      <c r="I9" s="1028">
        <v>187158.1</v>
      </c>
      <c r="J9" s="1028">
        <v>193473.5</v>
      </c>
      <c r="K9" s="1028">
        <v>199783.4</v>
      </c>
      <c r="L9" s="1028">
        <v>205417.7</v>
      </c>
      <c r="M9" s="1028">
        <v>213223.6</v>
      </c>
      <c r="N9" s="1028">
        <v>219620.3</v>
      </c>
      <c r="O9" s="1028">
        <v>225550</v>
      </c>
      <c r="P9" s="1028">
        <v>232542.1</v>
      </c>
      <c r="Q9" s="1028">
        <v>239053.3</v>
      </c>
      <c r="R9" s="1028">
        <v>245746.7</v>
      </c>
      <c r="S9" s="1028" t="s">
        <v>1262</v>
      </c>
      <c r="T9" s="1028" t="s">
        <v>1259</v>
      </c>
      <c r="U9" s="819" t="s">
        <v>1255</v>
      </c>
      <c r="V9" s="819"/>
    </row>
    <row r="10" spans="1:22" x14ac:dyDescent="0.3">
      <c r="B10" s="819" t="s">
        <v>1263</v>
      </c>
      <c r="C10" s="197" t="s">
        <v>1264</v>
      </c>
      <c r="D10" s="197" t="s">
        <v>1251</v>
      </c>
      <c r="E10" s="197" t="s">
        <v>1252</v>
      </c>
      <c r="F10" s="1028">
        <v>364662.4</v>
      </c>
      <c r="G10" s="1028">
        <v>365746.2</v>
      </c>
      <c r="H10" s="1029">
        <v>385923.7</v>
      </c>
      <c r="I10" s="1028">
        <v>389124.4</v>
      </c>
      <c r="J10" s="1028">
        <v>387239.8</v>
      </c>
      <c r="K10" s="1028">
        <v>400026</v>
      </c>
      <c r="L10" s="1028">
        <v>412587.9</v>
      </c>
      <c r="M10" s="1028">
        <v>429249.5</v>
      </c>
      <c r="N10" s="1028">
        <v>445050.8</v>
      </c>
      <c r="O10" s="1028">
        <v>459274.8</v>
      </c>
      <c r="P10" s="1028">
        <v>474200.8</v>
      </c>
      <c r="Q10" s="1028">
        <v>487656.8</v>
      </c>
      <c r="R10" s="1028">
        <v>500449.4</v>
      </c>
      <c r="S10" s="1028" t="s">
        <v>1265</v>
      </c>
      <c r="T10" s="1028" t="s">
        <v>1259</v>
      </c>
      <c r="U10" s="819" t="s">
        <v>1255</v>
      </c>
      <c r="V10" s="819"/>
    </row>
    <row r="11" spans="1:22" x14ac:dyDescent="0.3">
      <c r="B11" s="819" t="s">
        <v>1266</v>
      </c>
      <c r="C11" s="197" t="s">
        <v>1267</v>
      </c>
      <c r="D11" s="197" t="s">
        <v>1251</v>
      </c>
      <c r="E11" s="197" t="s">
        <v>1252</v>
      </c>
      <c r="F11" s="1028">
        <v>26604</v>
      </c>
      <c r="G11" s="1028">
        <v>-22746.2</v>
      </c>
      <c r="H11" s="1029">
        <v>19264.8</v>
      </c>
      <c r="I11" s="1028">
        <v>30158.3</v>
      </c>
      <c r="J11" s="1028">
        <v>28882.5</v>
      </c>
      <c r="K11" s="1028">
        <v>6111.8</v>
      </c>
      <c r="L11" s="1028">
        <v>5960.1</v>
      </c>
      <c r="M11" s="1028">
        <v>9500</v>
      </c>
      <c r="N11" s="1028">
        <v>7000</v>
      </c>
      <c r="O11" s="1028">
        <v>5500</v>
      </c>
      <c r="P11" s="1028">
        <v>7500</v>
      </c>
      <c r="Q11" s="1028">
        <v>6500</v>
      </c>
      <c r="R11" s="1028">
        <v>6500</v>
      </c>
      <c r="S11" s="1028" t="s">
        <v>1268</v>
      </c>
      <c r="T11" s="1028" t="s">
        <v>1259</v>
      </c>
      <c r="U11" s="819" t="s">
        <v>1255</v>
      </c>
      <c r="V11" s="819"/>
    </row>
    <row r="12" spans="1:22" x14ac:dyDescent="0.3">
      <c r="B12" s="819" t="s">
        <v>1269</v>
      </c>
      <c r="C12" s="197" t="s">
        <v>1270</v>
      </c>
      <c r="D12" s="197" t="s">
        <v>1251</v>
      </c>
      <c r="E12" s="197" t="s">
        <v>1252</v>
      </c>
      <c r="F12" s="1028">
        <v>556668</v>
      </c>
      <c r="G12" s="1028">
        <v>554856.19999999995</v>
      </c>
      <c r="H12" s="1029">
        <v>625308.80000000005</v>
      </c>
      <c r="I12" s="1028">
        <v>719943.3</v>
      </c>
      <c r="J12" s="1028">
        <v>756558.5</v>
      </c>
      <c r="K12" s="1028">
        <v>788788</v>
      </c>
      <c r="L12" s="1028">
        <v>810723.2</v>
      </c>
      <c r="M12" s="1028">
        <v>814791.4</v>
      </c>
      <c r="N12" s="1028">
        <v>841966.7</v>
      </c>
      <c r="O12" s="1028">
        <v>869041.8</v>
      </c>
      <c r="P12" s="1028">
        <v>899464.8</v>
      </c>
      <c r="Q12" s="1028">
        <v>933671.5</v>
      </c>
      <c r="R12" s="1028">
        <v>978977.9</v>
      </c>
      <c r="S12" s="1028" t="s">
        <v>1271</v>
      </c>
      <c r="T12" s="1028" t="s">
        <v>1259</v>
      </c>
      <c r="U12" s="819" t="s">
        <v>1255</v>
      </c>
      <c r="V12" s="819"/>
    </row>
    <row r="13" spans="1:22" x14ac:dyDescent="0.3">
      <c r="B13" s="819" t="s">
        <v>1272</v>
      </c>
      <c r="C13" s="197" t="s">
        <v>1273</v>
      </c>
      <c r="D13" s="197" t="s">
        <v>1251</v>
      </c>
      <c r="E13" s="197" t="s">
        <v>1252</v>
      </c>
      <c r="F13" s="1028">
        <v>535066.30000000005</v>
      </c>
      <c r="G13" s="1028">
        <v>498916.9</v>
      </c>
      <c r="H13" s="1029">
        <v>585010.1</v>
      </c>
      <c r="I13" s="1028">
        <v>668931.4</v>
      </c>
      <c r="J13" s="1028">
        <v>685009.4</v>
      </c>
      <c r="K13" s="1028">
        <v>696724.5</v>
      </c>
      <c r="L13" s="1028">
        <v>711437.3</v>
      </c>
      <c r="M13" s="1028">
        <v>728251.9</v>
      </c>
      <c r="N13" s="1028">
        <v>747884.6</v>
      </c>
      <c r="O13" s="1028">
        <v>768132.7</v>
      </c>
      <c r="P13" s="1028">
        <v>791887.5</v>
      </c>
      <c r="Q13" s="1028">
        <v>812536</v>
      </c>
      <c r="R13" s="1028">
        <v>841174</v>
      </c>
      <c r="S13" s="1028" t="s">
        <v>1274</v>
      </c>
      <c r="T13" s="1028" t="s">
        <v>1259</v>
      </c>
      <c r="U13" s="819" t="s">
        <v>1255</v>
      </c>
      <c r="V13" s="819"/>
    </row>
    <row r="14" spans="1:22" x14ac:dyDescent="0.3">
      <c r="B14" s="819" t="s">
        <v>1275</v>
      </c>
      <c r="C14" s="197" t="s">
        <v>1276</v>
      </c>
      <c r="D14" s="197" t="s">
        <v>1251</v>
      </c>
      <c r="E14" s="197" t="s">
        <v>1252</v>
      </c>
      <c r="F14" s="1028">
        <v>1167814.8999999999</v>
      </c>
      <c r="G14" s="1028">
        <v>1129320.6000000001</v>
      </c>
      <c r="H14" s="1029">
        <v>1225009.7</v>
      </c>
      <c r="I14" s="1028">
        <v>1261621.8999999999</v>
      </c>
      <c r="J14" s="1028">
        <v>1277377</v>
      </c>
      <c r="K14" s="1028">
        <v>1286270.8</v>
      </c>
      <c r="L14" s="1028">
        <v>1316559.7</v>
      </c>
      <c r="M14" s="1028">
        <v>1359264.4</v>
      </c>
      <c r="N14" s="1028">
        <v>1392936.3</v>
      </c>
      <c r="O14" s="1028">
        <v>1427633</v>
      </c>
      <c r="P14" s="1028">
        <v>1467453.9</v>
      </c>
      <c r="Q14" s="1028">
        <v>1500386.6</v>
      </c>
      <c r="R14" s="1028">
        <v>1533512.1</v>
      </c>
      <c r="S14" s="1028" t="s">
        <v>1277</v>
      </c>
      <c r="T14" s="1028" t="s">
        <v>1259</v>
      </c>
      <c r="U14" s="819" t="s">
        <v>1278</v>
      </c>
      <c r="V14" s="819"/>
    </row>
    <row r="15" spans="1:22" x14ac:dyDescent="0.3">
      <c r="B15" s="819" t="s">
        <v>1279</v>
      </c>
      <c r="C15" s="197" t="s">
        <v>1280</v>
      </c>
      <c r="D15" s="197" t="s">
        <v>1259</v>
      </c>
      <c r="E15" s="197" t="s">
        <v>1259</v>
      </c>
      <c r="F15" s="1030">
        <v>2.8290000000000002</v>
      </c>
      <c r="G15" s="1030">
        <v>0.70799999999999996</v>
      </c>
      <c r="H15" s="1031">
        <v>6.4969999999999999</v>
      </c>
      <c r="I15" s="1030">
        <v>3.6819999999999999</v>
      </c>
      <c r="J15" s="1030">
        <v>2.2919999999999998</v>
      </c>
      <c r="K15" s="1030">
        <v>2.8959999999999999</v>
      </c>
      <c r="L15" s="1030">
        <v>3.31</v>
      </c>
      <c r="M15" s="1030">
        <v>2.5</v>
      </c>
      <c r="N15" s="1030">
        <v>2.9</v>
      </c>
      <c r="O15" s="1030">
        <v>2.8</v>
      </c>
      <c r="P15" s="1030">
        <v>3</v>
      </c>
      <c r="Q15" s="1030">
        <v>2.9</v>
      </c>
      <c r="R15" s="1028">
        <v>3</v>
      </c>
      <c r="S15" s="1028" t="s">
        <v>1281</v>
      </c>
      <c r="T15" s="1028" t="s">
        <v>1254</v>
      </c>
      <c r="U15" s="819" t="s">
        <v>1278</v>
      </c>
      <c r="V15" s="819"/>
    </row>
    <row r="16" spans="1:22" x14ac:dyDescent="0.3">
      <c r="B16" s="819" t="s">
        <v>1282</v>
      </c>
      <c r="C16" s="197" t="s">
        <v>1283</v>
      </c>
      <c r="D16" s="197" t="s">
        <v>1259</v>
      </c>
      <c r="E16" s="197" t="s">
        <v>1259</v>
      </c>
      <c r="F16" s="1030">
        <v>1.373</v>
      </c>
      <c r="G16" s="1030">
        <v>0.16300000000000001</v>
      </c>
      <c r="H16" s="1031">
        <v>4.38</v>
      </c>
      <c r="I16" s="1030">
        <v>2.9009999999999998</v>
      </c>
      <c r="J16" s="1030">
        <v>1.923</v>
      </c>
      <c r="K16" s="1030">
        <v>1.8819999999999999</v>
      </c>
      <c r="L16" s="1030">
        <v>1.8</v>
      </c>
      <c r="M16" s="1030">
        <v>2.1</v>
      </c>
      <c r="N16" s="1030">
        <v>2</v>
      </c>
      <c r="O16" s="1030">
        <v>2.2000000000000002</v>
      </c>
      <c r="P16" s="1030">
        <v>2.2000000000000002</v>
      </c>
      <c r="Q16" s="1030">
        <v>1.9</v>
      </c>
      <c r="R16" s="1028">
        <v>1.8</v>
      </c>
      <c r="S16" s="1028" t="s">
        <v>1284</v>
      </c>
      <c r="T16" s="1028" t="s">
        <v>1259</v>
      </c>
      <c r="U16" s="819" t="s">
        <v>1278</v>
      </c>
      <c r="V16" s="819"/>
    </row>
    <row r="17" spans="2:22" x14ac:dyDescent="0.3">
      <c r="B17" s="819" t="s">
        <v>1285</v>
      </c>
      <c r="C17" s="197" t="s">
        <v>1286</v>
      </c>
      <c r="D17" s="197" t="s">
        <v>1259</v>
      </c>
      <c r="E17" s="197" t="s">
        <v>1259</v>
      </c>
      <c r="F17" s="1030">
        <v>5.0819999999999999</v>
      </c>
      <c r="G17" s="1030">
        <v>5.2409999999999997</v>
      </c>
      <c r="H17" s="1031">
        <v>3.8479999999999999</v>
      </c>
      <c r="I17" s="1030">
        <v>2.2120000000000002</v>
      </c>
      <c r="J17" s="1030">
        <v>3.3740000000000001</v>
      </c>
      <c r="K17" s="1030">
        <v>3.2610000000000001</v>
      </c>
      <c r="L17" s="1030">
        <v>2.82</v>
      </c>
      <c r="M17" s="1030">
        <v>3.8</v>
      </c>
      <c r="N17" s="1030">
        <v>3</v>
      </c>
      <c r="O17" s="1030">
        <v>2.7</v>
      </c>
      <c r="P17" s="1030">
        <v>3.1</v>
      </c>
      <c r="Q17" s="1030">
        <v>2.8</v>
      </c>
      <c r="R17" s="1028">
        <v>2.8</v>
      </c>
      <c r="S17" s="1028" t="s">
        <v>1287</v>
      </c>
      <c r="T17" s="1028" t="s">
        <v>1259</v>
      </c>
      <c r="U17" s="819" t="s">
        <v>1278</v>
      </c>
      <c r="V17" s="819"/>
    </row>
    <row r="18" spans="2:22" x14ac:dyDescent="0.3">
      <c r="B18" s="819" t="s">
        <v>1288</v>
      </c>
      <c r="C18" s="197" t="s">
        <v>1289</v>
      </c>
      <c r="D18" s="197" t="s">
        <v>1259</v>
      </c>
      <c r="E18" s="197" t="s">
        <v>1259</v>
      </c>
      <c r="F18" s="1030">
        <v>-0.85099999999999998</v>
      </c>
      <c r="G18" s="1030">
        <v>0.29699999999999999</v>
      </c>
      <c r="H18" s="1031">
        <v>5.5170000000000003</v>
      </c>
      <c r="I18" s="1030">
        <v>0.82899999999999996</v>
      </c>
      <c r="J18" s="1030">
        <v>-0.48399999999999999</v>
      </c>
      <c r="K18" s="1030">
        <v>3.302</v>
      </c>
      <c r="L18" s="1030">
        <v>3.14</v>
      </c>
      <c r="M18" s="1030">
        <v>4</v>
      </c>
      <c r="N18" s="1030">
        <v>3.7</v>
      </c>
      <c r="O18" s="1030">
        <v>3.2</v>
      </c>
      <c r="P18" s="1030">
        <v>3.2</v>
      </c>
      <c r="Q18" s="1030">
        <v>2.8</v>
      </c>
      <c r="R18" s="1028">
        <v>2.6</v>
      </c>
      <c r="S18" s="1028" t="s">
        <v>1290</v>
      </c>
      <c r="T18" s="1028" t="s">
        <v>1259</v>
      </c>
      <c r="U18" s="819" t="s">
        <v>1278</v>
      </c>
      <c r="V18" s="819"/>
    </row>
    <row r="19" spans="2:22" x14ac:dyDescent="0.3">
      <c r="B19" s="819" t="s">
        <v>1291</v>
      </c>
      <c r="C19" s="197" t="s">
        <v>1292</v>
      </c>
      <c r="D19" s="197" t="s">
        <v>1259</v>
      </c>
      <c r="E19" s="197" t="s">
        <v>1259</v>
      </c>
      <c r="F19" s="1030">
        <v>8.5999999999999993E-2</v>
      </c>
      <c r="G19" s="1030">
        <v>-4.1829999999999998</v>
      </c>
      <c r="H19" s="1031">
        <v>3.536</v>
      </c>
      <c r="I19" s="1030">
        <v>0.86099999999999999</v>
      </c>
      <c r="J19" s="1030">
        <v>-9.7000000000000003E-2</v>
      </c>
      <c r="K19" s="1030">
        <v>-1.6970000000000001</v>
      </c>
      <c r="L19" s="1030">
        <v>-1.0999999999999999E-2</v>
      </c>
      <c r="M19" s="1030">
        <v>0.2</v>
      </c>
      <c r="N19" s="1030">
        <v>-0.2</v>
      </c>
      <c r="O19" s="1030">
        <v>-0.1</v>
      </c>
      <c r="P19" s="1030">
        <v>0.1</v>
      </c>
      <c r="Q19" s="1030">
        <v>-0.1</v>
      </c>
      <c r="R19" s="1028">
        <v>0</v>
      </c>
      <c r="S19" s="1028" t="s">
        <v>1293</v>
      </c>
      <c r="T19" s="1028" t="s">
        <v>1259</v>
      </c>
      <c r="U19" s="819" t="s">
        <v>1278</v>
      </c>
      <c r="V19" s="819"/>
    </row>
    <row r="20" spans="2:22" x14ac:dyDescent="0.3">
      <c r="B20" s="819" t="s">
        <v>1294</v>
      </c>
      <c r="C20" s="197" t="s">
        <v>1295</v>
      </c>
      <c r="D20" s="197" t="s">
        <v>1259</v>
      </c>
      <c r="E20" s="197" t="s">
        <v>1259</v>
      </c>
      <c r="F20" s="1030">
        <v>7.4960000000000004</v>
      </c>
      <c r="G20" s="1030">
        <v>-0.32500000000000001</v>
      </c>
      <c r="H20" s="1031">
        <v>12.696999999999999</v>
      </c>
      <c r="I20" s="1030">
        <v>15.134</v>
      </c>
      <c r="J20" s="1030">
        <v>5.0860000000000003</v>
      </c>
      <c r="K20" s="1030">
        <v>4.26</v>
      </c>
      <c r="L20" s="1030">
        <v>2.7810000000000001</v>
      </c>
      <c r="M20" s="1030">
        <v>0.5</v>
      </c>
      <c r="N20" s="1030">
        <v>3.3</v>
      </c>
      <c r="O20" s="1030">
        <v>3.2</v>
      </c>
      <c r="P20" s="1030">
        <v>3.5</v>
      </c>
      <c r="Q20" s="1030">
        <v>3.8</v>
      </c>
      <c r="R20" s="1028">
        <v>4.9000000000000004</v>
      </c>
      <c r="S20" s="1028" t="s">
        <v>1296</v>
      </c>
      <c r="T20" s="1028" t="s">
        <v>1259</v>
      </c>
      <c r="U20" s="819" t="s">
        <v>1278</v>
      </c>
      <c r="V20" s="819"/>
    </row>
    <row r="21" spans="2:22" x14ac:dyDescent="0.3">
      <c r="B21" s="819" t="s">
        <v>1297</v>
      </c>
      <c r="C21" s="197" t="s">
        <v>1298</v>
      </c>
      <c r="D21" s="197" t="s">
        <v>1259</v>
      </c>
      <c r="E21" s="197" t="s">
        <v>1259</v>
      </c>
      <c r="F21" s="1030">
        <v>3.1949999999999998</v>
      </c>
      <c r="G21" s="1030">
        <v>-6.7560000000000002</v>
      </c>
      <c r="H21" s="1031">
        <v>17.256</v>
      </c>
      <c r="I21" s="1030">
        <v>14.345000000000001</v>
      </c>
      <c r="J21" s="1030">
        <v>2.4039999999999999</v>
      </c>
      <c r="K21" s="1030">
        <v>1.71</v>
      </c>
      <c r="L21" s="1030">
        <v>2.1120000000000001</v>
      </c>
      <c r="M21" s="1030">
        <v>2.4</v>
      </c>
      <c r="N21" s="1030">
        <v>2.7</v>
      </c>
      <c r="O21" s="1030">
        <v>2.7</v>
      </c>
      <c r="P21" s="1030">
        <v>3.1</v>
      </c>
      <c r="Q21" s="1030">
        <v>2.6</v>
      </c>
      <c r="R21" s="1028">
        <v>3.5</v>
      </c>
      <c r="S21" s="1028" t="s">
        <v>1299</v>
      </c>
      <c r="T21" s="1028" t="s">
        <v>1259</v>
      </c>
      <c r="U21" s="819" t="s">
        <v>1278</v>
      </c>
      <c r="V21" s="819"/>
    </row>
    <row r="22" spans="2:22" x14ac:dyDescent="0.3">
      <c r="B22" s="819" t="s">
        <v>1300</v>
      </c>
      <c r="C22" s="197" t="s">
        <v>1301</v>
      </c>
      <c r="D22" s="197" t="s">
        <v>1259</v>
      </c>
      <c r="E22" s="197" t="s">
        <v>1259</v>
      </c>
      <c r="F22" s="1030">
        <v>1.232</v>
      </c>
      <c r="G22" s="1030">
        <v>-3.2959999999999998</v>
      </c>
      <c r="H22" s="1031">
        <v>8.4730000000000008</v>
      </c>
      <c r="I22" s="1030">
        <v>2.9889999999999999</v>
      </c>
      <c r="J22" s="1030">
        <v>1.2490000000000001</v>
      </c>
      <c r="K22" s="1030">
        <v>0.69599999999999995</v>
      </c>
      <c r="L22" s="1030">
        <v>2.355</v>
      </c>
      <c r="M22" s="1030">
        <v>3.2</v>
      </c>
      <c r="N22" s="1030">
        <v>2.5</v>
      </c>
      <c r="O22" s="1030">
        <v>2.5</v>
      </c>
      <c r="P22" s="1030">
        <v>2.8</v>
      </c>
      <c r="Q22" s="1030">
        <v>2.2000000000000002</v>
      </c>
      <c r="R22" s="1028">
        <v>2.2000000000000002</v>
      </c>
      <c r="S22" s="1028" t="s">
        <v>1302</v>
      </c>
      <c r="T22" s="1028" t="s">
        <v>1259</v>
      </c>
      <c r="U22" s="819" t="s">
        <v>1278</v>
      </c>
      <c r="V22" s="819"/>
    </row>
    <row r="23" spans="2:22" x14ac:dyDescent="0.3">
      <c r="B23" s="819" t="s">
        <v>1303</v>
      </c>
      <c r="C23" s="197" t="s">
        <v>1304</v>
      </c>
      <c r="D23" s="197" t="s">
        <v>1259</v>
      </c>
      <c r="E23" s="197" t="s">
        <v>1259</v>
      </c>
      <c r="F23" s="1030">
        <v>0.71899999999999997</v>
      </c>
      <c r="G23" s="1030">
        <v>8.4000000000000005E-2</v>
      </c>
      <c r="H23" s="1031">
        <v>2.2490000000000001</v>
      </c>
      <c r="I23" s="1030">
        <v>1.46</v>
      </c>
      <c r="J23" s="1030">
        <v>0.96</v>
      </c>
      <c r="K23" s="1030">
        <v>0.93700000000000006</v>
      </c>
      <c r="L23" s="1030">
        <v>0.88700000000000001</v>
      </c>
      <c r="M23" s="1030">
        <v>1</v>
      </c>
      <c r="N23" s="1030">
        <v>1</v>
      </c>
      <c r="O23" s="1030">
        <v>1.1000000000000001</v>
      </c>
      <c r="P23" s="1030">
        <v>1</v>
      </c>
      <c r="Q23" s="1030">
        <v>0.9</v>
      </c>
      <c r="R23" s="1028">
        <v>0.8</v>
      </c>
      <c r="S23" s="1028" t="s">
        <v>1305</v>
      </c>
      <c r="T23" s="1028" t="s">
        <v>1259</v>
      </c>
      <c r="U23" s="819" t="s">
        <v>1278</v>
      </c>
      <c r="V23" s="819"/>
    </row>
    <row r="24" spans="2:22" x14ac:dyDescent="0.3">
      <c r="B24" s="819" t="s">
        <v>1306</v>
      </c>
      <c r="C24" s="197" t="s">
        <v>1307</v>
      </c>
      <c r="D24" s="197" t="s">
        <v>1259</v>
      </c>
      <c r="E24" s="197" t="s">
        <v>1259</v>
      </c>
      <c r="F24" s="1030">
        <v>0.70599999999999996</v>
      </c>
      <c r="G24" s="1030">
        <v>0.74399999999999999</v>
      </c>
      <c r="H24" s="1031">
        <v>0.57099999999999995</v>
      </c>
      <c r="I24" s="1030">
        <v>0.32</v>
      </c>
      <c r="J24" s="1030">
        <v>0.48099999999999998</v>
      </c>
      <c r="K24" s="1030">
        <v>0.47</v>
      </c>
      <c r="L24" s="1030">
        <v>0.40799999999999997</v>
      </c>
      <c r="M24" s="1030">
        <v>0.5</v>
      </c>
      <c r="N24" s="1030">
        <v>0.4</v>
      </c>
      <c r="O24" s="1030">
        <v>0.4</v>
      </c>
      <c r="P24" s="1030">
        <v>0.5</v>
      </c>
      <c r="Q24" s="1030">
        <v>0.4</v>
      </c>
      <c r="R24" s="1028">
        <v>0.4</v>
      </c>
      <c r="S24" s="1028" t="s">
        <v>1308</v>
      </c>
      <c r="T24" s="1028" t="s">
        <v>1259</v>
      </c>
      <c r="U24" s="819" t="s">
        <v>1278</v>
      </c>
      <c r="V24" s="819"/>
    </row>
    <row r="25" spans="2:22" x14ac:dyDescent="0.3">
      <c r="B25" s="819" t="s">
        <v>1309</v>
      </c>
      <c r="C25" s="197" t="s">
        <v>1310</v>
      </c>
      <c r="D25" s="197" t="s">
        <v>1259</v>
      </c>
      <c r="E25" s="197" t="s">
        <v>1259</v>
      </c>
      <c r="F25" s="1030">
        <v>-0.27300000000000002</v>
      </c>
      <c r="G25" s="1030">
        <v>9.1999999999999998E-2</v>
      </c>
      <c r="H25" s="1031">
        <v>1.698</v>
      </c>
      <c r="I25" s="1030">
        <v>0.253</v>
      </c>
      <c r="J25" s="1030">
        <v>-0.14399999999999999</v>
      </c>
      <c r="K25" s="1030">
        <v>0.95299999999999996</v>
      </c>
      <c r="L25" s="1030">
        <v>0.91</v>
      </c>
      <c r="M25" s="1030">
        <v>1.2</v>
      </c>
      <c r="N25" s="1030">
        <v>1.1000000000000001</v>
      </c>
      <c r="O25" s="1030">
        <v>0.9</v>
      </c>
      <c r="P25" s="1030">
        <v>1</v>
      </c>
      <c r="Q25" s="1030">
        <v>0.8</v>
      </c>
      <c r="R25" s="1028">
        <v>0.8</v>
      </c>
      <c r="S25" s="1028" t="s">
        <v>1311</v>
      </c>
      <c r="T25" s="1028" t="s">
        <v>1259</v>
      </c>
      <c r="U25" s="819" t="s">
        <v>1278</v>
      </c>
      <c r="V25" s="819"/>
    </row>
    <row r="26" spans="2:22" x14ac:dyDescent="0.3">
      <c r="B26" s="819" t="s">
        <v>1312</v>
      </c>
      <c r="C26" s="197" t="s">
        <v>1313</v>
      </c>
      <c r="D26" s="197" t="s">
        <v>1259</v>
      </c>
      <c r="E26" s="197" t="s">
        <v>1259</v>
      </c>
      <c r="F26" s="1030">
        <v>1.9390000000000001</v>
      </c>
      <c r="G26" s="1030">
        <v>2.911</v>
      </c>
      <c r="H26" s="1031">
        <v>-1.3160000000000001</v>
      </c>
      <c r="I26" s="1030">
        <v>0.84699999999999998</v>
      </c>
      <c r="J26" s="1030">
        <v>1.5649999999999999</v>
      </c>
      <c r="K26" s="1030">
        <v>1.5289999999999999</v>
      </c>
      <c r="L26" s="1030">
        <v>0.52300000000000002</v>
      </c>
      <c r="M26" s="1030">
        <v>-0.9</v>
      </c>
      <c r="N26" s="1030">
        <v>0.5</v>
      </c>
      <c r="O26" s="1030">
        <v>0.5</v>
      </c>
      <c r="P26" s="1030">
        <v>0.4</v>
      </c>
      <c r="Q26" s="1030">
        <v>0.9</v>
      </c>
      <c r="R26" s="1028">
        <v>1</v>
      </c>
      <c r="S26" s="1028" t="s">
        <v>1314</v>
      </c>
      <c r="T26" s="1028" t="s">
        <v>1259</v>
      </c>
      <c r="U26" s="819" t="s">
        <v>1278</v>
      </c>
      <c r="V26" s="819"/>
    </row>
    <row r="27" spans="2:22" x14ac:dyDescent="0.3">
      <c r="B27" s="819" t="s">
        <v>1315</v>
      </c>
      <c r="C27" s="197" t="s">
        <v>1316</v>
      </c>
      <c r="D27" s="197" t="s">
        <v>1251</v>
      </c>
      <c r="E27" s="197" t="s">
        <v>1252</v>
      </c>
      <c r="F27" s="1028">
        <v>1104492.3</v>
      </c>
      <c r="G27" s="1028">
        <v>1151707.8</v>
      </c>
      <c r="H27" s="1029">
        <v>1265307.8999999999</v>
      </c>
      <c r="I27" s="1028">
        <v>1332681</v>
      </c>
      <c r="J27" s="1028">
        <v>1377456.6</v>
      </c>
      <c r="K27" s="1028">
        <v>1429445.4</v>
      </c>
      <c r="L27" s="1028">
        <v>1485078</v>
      </c>
      <c r="M27" s="1028">
        <v>1519240.5</v>
      </c>
      <c r="N27" s="1028">
        <v>1575960</v>
      </c>
      <c r="O27" s="1028">
        <v>1620977.8</v>
      </c>
      <c r="P27" s="1028">
        <v>1684720.9</v>
      </c>
      <c r="Q27" s="1028">
        <v>1752506.6</v>
      </c>
      <c r="R27" s="1028">
        <v>1818968.2</v>
      </c>
      <c r="S27" s="1028" t="s">
        <v>1317</v>
      </c>
      <c r="T27" s="1028" t="s">
        <v>1254</v>
      </c>
      <c r="U27" s="819" t="s">
        <v>1255</v>
      </c>
      <c r="V27" s="819"/>
    </row>
    <row r="28" spans="2:22" x14ac:dyDescent="0.3">
      <c r="B28" s="819" t="s">
        <v>1318</v>
      </c>
      <c r="C28" s="197" t="s">
        <v>1319</v>
      </c>
      <c r="D28" s="197" t="s">
        <v>1251</v>
      </c>
      <c r="E28" s="197" t="s">
        <v>1252</v>
      </c>
      <c r="F28" s="1028">
        <v>579053.30000000005</v>
      </c>
      <c r="G28" s="1028">
        <v>594882.6</v>
      </c>
      <c r="H28" s="1029">
        <v>636712.6</v>
      </c>
      <c r="I28" s="1028">
        <v>679141.5</v>
      </c>
      <c r="J28" s="1028">
        <v>707614</v>
      </c>
      <c r="K28" s="1028">
        <v>727799.9</v>
      </c>
      <c r="L28" s="1028">
        <v>748906.6</v>
      </c>
      <c r="M28" s="1028">
        <v>774187.2</v>
      </c>
      <c r="N28" s="1028">
        <v>808988.3</v>
      </c>
      <c r="O28" s="1028">
        <v>846777.2</v>
      </c>
      <c r="P28" s="1028">
        <v>884922.1</v>
      </c>
      <c r="Q28" s="1028">
        <v>920258.9</v>
      </c>
      <c r="R28" s="1028">
        <v>958166</v>
      </c>
      <c r="S28" s="1028" t="s">
        <v>1320</v>
      </c>
      <c r="T28" s="1028" t="s">
        <v>1259</v>
      </c>
      <c r="U28" s="819" t="s">
        <v>1255</v>
      </c>
      <c r="V28" s="819"/>
    </row>
    <row r="29" spans="2:22" x14ac:dyDescent="0.3">
      <c r="B29" s="819" t="s">
        <v>1321</v>
      </c>
      <c r="C29" s="197" t="s">
        <v>1322</v>
      </c>
      <c r="D29" s="197" t="s">
        <v>1251</v>
      </c>
      <c r="E29" s="197" t="s">
        <v>1252</v>
      </c>
      <c r="F29" s="1028">
        <v>161751.4</v>
      </c>
      <c r="G29" s="1028">
        <v>174706</v>
      </c>
      <c r="H29" s="1029">
        <v>183108.4</v>
      </c>
      <c r="I29" s="1028">
        <v>194381.2</v>
      </c>
      <c r="J29" s="1028">
        <v>204324.2</v>
      </c>
      <c r="K29" s="1028">
        <v>214467.4</v>
      </c>
      <c r="L29" s="1028">
        <v>224045.1</v>
      </c>
      <c r="M29" s="1028">
        <v>234038.39999999999</v>
      </c>
      <c r="N29" s="1028">
        <v>244142.4</v>
      </c>
      <c r="O29" s="1028">
        <v>254495.2</v>
      </c>
      <c r="P29" s="1028">
        <v>266853</v>
      </c>
      <c r="Q29" s="1028">
        <v>279544.5</v>
      </c>
      <c r="R29" s="1028">
        <v>293414.40000000002</v>
      </c>
      <c r="S29" s="1028" t="s">
        <v>1323</v>
      </c>
      <c r="T29" s="1028" t="s">
        <v>1259</v>
      </c>
      <c r="U29" s="819" t="s">
        <v>1255</v>
      </c>
      <c r="V29" s="819"/>
    </row>
    <row r="30" spans="2:22" x14ac:dyDescent="0.3">
      <c r="B30" s="819" t="s">
        <v>1324</v>
      </c>
      <c r="C30" s="197" t="s">
        <v>1325</v>
      </c>
      <c r="D30" s="197" t="s">
        <v>1251</v>
      </c>
      <c r="E30" s="197" t="s">
        <v>1252</v>
      </c>
      <c r="F30" s="1028">
        <v>346612.1</v>
      </c>
      <c r="G30" s="1028">
        <v>360697.1</v>
      </c>
      <c r="H30" s="1029">
        <v>385923.6</v>
      </c>
      <c r="I30" s="1028">
        <v>403045.3</v>
      </c>
      <c r="J30" s="1028">
        <v>407306.9</v>
      </c>
      <c r="K30" s="1028">
        <v>418288.6</v>
      </c>
      <c r="L30" s="1028">
        <v>432247.2</v>
      </c>
      <c r="M30" s="1028">
        <v>451051.8</v>
      </c>
      <c r="N30" s="1028">
        <v>472332.2</v>
      </c>
      <c r="O30" s="1028">
        <v>494739.6</v>
      </c>
      <c r="P30" s="1028">
        <v>521034.5</v>
      </c>
      <c r="Q30" s="1028">
        <v>547607.5</v>
      </c>
      <c r="R30" s="1028">
        <v>574898.19999999995</v>
      </c>
      <c r="S30" s="1028" t="s">
        <v>1326</v>
      </c>
      <c r="T30" s="1028" t="s">
        <v>1259</v>
      </c>
      <c r="U30" s="819" t="s">
        <v>1255</v>
      </c>
      <c r="V30" s="819"/>
    </row>
    <row r="31" spans="2:22" x14ac:dyDescent="0.3">
      <c r="B31" s="819" t="s">
        <v>1327</v>
      </c>
      <c r="C31" s="197" t="s">
        <v>1328</v>
      </c>
      <c r="D31" s="197" t="s">
        <v>1251</v>
      </c>
      <c r="E31" s="197" t="s">
        <v>1252</v>
      </c>
      <c r="F31" s="1028">
        <v>18074.7</v>
      </c>
      <c r="G31" s="1028">
        <v>-32856</v>
      </c>
      <c r="H31" s="1029">
        <v>19264.400000000001</v>
      </c>
      <c r="I31" s="1028">
        <v>36190.800000000003</v>
      </c>
      <c r="J31" s="1028">
        <v>19721.599999999999</v>
      </c>
      <c r="K31" s="1028">
        <v>-2288.3000000000002</v>
      </c>
      <c r="L31" s="1028">
        <v>821.7</v>
      </c>
      <c r="M31" s="1028">
        <v>4500</v>
      </c>
      <c r="N31" s="1028">
        <v>2000</v>
      </c>
      <c r="O31" s="1028">
        <v>-1000</v>
      </c>
      <c r="P31" s="1028">
        <v>-5000</v>
      </c>
      <c r="Q31" s="1028">
        <v>-5000</v>
      </c>
      <c r="R31" s="1028">
        <v>-5000</v>
      </c>
      <c r="S31" s="1028" t="s">
        <v>1329</v>
      </c>
      <c r="T31" s="1028" t="s">
        <v>1259</v>
      </c>
      <c r="U31" s="819" t="s">
        <v>1255</v>
      </c>
      <c r="V31" s="819"/>
    </row>
    <row r="32" spans="2:22" x14ac:dyDescent="0.3">
      <c r="B32" s="819" t="s">
        <v>1330</v>
      </c>
      <c r="C32" s="197" t="s">
        <v>1331</v>
      </c>
      <c r="D32" s="197" t="s">
        <v>1251</v>
      </c>
      <c r="E32" s="197" t="s">
        <v>1252</v>
      </c>
      <c r="F32" s="1028">
        <v>551819.9</v>
      </c>
      <c r="G32" s="1028">
        <v>547634.30000000005</v>
      </c>
      <c r="H32" s="1029">
        <v>625308.80000000005</v>
      </c>
      <c r="I32" s="1028">
        <v>742936</v>
      </c>
      <c r="J32" s="1028">
        <v>776062.5</v>
      </c>
      <c r="K32" s="1028">
        <v>770114.7</v>
      </c>
      <c r="L32" s="1028">
        <v>752061.8</v>
      </c>
      <c r="M32" s="1028">
        <v>703725.3</v>
      </c>
      <c r="N32" s="1028">
        <v>754821.5</v>
      </c>
      <c r="O32" s="1028">
        <v>790916.7</v>
      </c>
      <c r="P32" s="1028">
        <v>838361.59999999998</v>
      </c>
      <c r="Q32" s="1028">
        <v>880288.9</v>
      </c>
      <c r="R32" s="1028">
        <v>928893.2</v>
      </c>
      <c r="S32" s="1028" t="s">
        <v>1332</v>
      </c>
      <c r="T32" s="1028" t="s">
        <v>1259</v>
      </c>
      <c r="U32" s="819" t="s">
        <v>1255</v>
      </c>
      <c r="V32" s="819"/>
    </row>
    <row r="33" spans="2:22" x14ac:dyDescent="0.3">
      <c r="B33" s="819" t="s">
        <v>1333</v>
      </c>
      <c r="C33" s="197" t="s">
        <v>1334</v>
      </c>
      <c r="D33" s="197" t="s">
        <v>1251</v>
      </c>
      <c r="E33" s="197" t="s">
        <v>1252</v>
      </c>
      <c r="F33" s="1028">
        <v>551938.4</v>
      </c>
      <c r="G33" s="1028">
        <v>493655.1</v>
      </c>
      <c r="H33" s="1029">
        <v>585010</v>
      </c>
      <c r="I33" s="1028">
        <v>723013.7</v>
      </c>
      <c r="J33" s="1028">
        <v>737572.5</v>
      </c>
      <c r="K33" s="1028">
        <v>698936.9</v>
      </c>
      <c r="L33" s="1028">
        <v>672822.1</v>
      </c>
      <c r="M33" s="1028">
        <v>648262.30000000005</v>
      </c>
      <c r="N33" s="1028">
        <v>706324.5</v>
      </c>
      <c r="O33" s="1028">
        <v>764950.9</v>
      </c>
      <c r="P33" s="1028">
        <v>821450.3</v>
      </c>
      <c r="Q33" s="1028">
        <v>870193.2</v>
      </c>
      <c r="R33" s="1028">
        <v>931403.7</v>
      </c>
      <c r="S33" s="1028" t="s">
        <v>1335</v>
      </c>
      <c r="T33" s="1028" t="s">
        <v>1259</v>
      </c>
      <c r="U33" s="819" t="s">
        <v>1255</v>
      </c>
      <c r="V33" s="819"/>
    </row>
    <row r="34" spans="2:22" x14ac:dyDescent="0.3">
      <c r="B34" s="819" t="s">
        <v>1336</v>
      </c>
      <c r="C34" s="197" t="s">
        <v>1337</v>
      </c>
      <c r="D34" s="197" t="s">
        <v>1251</v>
      </c>
      <c r="E34" s="197" t="s">
        <v>1252</v>
      </c>
      <c r="F34" s="1028">
        <v>1105491.5</v>
      </c>
      <c r="G34" s="1028">
        <v>1097429.7</v>
      </c>
      <c r="H34" s="1029">
        <v>1225009</v>
      </c>
      <c r="I34" s="1028">
        <v>1312758.8</v>
      </c>
      <c r="J34" s="1028">
        <v>1338966.7</v>
      </c>
      <c r="K34" s="1028">
        <v>1358267.6</v>
      </c>
      <c r="L34" s="1028">
        <v>1406020.6</v>
      </c>
      <c r="M34" s="1028">
        <v>1463777.4</v>
      </c>
      <c r="N34" s="1028">
        <v>1527462.9</v>
      </c>
      <c r="O34" s="1028">
        <v>1595012</v>
      </c>
      <c r="P34" s="1028">
        <v>1667809.6</v>
      </c>
      <c r="Q34" s="1028">
        <v>1742410.9</v>
      </c>
      <c r="R34" s="1028">
        <v>1821478.6</v>
      </c>
      <c r="S34" s="1028" t="s">
        <v>1338</v>
      </c>
      <c r="T34" s="1028" t="s">
        <v>1259</v>
      </c>
      <c r="U34" s="819" t="s">
        <v>1278</v>
      </c>
      <c r="V34" s="819"/>
    </row>
    <row r="35" spans="2:22" x14ac:dyDescent="0.3">
      <c r="B35" s="819" t="s">
        <v>1339</v>
      </c>
      <c r="C35" s="197" t="s">
        <v>1340</v>
      </c>
      <c r="D35" s="197" t="s">
        <v>1341</v>
      </c>
      <c r="E35" s="197" t="s">
        <v>1252</v>
      </c>
      <c r="F35" s="1028">
        <v>1405.7</v>
      </c>
      <c r="G35" s="1028">
        <v>1396.4</v>
      </c>
      <c r="H35" s="1029">
        <v>1505.3</v>
      </c>
      <c r="I35" s="1028">
        <v>1559.4</v>
      </c>
      <c r="J35" s="1028">
        <v>1601.2</v>
      </c>
      <c r="K35" s="1028">
        <v>1661.7</v>
      </c>
      <c r="L35" s="1028">
        <v>1732.4</v>
      </c>
      <c r="M35" s="1028">
        <v>1802</v>
      </c>
      <c r="N35" s="1028">
        <v>1880</v>
      </c>
      <c r="O35" s="1028">
        <v>1973</v>
      </c>
      <c r="P35" s="1028">
        <v>2083</v>
      </c>
      <c r="Q35" s="1028">
        <v>2196</v>
      </c>
      <c r="R35" s="1028">
        <v>2308</v>
      </c>
      <c r="S35" s="1028" t="s">
        <v>1342</v>
      </c>
      <c r="T35" s="1028" t="s">
        <v>1259</v>
      </c>
      <c r="U35" s="819" t="s">
        <v>1343</v>
      </c>
      <c r="V35" s="819"/>
    </row>
    <row r="36" spans="2:22" x14ac:dyDescent="0.3">
      <c r="B36" s="819" t="s">
        <v>1344</v>
      </c>
      <c r="C36" s="197" t="s">
        <v>1345</v>
      </c>
      <c r="D36" s="197" t="s">
        <v>1346</v>
      </c>
      <c r="E36" s="197" t="s">
        <v>1252</v>
      </c>
      <c r="F36" s="1028">
        <v>1002.2</v>
      </c>
      <c r="G36" s="1028">
        <v>901.93</v>
      </c>
      <c r="H36" s="1029">
        <v>1094.5</v>
      </c>
      <c r="I36" s="1028">
        <v>1202.5</v>
      </c>
      <c r="J36" s="1028">
        <v>1222.8</v>
      </c>
      <c r="K36" s="1028">
        <v>1305.5999999999999</v>
      </c>
      <c r="L36" s="1028">
        <v>1410.4</v>
      </c>
      <c r="M36" s="1028">
        <v>1347</v>
      </c>
      <c r="N36" s="1028">
        <v>1337</v>
      </c>
      <c r="O36" s="1028">
        <v>1372</v>
      </c>
      <c r="P36" s="1028">
        <v>1424</v>
      </c>
      <c r="Q36" s="1028">
        <v>1479</v>
      </c>
      <c r="R36" s="1028">
        <v>1525</v>
      </c>
      <c r="S36" s="1028" t="s">
        <v>1347</v>
      </c>
      <c r="T36" s="1028" t="s">
        <v>1254</v>
      </c>
      <c r="U36" s="819" t="s">
        <v>1348</v>
      </c>
      <c r="V36" s="819"/>
    </row>
    <row r="37" spans="2:22" x14ac:dyDescent="0.3">
      <c r="B37" s="819" t="s">
        <v>1349</v>
      </c>
      <c r="C37" s="197" t="s">
        <v>1350</v>
      </c>
      <c r="D37" s="197" t="s">
        <v>1346</v>
      </c>
      <c r="E37" s="197" t="s">
        <v>1252</v>
      </c>
      <c r="F37" s="1028">
        <v>525.42999999999995</v>
      </c>
      <c r="G37" s="1028">
        <v>465.87</v>
      </c>
      <c r="H37" s="1029">
        <v>550.76</v>
      </c>
      <c r="I37" s="1028">
        <v>612.78</v>
      </c>
      <c r="J37" s="1028">
        <v>628.16999999999996</v>
      </c>
      <c r="K37" s="1028">
        <v>664.75</v>
      </c>
      <c r="L37" s="1028">
        <v>711.24</v>
      </c>
      <c r="M37" s="1028">
        <v>686.3</v>
      </c>
      <c r="N37" s="1028">
        <v>686.3</v>
      </c>
      <c r="O37" s="1028">
        <v>716.6</v>
      </c>
      <c r="P37" s="1028">
        <v>747.9</v>
      </c>
      <c r="Q37" s="1028">
        <v>776.9</v>
      </c>
      <c r="R37" s="1028">
        <v>803.5</v>
      </c>
      <c r="S37" s="1028" t="s">
        <v>1351</v>
      </c>
      <c r="T37" s="1028" t="s">
        <v>1259</v>
      </c>
      <c r="U37" s="819" t="s">
        <v>1348</v>
      </c>
      <c r="V37" s="819"/>
    </row>
    <row r="38" spans="2:22" x14ac:dyDescent="0.3">
      <c r="B38" s="819" t="s">
        <v>1352</v>
      </c>
      <c r="C38" s="197" t="s">
        <v>1353</v>
      </c>
      <c r="D38" s="197" t="s">
        <v>1346</v>
      </c>
      <c r="E38" s="197" t="s">
        <v>1252</v>
      </c>
      <c r="F38" s="1028">
        <v>146.774</v>
      </c>
      <c r="G38" s="1028">
        <v>136.81700000000001</v>
      </c>
      <c r="H38" s="1029">
        <v>158.38999999999999</v>
      </c>
      <c r="I38" s="1028">
        <v>175.38800000000001</v>
      </c>
      <c r="J38" s="1028">
        <v>181.38399999999999</v>
      </c>
      <c r="K38" s="1028">
        <v>195.887</v>
      </c>
      <c r="L38" s="1028">
        <v>212.77600000000001</v>
      </c>
      <c r="M38" s="1028">
        <v>207.5</v>
      </c>
      <c r="N38" s="1028">
        <v>207.1</v>
      </c>
      <c r="O38" s="1028">
        <v>215.4</v>
      </c>
      <c r="P38" s="1028">
        <v>225.5</v>
      </c>
      <c r="Q38" s="1028">
        <v>236</v>
      </c>
      <c r="R38" s="1028">
        <v>246</v>
      </c>
      <c r="S38" s="1028" t="s">
        <v>1354</v>
      </c>
      <c r="T38" s="1028" t="s">
        <v>1259</v>
      </c>
      <c r="U38" s="819" t="s">
        <v>1348</v>
      </c>
      <c r="V38" s="819"/>
    </row>
    <row r="39" spans="2:22" x14ac:dyDescent="0.3">
      <c r="B39" s="819" t="s">
        <v>1355</v>
      </c>
      <c r="C39" s="197" t="s">
        <v>1356</v>
      </c>
      <c r="D39" s="197" t="s">
        <v>1346</v>
      </c>
      <c r="E39" s="197" t="s">
        <v>1252</v>
      </c>
      <c r="F39" s="1028">
        <v>314.52</v>
      </c>
      <c r="G39" s="1028">
        <v>282.47000000000003</v>
      </c>
      <c r="H39" s="1029">
        <v>333.83</v>
      </c>
      <c r="I39" s="1028">
        <v>363.66</v>
      </c>
      <c r="J39" s="1028">
        <v>361.58</v>
      </c>
      <c r="K39" s="1028">
        <v>382.05</v>
      </c>
      <c r="L39" s="1028">
        <v>410.51</v>
      </c>
      <c r="M39" s="1028">
        <v>399.8</v>
      </c>
      <c r="N39" s="1028">
        <v>400.7</v>
      </c>
      <c r="O39" s="1028">
        <v>418.7</v>
      </c>
      <c r="P39" s="1028">
        <v>440.3</v>
      </c>
      <c r="Q39" s="1028">
        <v>462.3</v>
      </c>
      <c r="R39" s="1028">
        <v>482.1</v>
      </c>
      <c r="S39" s="1028" t="s">
        <v>1357</v>
      </c>
      <c r="T39" s="1028" t="s">
        <v>1259</v>
      </c>
      <c r="U39" s="819" t="s">
        <v>1348</v>
      </c>
      <c r="V39" s="819"/>
    </row>
    <row r="40" spans="2:22" x14ac:dyDescent="0.3">
      <c r="B40" s="819" t="s">
        <v>1358</v>
      </c>
      <c r="C40" s="197" t="s">
        <v>1359</v>
      </c>
      <c r="D40" s="197" t="s">
        <v>1346</v>
      </c>
      <c r="E40" s="197" t="s">
        <v>1252</v>
      </c>
      <c r="F40" s="1028">
        <v>16.401</v>
      </c>
      <c r="G40" s="1028">
        <v>-25.73</v>
      </c>
      <c r="H40" s="1029">
        <v>16.664000000000001</v>
      </c>
      <c r="I40" s="1028">
        <v>32.655000000000001</v>
      </c>
      <c r="J40" s="1028">
        <v>17.507000000000001</v>
      </c>
      <c r="K40" s="1028">
        <v>-2.09</v>
      </c>
      <c r="L40" s="1028">
        <v>0.78</v>
      </c>
      <c r="M40" s="1028">
        <v>4</v>
      </c>
      <c r="N40" s="1028">
        <v>1.7</v>
      </c>
      <c r="O40" s="1028">
        <v>-0.8</v>
      </c>
      <c r="P40" s="1028">
        <v>-4.2</v>
      </c>
      <c r="Q40" s="1028">
        <v>-4.2</v>
      </c>
      <c r="R40" s="1028">
        <v>-4.2</v>
      </c>
      <c r="S40" s="1028" t="s">
        <v>1360</v>
      </c>
      <c r="T40" s="1028" t="s">
        <v>1259</v>
      </c>
      <c r="U40" s="819" t="s">
        <v>1348</v>
      </c>
      <c r="V40" s="819"/>
    </row>
    <row r="41" spans="2:22" x14ac:dyDescent="0.3">
      <c r="B41" s="819" t="s">
        <v>1361</v>
      </c>
      <c r="C41" s="197" t="s">
        <v>1362</v>
      </c>
      <c r="D41" s="197" t="s">
        <v>1346</v>
      </c>
      <c r="E41" s="197" t="s">
        <v>1252</v>
      </c>
      <c r="F41" s="1028">
        <v>500.72300000000001</v>
      </c>
      <c r="G41" s="1028">
        <v>428.86799999999999</v>
      </c>
      <c r="H41" s="1029">
        <v>540.89599999999996</v>
      </c>
      <c r="I41" s="1028">
        <v>670.34299999999996</v>
      </c>
      <c r="J41" s="1028">
        <v>688.93299999999999</v>
      </c>
      <c r="K41" s="1028">
        <v>703.39499999999998</v>
      </c>
      <c r="L41" s="1028">
        <v>714.23500000000001</v>
      </c>
      <c r="M41" s="1028">
        <v>623.79999999999995</v>
      </c>
      <c r="N41" s="1028">
        <v>640.4</v>
      </c>
      <c r="O41" s="1028">
        <v>669.3</v>
      </c>
      <c r="P41" s="1028">
        <v>708.5</v>
      </c>
      <c r="Q41" s="1028">
        <v>743.1</v>
      </c>
      <c r="R41" s="1028">
        <v>778.9</v>
      </c>
      <c r="S41" s="1028" t="s">
        <v>1363</v>
      </c>
      <c r="T41" s="1028" t="s">
        <v>1259</v>
      </c>
      <c r="U41" s="819" t="s">
        <v>1348</v>
      </c>
      <c r="V41" s="819"/>
    </row>
    <row r="42" spans="2:22" x14ac:dyDescent="0.3">
      <c r="B42" s="819" t="s">
        <v>1364</v>
      </c>
      <c r="C42" s="197" t="s">
        <v>1365</v>
      </c>
      <c r="D42" s="197" t="s">
        <v>1346</v>
      </c>
      <c r="E42" s="197" t="s">
        <v>1252</v>
      </c>
      <c r="F42" s="1028">
        <v>500.83</v>
      </c>
      <c r="G42" s="1028">
        <v>386.59500000000003</v>
      </c>
      <c r="H42" s="1029">
        <v>506.03699999999998</v>
      </c>
      <c r="I42" s="1028">
        <v>652.36699999999996</v>
      </c>
      <c r="J42" s="1028">
        <v>654.76400000000001</v>
      </c>
      <c r="K42" s="1028">
        <v>638.38400000000001</v>
      </c>
      <c r="L42" s="1028">
        <v>638.98099999999999</v>
      </c>
      <c r="M42" s="1028">
        <v>574.6</v>
      </c>
      <c r="N42" s="1028">
        <v>599.20000000000005</v>
      </c>
      <c r="O42" s="1028">
        <v>647.29999999999995</v>
      </c>
      <c r="P42" s="1028">
        <v>694.2</v>
      </c>
      <c r="Q42" s="1028">
        <v>734.6</v>
      </c>
      <c r="R42" s="1028">
        <v>781.1</v>
      </c>
      <c r="S42" s="1028" t="s">
        <v>1366</v>
      </c>
      <c r="T42" s="1028" t="s">
        <v>1259</v>
      </c>
      <c r="U42" s="819" t="s">
        <v>1348</v>
      </c>
      <c r="V42" s="819"/>
    </row>
    <row r="43" spans="2:22" x14ac:dyDescent="0.3">
      <c r="B43" s="819" t="s">
        <v>1367</v>
      </c>
      <c r="C43" s="197" t="s">
        <v>1368</v>
      </c>
      <c r="D43" s="197" t="s">
        <v>1346</v>
      </c>
      <c r="E43" s="197" t="s">
        <v>1252</v>
      </c>
      <c r="F43" s="1028">
        <v>1003.126</v>
      </c>
      <c r="G43" s="1028">
        <v>859.428</v>
      </c>
      <c r="H43" s="1029">
        <v>1059.6400000000001</v>
      </c>
      <c r="I43" s="1028">
        <v>1184.4880000000001</v>
      </c>
      <c r="J43" s="1028">
        <v>1188.6389999999999</v>
      </c>
      <c r="K43" s="1028">
        <v>1240.5930000000001</v>
      </c>
      <c r="L43" s="1028">
        <v>1335.3019999999999</v>
      </c>
      <c r="M43" s="1028">
        <v>1297.5999999999999</v>
      </c>
      <c r="N43" s="1028">
        <v>1295.8</v>
      </c>
      <c r="O43" s="1028">
        <v>1349.8</v>
      </c>
      <c r="P43" s="1028">
        <v>1409.5</v>
      </c>
      <c r="Q43" s="1028">
        <v>1470.9</v>
      </c>
      <c r="R43" s="1028">
        <v>1527.4</v>
      </c>
      <c r="S43" s="1028" t="s">
        <v>1369</v>
      </c>
      <c r="T43" s="1028" t="s">
        <v>1259</v>
      </c>
      <c r="U43" s="819" t="s">
        <v>1348</v>
      </c>
      <c r="V43" s="819"/>
    </row>
    <row r="44" spans="2:22" x14ac:dyDescent="0.3">
      <c r="B44" s="819" t="s">
        <v>1370</v>
      </c>
      <c r="C44" s="197" t="s">
        <v>1371</v>
      </c>
      <c r="D44" s="197" t="s">
        <v>1259</v>
      </c>
      <c r="E44" s="197" t="s">
        <v>1259</v>
      </c>
      <c r="F44" s="1028">
        <v>52.427</v>
      </c>
      <c r="G44" s="1028">
        <v>51.652000000000001</v>
      </c>
      <c r="H44" s="1029">
        <v>50.320999999999998</v>
      </c>
      <c r="I44" s="1028">
        <v>50.960999999999999</v>
      </c>
      <c r="J44" s="1028">
        <v>51.371000000000002</v>
      </c>
      <c r="K44" s="1028">
        <v>50.914999999999999</v>
      </c>
      <c r="L44" s="1028">
        <v>50.429000000000002</v>
      </c>
      <c r="M44" s="1028">
        <v>51</v>
      </c>
      <c r="N44" s="1028">
        <v>51.3</v>
      </c>
      <c r="O44" s="1028">
        <v>52.2</v>
      </c>
      <c r="P44" s="1028">
        <v>52.5</v>
      </c>
      <c r="Q44" s="1028">
        <v>52.5</v>
      </c>
      <c r="R44" s="1028">
        <v>52.7</v>
      </c>
      <c r="S44" s="1028" t="s">
        <v>1372</v>
      </c>
      <c r="T44" s="1028" t="s">
        <v>1259</v>
      </c>
      <c r="U44" s="819" t="s">
        <v>1278</v>
      </c>
      <c r="V44" s="819"/>
    </row>
    <row r="45" spans="2:22" x14ac:dyDescent="0.3">
      <c r="B45" s="819" t="s">
        <v>1373</v>
      </c>
      <c r="C45" s="197" t="s">
        <v>1374</v>
      </c>
      <c r="D45" s="197" t="s">
        <v>1259</v>
      </c>
      <c r="E45" s="197" t="s">
        <v>1259</v>
      </c>
      <c r="F45" s="1028">
        <v>14.645</v>
      </c>
      <c r="G45" s="1028">
        <v>15.169</v>
      </c>
      <c r="H45" s="1029">
        <v>14.471</v>
      </c>
      <c r="I45" s="1028">
        <v>14.586</v>
      </c>
      <c r="J45" s="1028">
        <v>14.833</v>
      </c>
      <c r="K45" s="1028">
        <v>15.004</v>
      </c>
      <c r="L45" s="1028">
        <v>15.086</v>
      </c>
      <c r="M45" s="1028">
        <v>15.4</v>
      </c>
      <c r="N45" s="1028">
        <v>15.5</v>
      </c>
      <c r="O45" s="1028">
        <v>15.7</v>
      </c>
      <c r="P45" s="1028">
        <v>15.8</v>
      </c>
      <c r="Q45" s="1028">
        <v>16</v>
      </c>
      <c r="R45" s="1028">
        <v>16.100000000000001</v>
      </c>
      <c r="S45" s="1028" t="s">
        <v>1375</v>
      </c>
      <c r="T45" s="1028" t="s">
        <v>1259</v>
      </c>
      <c r="U45" s="819" t="s">
        <v>1278</v>
      </c>
      <c r="V45" s="819"/>
    </row>
    <row r="46" spans="2:22" x14ac:dyDescent="0.3">
      <c r="B46" s="819" t="s">
        <v>1376</v>
      </c>
      <c r="C46" s="197" t="s">
        <v>1377</v>
      </c>
      <c r="D46" s="197" t="s">
        <v>1259</v>
      </c>
      <c r="E46" s="197" t="s">
        <v>1259</v>
      </c>
      <c r="F46" s="1028">
        <v>31.382000000000001</v>
      </c>
      <c r="G46" s="1028">
        <v>31.318000000000001</v>
      </c>
      <c r="H46" s="1029">
        <v>30.5</v>
      </c>
      <c r="I46" s="1028">
        <v>30.242999999999999</v>
      </c>
      <c r="J46" s="1028">
        <v>29.568999999999999</v>
      </c>
      <c r="K46" s="1028">
        <v>29.262</v>
      </c>
      <c r="L46" s="1028">
        <v>29.106000000000002</v>
      </c>
      <c r="M46" s="1028">
        <v>29.7</v>
      </c>
      <c r="N46" s="1028">
        <v>30</v>
      </c>
      <c r="O46" s="1028">
        <v>30.5</v>
      </c>
      <c r="P46" s="1028">
        <v>30.9</v>
      </c>
      <c r="Q46" s="1028">
        <v>31.2</v>
      </c>
      <c r="R46" s="1028">
        <v>31.6</v>
      </c>
      <c r="S46" s="1028" t="s">
        <v>1378</v>
      </c>
      <c r="T46" s="1028" t="s">
        <v>1259</v>
      </c>
      <c r="U46" s="819" t="s">
        <v>1278</v>
      </c>
      <c r="V46" s="819"/>
    </row>
    <row r="47" spans="2:22" x14ac:dyDescent="0.3">
      <c r="B47" s="819" t="s">
        <v>1379</v>
      </c>
      <c r="C47" s="197" t="s">
        <v>1380</v>
      </c>
      <c r="D47" s="197" t="s">
        <v>1259</v>
      </c>
      <c r="E47" s="197" t="s">
        <v>1259</v>
      </c>
      <c r="F47" s="1028">
        <v>1.6359999999999999</v>
      </c>
      <c r="G47" s="1028">
        <v>-2.8530000000000002</v>
      </c>
      <c r="H47" s="1029">
        <v>1.5229999999999999</v>
      </c>
      <c r="I47" s="1028">
        <v>2.7160000000000002</v>
      </c>
      <c r="J47" s="1028">
        <v>1.4319999999999999</v>
      </c>
      <c r="K47" s="1028">
        <v>-0.16</v>
      </c>
      <c r="L47" s="1028">
        <v>5.5E-2</v>
      </c>
      <c r="M47" s="1028">
        <v>0.3</v>
      </c>
      <c r="N47" s="1028">
        <v>0.1</v>
      </c>
      <c r="O47" s="1028">
        <v>-0.1</v>
      </c>
      <c r="P47" s="1028">
        <v>-0.3</v>
      </c>
      <c r="Q47" s="1028">
        <v>-0.3</v>
      </c>
      <c r="R47" s="1028">
        <v>-0.3</v>
      </c>
      <c r="S47" s="1028" t="s">
        <v>1381</v>
      </c>
      <c r="T47" s="1028" t="s">
        <v>1259</v>
      </c>
      <c r="U47" s="819" t="s">
        <v>1278</v>
      </c>
      <c r="V47" s="819"/>
    </row>
    <row r="48" spans="2:22" x14ac:dyDescent="0.3">
      <c r="B48" s="819" t="s">
        <v>1382</v>
      </c>
      <c r="C48" s="197" t="s">
        <v>1383</v>
      </c>
      <c r="D48" s="197" t="s">
        <v>1259</v>
      </c>
      <c r="E48" s="197" t="s">
        <v>1259</v>
      </c>
      <c r="F48" s="1028">
        <v>49.960999999999999</v>
      </c>
      <c r="G48" s="1028">
        <v>47.55</v>
      </c>
      <c r="H48" s="1029">
        <v>49.418999999999997</v>
      </c>
      <c r="I48" s="1028">
        <v>55.747</v>
      </c>
      <c r="J48" s="1028">
        <v>56.34</v>
      </c>
      <c r="K48" s="1028">
        <v>53.875</v>
      </c>
      <c r="L48" s="1028">
        <v>50.640999999999998</v>
      </c>
      <c r="M48" s="1028">
        <v>46.3</v>
      </c>
      <c r="N48" s="1028">
        <v>47.9</v>
      </c>
      <c r="O48" s="1028">
        <v>48.8</v>
      </c>
      <c r="P48" s="1028">
        <v>49.8</v>
      </c>
      <c r="Q48" s="1028">
        <v>50.2</v>
      </c>
      <c r="R48" s="1028">
        <v>51.1</v>
      </c>
      <c r="S48" s="1028" t="s">
        <v>1384</v>
      </c>
      <c r="T48" s="1028" t="s">
        <v>1259</v>
      </c>
      <c r="U48" s="819" t="s">
        <v>1278</v>
      </c>
      <c r="V48" s="819"/>
    </row>
    <row r="49" spans="2:22" x14ac:dyDescent="0.3">
      <c r="B49" s="819" t="s">
        <v>1385</v>
      </c>
      <c r="C49" s="197" t="s">
        <v>1386</v>
      </c>
      <c r="D49" s="197" t="s">
        <v>1259</v>
      </c>
      <c r="E49" s="197" t="s">
        <v>1259</v>
      </c>
      <c r="F49" s="1028">
        <v>49.972000000000001</v>
      </c>
      <c r="G49" s="1028">
        <v>42.863</v>
      </c>
      <c r="H49" s="1029">
        <v>46.234999999999999</v>
      </c>
      <c r="I49" s="1028">
        <v>54.253</v>
      </c>
      <c r="J49" s="1028">
        <v>53.545999999999999</v>
      </c>
      <c r="K49" s="1028">
        <v>48.896000000000001</v>
      </c>
      <c r="L49" s="1028">
        <v>45.305999999999997</v>
      </c>
      <c r="M49" s="1028">
        <v>42.7</v>
      </c>
      <c r="N49" s="1028">
        <v>44.8</v>
      </c>
      <c r="O49" s="1028">
        <v>47.2</v>
      </c>
      <c r="P49" s="1028">
        <v>48.8</v>
      </c>
      <c r="Q49" s="1028">
        <v>49.7</v>
      </c>
      <c r="R49" s="1028">
        <v>51.2</v>
      </c>
      <c r="S49" s="1028" t="s">
        <v>1387</v>
      </c>
      <c r="T49" s="1028" t="s">
        <v>1259</v>
      </c>
      <c r="U49" s="819" t="s">
        <v>1278</v>
      </c>
      <c r="V49" s="819"/>
    </row>
    <row r="50" spans="2:22" x14ac:dyDescent="0.3">
      <c r="B50" s="819" t="s">
        <v>1388</v>
      </c>
      <c r="C50" s="197" t="s">
        <v>1389</v>
      </c>
      <c r="D50" s="197" t="s">
        <v>1259</v>
      </c>
      <c r="E50" s="197" t="s">
        <v>1259</v>
      </c>
      <c r="F50" s="1028">
        <v>100.09</v>
      </c>
      <c r="G50" s="1028">
        <v>95.287000000000006</v>
      </c>
      <c r="H50" s="1029">
        <v>96.814999999999998</v>
      </c>
      <c r="I50" s="1028">
        <v>98.504999999999995</v>
      </c>
      <c r="J50" s="1028">
        <v>97.206000000000003</v>
      </c>
      <c r="K50" s="1028">
        <v>95.021000000000001</v>
      </c>
      <c r="L50" s="1028">
        <v>94.677000000000007</v>
      </c>
      <c r="M50" s="1028">
        <v>96.3</v>
      </c>
      <c r="N50" s="1028">
        <v>96.9</v>
      </c>
      <c r="O50" s="1028">
        <v>98.4</v>
      </c>
      <c r="P50" s="1028">
        <v>99</v>
      </c>
      <c r="Q50" s="1028">
        <v>99.4</v>
      </c>
      <c r="R50" s="1028">
        <v>100.1</v>
      </c>
      <c r="S50" s="1028" t="s">
        <v>1390</v>
      </c>
      <c r="T50" s="1028" t="s">
        <v>1259</v>
      </c>
      <c r="U50" s="819" t="s">
        <v>1278</v>
      </c>
      <c r="V50" s="819"/>
    </row>
    <row r="51" spans="2:22" x14ac:dyDescent="0.3">
      <c r="B51" s="819" t="s">
        <v>1391</v>
      </c>
      <c r="C51" s="197" t="s">
        <v>1392</v>
      </c>
      <c r="D51" s="197" t="s">
        <v>1259</v>
      </c>
      <c r="E51" s="197" t="s">
        <v>1259</v>
      </c>
      <c r="F51" s="1028">
        <v>2.9569999999999999</v>
      </c>
      <c r="G51" s="1028">
        <v>3.5419999999999998</v>
      </c>
      <c r="H51" s="1029">
        <v>3.161</v>
      </c>
      <c r="I51" s="1028">
        <v>1.585</v>
      </c>
      <c r="J51" s="1028">
        <v>1.0429999999999999</v>
      </c>
      <c r="K51" s="1028">
        <v>0.85299999999999998</v>
      </c>
      <c r="L51" s="1028">
        <v>0.56299999999999994</v>
      </c>
      <c r="M51" s="1028">
        <v>-0.2</v>
      </c>
      <c r="N51" s="1028">
        <v>0.8</v>
      </c>
      <c r="O51" s="1028">
        <v>0.1</v>
      </c>
      <c r="P51" s="1028">
        <v>0.9</v>
      </c>
      <c r="Q51" s="1028">
        <v>1.1000000000000001</v>
      </c>
      <c r="R51" s="1028">
        <v>0.7</v>
      </c>
      <c r="S51" s="1028" t="s">
        <v>1393</v>
      </c>
      <c r="T51" s="1028" t="s">
        <v>1259</v>
      </c>
      <c r="U51" s="819" t="s">
        <v>1394</v>
      </c>
      <c r="V51" s="819"/>
    </row>
    <row r="52" spans="2:22" x14ac:dyDescent="0.3">
      <c r="B52" s="819" t="s">
        <v>1395</v>
      </c>
      <c r="C52" s="197" t="s">
        <v>1396</v>
      </c>
      <c r="D52" s="197" t="s">
        <v>1259</v>
      </c>
      <c r="E52" s="197" t="s">
        <v>1259</v>
      </c>
      <c r="F52" s="1028">
        <v>4.5350000000000001</v>
      </c>
      <c r="G52" s="1028">
        <v>2.5670000000000002</v>
      </c>
      <c r="H52" s="1029">
        <v>2.5409999999999999</v>
      </c>
      <c r="I52" s="1028">
        <v>3.657</v>
      </c>
      <c r="J52" s="1028">
        <v>2.226</v>
      </c>
      <c r="K52" s="1028">
        <v>0.95299999999999996</v>
      </c>
      <c r="L52" s="1028">
        <v>1.081</v>
      </c>
      <c r="M52" s="1028">
        <v>1.2</v>
      </c>
      <c r="N52" s="1028">
        <v>2.5</v>
      </c>
      <c r="O52" s="1028">
        <v>2.4</v>
      </c>
      <c r="P52" s="1028">
        <v>2.2999999999999998</v>
      </c>
      <c r="Q52" s="1028">
        <v>2.1</v>
      </c>
      <c r="R52" s="1028">
        <v>2.2999999999999998</v>
      </c>
      <c r="S52" s="1028" t="s">
        <v>1397</v>
      </c>
      <c r="T52" s="1028" t="s">
        <v>1259</v>
      </c>
      <c r="U52" s="819" t="s">
        <v>1394</v>
      </c>
      <c r="V52" s="819"/>
    </row>
    <row r="53" spans="2:22" x14ac:dyDescent="0.3">
      <c r="B53" s="819" t="s">
        <v>1398</v>
      </c>
      <c r="C53" s="197" t="s">
        <v>1399</v>
      </c>
      <c r="D53" s="197" t="s">
        <v>1259</v>
      </c>
      <c r="E53" s="197" t="s">
        <v>1259</v>
      </c>
      <c r="F53" s="1028">
        <v>5.931</v>
      </c>
      <c r="G53" s="1028">
        <v>2.63</v>
      </c>
      <c r="H53" s="1029">
        <v>0.92600000000000005</v>
      </c>
      <c r="I53" s="1028">
        <v>3.859</v>
      </c>
      <c r="J53" s="1028">
        <v>1.6839999999999999</v>
      </c>
      <c r="K53" s="1028">
        <v>1.649</v>
      </c>
      <c r="L53" s="1028">
        <v>1.6</v>
      </c>
      <c r="M53" s="1028">
        <v>0.6</v>
      </c>
      <c r="N53" s="1028">
        <v>1.3</v>
      </c>
      <c r="O53" s="1028">
        <v>1.5</v>
      </c>
      <c r="P53" s="1028">
        <v>1.7</v>
      </c>
      <c r="Q53" s="1028">
        <v>1.9</v>
      </c>
      <c r="R53" s="1028">
        <v>2.1</v>
      </c>
      <c r="S53" s="1028" t="s">
        <v>1400</v>
      </c>
      <c r="T53" s="1028" t="s">
        <v>1259</v>
      </c>
      <c r="U53" s="819" t="s">
        <v>1394</v>
      </c>
      <c r="V53" s="819"/>
    </row>
    <row r="54" spans="2:22" x14ac:dyDescent="0.3">
      <c r="B54" s="819" t="s">
        <v>1401</v>
      </c>
      <c r="C54" s="197" t="s">
        <v>1402</v>
      </c>
      <c r="D54" s="197" t="s">
        <v>1259</v>
      </c>
      <c r="E54" s="197" t="s">
        <v>1259</v>
      </c>
      <c r="F54" s="1028">
        <v>9.8160000000000007</v>
      </c>
      <c r="G54" s="1028">
        <v>3.7549999999999999</v>
      </c>
      <c r="H54" s="1029">
        <v>1.4</v>
      </c>
      <c r="I54" s="1028">
        <v>3.5779999999999998</v>
      </c>
      <c r="J54" s="1028">
        <v>1.5489999999999999</v>
      </c>
      <c r="K54" s="1028">
        <v>-0.58599999999999997</v>
      </c>
      <c r="L54" s="1028">
        <v>0.191</v>
      </c>
      <c r="M54" s="1028">
        <v>0.3</v>
      </c>
      <c r="N54" s="1028">
        <v>1</v>
      </c>
      <c r="O54" s="1028">
        <v>1.5</v>
      </c>
      <c r="P54" s="1028">
        <v>2</v>
      </c>
      <c r="Q54" s="1028">
        <v>2.2000000000000002</v>
      </c>
      <c r="R54" s="1028">
        <v>2.2999999999999998</v>
      </c>
      <c r="S54" s="1028" t="s">
        <v>1403</v>
      </c>
      <c r="T54" s="1028" t="s">
        <v>1259</v>
      </c>
      <c r="U54" s="819" t="s">
        <v>1394</v>
      </c>
      <c r="V54" s="819"/>
    </row>
    <row r="55" spans="2:22" x14ac:dyDescent="0.3">
      <c r="B55" s="819" t="s">
        <v>1404</v>
      </c>
      <c r="C55" s="197" t="s">
        <v>1405</v>
      </c>
      <c r="D55" s="197" t="s">
        <v>1251</v>
      </c>
      <c r="E55" s="197" t="s">
        <v>1252</v>
      </c>
      <c r="F55" s="1028">
        <v>1065183.3999999999</v>
      </c>
      <c r="G55" s="1028">
        <v>1076429.7</v>
      </c>
      <c r="H55" s="1029">
        <v>1145124.2</v>
      </c>
      <c r="I55" s="1028">
        <v>1185403.3</v>
      </c>
      <c r="J55" s="1028">
        <v>1213224.3</v>
      </c>
      <c r="K55" s="1028">
        <v>1250078.3999999999</v>
      </c>
      <c r="L55" s="1028">
        <v>1290294.3</v>
      </c>
      <c r="M55" s="1028">
        <v>1322900.8</v>
      </c>
      <c r="N55" s="1028">
        <v>1360736.2</v>
      </c>
      <c r="O55" s="1028">
        <v>1398294.1</v>
      </c>
      <c r="P55" s="1028">
        <v>1440343.1</v>
      </c>
      <c r="Q55" s="1028">
        <v>1482393.6000000001</v>
      </c>
      <c r="R55" s="1028">
        <v>1527431.9</v>
      </c>
      <c r="S55" s="1028" t="s">
        <v>1406</v>
      </c>
      <c r="T55" s="1028" t="s">
        <v>1407</v>
      </c>
      <c r="U55" s="819" t="s">
        <v>1408</v>
      </c>
      <c r="V55" s="819"/>
    </row>
    <row r="56" spans="2:22" x14ac:dyDescent="0.3">
      <c r="B56" s="819" t="s">
        <v>1409</v>
      </c>
      <c r="C56" s="197" t="s">
        <v>1410</v>
      </c>
      <c r="D56" s="197" t="s">
        <v>1251</v>
      </c>
      <c r="E56" s="197" t="s">
        <v>1252</v>
      </c>
      <c r="F56" s="1028">
        <v>28646.5</v>
      </c>
      <c r="G56" s="1028">
        <v>29575.599999999999</v>
      </c>
      <c r="H56" s="1029">
        <v>28297.3</v>
      </c>
      <c r="I56" s="1028">
        <v>27744.6</v>
      </c>
      <c r="J56" s="1028">
        <v>27506.9</v>
      </c>
      <c r="K56" s="1028">
        <v>28357.7</v>
      </c>
      <c r="L56" s="1028">
        <v>29086.7</v>
      </c>
      <c r="M56" s="1028">
        <v>29523</v>
      </c>
      <c r="N56" s="1028">
        <v>29818.2</v>
      </c>
      <c r="O56" s="1028">
        <v>30265.5</v>
      </c>
      <c r="P56" s="1028">
        <v>30568.2</v>
      </c>
      <c r="Q56" s="1028">
        <v>30873.8</v>
      </c>
      <c r="R56" s="1028">
        <v>31182.6</v>
      </c>
      <c r="S56" s="1028" t="s">
        <v>1411</v>
      </c>
      <c r="T56" s="1028" t="s">
        <v>1412</v>
      </c>
      <c r="U56" s="819" t="s">
        <v>1408</v>
      </c>
      <c r="V56" s="819"/>
    </row>
    <row r="57" spans="2:22" x14ac:dyDescent="0.3">
      <c r="B57" s="819" t="s">
        <v>1413</v>
      </c>
      <c r="C57" s="197" t="s">
        <v>1414</v>
      </c>
      <c r="D57" s="197" t="s">
        <v>1251</v>
      </c>
      <c r="E57" s="197" t="s">
        <v>1252</v>
      </c>
      <c r="F57" s="1028">
        <v>396085.7</v>
      </c>
      <c r="G57" s="1028">
        <v>396992.6</v>
      </c>
      <c r="H57" s="1029">
        <v>438235.9</v>
      </c>
      <c r="I57" s="1028">
        <v>458077.8</v>
      </c>
      <c r="J57" s="1028">
        <v>466993.9</v>
      </c>
      <c r="K57" s="1028">
        <v>482446.3</v>
      </c>
      <c r="L57" s="1028">
        <v>499103</v>
      </c>
      <c r="M57" s="1028">
        <v>509085.1</v>
      </c>
      <c r="N57" s="1028">
        <v>521812.2</v>
      </c>
      <c r="O57" s="1028">
        <v>537466.6</v>
      </c>
      <c r="P57" s="1028">
        <v>554665.5</v>
      </c>
      <c r="Q57" s="1028">
        <v>573524.1</v>
      </c>
      <c r="R57" s="1028">
        <v>593023.9</v>
      </c>
      <c r="S57" s="1028" t="s">
        <v>1415</v>
      </c>
      <c r="T57" s="1028" t="s">
        <v>1412</v>
      </c>
      <c r="U57" s="819" t="s">
        <v>1408</v>
      </c>
      <c r="V57" s="819"/>
    </row>
    <row r="58" spans="2:22" x14ac:dyDescent="0.3">
      <c r="B58" s="819" t="s">
        <v>1416</v>
      </c>
      <c r="C58" s="197" t="s">
        <v>1417</v>
      </c>
      <c r="D58" s="197" t="s">
        <v>1251</v>
      </c>
      <c r="E58" s="197" t="s">
        <v>1252</v>
      </c>
      <c r="F58" s="1028" t="s">
        <v>1418</v>
      </c>
      <c r="G58" s="1028" t="s">
        <v>1418</v>
      </c>
      <c r="H58" s="1029" t="s">
        <v>1418</v>
      </c>
      <c r="I58" s="1028" t="s">
        <v>1418</v>
      </c>
      <c r="J58" s="1028" t="s">
        <v>1418</v>
      </c>
      <c r="K58" s="1028" t="s">
        <v>1418</v>
      </c>
      <c r="L58" s="1028" t="s">
        <v>1418</v>
      </c>
      <c r="M58" s="1028" t="s">
        <v>1418</v>
      </c>
      <c r="N58" s="1028" t="s">
        <v>1418</v>
      </c>
      <c r="O58" s="1028" t="s">
        <v>1418</v>
      </c>
      <c r="P58" s="1028" t="s">
        <v>1418</v>
      </c>
      <c r="Q58" s="1028" t="s">
        <v>1418</v>
      </c>
      <c r="R58" s="1028" t="s">
        <v>1418</v>
      </c>
      <c r="S58" s="1028" t="s">
        <v>1419</v>
      </c>
      <c r="T58" s="1028" t="s">
        <v>1259</v>
      </c>
      <c r="U58" s="819" t="s">
        <v>1408</v>
      </c>
      <c r="V58" s="819"/>
    </row>
    <row r="59" spans="2:22" x14ac:dyDescent="0.3">
      <c r="B59" s="819" t="s">
        <v>1420</v>
      </c>
      <c r="C59" s="197" t="s">
        <v>1421</v>
      </c>
      <c r="D59" s="197" t="s">
        <v>1251</v>
      </c>
      <c r="E59" s="197" t="s">
        <v>1252</v>
      </c>
      <c r="F59" s="1028">
        <v>640431.30000000005</v>
      </c>
      <c r="G59" s="1028">
        <v>649913.5</v>
      </c>
      <c r="H59" s="1029">
        <v>678590.9</v>
      </c>
      <c r="I59" s="1028">
        <v>699580.8</v>
      </c>
      <c r="J59" s="1028">
        <v>718906.2</v>
      </c>
      <c r="K59" s="1028">
        <v>739463.1</v>
      </c>
      <c r="L59" s="1028">
        <v>762553.9</v>
      </c>
      <c r="M59" s="1028">
        <v>784755.1</v>
      </c>
      <c r="N59" s="1028">
        <v>809582.8</v>
      </c>
      <c r="O59" s="1028">
        <v>831051.7</v>
      </c>
      <c r="P59" s="1028">
        <v>855613.5</v>
      </c>
      <c r="Q59" s="1028">
        <v>878513.3</v>
      </c>
      <c r="R59" s="1028">
        <v>903757.9</v>
      </c>
      <c r="S59" s="1028" t="s">
        <v>1422</v>
      </c>
      <c r="T59" s="1028" t="s">
        <v>1412</v>
      </c>
      <c r="U59" s="819" t="s">
        <v>1408</v>
      </c>
      <c r="V59" s="819"/>
    </row>
    <row r="60" spans="2:22" x14ac:dyDescent="0.3">
      <c r="B60" s="819" t="s">
        <v>1423</v>
      </c>
      <c r="C60" s="197" t="s">
        <v>1424</v>
      </c>
      <c r="D60" s="197" t="s">
        <v>1259</v>
      </c>
      <c r="E60" s="197" t="s">
        <v>1259</v>
      </c>
      <c r="F60" s="1028">
        <v>5.5990000000000002</v>
      </c>
      <c r="G60" s="1028">
        <v>3.2429999999999999</v>
      </c>
      <c r="H60" s="1029">
        <v>-4.3220000000000001</v>
      </c>
      <c r="I60" s="1028">
        <v>-1.9530000000000001</v>
      </c>
      <c r="J60" s="1028">
        <v>-0.85699999999999998</v>
      </c>
      <c r="K60" s="1028">
        <v>3.093</v>
      </c>
      <c r="L60" s="1028">
        <v>2.5710000000000002</v>
      </c>
      <c r="M60" s="1028">
        <v>1.5</v>
      </c>
      <c r="N60" s="1028">
        <v>1</v>
      </c>
      <c r="O60" s="1028">
        <v>1.5</v>
      </c>
      <c r="P60" s="1028">
        <v>1</v>
      </c>
      <c r="Q60" s="1028">
        <v>1</v>
      </c>
      <c r="R60" s="1028">
        <v>1</v>
      </c>
      <c r="S60" s="1028" t="s">
        <v>1425</v>
      </c>
      <c r="T60" s="1028" t="s">
        <v>1259</v>
      </c>
      <c r="U60" s="819" t="s">
        <v>1394</v>
      </c>
      <c r="V60" s="819"/>
    </row>
    <row r="61" spans="2:22" x14ac:dyDescent="0.3">
      <c r="B61" s="819" t="s">
        <v>1426</v>
      </c>
      <c r="C61" s="197" t="s">
        <v>1427</v>
      </c>
      <c r="D61" s="197" t="s">
        <v>1259</v>
      </c>
      <c r="E61" s="197" t="s">
        <v>1259</v>
      </c>
      <c r="F61" s="1028">
        <v>2.6829999999999998</v>
      </c>
      <c r="G61" s="1028">
        <v>0.22900000000000001</v>
      </c>
      <c r="H61" s="1029">
        <v>10.388999999999999</v>
      </c>
      <c r="I61" s="1028">
        <v>4.5279999999999996</v>
      </c>
      <c r="J61" s="1028">
        <v>1.946</v>
      </c>
      <c r="K61" s="1028">
        <v>3.3090000000000002</v>
      </c>
      <c r="L61" s="1028">
        <v>3.4529999999999998</v>
      </c>
      <c r="M61" s="1028">
        <v>2</v>
      </c>
      <c r="N61" s="1028">
        <v>2.5</v>
      </c>
      <c r="O61" s="1028">
        <v>3</v>
      </c>
      <c r="P61" s="1028">
        <v>3.2</v>
      </c>
      <c r="Q61" s="1028">
        <v>3.4</v>
      </c>
      <c r="R61" s="1028">
        <v>3.4</v>
      </c>
      <c r="S61" s="1028" t="s">
        <v>1428</v>
      </c>
      <c r="T61" s="1028" t="s">
        <v>1259</v>
      </c>
      <c r="U61" s="819" t="s">
        <v>1394</v>
      </c>
      <c r="V61" s="819"/>
    </row>
    <row r="62" spans="2:22" x14ac:dyDescent="0.3">
      <c r="B62" s="819" t="s">
        <v>1429</v>
      </c>
      <c r="C62" s="197" t="s">
        <v>1430</v>
      </c>
      <c r="D62" s="197" t="s">
        <v>1259</v>
      </c>
      <c r="E62" s="197" t="s">
        <v>1259</v>
      </c>
      <c r="F62" s="1028" t="s">
        <v>1418</v>
      </c>
      <c r="G62" s="1028" t="s">
        <v>1418</v>
      </c>
      <c r="H62" s="1029" t="s">
        <v>1418</v>
      </c>
      <c r="I62" s="1028" t="s">
        <v>1418</v>
      </c>
      <c r="J62" s="1028" t="s">
        <v>1418</v>
      </c>
      <c r="K62" s="1028" t="s">
        <v>1418</v>
      </c>
      <c r="L62" s="1028" t="s">
        <v>1418</v>
      </c>
      <c r="M62" s="1028" t="s">
        <v>1418</v>
      </c>
      <c r="N62" s="1028" t="s">
        <v>1418</v>
      </c>
      <c r="O62" s="1028" t="s">
        <v>1418</v>
      </c>
      <c r="P62" s="1028" t="s">
        <v>1418</v>
      </c>
      <c r="Q62" s="1028" t="s">
        <v>1418</v>
      </c>
      <c r="R62" s="1028" t="s">
        <v>1418</v>
      </c>
      <c r="S62" s="1028" t="s">
        <v>1431</v>
      </c>
      <c r="T62" s="1028" t="s">
        <v>1259</v>
      </c>
      <c r="U62" s="819" t="s">
        <v>1394</v>
      </c>
      <c r="V62" s="819"/>
    </row>
    <row r="63" spans="2:22" x14ac:dyDescent="0.3">
      <c r="B63" s="819" t="s">
        <v>1432</v>
      </c>
      <c r="C63" s="197" t="s">
        <v>1433</v>
      </c>
      <c r="D63" s="197" t="s">
        <v>1259</v>
      </c>
      <c r="E63" s="197" t="s">
        <v>1259</v>
      </c>
      <c r="F63" s="1028">
        <v>3.242</v>
      </c>
      <c r="G63" s="1028">
        <v>1.4810000000000001</v>
      </c>
      <c r="H63" s="1029">
        <v>4.4119999999999999</v>
      </c>
      <c r="I63" s="1028">
        <v>3.093</v>
      </c>
      <c r="J63" s="1028">
        <v>2.762</v>
      </c>
      <c r="K63" s="1028">
        <v>2.859</v>
      </c>
      <c r="L63" s="1028">
        <v>3.1230000000000002</v>
      </c>
      <c r="M63" s="1028">
        <v>2.9</v>
      </c>
      <c r="N63" s="1028">
        <v>3.2</v>
      </c>
      <c r="O63" s="1028">
        <v>2.7</v>
      </c>
      <c r="P63" s="1028">
        <v>3</v>
      </c>
      <c r="Q63" s="1028">
        <v>2.7</v>
      </c>
      <c r="R63" s="1028">
        <v>2.9</v>
      </c>
      <c r="S63" s="1028" t="s">
        <v>1434</v>
      </c>
      <c r="T63" s="1028" t="s">
        <v>1259</v>
      </c>
      <c r="U63" s="819" t="s">
        <v>1394</v>
      </c>
      <c r="V63" s="819"/>
    </row>
    <row r="64" spans="2:22" x14ac:dyDescent="0.3">
      <c r="B64" s="819" t="s">
        <v>1435</v>
      </c>
      <c r="C64" s="197" t="s">
        <v>1436</v>
      </c>
      <c r="D64" s="197" t="s">
        <v>1259</v>
      </c>
      <c r="E64" s="197" t="s">
        <v>1259</v>
      </c>
      <c r="F64" s="1028">
        <v>2.508</v>
      </c>
      <c r="G64" s="1028">
        <v>2.5880000000000001</v>
      </c>
      <c r="H64" s="1029">
        <v>2.4710000000000001</v>
      </c>
      <c r="I64" s="1028">
        <v>2.5169999999999999</v>
      </c>
      <c r="J64" s="1028">
        <v>2.4590000000000001</v>
      </c>
      <c r="K64" s="1028">
        <v>2.3359999999999999</v>
      </c>
      <c r="L64" s="1028">
        <v>2.3410000000000002</v>
      </c>
      <c r="M64" s="1028">
        <v>2.2999999999999998</v>
      </c>
      <c r="N64" s="1028">
        <v>2.2999999999999998</v>
      </c>
      <c r="O64" s="1028">
        <v>2.2000000000000002</v>
      </c>
      <c r="P64" s="1028">
        <v>2.2000000000000002</v>
      </c>
      <c r="Q64" s="1028">
        <v>2.2000000000000002</v>
      </c>
      <c r="R64" s="1028">
        <v>2.1</v>
      </c>
      <c r="S64" s="1028" t="s">
        <v>1437</v>
      </c>
      <c r="T64" s="1028" t="s">
        <v>1259</v>
      </c>
      <c r="U64" s="819" t="s">
        <v>1394</v>
      </c>
      <c r="V64" s="819"/>
    </row>
    <row r="65" spans="2:22" x14ac:dyDescent="0.3">
      <c r="B65" s="819" t="s">
        <v>1438</v>
      </c>
      <c r="C65" s="197" t="s">
        <v>1439</v>
      </c>
      <c r="D65" s="197" t="s">
        <v>1259</v>
      </c>
      <c r="E65" s="197" t="s">
        <v>1259</v>
      </c>
      <c r="F65" s="1028">
        <v>36.277000000000001</v>
      </c>
      <c r="G65" s="1028">
        <v>36.677999999999997</v>
      </c>
      <c r="H65" s="1029">
        <v>38.270000000000003</v>
      </c>
      <c r="I65" s="1028">
        <v>38.381</v>
      </c>
      <c r="J65" s="1028">
        <v>38.07</v>
      </c>
      <c r="K65" s="1028">
        <v>38.412999999999997</v>
      </c>
      <c r="L65" s="1028">
        <v>38.234000000000002</v>
      </c>
      <c r="M65" s="1028">
        <v>38</v>
      </c>
      <c r="N65" s="1028">
        <v>37.9</v>
      </c>
      <c r="O65" s="1028">
        <v>38</v>
      </c>
      <c r="P65" s="1028">
        <v>38.1</v>
      </c>
      <c r="Q65" s="1028">
        <v>38.200000000000003</v>
      </c>
      <c r="R65" s="1028">
        <v>38.4</v>
      </c>
      <c r="S65" s="1028" t="s">
        <v>1440</v>
      </c>
      <c r="T65" s="1028" t="s">
        <v>1259</v>
      </c>
      <c r="U65" s="819" t="s">
        <v>1394</v>
      </c>
      <c r="V65" s="819"/>
    </row>
    <row r="66" spans="2:22" x14ac:dyDescent="0.3">
      <c r="B66" s="819" t="s">
        <v>1441</v>
      </c>
      <c r="C66" s="197" t="s">
        <v>1442</v>
      </c>
      <c r="D66" s="197" t="s">
        <v>1259</v>
      </c>
      <c r="E66" s="197" t="s">
        <v>1259</v>
      </c>
      <c r="F66" s="1028">
        <v>61.215000000000003</v>
      </c>
      <c r="G66" s="1028">
        <v>60.734000000000002</v>
      </c>
      <c r="H66" s="1029">
        <v>59.259</v>
      </c>
      <c r="I66" s="1028">
        <v>59.101999999999997</v>
      </c>
      <c r="J66" s="1028">
        <v>59.470999999999997</v>
      </c>
      <c r="K66" s="1028">
        <v>59.250999999999998</v>
      </c>
      <c r="L66" s="1028">
        <v>59.423999999999999</v>
      </c>
      <c r="M66" s="1028">
        <v>59.6</v>
      </c>
      <c r="N66" s="1028">
        <v>59.8</v>
      </c>
      <c r="O66" s="1028">
        <v>59.8</v>
      </c>
      <c r="P66" s="1028">
        <v>59.7</v>
      </c>
      <c r="Q66" s="1028">
        <v>59.6</v>
      </c>
      <c r="R66" s="1028">
        <v>59.5</v>
      </c>
      <c r="S66" s="1028" t="s">
        <v>1443</v>
      </c>
      <c r="T66" s="1028" t="s">
        <v>1259</v>
      </c>
      <c r="U66" s="819" t="s">
        <v>1394</v>
      </c>
      <c r="V66" s="819"/>
    </row>
    <row r="67" spans="2:22" x14ac:dyDescent="0.3">
      <c r="B67" s="1032" t="s">
        <v>1444</v>
      </c>
      <c r="C67" s="197" t="s">
        <v>1445</v>
      </c>
      <c r="D67" s="197" t="s">
        <v>1259</v>
      </c>
      <c r="E67" s="197" t="s">
        <v>1259</v>
      </c>
      <c r="F67" s="1028">
        <v>2.2000000000000002</v>
      </c>
      <c r="G67" s="1028">
        <v>1</v>
      </c>
      <c r="H67" s="1029">
        <v>5.0999999999999996</v>
      </c>
      <c r="I67" s="1028">
        <v>1.9</v>
      </c>
      <c r="J67" s="1028">
        <v>0.5</v>
      </c>
      <c r="K67" s="1028">
        <v>1.3</v>
      </c>
      <c r="L67" s="1028">
        <v>1.2</v>
      </c>
      <c r="M67" s="1028">
        <v>1.2</v>
      </c>
      <c r="N67" s="1028">
        <v>1.5</v>
      </c>
      <c r="O67" s="1028">
        <v>1.5</v>
      </c>
      <c r="P67" s="1028">
        <v>1.9</v>
      </c>
      <c r="Q67" s="1028">
        <v>1.9</v>
      </c>
      <c r="R67" s="1028">
        <v>2</v>
      </c>
      <c r="S67" s="1028" t="s">
        <v>1446</v>
      </c>
      <c r="T67" s="1028" t="s">
        <v>1259</v>
      </c>
      <c r="U67" s="819" t="s">
        <v>1447</v>
      </c>
      <c r="V67" s="819"/>
    </row>
    <row r="68" spans="2:22" x14ac:dyDescent="0.3">
      <c r="B68" s="819" t="s">
        <v>1448</v>
      </c>
      <c r="C68" s="197" t="s">
        <v>1449</v>
      </c>
      <c r="D68" s="197" t="s">
        <v>1259</v>
      </c>
      <c r="E68" s="197" t="s">
        <v>1259</v>
      </c>
      <c r="F68" s="1028">
        <v>0.9</v>
      </c>
      <c r="G68" s="1028">
        <v>-0.4</v>
      </c>
      <c r="H68" s="1029">
        <v>4.2</v>
      </c>
      <c r="I68" s="1028">
        <v>1.3</v>
      </c>
      <c r="J68" s="1028">
        <v>0</v>
      </c>
      <c r="K68" s="1028">
        <v>1.1000000000000001</v>
      </c>
      <c r="L68" s="1028">
        <v>0.8</v>
      </c>
      <c r="M68" s="1028">
        <v>0.5</v>
      </c>
      <c r="N68" s="1028">
        <v>0.8</v>
      </c>
      <c r="O68" s="1028">
        <v>0.9</v>
      </c>
      <c r="P68" s="1028">
        <v>1.2</v>
      </c>
      <c r="Q68" s="1028">
        <v>1.2</v>
      </c>
      <c r="R68" s="1028">
        <v>1.3</v>
      </c>
      <c r="S68" s="1028" t="s">
        <v>1450</v>
      </c>
      <c r="T68" s="1028" t="s">
        <v>1451</v>
      </c>
      <c r="U68" s="819" t="s">
        <v>1447</v>
      </c>
      <c r="V68" s="819"/>
    </row>
    <row r="69" spans="2:22" x14ac:dyDescent="0.3">
      <c r="B69" s="819" t="s">
        <v>1452</v>
      </c>
      <c r="C69" s="197" t="s">
        <v>1453</v>
      </c>
      <c r="D69" s="197" t="s">
        <v>1259</v>
      </c>
      <c r="E69" s="197" t="s">
        <v>1259</v>
      </c>
      <c r="F69" s="1028">
        <v>4.5</v>
      </c>
      <c r="G69" s="1028">
        <v>4.2</v>
      </c>
      <c r="H69" s="1029">
        <v>4.3</v>
      </c>
      <c r="I69" s="1028">
        <v>4</v>
      </c>
      <c r="J69" s="1028">
        <v>3.6</v>
      </c>
      <c r="K69" s="1028">
        <v>3.6</v>
      </c>
      <c r="L69" s="1028">
        <v>3.5</v>
      </c>
      <c r="M69" s="1028">
        <v>3.6</v>
      </c>
      <c r="N69" s="1028">
        <v>3.6</v>
      </c>
      <c r="O69" s="1028">
        <v>3.6</v>
      </c>
      <c r="P69" s="1028">
        <v>3.5</v>
      </c>
      <c r="Q69" s="1028">
        <v>3.5</v>
      </c>
      <c r="R69" s="1028">
        <v>3.4</v>
      </c>
      <c r="S69" s="1028" t="s">
        <v>1454</v>
      </c>
      <c r="T69" s="1028" t="s">
        <v>1259</v>
      </c>
      <c r="U69" s="819" t="s">
        <v>1447</v>
      </c>
      <c r="V69" s="819"/>
    </row>
    <row r="70" spans="2:22" x14ac:dyDescent="0.3">
      <c r="B70" s="819" t="s">
        <v>1455</v>
      </c>
      <c r="C70" s="197" t="s">
        <v>1456</v>
      </c>
      <c r="D70" s="197" t="s">
        <v>1259</v>
      </c>
      <c r="E70" s="197" t="s">
        <v>1259</v>
      </c>
      <c r="F70" s="1028">
        <v>2.9</v>
      </c>
      <c r="G70" s="1028">
        <v>1.1000000000000001</v>
      </c>
      <c r="H70" s="1029">
        <v>6.6</v>
      </c>
      <c r="I70" s="1028">
        <v>3.6</v>
      </c>
      <c r="J70" s="1028">
        <v>2.2999999999999998</v>
      </c>
      <c r="K70" s="1028">
        <v>3.3</v>
      </c>
      <c r="L70" s="1028">
        <v>3.7</v>
      </c>
      <c r="M70" s="1028">
        <v>2.6</v>
      </c>
      <c r="N70" s="1028">
        <v>2</v>
      </c>
      <c r="O70" s="1028">
        <v>2.2999999999999998</v>
      </c>
      <c r="P70" s="1028">
        <v>3</v>
      </c>
      <c r="Q70" s="1028">
        <v>3</v>
      </c>
      <c r="R70" s="1028">
        <v>3</v>
      </c>
      <c r="S70" s="1028" t="s">
        <v>1457</v>
      </c>
      <c r="T70" s="1028" t="s">
        <v>1259</v>
      </c>
      <c r="U70" s="819" t="s">
        <v>1447</v>
      </c>
      <c r="V70" s="819"/>
    </row>
    <row r="71" spans="2:22" x14ac:dyDescent="0.3">
      <c r="B71" s="819" t="s">
        <v>1458</v>
      </c>
      <c r="C71" s="197" t="s">
        <v>1459</v>
      </c>
      <c r="D71" s="197" t="s">
        <v>1259</v>
      </c>
      <c r="E71" s="197" t="s">
        <v>1259</v>
      </c>
      <c r="F71" s="1028">
        <v>3.54</v>
      </c>
      <c r="G71" s="1028">
        <v>-0.82099999999999995</v>
      </c>
      <c r="H71" s="1029">
        <v>16.515999999999998</v>
      </c>
      <c r="I71" s="1028">
        <v>5.984</v>
      </c>
      <c r="J71" s="1028">
        <v>1.7430000000000001</v>
      </c>
      <c r="K71" s="1028">
        <v>0.442</v>
      </c>
      <c r="L71" s="1028">
        <v>0.45500000000000002</v>
      </c>
      <c r="M71" s="1028">
        <v>-1</v>
      </c>
      <c r="N71" s="1028">
        <v>1.8</v>
      </c>
      <c r="O71" s="1028">
        <v>2</v>
      </c>
      <c r="P71" s="1028">
        <v>2.2000000000000002</v>
      </c>
      <c r="Q71" s="1028">
        <v>2</v>
      </c>
      <c r="R71" s="1028">
        <v>1.7</v>
      </c>
      <c r="S71" s="1028" t="s">
        <v>1460</v>
      </c>
      <c r="T71" s="1028" t="s">
        <v>1259</v>
      </c>
      <c r="U71" s="819" t="s">
        <v>1461</v>
      </c>
      <c r="V71" s="819"/>
    </row>
    <row r="72" spans="2:22" x14ac:dyDescent="0.3">
      <c r="B72" s="819" t="s">
        <v>1462</v>
      </c>
      <c r="C72" s="197" t="s">
        <v>1463</v>
      </c>
      <c r="D72" s="197" t="s">
        <v>1259</v>
      </c>
      <c r="E72" s="197" t="s">
        <v>1259</v>
      </c>
      <c r="F72" s="1028">
        <v>1102.0466670000001</v>
      </c>
      <c r="G72" s="1028">
        <v>1276.93</v>
      </c>
      <c r="H72" s="1029">
        <v>1156.0616669999999</v>
      </c>
      <c r="I72" s="1028">
        <v>1108.2925</v>
      </c>
      <c r="J72" s="1028">
        <v>1126.4708330000001</v>
      </c>
      <c r="K72" s="1028">
        <v>1094.853333</v>
      </c>
      <c r="L72" s="1028">
        <v>1052.9608330000001</v>
      </c>
      <c r="M72" s="1028">
        <v>1128.0999999999999</v>
      </c>
      <c r="N72" s="1028">
        <v>1178.8</v>
      </c>
      <c r="O72" s="1028">
        <v>1181.7</v>
      </c>
      <c r="P72" s="1028">
        <v>1183.3</v>
      </c>
      <c r="Q72" s="1028">
        <v>1184.5999999999999</v>
      </c>
      <c r="R72" s="1028">
        <v>1192.5</v>
      </c>
      <c r="S72" s="1028" t="s">
        <v>1464</v>
      </c>
      <c r="T72" s="1028" t="s">
        <v>1259</v>
      </c>
      <c r="U72" s="819" t="s">
        <v>1465</v>
      </c>
      <c r="V72" s="819"/>
    </row>
    <row r="73" spans="2:22" x14ac:dyDescent="0.3">
      <c r="B73" s="819" t="s">
        <v>1466</v>
      </c>
      <c r="C73" s="197" t="s">
        <v>1467</v>
      </c>
      <c r="D73" s="197" t="s">
        <v>1259</v>
      </c>
      <c r="E73" s="197" t="s">
        <v>1259</v>
      </c>
      <c r="F73" s="1028">
        <v>1259.5</v>
      </c>
      <c r="G73" s="1028">
        <v>1164.5</v>
      </c>
      <c r="H73" s="1029">
        <v>1134.8</v>
      </c>
      <c r="I73" s="1028">
        <v>1151.8</v>
      </c>
      <c r="J73" s="1028">
        <v>1070.5999999999999</v>
      </c>
      <c r="K73" s="1028">
        <v>1055.4000000000001</v>
      </c>
      <c r="L73" s="1028">
        <v>1099.3</v>
      </c>
      <c r="M73" s="1028">
        <v>1150</v>
      </c>
      <c r="N73" s="1028">
        <v>1170</v>
      </c>
      <c r="O73" s="1028">
        <v>1175</v>
      </c>
      <c r="P73" s="1028">
        <v>1185</v>
      </c>
      <c r="Q73" s="1028">
        <v>1190</v>
      </c>
      <c r="R73" s="1028">
        <v>1180</v>
      </c>
      <c r="S73" s="1028" t="s">
        <v>1468</v>
      </c>
      <c r="T73" s="1028" t="s">
        <v>1259</v>
      </c>
      <c r="U73" s="819" t="s">
        <v>1465</v>
      </c>
      <c r="V73" s="819"/>
    </row>
    <row r="74" spans="2:22" x14ac:dyDescent="0.3">
      <c r="B74" s="819" t="s">
        <v>1469</v>
      </c>
      <c r="C74" s="197" t="s">
        <v>1470</v>
      </c>
      <c r="D74" s="197" t="s">
        <v>1259</v>
      </c>
      <c r="E74" s="197" t="s">
        <v>1259</v>
      </c>
      <c r="F74" s="1028">
        <v>73.893000000000001</v>
      </c>
      <c r="G74" s="1028">
        <v>65.87</v>
      </c>
      <c r="H74" s="1029">
        <v>71</v>
      </c>
      <c r="I74" s="1028">
        <v>71.099999999999994</v>
      </c>
      <c r="J74" s="1028">
        <v>69.900000000000006</v>
      </c>
      <c r="K74" s="1028">
        <v>72.7</v>
      </c>
      <c r="L74" s="1028">
        <v>76.099999999999994</v>
      </c>
      <c r="M74" s="1028">
        <v>75</v>
      </c>
      <c r="N74" s="1028">
        <v>72.5</v>
      </c>
      <c r="O74" s="1028">
        <v>70.400000000000006</v>
      </c>
      <c r="P74" s="1028">
        <v>69.2</v>
      </c>
      <c r="Q74" s="1028">
        <v>68.3</v>
      </c>
      <c r="R74" s="1028">
        <v>66.5</v>
      </c>
      <c r="S74" s="1028" t="s">
        <v>1471</v>
      </c>
      <c r="T74" s="1028" t="s">
        <v>1259</v>
      </c>
      <c r="U74" s="819" t="s">
        <v>1447</v>
      </c>
      <c r="V74" s="819"/>
    </row>
    <row r="75" spans="2:22" x14ac:dyDescent="0.3">
      <c r="B75" s="819" t="s">
        <v>1472</v>
      </c>
      <c r="C75" s="197" t="s">
        <v>1473</v>
      </c>
      <c r="D75" s="197" t="s">
        <v>1259</v>
      </c>
      <c r="E75" s="197" t="s">
        <v>1259</v>
      </c>
      <c r="F75" s="1028">
        <v>1.4330000000000001</v>
      </c>
      <c r="G75" s="1028">
        <v>-1.53</v>
      </c>
      <c r="H75" s="1029">
        <v>1.319</v>
      </c>
      <c r="I75" s="1028">
        <v>1.3979999999999999</v>
      </c>
      <c r="J75" s="1028">
        <v>1.3420000000000001</v>
      </c>
      <c r="K75" s="1028">
        <v>0.99299999999999999</v>
      </c>
      <c r="L75" s="1028">
        <v>0.57199999999999995</v>
      </c>
      <c r="M75" s="1028">
        <v>-0.5</v>
      </c>
      <c r="N75" s="1028">
        <v>0.1</v>
      </c>
      <c r="O75" s="1028">
        <v>0.6</v>
      </c>
      <c r="P75" s="1028">
        <v>0.6</v>
      </c>
      <c r="Q75" s="1028">
        <v>0.5</v>
      </c>
      <c r="R75" s="1028">
        <v>1.5</v>
      </c>
      <c r="S75" s="1028" t="s">
        <v>1474</v>
      </c>
      <c r="T75" s="1028" t="s">
        <v>1259</v>
      </c>
      <c r="U75" s="819" t="s">
        <v>1278</v>
      </c>
      <c r="V75" s="819"/>
    </row>
    <row r="76" spans="2:22" x14ac:dyDescent="0.3">
      <c r="B76" s="819" t="s">
        <v>1475</v>
      </c>
      <c r="C76" s="197" t="s">
        <v>1476</v>
      </c>
      <c r="D76" s="197" t="s">
        <v>1259</v>
      </c>
      <c r="E76" s="197" t="s">
        <v>1259</v>
      </c>
      <c r="F76" s="1028">
        <v>22.699000000000002</v>
      </c>
      <c r="G76" s="1028">
        <v>21.777000000000001</v>
      </c>
      <c r="H76" s="1029">
        <v>21.411999999999999</v>
      </c>
      <c r="I76" s="1028">
        <v>21.934999999999999</v>
      </c>
      <c r="J76" s="1028">
        <v>22.611000000000001</v>
      </c>
      <c r="K76" s="1028">
        <v>21.997</v>
      </c>
      <c r="L76" s="1028">
        <v>21.608000000000001</v>
      </c>
      <c r="M76" s="1028">
        <v>22.8</v>
      </c>
      <c r="N76" s="1028">
        <v>22.8</v>
      </c>
      <c r="O76" s="1028">
        <v>23.4</v>
      </c>
      <c r="P76" s="1028">
        <v>23.3</v>
      </c>
      <c r="Q76" s="1028">
        <v>23.6</v>
      </c>
      <c r="R76" s="1028">
        <v>22.7</v>
      </c>
      <c r="S76" s="1028" t="s">
        <v>1477</v>
      </c>
      <c r="T76" s="1028" t="s">
        <v>1259</v>
      </c>
      <c r="U76" s="819" t="s">
        <v>1278</v>
      </c>
      <c r="V76" s="819"/>
    </row>
    <row r="77" spans="2:22" x14ac:dyDescent="0.3">
      <c r="B77" s="819" t="s">
        <v>1478</v>
      </c>
      <c r="C77" s="197" t="s">
        <v>1479</v>
      </c>
      <c r="D77" s="197" t="s">
        <v>1259</v>
      </c>
      <c r="E77" s="197" t="s">
        <v>1259</v>
      </c>
      <c r="F77" s="1028">
        <v>21.265999999999998</v>
      </c>
      <c r="G77" s="1028">
        <v>23.306999999999999</v>
      </c>
      <c r="H77" s="1029">
        <v>20.091999999999999</v>
      </c>
      <c r="I77" s="1028">
        <v>20.536999999999999</v>
      </c>
      <c r="J77" s="1028">
        <v>21.268999999999998</v>
      </c>
      <c r="K77" s="1028">
        <v>21.004000000000001</v>
      </c>
      <c r="L77" s="1028">
        <v>21.036000000000001</v>
      </c>
      <c r="M77" s="1028">
        <v>23.3</v>
      </c>
      <c r="N77" s="1028">
        <v>22.6</v>
      </c>
      <c r="O77" s="1028">
        <v>22.8</v>
      </c>
      <c r="P77" s="1028">
        <v>22.7</v>
      </c>
      <c r="Q77" s="1028">
        <v>23.1</v>
      </c>
      <c r="R77" s="1028">
        <v>21.1</v>
      </c>
      <c r="S77" s="1028" t="s">
        <v>1480</v>
      </c>
      <c r="T77" s="1028" t="s">
        <v>1259</v>
      </c>
      <c r="U77" s="819" t="s">
        <v>1278</v>
      </c>
      <c r="V77" s="819"/>
    </row>
    <row r="78" spans="2:22" x14ac:dyDescent="0.3">
      <c r="B78" s="819" t="s">
        <v>1481</v>
      </c>
      <c r="C78" s="197" t="s">
        <v>1482</v>
      </c>
      <c r="D78" s="197" t="s">
        <v>1259</v>
      </c>
      <c r="E78" s="197" t="s">
        <v>1259</v>
      </c>
      <c r="F78" s="1028">
        <v>-0.13600000000000001</v>
      </c>
      <c r="G78" s="1028">
        <v>-0.83599999999999997</v>
      </c>
      <c r="H78" s="1029">
        <v>-0.53900000000000003</v>
      </c>
      <c r="I78" s="1028">
        <v>-0.53900000000000003</v>
      </c>
      <c r="J78" s="1028">
        <v>-0.246</v>
      </c>
      <c r="K78" s="1028">
        <v>-0.433</v>
      </c>
      <c r="L78" s="1028">
        <v>-0.106</v>
      </c>
      <c r="M78" s="1028">
        <v>-0.2</v>
      </c>
      <c r="N78" s="1028">
        <v>-0.3</v>
      </c>
      <c r="O78" s="1028">
        <v>-0.3</v>
      </c>
      <c r="P78" s="1028">
        <v>-0.4</v>
      </c>
      <c r="Q78" s="1028">
        <v>-0.8</v>
      </c>
      <c r="R78" s="1028">
        <v>-1.3</v>
      </c>
      <c r="S78" s="1028" t="s">
        <v>1483</v>
      </c>
      <c r="T78" s="1028" t="s">
        <v>1259</v>
      </c>
      <c r="U78" s="819" t="s">
        <v>1484</v>
      </c>
      <c r="V78" s="819"/>
    </row>
    <row r="79" spans="2:22" x14ac:dyDescent="0.3">
      <c r="B79" s="819" t="s">
        <v>1485</v>
      </c>
      <c r="C79" s="197" t="s">
        <v>1486</v>
      </c>
      <c r="D79" s="197" t="s">
        <v>1259</v>
      </c>
      <c r="E79" s="197" t="s">
        <v>1259</v>
      </c>
      <c r="F79" s="1028">
        <v>1.2969999999999999</v>
      </c>
      <c r="G79" s="1028">
        <v>-2.3660000000000001</v>
      </c>
      <c r="H79" s="1029">
        <v>0.78</v>
      </c>
      <c r="I79" s="1028">
        <v>0.85899999999999999</v>
      </c>
      <c r="J79" s="1028">
        <v>1.0960000000000001</v>
      </c>
      <c r="K79" s="1028">
        <v>0.56000000000000005</v>
      </c>
      <c r="L79" s="1028">
        <v>0.46700000000000003</v>
      </c>
      <c r="M79" s="1028">
        <v>-0.7</v>
      </c>
      <c r="N79" s="1028">
        <v>-0.2</v>
      </c>
      <c r="O79" s="1028">
        <v>0.3</v>
      </c>
      <c r="P79" s="1028">
        <v>0.2</v>
      </c>
      <c r="Q79" s="1028">
        <v>-0.3</v>
      </c>
      <c r="R79" s="1028">
        <v>0.3</v>
      </c>
      <c r="S79" s="1028" t="s">
        <v>1487</v>
      </c>
      <c r="T79" s="1028" t="s">
        <v>1259</v>
      </c>
      <c r="U79" s="819" t="s">
        <v>1488</v>
      </c>
      <c r="V79" s="819"/>
    </row>
    <row r="80" spans="2:22" x14ac:dyDescent="0.3">
      <c r="B80" s="819" t="s">
        <v>1489</v>
      </c>
      <c r="C80" s="197" t="s">
        <v>1490</v>
      </c>
      <c r="D80" s="197" t="s">
        <v>1259</v>
      </c>
      <c r="E80" s="197" t="s">
        <v>1259</v>
      </c>
      <c r="F80" s="1028">
        <v>28.295000000000002</v>
      </c>
      <c r="G80" s="1028">
        <v>30.981000000000002</v>
      </c>
      <c r="H80" s="1029">
        <v>31.824000000000002</v>
      </c>
      <c r="I80" s="1028">
        <v>33.256</v>
      </c>
      <c r="J80" s="1028">
        <v>34.786000000000001</v>
      </c>
      <c r="K80" s="1028">
        <v>34.756999999999998</v>
      </c>
      <c r="L80" s="1028">
        <v>34.459000000000003</v>
      </c>
      <c r="M80" s="1028">
        <v>36.5</v>
      </c>
      <c r="N80" s="1028">
        <v>36.6</v>
      </c>
      <c r="O80" s="1028">
        <v>36.6</v>
      </c>
      <c r="P80" s="1028">
        <v>36.1</v>
      </c>
      <c r="Q80" s="1028">
        <v>35.6</v>
      </c>
      <c r="R80" s="1028">
        <v>34.1</v>
      </c>
      <c r="S80" s="1028" t="s">
        <v>1491</v>
      </c>
      <c r="T80" s="1028" t="s">
        <v>1259</v>
      </c>
      <c r="U80" s="819" t="s">
        <v>1492</v>
      </c>
      <c r="V80" s="819"/>
    </row>
    <row r="81" spans="2:22" x14ac:dyDescent="0.3">
      <c r="B81" s="819" t="s">
        <v>1493</v>
      </c>
      <c r="C81" s="197" t="s">
        <v>1494</v>
      </c>
      <c r="D81" s="197" t="s">
        <v>1259</v>
      </c>
      <c r="E81" s="197" t="s">
        <v>1259</v>
      </c>
      <c r="F81" s="1028">
        <v>15.833</v>
      </c>
      <c r="G81" s="1028">
        <v>3.5840000000000001</v>
      </c>
      <c r="H81" s="1029">
        <v>5.0469999999999997</v>
      </c>
      <c r="I81" s="1028">
        <v>6.5</v>
      </c>
      <c r="J81" s="1028">
        <v>4.383</v>
      </c>
      <c r="K81" s="1028">
        <v>3.6269999999999998</v>
      </c>
      <c r="L81" s="1028">
        <v>7.7329999999999997</v>
      </c>
      <c r="M81" s="1028">
        <v>7.9</v>
      </c>
      <c r="N81" s="1028">
        <v>8</v>
      </c>
      <c r="O81" s="1028">
        <v>6.5</v>
      </c>
      <c r="P81" s="1028">
        <v>6</v>
      </c>
      <c r="Q81" s="1028">
        <v>5.5</v>
      </c>
      <c r="R81" s="1028">
        <v>5</v>
      </c>
      <c r="S81" s="1028" t="s">
        <v>1495</v>
      </c>
      <c r="T81" s="1028" t="s">
        <v>1259</v>
      </c>
      <c r="U81" s="819" t="s">
        <v>1255</v>
      </c>
      <c r="V81" s="819"/>
    </row>
    <row r="82" spans="2:22" x14ac:dyDescent="0.3">
      <c r="B82" s="819" t="s">
        <v>1496</v>
      </c>
      <c r="C82" s="197" t="s">
        <v>1497</v>
      </c>
      <c r="D82" s="197" t="s">
        <v>1259</v>
      </c>
      <c r="E82" s="197" t="s">
        <v>1259</v>
      </c>
      <c r="F82" s="1028">
        <v>11.956</v>
      </c>
      <c r="G82" s="1028">
        <v>9.8859999999999992</v>
      </c>
      <c r="H82" s="1029">
        <v>5.9790000000000001</v>
      </c>
      <c r="I82" s="1028">
        <v>5.476</v>
      </c>
      <c r="J82" s="1028">
        <v>4.806</v>
      </c>
      <c r="K82" s="1028">
        <v>4.6390000000000002</v>
      </c>
      <c r="L82" s="1028">
        <v>8.1440000000000001</v>
      </c>
      <c r="M82" s="1028">
        <v>9</v>
      </c>
      <c r="N82" s="1028">
        <v>5</v>
      </c>
      <c r="O82" s="1028">
        <v>4.8</v>
      </c>
      <c r="P82" s="1028">
        <v>4.8</v>
      </c>
      <c r="Q82" s="1028">
        <v>4.2</v>
      </c>
      <c r="R82" s="1028">
        <v>4.2</v>
      </c>
      <c r="S82" s="1028" t="s">
        <v>1498</v>
      </c>
      <c r="T82" s="1028" t="s">
        <v>1259</v>
      </c>
      <c r="U82" s="819" t="s">
        <v>1278</v>
      </c>
      <c r="V82" s="819"/>
    </row>
    <row r="83" spans="2:22" x14ac:dyDescent="0.3">
      <c r="B83" s="819" t="s">
        <v>1499</v>
      </c>
      <c r="C83" s="197" t="s">
        <v>1500</v>
      </c>
      <c r="D83" s="197" t="s">
        <v>1259</v>
      </c>
      <c r="E83" s="197" t="s">
        <v>1259</v>
      </c>
      <c r="F83" s="1028">
        <v>7.1680000000000001</v>
      </c>
      <c r="G83" s="1028">
        <v>5.649</v>
      </c>
      <c r="H83" s="1029">
        <v>5.5119999999999996</v>
      </c>
      <c r="I83" s="1028">
        <v>5.758</v>
      </c>
      <c r="J83" s="1028">
        <v>5.3959999999999999</v>
      </c>
      <c r="K83" s="1028">
        <v>4.6429999999999998</v>
      </c>
      <c r="L83" s="1028">
        <v>4.2629999999999999</v>
      </c>
      <c r="M83" s="1028">
        <v>3.6</v>
      </c>
      <c r="N83" s="1028">
        <v>3.8</v>
      </c>
      <c r="O83" s="1028">
        <v>4.7</v>
      </c>
      <c r="P83" s="1028">
        <v>5</v>
      </c>
      <c r="Q83" s="1028">
        <v>5.3</v>
      </c>
      <c r="R83" s="1028">
        <v>5.3</v>
      </c>
      <c r="S83" s="1028" t="s">
        <v>1501</v>
      </c>
      <c r="T83" s="1028" t="s">
        <v>1259</v>
      </c>
      <c r="U83" s="819" t="s">
        <v>1465</v>
      </c>
      <c r="V83" s="819"/>
    </row>
    <row r="84" spans="2:22" x14ac:dyDescent="0.3">
      <c r="B84" s="819" t="s">
        <v>1502</v>
      </c>
      <c r="C84" s="197" t="s">
        <v>1503</v>
      </c>
      <c r="D84" s="197" t="s">
        <v>1259</v>
      </c>
      <c r="E84" s="197" t="s">
        <v>1259</v>
      </c>
      <c r="F84" s="1028">
        <v>5.8710000000000004</v>
      </c>
      <c r="G84" s="1028">
        <v>3.4830000000000001</v>
      </c>
      <c r="H84" s="1029">
        <v>3.8570000000000002</v>
      </c>
      <c r="I84" s="1028">
        <v>4.1529999999999996</v>
      </c>
      <c r="J84" s="1028">
        <v>3.7010000000000001</v>
      </c>
      <c r="K84" s="1028">
        <v>2.891</v>
      </c>
      <c r="L84" s="1028">
        <v>2.536</v>
      </c>
      <c r="M84" s="1028">
        <v>1.8</v>
      </c>
      <c r="N84" s="1028">
        <v>1.8</v>
      </c>
      <c r="O84" s="1028">
        <v>2.4</v>
      </c>
      <c r="P84" s="1028">
        <v>3</v>
      </c>
      <c r="Q84" s="1028">
        <v>3.5</v>
      </c>
      <c r="R84" s="1028">
        <v>3.5</v>
      </c>
      <c r="S84" s="1028" t="s">
        <v>1504</v>
      </c>
      <c r="T84" s="1028" t="s">
        <v>1259</v>
      </c>
      <c r="U84" s="819" t="s">
        <v>1465</v>
      </c>
      <c r="V84" s="819"/>
    </row>
    <row r="85" spans="2:22" x14ac:dyDescent="0.3">
      <c r="B85" s="819" t="s">
        <v>1505</v>
      </c>
      <c r="C85" s="197" t="s">
        <v>1506</v>
      </c>
      <c r="D85" s="197" t="s">
        <v>1259</v>
      </c>
      <c r="E85" s="197" t="s">
        <v>1259</v>
      </c>
      <c r="F85" s="1028">
        <v>4.7839999999999998</v>
      </c>
      <c r="G85" s="1028">
        <v>1.9830000000000001</v>
      </c>
      <c r="H85" s="1029">
        <v>2.1579999999999999</v>
      </c>
      <c r="I85" s="1028">
        <v>3.0910000000000002</v>
      </c>
      <c r="J85" s="1028">
        <v>3.0750000000000002</v>
      </c>
      <c r="K85" s="1028">
        <v>2.585</v>
      </c>
      <c r="L85" s="1028">
        <v>2.335</v>
      </c>
      <c r="M85" s="1028">
        <v>1.6</v>
      </c>
      <c r="N85" s="1028">
        <v>1.5</v>
      </c>
      <c r="O85" s="1028">
        <v>2.1</v>
      </c>
      <c r="P85" s="1028">
        <v>2.5</v>
      </c>
      <c r="Q85" s="1028">
        <v>2.6</v>
      </c>
      <c r="R85" s="1028">
        <v>2.6</v>
      </c>
      <c r="S85" s="1028" t="s">
        <v>1507</v>
      </c>
      <c r="T85" s="1028" t="s">
        <v>1259</v>
      </c>
      <c r="U85" s="819" t="s">
        <v>1255</v>
      </c>
      <c r="V85" s="819"/>
    </row>
    <row r="86" spans="2:22" x14ac:dyDescent="0.3">
      <c r="B86" s="819" t="s">
        <v>1508</v>
      </c>
      <c r="C86" s="197" t="s">
        <v>1509</v>
      </c>
      <c r="D86" s="197" t="s">
        <v>1259</v>
      </c>
      <c r="E86" s="197" t="s">
        <v>1259</v>
      </c>
      <c r="F86" s="1028">
        <v>5.5679999999999996</v>
      </c>
      <c r="G86" s="1028">
        <v>5.1660000000000004</v>
      </c>
      <c r="H86" s="1029">
        <v>4.7729999999999997</v>
      </c>
      <c r="I86" s="1028">
        <v>4.2030000000000003</v>
      </c>
      <c r="J86" s="1028">
        <v>3.448</v>
      </c>
      <c r="K86" s="1028">
        <v>3.278</v>
      </c>
      <c r="L86" s="1028">
        <v>3.1869999999999998</v>
      </c>
      <c r="M86" s="1028">
        <v>2.5</v>
      </c>
      <c r="N86" s="1028">
        <v>2.7</v>
      </c>
      <c r="O86" s="1028">
        <v>3.3</v>
      </c>
      <c r="P86" s="1028">
        <v>3.5</v>
      </c>
      <c r="Q86" s="1028">
        <v>3.5</v>
      </c>
      <c r="R86" s="1028">
        <v>3.5</v>
      </c>
      <c r="S86" s="1028" t="s">
        <v>1510</v>
      </c>
      <c r="T86" s="1028" t="s">
        <v>1259</v>
      </c>
      <c r="U86" s="819" t="s">
        <v>1511</v>
      </c>
      <c r="V86" s="819"/>
    </row>
    <row r="87" spans="2:22" x14ac:dyDescent="0.3">
      <c r="B87" s="1032" t="s">
        <v>1512</v>
      </c>
      <c r="C87" s="197" t="s">
        <v>1513</v>
      </c>
      <c r="D87" s="197" t="s">
        <v>1259</v>
      </c>
      <c r="E87" s="197" t="s">
        <v>1259</v>
      </c>
      <c r="F87" s="1028">
        <v>4.6749999999999998</v>
      </c>
      <c r="G87" s="1028">
        <v>2.7589999999999999</v>
      </c>
      <c r="H87" s="1029">
        <v>2.9380000000000002</v>
      </c>
      <c r="I87" s="1028">
        <v>4.0250000000000004</v>
      </c>
      <c r="J87" s="1028">
        <v>2.1829999999999998</v>
      </c>
      <c r="K87" s="1028">
        <v>1.3009999999999999</v>
      </c>
      <c r="L87" s="1028">
        <v>1.2749999999999999</v>
      </c>
      <c r="M87" s="1028">
        <v>0.6</v>
      </c>
      <c r="N87" s="1028">
        <v>1.3</v>
      </c>
      <c r="O87" s="1028">
        <v>1.5</v>
      </c>
      <c r="P87" s="1028">
        <v>1.8</v>
      </c>
      <c r="Q87" s="1028">
        <v>2</v>
      </c>
      <c r="R87" s="1028">
        <v>2.2000000000000002</v>
      </c>
      <c r="S87" s="1028" t="s">
        <v>1514</v>
      </c>
      <c r="T87" s="1028" t="s">
        <v>1259</v>
      </c>
      <c r="U87" s="819" t="s">
        <v>1394</v>
      </c>
      <c r="V87" s="819"/>
    </row>
    <row r="88" spans="2:22" x14ac:dyDescent="0.3">
      <c r="B88" s="819" t="s">
        <v>1515</v>
      </c>
      <c r="C88" s="197" t="s">
        <v>1516</v>
      </c>
      <c r="D88" s="197" t="s">
        <v>1259</v>
      </c>
      <c r="E88" s="197" t="s">
        <v>1259</v>
      </c>
      <c r="F88" s="1028">
        <v>4.1390000000000002</v>
      </c>
      <c r="G88" s="1028">
        <v>2.8</v>
      </c>
      <c r="H88" s="1029">
        <v>3.004</v>
      </c>
      <c r="I88" s="1028">
        <v>4.1470000000000002</v>
      </c>
      <c r="J88" s="1028">
        <v>1.4079999999999999</v>
      </c>
      <c r="K88" s="1028">
        <v>1.1539999999999999</v>
      </c>
      <c r="L88" s="1028">
        <v>0.84399999999999997</v>
      </c>
      <c r="M88" s="1028">
        <v>1</v>
      </c>
      <c r="N88" s="1028">
        <v>1.4</v>
      </c>
      <c r="O88" s="1028">
        <v>1.7</v>
      </c>
      <c r="P88" s="1028">
        <v>1.9</v>
      </c>
      <c r="Q88" s="1028">
        <v>2.1</v>
      </c>
      <c r="R88" s="1028">
        <v>2.2000000000000002</v>
      </c>
      <c r="S88" s="1028" t="s">
        <v>1517</v>
      </c>
      <c r="T88" s="1028" t="s">
        <v>1259</v>
      </c>
      <c r="U88" s="819" t="s">
        <v>1394</v>
      </c>
      <c r="V88" s="819"/>
    </row>
    <row r="89" spans="2:22" x14ac:dyDescent="0.3">
      <c r="B89" s="819" t="s">
        <v>1518</v>
      </c>
      <c r="C89" s="197" t="s">
        <v>1519</v>
      </c>
      <c r="D89" s="197" t="s">
        <v>1259</v>
      </c>
      <c r="E89" s="197" t="s">
        <v>1259</v>
      </c>
      <c r="F89" s="1028">
        <v>8.5540000000000003</v>
      </c>
      <c r="G89" s="1028">
        <v>-0.189</v>
      </c>
      <c r="H89" s="1029">
        <v>3.8079999999999998</v>
      </c>
      <c r="I89" s="1028">
        <v>6.6989999999999998</v>
      </c>
      <c r="J89" s="1028">
        <v>0.67500000000000004</v>
      </c>
      <c r="K89" s="1028">
        <v>-1.607</v>
      </c>
      <c r="L89" s="1028">
        <v>-0.53200000000000003</v>
      </c>
      <c r="M89" s="1028">
        <v>-3.7</v>
      </c>
      <c r="N89" s="1028">
        <v>0.5</v>
      </c>
      <c r="O89" s="1028">
        <v>1.9</v>
      </c>
      <c r="P89" s="1028">
        <v>2.6</v>
      </c>
      <c r="Q89" s="1028">
        <v>3</v>
      </c>
      <c r="R89" s="1028">
        <v>3.2</v>
      </c>
      <c r="S89" s="1028" t="s">
        <v>1520</v>
      </c>
      <c r="T89" s="1028" t="s">
        <v>1259</v>
      </c>
      <c r="U89" s="819" t="s">
        <v>1394</v>
      </c>
      <c r="V89" s="819"/>
    </row>
    <row r="90" spans="2:22" x14ac:dyDescent="0.3">
      <c r="B90" s="1032" t="s">
        <v>1521</v>
      </c>
      <c r="C90" s="197" t="s">
        <v>1522</v>
      </c>
      <c r="D90" s="197" t="s">
        <v>1259</v>
      </c>
      <c r="E90" s="197" t="s">
        <v>1259</v>
      </c>
      <c r="F90" s="1028">
        <v>-4.2549999999999999</v>
      </c>
      <c r="G90" s="1028">
        <v>2.633</v>
      </c>
      <c r="H90" s="1029">
        <v>6.8440000000000003</v>
      </c>
      <c r="I90" s="1028">
        <v>0.92300000000000004</v>
      </c>
      <c r="J90" s="1028">
        <v>5.3710000000000004</v>
      </c>
      <c r="K90" s="1028">
        <v>3.8559999999999999</v>
      </c>
      <c r="L90" s="1028">
        <v>2.5539999999999998</v>
      </c>
      <c r="M90" s="1028">
        <v>4.2</v>
      </c>
      <c r="N90" s="1028">
        <v>4.3</v>
      </c>
      <c r="O90" s="1028">
        <v>4.2</v>
      </c>
      <c r="P90" s="1028">
        <v>4</v>
      </c>
      <c r="Q90" s="1028">
        <v>4.2</v>
      </c>
      <c r="R90" s="1028">
        <v>4.4000000000000004</v>
      </c>
      <c r="S90" s="1028" t="s">
        <v>1523</v>
      </c>
      <c r="T90" s="1028" t="s">
        <v>1259</v>
      </c>
      <c r="U90" s="819" t="s">
        <v>1524</v>
      </c>
      <c r="V90" s="819"/>
    </row>
    <row r="91" spans="2:22" x14ac:dyDescent="0.3">
      <c r="B91" s="819" t="s">
        <v>1525</v>
      </c>
      <c r="C91" s="197" t="s">
        <v>1526</v>
      </c>
      <c r="D91" s="197" t="s">
        <v>1259</v>
      </c>
      <c r="E91" s="197" t="s">
        <v>1259</v>
      </c>
      <c r="F91" s="1028">
        <v>-8.532</v>
      </c>
      <c r="G91" s="1028">
        <v>-0.123</v>
      </c>
      <c r="H91" s="1029">
        <v>3.794</v>
      </c>
      <c r="I91" s="1028">
        <v>-2.9820000000000002</v>
      </c>
      <c r="J91" s="1028">
        <v>3.12</v>
      </c>
      <c r="K91" s="1028">
        <v>2.5209999999999999</v>
      </c>
      <c r="L91" s="1028">
        <v>1.2629999999999999</v>
      </c>
      <c r="M91" s="1028">
        <v>3.5</v>
      </c>
      <c r="N91" s="1028">
        <v>3</v>
      </c>
      <c r="O91" s="1028">
        <v>2.7</v>
      </c>
      <c r="P91" s="1028">
        <v>2.2000000000000002</v>
      </c>
      <c r="Q91" s="1028">
        <v>2.2000000000000002</v>
      </c>
      <c r="R91" s="1028">
        <v>2.2000000000000002</v>
      </c>
      <c r="S91" s="1028" t="s">
        <v>1527</v>
      </c>
      <c r="T91" s="1028" t="s">
        <v>1259</v>
      </c>
      <c r="U91" s="819" t="s">
        <v>1528</v>
      </c>
      <c r="V91" s="819"/>
    </row>
    <row r="92" spans="2:22" x14ac:dyDescent="0.3">
      <c r="B92" s="819" t="s">
        <v>1529</v>
      </c>
      <c r="C92" s="197" t="s">
        <v>1530</v>
      </c>
      <c r="D92" s="197" t="s">
        <v>1259</v>
      </c>
      <c r="E92" s="197" t="s">
        <v>1259</v>
      </c>
      <c r="F92" s="1028">
        <v>-17.03</v>
      </c>
      <c r="G92" s="1028">
        <v>-14.287000000000001</v>
      </c>
      <c r="H92" s="1029">
        <v>8.7460000000000004</v>
      </c>
      <c r="I92" s="1028">
        <v>3.262</v>
      </c>
      <c r="J92" s="1028">
        <v>7.1</v>
      </c>
      <c r="K92" s="1028">
        <v>8</v>
      </c>
      <c r="L92" s="1028">
        <v>7.9</v>
      </c>
      <c r="M92" s="1028">
        <v>-3</v>
      </c>
      <c r="N92" s="1028">
        <v>0.2</v>
      </c>
      <c r="O92" s="1028">
        <v>3.4</v>
      </c>
      <c r="P92" s="1028">
        <v>3</v>
      </c>
      <c r="Q92" s="1028">
        <v>3.2</v>
      </c>
      <c r="R92" s="1028">
        <v>2.7</v>
      </c>
      <c r="S92" s="1028" t="s">
        <v>1531</v>
      </c>
      <c r="T92" s="1028" t="s">
        <v>1259</v>
      </c>
      <c r="U92" s="819" t="s">
        <v>1532</v>
      </c>
      <c r="V92" s="819"/>
    </row>
    <row r="93" spans="2:22" x14ac:dyDescent="0.3">
      <c r="B93" s="819" t="s">
        <v>1533</v>
      </c>
      <c r="C93" s="197" t="s">
        <v>1534</v>
      </c>
      <c r="D93" s="197" t="s">
        <v>1346</v>
      </c>
      <c r="E93" s="197" t="s">
        <v>1259</v>
      </c>
      <c r="F93" s="1028">
        <v>16.850000000000001</v>
      </c>
      <c r="G93" s="1028">
        <v>15.06</v>
      </c>
      <c r="H93" s="1029">
        <v>17.89</v>
      </c>
      <c r="I93" s="1028">
        <v>19.25</v>
      </c>
      <c r="J93" s="1028">
        <v>20.72</v>
      </c>
      <c r="K93" s="1028">
        <v>21.9</v>
      </c>
      <c r="L93" s="1028">
        <v>23.2</v>
      </c>
      <c r="M93" s="1028">
        <v>22.3</v>
      </c>
      <c r="N93" s="1028">
        <v>22</v>
      </c>
      <c r="O93" s="1028">
        <v>22.7</v>
      </c>
      <c r="P93" s="1028">
        <v>23.4</v>
      </c>
      <c r="Q93" s="1028">
        <v>24.1</v>
      </c>
      <c r="R93" s="1028">
        <v>24.8</v>
      </c>
      <c r="S93" s="1028" t="s">
        <v>1535</v>
      </c>
      <c r="T93" s="1028" t="s">
        <v>1536</v>
      </c>
      <c r="U93" s="819" t="s">
        <v>1537</v>
      </c>
      <c r="V93" s="819"/>
    </row>
    <row r="94" spans="2:22" x14ac:dyDescent="0.3">
      <c r="B94" s="819" t="s">
        <v>1538</v>
      </c>
      <c r="C94" s="197" t="s">
        <v>1539</v>
      </c>
      <c r="D94" s="197" t="s">
        <v>1259</v>
      </c>
      <c r="E94" s="197" t="s">
        <v>1540</v>
      </c>
      <c r="F94" s="1028">
        <v>48.51</v>
      </c>
      <c r="G94" s="1028">
        <v>48.807000000000002</v>
      </c>
      <c r="H94" s="1029">
        <v>49.09</v>
      </c>
      <c r="I94" s="1028">
        <v>49.356999999999999</v>
      </c>
      <c r="J94" s="1028">
        <v>49.607999999999997</v>
      </c>
      <c r="K94" s="1028">
        <v>49.847000000000001</v>
      </c>
      <c r="L94" s="1028">
        <v>50.073999999999998</v>
      </c>
      <c r="M94" s="1028">
        <v>50.29</v>
      </c>
      <c r="N94" s="1028">
        <v>50.5</v>
      </c>
      <c r="O94" s="1028">
        <v>50.71</v>
      </c>
      <c r="P94" s="1028">
        <v>50.9</v>
      </c>
      <c r="Q94" s="1028">
        <v>51.08</v>
      </c>
      <c r="R94" s="1028">
        <v>51.25</v>
      </c>
      <c r="S94" s="1028" t="s">
        <v>1541</v>
      </c>
      <c r="T94" s="1028" t="s">
        <v>1259</v>
      </c>
      <c r="U94" s="819" t="s">
        <v>1542</v>
      </c>
      <c r="V94" s="819"/>
    </row>
    <row r="95" spans="2:22" x14ac:dyDescent="0.3">
      <c r="B95" s="819" t="s">
        <v>1543</v>
      </c>
      <c r="C95" s="197" t="s">
        <v>1544</v>
      </c>
      <c r="D95" s="197" t="s">
        <v>1259</v>
      </c>
      <c r="E95" s="197" t="s">
        <v>1540</v>
      </c>
      <c r="F95" s="1028">
        <v>24.347000000000001</v>
      </c>
      <c r="G95" s="1028">
        <v>24.395</v>
      </c>
      <c r="H95" s="1029">
        <v>24.748000000000001</v>
      </c>
      <c r="I95" s="1028">
        <v>25.099</v>
      </c>
      <c r="J95" s="1028">
        <v>25.501000000000001</v>
      </c>
      <c r="K95" s="1028">
        <v>25.873999999999999</v>
      </c>
      <c r="L95" s="1028">
        <v>26.536000000000001</v>
      </c>
      <c r="M95" s="1028">
        <v>26.89</v>
      </c>
      <c r="N95" s="1028">
        <v>26.89</v>
      </c>
      <c r="O95" s="1028">
        <v>26.95</v>
      </c>
      <c r="P95" s="1028">
        <v>27.19</v>
      </c>
      <c r="Q95" s="1028">
        <v>27.45</v>
      </c>
      <c r="R95" s="1028">
        <v>27.67</v>
      </c>
      <c r="S95" s="1028" t="s">
        <v>1545</v>
      </c>
      <c r="T95" s="1028" t="s">
        <v>1259</v>
      </c>
      <c r="U95" s="819" t="s">
        <v>1546</v>
      </c>
      <c r="V95" s="819"/>
    </row>
    <row r="96" spans="2:22" x14ac:dyDescent="0.3">
      <c r="B96" s="819" t="s">
        <v>1547</v>
      </c>
      <c r="C96" s="197" t="s">
        <v>1548</v>
      </c>
      <c r="D96" s="197" t="s">
        <v>1259</v>
      </c>
      <c r="E96" s="197" t="s">
        <v>1259</v>
      </c>
      <c r="F96" s="1028">
        <v>3.1749999999999998</v>
      </c>
      <c r="G96" s="1028">
        <v>3.65</v>
      </c>
      <c r="H96" s="1029">
        <v>3.7250000000000001</v>
      </c>
      <c r="I96" s="1028">
        <v>3.4079999999999999</v>
      </c>
      <c r="J96" s="1028">
        <v>3.2250000000000001</v>
      </c>
      <c r="K96" s="1028">
        <v>3.125</v>
      </c>
      <c r="L96" s="1028">
        <v>3.5419999999999998</v>
      </c>
      <c r="M96" s="1028">
        <v>3.5</v>
      </c>
      <c r="N96" s="1028">
        <v>2.2999999999999998</v>
      </c>
      <c r="O96" s="1028">
        <v>1.4</v>
      </c>
      <c r="P96" s="1028">
        <v>1.2</v>
      </c>
      <c r="Q96" s="1028">
        <v>1.1000000000000001</v>
      </c>
      <c r="R96" s="1028">
        <v>0.9</v>
      </c>
      <c r="S96" s="1028" t="s">
        <v>1549</v>
      </c>
      <c r="T96" s="1028" t="s">
        <v>1259</v>
      </c>
      <c r="U96" s="819" t="s">
        <v>1255</v>
      </c>
      <c r="V96" s="819"/>
    </row>
    <row r="97" spans="2:22" x14ac:dyDescent="0.3">
      <c r="B97" s="819" t="s">
        <v>1550</v>
      </c>
      <c r="C97" s="197" t="s">
        <v>1551</v>
      </c>
      <c r="D97" s="197" t="s">
        <v>1346</v>
      </c>
      <c r="E97" s="197" t="s">
        <v>1259</v>
      </c>
      <c r="F97" s="1028">
        <v>20660.099999999999</v>
      </c>
      <c r="G97" s="1028">
        <v>18479.599999999999</v>
      </c>
      <c r="H97" s="1029">
        <v>22295.8</v>
      </c>
      <c r="I97" s="1028">
        <v>24362.6</v>
      </c>
      <c r="J97" s="1028">
        <v>24649.4</v>
      </c>
      <c r="K97" s="1028">
        <v>26192.2</v>
      </c>
      <c r="L97" s="1028">
        <v>28166</v>
      </c>
      <c r="M97" s="1028">
        <v>26780</v>
      </c>
      <c r="N97" s="1028">
        <v>26470</v>
      </c>
      <c r="O97" s="1028">
        <v>27050</v>
      </c>
      <c r="P97" s="1028">
        <v>27970</v>
      </c>
      <c r="Q97" s="1028">
        <v>28960</v>
      </c>
      <c r="R97" s="1028">
        <v>29760</v>
      </c>
      <c r="S97" s="1028" t="s">
        <v>1552</v>
      </c>
      <c r="T97" s="1028" t="s">
        <v>1259</v>
      </c>
      <c r="U97" s="819" t="s">
        <v>1553</v>
      </c>
      <c r="V97" s="819"/>
    </row>
    <row r="98" spans="2:22" x14ac:dyDescent="0.3">
      <c r="B98" s="819" t="s">
        <v>1554</v>
      </c>
      <c r="C98" s="197" t="s">
        <v>1555</v>
      </c>
      <c r="D98" s="197" t="s">
        <v>1346</v>
      </c>
      <c r="E98" s="197" t="s">
        <v>1259</v>
      </c>
      <c r="F98" s="1028">
        <v>10831.5</v>
      </c>
      <c r="G98" s="1028">
        <v>9545.1</v>
      </c>
      <c r="H98" s="1029">
        <v>11219.4</v>
      </c>
      <c r="I98" s="1028">
        <v>12415.3</v>
      </c>
      <c r="J98" s="1028">
        <v>12662.7</v>
      </c>
      <c r="K98" s="1028">
        <v>13335.7</v>
      </c>
      <c r="L98" s="1028">
        <v>14203.8</v>
      </c>
      <c r="M98" s="1028">
        <v>13650</v>
      </c>
      <c r="N98" s="1028">
        <v>13590</v>
      </c>
      <c r="O98" s="1028">
        <v>14130</v>
      </c>
      <c r="P98" s="1028">
        <v>14690</v>
      </c>
      <c r="Q98" s="1028">
        <v>15210</v>
      </c>
      <c r="R98" s="1028">
        <v>15680</v>
      </c>
      <c r="S98" s="1028" t="s">
        <v>1556</v>
      </c>
      <c r="T98" s="1028" t="s">
        <v>1259</v>
      </c>
      <c r="U98" s="819" t="s">
        <v>1557</v>
      </c>
      <c r="V98" s="819"/>
    </row>
    <row r="99" spans="2:22" x14ac:dyDescent="0.3">
      <c r="B99" s="819" t="s">
        <v>1558</v>
      </c>
      <c r="C99" s="197" t="s">
        <v>1559</v>
      </c>
      <c r="D99" s="197" t="s">
        <v>1341</v>
      </c>
      <c r="E99" s="197" t="s">
        <v>1259</v>
      </c>
      <c r="F99" s="1028">
        <v>28977.8</v>
      </c>
      <c r="G99" s="1028">
        <v>28610.9</v>
      </c>
      <c r="H99" s="1029">
        <v>30664.1</v>
      </c>
      <c r="I99" s="1028">
        <v>31595.3</v>
      </c>
      <c r="J99" s="1028">
        <v>32277.599999999999</v>
      </c>
      <c r="K99" s="1028">
        <v>33336.5</v>
      </c>
      <c r="L99" s="1028">
        <v>34595.800000000003</v>
      </c>
      <c r="M99" s="1028">
        <v>35830</v>
      </c>
      <c r="N99" s="1028">
        <v>37230</v>
      </c>
      <c r="O99" s="1028">
        <v>38910</v>
      </c>
      <c r="P99" s="1028">
        <v>40920</v>
      </c>
      <c r="Q99" s="1028">
        <v>43000</v>
      </c>
      <c r="R99" s="1028">
        <v>45030</v>
      </c>
      <c r="S99" s="1028" t="s">
        <v>1560</v>
      </c>
      <c r="T99" s="1028" t="s">
        <v>1259</v>
      </c>
      <c r="U99" s="819" t="s">
        <v>1447</v>
      </c>
      <c r="V99" s="819"/>
    </row>
    <row r="100" spans="2:22" x14ac:dyDescent="0.3">
      <c r="B100" s="819" t="s">
        <v>1561</v>
      </c>
      <c r="C100" s="197" t="s">
        <v>1562</v>
      </c>
      <c r="D100" s="197" t="s">
        <v>1259</v>
      </c>
      <c r="E100" s="197" t="s">
        <v>1259</v>
      </c>
      <c r="F100" s="1028">
        <v>2.1829999999999998</v>
      </c>
      <c r="G100" s="1028">
        <v>9.5000000000000001E-2</v>
      </c>
      <c r="H100" s="1029">
        <v>5.883</v>
      </c>
      <c r="I100" s="1028">
        <v>3.121</v>
      </c>
      <c r="J100" s="1028">
        <v>1.7749999999999999</v>
      </c>
      <c r="K100" s="1028">
        <v>2.403</v>
      </c>
      <c r="L100" s="1028">
        <v>2.8420000000000001</v>
      </c>
      <c r="M100" s="1028">
        <v>2.1</v>
      </c>
      <c r="N100" s="1028">
        <v>2.4</v>
      </c>
      <c r="O100" s="1028">
        <v>2.4</v>
      </c>
      <c r="P100" s="1028">
        <v>2.6</v>
      </c>
      <c r="Q100" s="1028">
        <v>2.6</v>
      </c>
      <c r="R100" s="1028">
        <v>2.7</v>
      </c>
      <c r="S100" s="1028" t="s">
        <v>1563</v>
      </c>
      <c r="T100" s="1028" t="s">
        <v>1259</v>
      </c>
      <c r="U100" s="819" t="s">
        <v>1564</v>
      </c>
      <c r="V100" s="819"/>
    </row>
    <row r="101" spans="2:22" x14ac:dyDescent="0.3">
      <c r="B101" s="819" t="s">
        <v>1565</v>
      </c>
      <c r="C101" s="197" t="s">
        <v>1566</v>
      </c>
      <c r="D101" s="197" t="s">
        <v>1251</v>
      </c>
      <c r="E101" s="197" t="s">
        <v>1252</v>
      </c>
      <c r="F101" s="1028">
        <v>599357.80000000005</v>
      </c>
      <c r="G101" s="1028">
        <v>621773.80000000005</v>
      </c>
      <c r="H101" s="1029">
        <v>660066</v>
      </c>
      <c r="I101" s="1028">
        <v>697772.1</v>
      </c>
      <c r="J101" s="1028">
        <v>724352.5</v>
      </c>
      <c r="K101" s="1028">
        <v>760825.5</v>
      </c>
      <c r="L101" s="1028">
        <v>788893.5</v>
      </c>
      <c r="M101" s="1028">
        <v>814933.9</v>
      </c>
      <c r="N101" s="1028">
        <v>856072.3</v>
      </c>
      <c r="O101" s="1028">
        <v>883901.1</v>
      </c>
      <c r="P101" s="1028">
        <v>921793.8</v>
      </c>
      <c r="Q101" s="1028">
        <v>965644.2</v>
      </c>
      <c r="R101" s="1028">
        <v>1006476.9</v>
      </c>
      <c r="S101" s="1028" t="s">
        <v>1567</v>
      </c>
      <c r="T101" s="1028" t="s">
        <v>1259</v>
      </c>
      <c r="U101" s="819" t="s">
        <v>1568</v>
      </c>
      <c r="V101" s="819"/>
    </row>
    <row r="102" spans="2:22" x14ac:dyDescent="0.3">
      <c r="B102" s="819" t="s">
        <v>1565</v>
      </c>
      <c r="C102" s="197" t="s">
        <v>1569</v>
      </c>
      <c r="D102" s="197" t="s">
        <v>1346</v>
      </c>
      <c r="E102" s="197" t="s">
        <v>1540</v>
      </c>
      <c r="F102" s="1028">
        <v>543860</v>
      </c>
      <c r="G102" s="1028">
        <v>486930</v>
      </c>
      <c r="H102" s="1029">
        <v>570960</v>
      </c>
      <c r="I102" s="1028">
        <v>629590</v>
      </c>
      <c r="J102" s="1028">
        <v>643030</v>
      </c>
      <c r="K102" s="1028">
        <v>694910</v>
      </c>
      <c r="L102" s="1028">
        <v>749210</v>
      </c>
      <c r="M102" s="1028">
        <v>722400</v>
      </c>
      <c r="N102" s="1028">
        <v>726300</v>
      </c>
      <c r="O102" s="1028">
        <v>748000</v>
      </c>
      <c r="P102" s="1028">
        <v>779000</v>
      </c>
      <c r="Q102" s="1028">
        <v>815200</v>
      </c>
      <c r="R102" s="1028">
        <v>844000</v>
      </c>
      <c r="S102" s="1028" t="s">
        <v>1570</v>
      </c>
      <c r="T102" s="1028" t="s">
        <v>1259</v>
      </c>
      <c r="U102" s="819" t="s">
        <v>1571</v>
      </c>
      <c r="V102" s="819"/>
    </row>
    <row r="103" spans="2:22" x14ac:dyDescent="0.3">
      <c r="B103" s="819" t="s">
        <v>1572</v>
      </c>
      <c r="C103" s="197" t="s">
        <v>1573</v>
      </c>
      <c r="D103" s="197" t="s">
        <v>1259</v>
      </c>
      <c r="E103" s="197" t="s">
        <v>1259</v>
      </c>
      <c r="F103" s="1028">
        <v>1.369</v>
      </c>
      <c r="G103" s="1028">
        <v>1.1439999999999999</v>
      </c>
      <c r="H103" s="1029">
        <v>3.528</v>
      </c>
      <c r="I103" s="1028">
        <v>1.9830000000000001</v>
      </c>
      <c r="J103" s="1028">
        <v>1.548</v>
      </c>
      <c r="K103" s="1028">
        <v>4.0439999999999996</v>
      </c>
      <c r="L103" s="1028">
        <v>2.58</v>
      </c>
      <c r="M103" s="1028">
        <v>2</v>
      </c>
      <c r="N103" s="1028">
        <v>2.5</v>
      </c>
      <c r="O103" s="1028">
        <v>0.8</v>
      </c>
      <c r="P103" s="1028">
        <v>1.9</v>
      </c>
      <c r="Q103" s="1028">
        <v>2.6</v>
      </c>
      <c r="R103" s="1028">
        <v>1.9</v>
      </c>
      <c r="S103" s="1028" t="s">
        <v>1574</v>
      </c>
      <c r="T103" s="1028" t="s">
        <v>1259</v>
      </c>
      <c r="U103" s="819" t="s">
        <v>1568</v>
      </c>
      <c r="V103" s="819"/>
    </row>
    <row r="104" spans="2:22" x14ac:dyDescent="0.3">
      <c r="B104" s="819" t="s">
        <v>1575</v>
      </c>
      <c r="C104" s="197" t="s">
        <v>1576</v>
      </c>
      <c r="D104" s="197" t="s">
        <v>1346</v>
      </c>
      <c r="E104" s="197" t="s">
        <v>1252</v>
      </c>
      <c r="F104" s="1028">
        <v>3.1897000000000002</v>
      </c>
      <c r="G104" s="1028">
        <v>33.593299999999999</v>
      </c>
      <c r="H104" s="1029">
        <v>28.8504</v>
      </c>
      <c r="I104" s="1028">
        <v>18.655799999999999</v>
      </c>
      <c r="J104" s="1028">
        <v>50.835000000000001</v>
      </c>
      <c r="K104" s="1028">
        <v>81.148200000000003</v>
      </c>
      <c r="L104" s="1028">
        <v>89.220100000000002</v>
      </c>
      <c r="M104" s="1028">
        <v>87.619500000000002</v>
      </c>
      <c r="N104" s="1028">
        <v>72.973699999999994</v>
      </c>
      <c r="O104" s="1028">
        <v>73.084299999999999</v>
      </c>
      <c r="P104" s="1028">
        <v>64.383300000000006</v>
      </c>
      <c r="Q104" s="1028">
        <v>64.035399999999996</v>
      </c>
      <c r="R104" s="1028">
        <v>66.588800000000006</v>
      </c>
      <c r="S104" s="1028" t="s">
        <v>1577</v>
      </c>
      <c r="T104" s="1028" t="s">
        <v>1578</v>
      </c>
      <c r="U104" s="819" t="s">
        <v>1465</v>
      </c>
      <c r="V104" s="819"/>
    </row>
    <row r="105" spans="2:22" x14ac:dyDescent="0.3">
      <c r="B105" s="819" t="s">
        <v>1579</v>
      </c>
      <c r="C105" s="197" t="s">
        <v>1580</v>
      </c>
      <c r="D105" s="197" t="s">
        <v>1346</v>
      </c>
      <c r="E105" s="197" t="s">
        <v>1252</v>
      </c>
      <c r="F105" s="1028">
        <v>432.89460000000003</v>
      </c>
      <c r="G105" s="1028">
        <v>363.9008</v>
      </c>
      <c r="H105" s="1029">
        <v>463.77</v>
      </c>
      <c r="I105" s="1028">
        <v>587.1</v>
      </c>
      <c r="J105" s="1028">
        <v>603.50900000000001</v>
      </c>
      <c r="K105" s="1028">
        <v>618.15700000000004</v>
      </c>
      <c r="L105" s="1028">
        <v>621.29899999999998</v>
      </c>
      <c r="M105" s="1028">
        <v>542.81600000000003</v>
      </c>
      <c r="N105" s="1028">
        <v>566.55169999999998</v>
      </c>
      <c r="O105" s="1028">
        <v>605.44690000000003</v>
      </c>
      <c r="P105" s="1028">
        <v>621.43460000000005</v>
      </c>
      <c r="Q105" s="1028">
        <v>644.1576</v>
      </c>
      <c r="R105" s="1028">
        <v>667.34389999999996</v>
      </c>
      <c r="S105" s="1028" t="s">
        <v>1581</v>
      </c>
      <c r="T105" s="1028" t="s">
        <v>1578</v>
      </c>
      <c r="U105" s="819" t="s">
        <v>1465</v>
      </c>
      <c r="V105" s="819"/>
    </row>
    <row r="106" spans="2:22" x14ac:dyDescent="0.3">
      <c r="B106" s="819" t="s">
        <v>1582</v>
      </c>
      <c r="C106" s="197" t="s">
        <v>1583</v>
      </c>
      <c r="D106" s="197" t="s">
        <v>1346</v>
      </c>
      <c r="E106" s="197" t="s">
        <v>1252</v>
      </c>
      <c r="F106" s="1028">
        <v>-420.6961</v>
      </c>
      <c r="G106" s="1028">
        <v>-316.08690000000001</v>
      </c>
      <c r="H106" s="1029">
        <v>-415.85449999999997</v>
      </c>
      <c r="I106" s="1028">
        <v>-558.00900000000001</v>
      </c>
      <c r="J106" s="1028">
        <v>-554.10400000000004</v>
      </c>
      <c r="K106" s="1028">
        <v>-535.37599999999998</v>
      </c>
      <c r="L106" s="1028">
        <v>-528.61</v>
      </c>
      <c r="M106" s="1028">
        <v>-449.94200000000001</v>
      </c>
      <c r="N106" s="1028">
        <v>-477.93700000000001</v>
      </c>
      <c r="O106" s="1028">
        <v>-534.55999999999995</v>
      </c>
      <c r="P106" s="1028">
        <v>-564.35299999999995</v>
      </c>
      <c r="Q106" s="1028">
        <v>-594.41099999999994</v>
      </c>
      <c r="R106" s="1028">
        <v>-619.74300000000005</v>
      </c>
      <c r="S106" s="1028" t="s">
        <v>1584</v>
      </c>
      <c r="T106" s="1028" t="s">
        <v>1578</v>
      </c>
      <c r="U106" s="819" t="s">
        <v>1465</v>
      </c>
      <c r="V106" s="819"/>
    </row>
    <row r="107" spans="2:22" x14ac:dyDescent="0.3">
      <c r="B107" s="819" t="s">
        <v>1585</v>
      </c>
      <c r="C107" s="197" t="s">
        <v>1586</v>
      </c>
      <c r="D107" s="197" t="s">
        <v>1346</v>
      </c>
      <c r="E107" s="197" t="s">
        <v>1252</v>
      </c>
      <c r="F107" s="1028">
        <v>12.1975</v>
      </c>
      <c r="G107" s="1028">
        <v>47.814</v>
      </c>
      <c r="H107" s="1029">
        <v>47.915399999999998</v>
      </c>
      <c r="I107" s="1028">
        <v>29.0899</v>
      </c>
      <c r="J107" s="1028">
        <v>49.405999999999999</v>
      </c>
      <c r="K107" s="1028">
        <v>82.781000000000006</v>
      </c>
      <c r="L107" s="1028">
        <v>92.687600000000003</v>
      </c>
      <c r="M107" s="1028">
        <v>92.873699999999999</v>
      </c>
      <c r="N107" s="1028">
        <v>88.6143</v>
      </c>
      <c r="O107" s="1028">
        <v>70.887100000000004</v>
      </c>
      <c r="P107" s="1028">
        <v>57.081299999999999</v>
      </c>
      <c r="Q107" s="1028">
        <v>49.746499999999997</v>
      </c>
      <c r="R107" s="1028">
        <v>47.601199999999999</v>
      </c>
      <c r="S107" s="1028" t="s">
        <v>1587</v>
      </c>
      <c r="T107" s="1028" t="s">
        <v>1578</v>
      </c>
      <c r="U107" s="819" t="s">
        <v>1465</v>
      </c>
      <c r="V107" s="819"/>
    </row>
    <row r="108" spans="2:22" x14ac:dyDescent="0.3">
      <c r="B108" s="819" t="s">
        <v>1588</v>
      </c>
      <c r="C108" s="197" t="s">
        <v>1589</v>
      </c>
      <c r="D108" s="197" t="s">
        <v>1346</v>
      </c>
      <c r="E108" s="197" t="s">
        <v>1252</v>
      </c>
      <c r="F108" s="1028">
        <v>91.333299999999994</v>
      </c>
      <c r="G108" s="1028">
        <v>72.752099999999999</v>
      </c>
      <c r="H108" s="1029">
        <v>83.260300000000001</v>
      </c>
      <c r="I108" s="1028">
        <v>90.900099999999995</v>
      </c>
      <c r="J108" s="1028">
        <v>103.53319999999999</v>
      </c>
      <c r="K108" s="1028">
        <v>103.7392</v>
      </c>
      <c r="L108" s="1028">
        <v>106.8553</v>
      </c>
      <c r="M108" s="1028">
        <v>104.542</v>
      </c>
      <c r="N108" s="1028">
        <v>105.715</v>
      </c>
      <c r="O108" s="1028">
        <v>111.881</v>
      </c>
      <c r="P108" s="1028">
        <v>120.291</v>
      </c>
      <c r="Q108" s="1028">
        <v>130.005</v>
      </c>
      <c r="R108" s="1028">
        <v>140.19399999999999</v>
      </c>
      <c r="S108" s="1028" t="s">
        <v>1590</v>
      </c>
      <c r="T108" s="1028" t="s">
        <v>1578</v>
      </c>
      <c r="U108" s="819" t="s">
        <v>1465</v>
      </c>
      <c r="V108" s="819"/>
    </row>
    <row r="109" spans="2:22" x14ac:dyDescent="0.3">
      <c r="B109" s="819" t="s">
        <v>1591</v>
      </c>
      <c r="C109" s="197" t="s">
        <v>1592</v>
      </c>
      <c r="D109" s="197" t="s">
        <v>1346</v>
      </c>
      <c r="E109" s="197" t="s">
        <v>1252</v>
      </c>
      <c r="F109" s="1028">
        <v>-97.876199999999997</v>
      </c>
      <c r="G109" s="1028">
        <v>-82.341999999999999</v>
      </c>
      <c r="H109" s="1029">
        <v>-97.498699999999999</v>
      </c>
      <c r="I109" s="1028">
        <v>-103.17919999999999</v>
      </c>
      <c r="J109" s="1028">
        <v>-108.74679999999999</v>
      </c>
      <c r="K109" s="1028">
        <v>-110.2384</v>
      </c>
      <c r="L109" s="1028">
        <v>-115.0187</v>
      </c>
      <c r="M109" s="1028">
        <v>-119.571</v>
      </c>
      <c r="N109" s="1028">
        <v>-121.968</v>
      </c>
      <c r="O109" s="1028">
        <v>-126.124</v>
      </c>
      <c r="P109" s="1028">
        <v>-134.94399999999999</v>
      </c>
      <c r="Q109" s="1028">
        <v>-140.68100000000001</v>
      </c>
      <c r="R109" s="1028">
        <v>-148.82900000000001</v>
      </c>
      <c r="S109" s="1028" t="s">
        <v>1593</v>
      </c>
      <c r="T109" s="1028" t="s">
        <v>1578</v>
      </c>
      <c r="U109" s="819" t="s">
        <v>1465</v>
      </c>
      <c r="V109" s="819"/>
    </row>
    <row r="110" spans="2:22" x14ac:dyDescent="0.3">
      <c r="B110" s="819" t="s">
        <v>1594</v>
      </c>
      <c r="C110" s="197" t="s">
        <v>1595</v>
      </c>
      <c r="D110" s="197" t="s">
        <v>1346</v>
      </c>
      <c r="E110" s="197" t="s">
        <v>1252</v>
      </c>
      <c r="F110" s="1028">
        <v>-6.5429000000000004</v>
      </c>
      <c r="G110" s="1028">
        <v>-9.5899000000000001</v>
      </c>
      <c r="H110" s="1029">
        <v>-14.2384</v>
      </c>
      <c r="I110" s="1028">
        <v>-12.2791</v>
      </c>
      <c r="J110" s="1028">
        <v>-5.2135999999999996</v>
      </c>
      <c r="K110" s="1028">
        <v>-6.4992000000000001</v>
      </c>
      <c r="L110" s="1028">
        <v>-8.1633999999999993</v>
      </c>
      <c r="M110" s="1028">
        <v>-15.029500000000001</v>
      </c>
      <c r="N110" s="1028">
        <v>-16.253799999999998</v>
      </c>
      <c r="O110" s="1028">
        <v>-14.242599999999999</v>
      </c>
      <c r="P110" s="1028">
        <v>-14.653</v>
      </c>
      <c r="Q110" s="1028">
        <v>-10.676600000000001</v>
      </c>
      <c r="R110" s="1028">
        <v>-8.6351999999999993</v>
      </c>
      <c r="S110" s="1028" t="s">
        <v>1596</v>
      </c>
      <c r="T110" s="1028" t="s">
        <v>1578</v>
      </c>
      <c r="U110" s="819" t="s">
        <v>1465</v>
      </c>
      <c r="V110" s="819"/>
    </row>
    <row r="111" spans="2:22" x14ac:dyDescent="0.3">
      <c r="B111" s="819" t="s">
        <v>1597</v>
      </c>
      <c r="C111" s="197" t="s">
        <v>1598</v>
      </c>
      <c r="D111" s="197" t="s">
        <v>1346</v>
      </c>
      <c r="E111" s="197" t="s">
        <v>1252</v>
      </c>
      <c r="F111" s="1028">
        <v>21.686299999999999</v>
      </c>
      <c r="G111" s="1028">
        <v>15.371499999999999</v>
      </c>
      <c r="H111" s="1029">
        <v>22.737400000000001</v>
      </c>
      <c r="I111" s="1028">
        <v>27.436199999999999</v>
      </c>
      <c r="J111" s="1028">
        <v>30.160499999999999</v>
      </c>
      <c r="K111" s="1028">
        <v>30.1083</v>
      </c>
      <c r="L111" s="1028">
        <v>34.903599999999997</v>
      </c>
      <c r="M111" s="1028">
        <v>36.6922</v>
      </c>
      <c r="N111" s="1028">
        <v>36.142099999999999</v>
      </c>
      <c r="O111" s="1028">
        <v>42.244999999999997</v>
      </c>
      <c r="P111" s="1028">
        <v>45.2318</v>
      </c>
      <c r="Q111" s="1028">
        <v>48.4148</v>
      </c>
      <c r="R111" s="1028">
        <v>53.999899999999997</v>
      </c>
      <c r="S111" s="1028" t="s">
        <v>1599</v>
      </c>
      <c r="T111" s="1028" t="s">
        <v>1578</v>
      </c>
      <c r="U111" s="819" t="s">
        <v>1465</v>
      </c>
      <c r="V111" s="819"/>
    </row>
    <row r="112" spans="2:22" x14ac:dyDescent="0.3">
      <c r="B112" s="819" t="s">
        <v>1600</v>
      </c>
      <c r="C112" s="197" t="s">
        <v>1601</v>
      </c>
      <c r="D112" s="197" t="s">
        <v>1346</v>
      </c>
      <c r="E112" s="197" t="s">
        <v>1252</v>
      </c>
      <c r="F112" s="1028">
        <v>-22.884399999999999</v>
      </c>
      <c r="G112" s="1028">
        <v>-17.807700000000001</v>
      </c>
      <c r="H112" s="1029">
        <v>-22.247499999999999</v>
      </c>
      <c r="I112" s="1028">
        <v>-20.875599999999999</v>
      </c>
      <c r="J112" s="1028">
        <v>-18.043800000000001</v>
      </c>
      <c r="K112" s="1028">
        <v>-21.052600000000002</v>
      </c>
      <c r="L112" s="1028">
        <v>-24.7059</v>
      </c>
      <c r="M112" s="1028">
        <v>-21.663399999999999</v>
      </c>
      <c r="N112" s="1028">
        <v>-28.976500000000001</v>
      </c>
      <c r="O112" s="1028">
        <v>-20.454000000000001</v>
      </c>
      <c r="P112" s="1028">
        <v>-20.5703</v>
      </c>
      <c r="Q112" s="1028">
        <v>-20.6371</v>
      </c>
      <c r="R112" s="1028">
        <v>-23.477599999999999</v>
      </c>
      <c r="S112" s="1028" t="s">
        <v>1602</v>
      </c>
      <c r="T112" s="1028" t="s">
        <v>1578</v>
      </c>
      <c r="U112" s="819" t="s">
        <v>1465</v>
      </c>
      <c r="V112" s="819"/>
    </row>
    <row r="113" spans="2:22" x14ac:dyDescent="0.3">
      <c r="B113" s="819" t="s">
        <v>1603</v>
      </c>
      <c r="C113" s="197" t="s">
        <v>1604</v>
      </c>
      <c r="D113" s="197" t="s">
        <v>1346</v>
      </c>
      <c r="E113" s="197" t="s">
        <v>1252</v>
      </c>
      <c r="F113" s="1028">
        <v>-1.1980999999999999</v>
      </c>
      <c r="G113" s="1028">
        <v>-2.4361999999999999</v>
      </c>
      <c r="H113" s="1029">
        <v>0.4899</v>
      </c>
      <c r="I113" s="1028">
        <v>6.5606</v>
      </c>
      <c r="J113" s="1028">
        <v>12.1167</v>
      </c>
      <c r="K113" s="1028">
        <v>9.0556999999999999</v>
      </c>
      <c r="L113" s="1028">
        <v>10.197699999999999</v>
      </c>
      <c r="M113" s="1028">
        <v>15.0288</v>
      </c>
      <c r="N113" s="1028">
        <v>7.1656000000000004</v>
      </c>
      <c r="O113" s="1028">
        <v>21.791</v>
      </c>
      <c r="P113" s="1028">
        <v>24.6616</v>
      </c>
      <c r="Q113" s="1028">
        <v>27.777699999999999</v>
      </c>
      <c r="R113" s="1028">
        <v>30.522400000000001</v>
      </c>
      <c r="S113" s="1028" t="s">
        <v>1605</v>
      </c>
      <c r="T113" s="1028" t="s">
        <v>1578</v>
      </c>
      <c r="U113" s="819" t="s">
        <v>1465</v>
      </c>
      <c r="V113" s="819"/>
    </row>
    <row r="114" spans="2:22" x14ac:dyDescent="0.3">
      <c r="B114" s="819" t="s">
        <v>1606</v>
      </c>
      <c r="C114" s="197" t="s">
        <v>1607</v>
      </c>
      <c r="D114" s="197" t="s">
        <v>1346</v>
      </c>
      <c r="E114" s="197" t="s">
        <v>1252</v>
      </c>
      <c r="F114" s="1028">
        <v>9.2753999999999994</v>
      </c>
      <c r="G114" s="1028">
        <v>7.9019000000000004</v>
      </c>
      <c r="H114" s="1029">
        <v>7.0495999999999999</v>
      </c>
      <c r="I114" s="1028">
        <v>8.4321999999999999</v>
      </c>
      <c r="J114" s="1028">
        <v>8.5579999999999998</v>
      </c>
      <c r="K114" s="1028">
        <v>8.7786000000000008</v>
      </c>
      <c r="L114" s="1028">
        <v>8.7734000000000005</v>
      </c>
      <c r="M114" s="1028">
        <v>8.3773999999999997</v>
      </c>
      <c r="N114" s="1028">
        <v>6.9798</v>
      </c>
      <c r="O114" s="1028">
        <v>7.1614000000000004</v>
      </c>
      <c r="P114" s="1028">
        <v>8.8568999999999996</v>
      </c>
      <c r="Q114" s="1028">
        <v>9.2028999999999996</v>
      </c>
      <c r="R114" s="1028">
        <v>9.4885000000000002</v>
      </c>
      <c r="S114" s="1028" t="s">
        <v>1608</v>
      </c>
      <c r="T114" s="1028" t="s">
        <v>1578</v>
      </c>
      <c r="U114" s="819" t="s">
        <v>1465</v>
      </c>
      <c r="V114" s="819"/>
    </row>
    <row r="115" spans="2:22" x14ac:dyDescent="0.3">
      <c r="B115" s="819" t="s">
        <v>1609</v>
      </c>
      <c r="C115" s="197" t="s">
        <v>1610</v>
      </c>
      <c r="D115" s="197" t="s">
        <v>1346</v>
      </c>
      <c r="E115" s="197" t="s">
        <v>1252</v>
      </c>
      <c r="F115" s="1028">
        <v>-10.542199999999999</v>
      </c>
      <c r="G115" s="1028">
        <v>-10.096500000000001</v>
      </c>
      <c r="H115" s="1029">
        <v>-12.366099999999999</v>
      </c>
      <c r="I115" s="1028">
        <v>-13.1478</v>
      </c>
      <c r="J115" s="1028">
        <v>-14.0321</v>
      </c>
      <c r="K115" s="1028">
        <v>-12.9679</v>
      </c>
      <c r="L115" s="1028">
        <v>-14.2752</v>
      </c>
      <c r="M115" s="1028">
        <v>-13.630800000000001</v>
      </c>
      <c r="N115" s="1028">
        <v>-13.5322</v>
      </c>
      <c r="O115" s="1028">
        <v>-12.512600000000001</v>
      </c>
      <c r="P115" s="1028">
        <v>-11.563499999999999</v>
      </c>
      <c r="Q115" s="1028">
        <v>-12.0152</v>
      </c>
      <c r="R115" s="1028">
        <v>-12.3881</v>
      </c>
      <c r="S115" s="1028" t="s">
        <v>1611</v>
      </c>
      <c r="T115" s="1028" t="s">
        <v>1578</v>
      </c>
      <c r="U115" s="819" t="s">
        <v>1465</v>
      </c>
      <c r="V115" s="819"/>
    </row>
    <row r="116" spans="2:22" x14ac:dyDescent="0.3">
      <c r="B116" s="819" t="s">
        <v>1612</v>
      </c>
      <c r="C116" s="197" t="s">
        <v>1613</v>
      </c>
      <c r="D116" s="197" t="s">
        <v>1346</v>
      </c>
      <c r="E116" s="197" t="s">
        <v>1252</v>
      </c>
      <c r="F116" s="1028">
        <v>-1.2667999999999999</v>
      </c>
      <c r="G116" s="1028">
        <v>-2.1945999999999999</v>
      </c>
      <c r="H116" s="1029">
        <v>-5.3164999999999996</v>
      </c>
      <c r="I116" s="1028">
        <v>-4.7156000000000002</v>
      </c>
      <c r="J116" s="1028">
        <v>-5.4741</v>
      </c>
      <c r="K116" s="1028">
        <v>-4.1893000000000002</v>
      </c>
      <c r="L116" s="1028">
        <v>-5.5018000000000002</v>
      </c>
      <c r="M116" s="1028">
        <v>-5.2534999999999998</v>
      </c>
      <c r="N116" s="1028">
        <v>-6.5523999999999996</v>
      </c>
      <c r="O116" s="1028">
        <v>-5.3512000000000004</v>
      </c>
      <c r="P116" s="1028">
        <v>-2.7065999999999999</v>
      </c>
      <c r="Q116" s="1028">
        <v>-2.8123</v>
      </c>
      <c r="R116" s="1028">
        <v>-2.8996</v>
      </c>
      <c r="S116" s="1028" t="s">
        <v>1614</v>
      </c>
      <c r="T116" s="1028" t="s">
        <v>1578</v>
      </c>
      <c r="U116" s="819" t="s">
        <v>1465</v>
      </c>
      <c r="V116" s="819"/>
    </row>
    <row r="117" spans="2:22" x14ac:dyDescent="0.3">
      <c r="B117" s="819" t="s">
        <v>1615</v>
      </c>
      <c r="C117" s="197" t="s">
        <v>1616</v>
      </c>
      <c r="D117" s="197" t="s">
        <v>1346</v>
      </c>
      <c r="E117" s="197" t="s">
        <v>1252</v>
      </c>
      <c r="F117" s="1028">
        <v>11.1875</v>
      </c>
      <c r="G117" s="1028">
        <v>9.0219000000000005</v>
      </c>
      <c r="H117" s="1029">
        <v>9.4974000000000007</v>
      </c>
      <c r="I117" s="1028">
        <v>9.7729999999999997</v>
      </c>
      <c r="J117" s="1028">
        <v>9.4959000000000007</v>
      </c>
      <c r="K117" s="1028">
        <v>12.7666</v>
      </c>
      <c r="L117" s="1028">
        <v>9.8985000000000003</v>
      </c>
      <c r="M117" s="1028">
        <v>9.266</v>
      </c>
      <c r="N117" s="1028">
        <v>10.4</v>
      </c>
      <c r="O117" s="1028">
        <v>11.47</v>
      </c>
      <c r="P117" s="1028">
        <v>12.359</v>
      </c>
      <c r="Q117" s="1028">
        <v>11.694000000000001</v>
      </c>
      <c r="R117" s="1028">
        <v>10.058999999999999</v>
      </c>
      <c r="S117" s="1028" t="s">
        <v>1617</v>
      </c>
      <c r="T117" s="1028" t="s">
        <v>1618</v>
      </c>
      <c r="U117" s="819" t="s">
        <v>1465</v>
      </c>
      <c r="V117" s="819"/>
    </row>
    <row r="118" spans="2:22" x14ac:dyDescent="0.3">
      <c r="B118" s="819" t="s">
        <v>1619</v>
      </c>
      <c r="C118" s="197" t="s">
        <v>1620</v>
      </c>
      <c r="D118" s="197" t="s">
        <v>1346</v>
      </c>
      <c r="E118" s="197" t="s">
        <v>1252</v>
      </c>
      <c r="F118" s="1028">
        <v>-19.6326</v>
      </c>
      <c r="G118" s="1028">
        <v>-17.4359</v>
      </c>
      <c r="H118" s="1029">
        <v>-28.279900000000001</v>
      </c>
      <c r="I118" s="1028">
        <v>-29.704699999999999</v>
      </c>
      <c r="J118" s="1028">
        <v>-30.632100000000001</v>
      </c>
      <c r="K118" s="1028">
        <v>-28.3598</v>
      </c>
      <c r="L118" s="1028">
        <v>-30.558</v>
      </c>
      <c r="M118" s="1028">
        <v>-31.263000000000002</v>
      </c>
      <c r="N118" s="1028">
        <v>-33.927999999999997</v>
      </c>
      <c r="O118" s="1028">
        <v>-36.052999999999997</v>
      </c>
      <c r="P118" s="1028">
        <v>-38.326999999999998</v>
      </c>
      <c r="Q118" s="1028">
        <v>-42.481999999999999</v>
      </c>
      <c r="R118" s="1028">
        <v>-44.587000000000003</v>
      </c>
      <c r="S118" s="1028" t="s">
        <v>1621</v>
      </c>
      <c r="T118" s="1028" t="s">
        <v>1618</v>
      </c>
      <c r="U118" s="819" t="s">
        <v>1465</v>
      </c>
      <c r="V118" s="819"/>
    </row>
    <row r="119" spans="2:22" x14ac:dyDescent="0.3">
      <c r="B119" s="819" t="s">
        <v>1622</v>
      </c>
      <c r="C119" s="197" t="s">
        <v>1623</v>
      </c>
      <c r="D119" s="197" t="s">
        <v>1346</v>
      </c>
      <c r="E119" s="197" t="s">
        <v>1252</v>
      </c>
      <c r="F119" s="1028">
        <v>-8.4451000000000001</v>
      </c>
      <c r="G119" s="1028">
        <v>-8.4139999999999997</v>
      </c>
      <c r="H119" s="1029">
        <v>-18.782499999999999</v>
      </c>
      <c r="I119" s="1028">
        <v>-19.931699999999999</v>
      </c>
      <c r="J119" s="1028">
        <v>-21.136199999999999</v>
      </c>
      <c r="K119" s="1028">
        <v>-15.5932</v>
      </c>
      <c r="L119" s="1028">
        <v>-20.659500000000001</v>
      </c>
      <c r="M119" s="1028">
        <v>-21.998000000000001</v>
      </c>
      <c r="N119" s="1028">
        <v>-23.527999999999999</v>
      </c>
      <c r="O119" s="1028">
        <v>-24.584</v>
      </c>
      <c r="P119" s="1028">
        <v>-25.968</v>
      </c>
      <c r="Q119" s="1028">
        <v>-30.788</v>
      </c>
      <c r="R119" s="1028">
        <v>-34.527999999999999</v>
      </c>
      <c r="S119" s="1028" t="s">
        <v>1624</v>
      </c>
      <c r="T119" s="1028" t="s">
        <v>1618</v>
      </c>
      <c r="U119" s="819" t="s">
        <v>1465</v>
      </c>
      <c r="V119" s="819"/>
    </row>
    <row r="120" spans="2:22" x14ac:dyDescent="0.3">
      <c r="B120" s="819" t="s">
        <v>1625</v>
      </c>
      <c r="C120" s="197" t="s">
        <v>1626</v>
      </c>
      <c r="D120" s="197" t="s">
        <v>1346</v>
      </c>
      <c r="E120" s="197" t="s">
        <v>1252</v>
      </c>
      <c r="F120" s="1028">
        <v>94.721500000000006</v>
      </c>
      <c r="G120" s="1028">
        <v>121.93300000000001</v>
      </c>
      <c r="H120" s="1029">
        <v>135.5</v>
      </c>
      <c r="I120" s="1028">
        <v>135.178</v>
      </c>
      <c r="J120" s="1028">
        <v>157.876</v>
      </c>
      <c r="K120" s="1028">
        <v>180.86</v>
      </c>
      <c r="L120" s="1028">
        <v>182.03700000000001</v>
      </c>
      <c r="M120" s="1028">
        <v>191.303</v>
      </c>
      <c r="N120" s="1028">
        <v>201.703</v>
      </c>
      <c r="O120" s="1028">
        <v>213.172</v>
      </c>
      <c r="P120" s="1028">
        <v>225.53100000000001</v>
      </c>
      <c r="Q120" s="1028">
        <v>237.22499999999999</v>
      </c>
      <c r="R120" s="1028">
        <v>247.28399999999999</v>
      </c>
      <c r="S120" s="1028" t="s">
        <v>1627</v>
      </c>
      <c r="T120" s="1028" t="s">
        <v>1618</v>
      </c>
      <c r="U120" s="819" t="s">
        <v>1465</v>
      </c>
      <c r="V120" s="819"/>
    </row>
    <row r="121" spans="2:22" x14ac:dyDescent="0.3">
      <c r="B121" s="819" t="s">
        <v>1628</v>
      </c>
      <c r="C121" s="197" t="s">
        <v>1629</v>
      </c>
      <c r="D121" s="197" t="s">
        <v>1259</v>
      </c>
      <c r="E121" s="197" t="s">
        <v>1259</v>
      </c>
      <c r="F121" s="1028">
        <v>0.318</v>
      </c>
      <c r="G121" s="1028">
        <v>3.7250000000000001</v>
      </c>
      <c r="H121" s="1029">
        <v>2.6360000000000001</v>
      </c>
      <c r="I121" s="1028">
        <v>1.5509999999999999</v>
      </c>
      <c r="J121" s="1028">
        <v>4.157</v>
      </c>
      <c r="K121" s="1028">
        <v>6.2149999999999999</v>
      </c>
      <c r="L121" s="1028">
        <v>6.3259999999999996</v>
      </c>
      <c r="M121" s="1028">
        <v>6.5</v>
      </c>
      <c r="N121" s="1028">
        <v>5.5</v>
      </c>
      <c r="O121" s="1028">
        <v>5.3</v>
      </c>
      <c r="P121" s="1028">
        <v>4.5</v>
      </c>
      <c r="Q121" s="1028">
        <v>4.3</v>
      </c>
      <c r="R121" s="1028">
        <v>4.4000000000000004</v>
      </c>
      <c r="S121" s="1028" t="s">
        <v>1630</v>
      </c>
      <c r="T121" s="1028" t="s">
        <v>1259</v>
      </c>
      <c r="U121" s="819" t="s">
        <v>1631</v>
      </c>
      <c r="V121" s="819"/>
    </row>
    <row r="122" spans="2:22" x14ac:dyDescent="0.3">
      <c r="B122" s="819" t="s">
        <v>1632</v>
      </c>
      <c r="C122" s="197" t="s">
        <v>1633</v>
      </c>
      <c r="D122" s="197" t="s">
        <v>1259</v>
      </c>
      <c r="E122" s="197" t="s">
        <v>1259</v>
      </c>
      <c r="F122" s="1028">
        <v>1.1160000000000001</v>
      </c>
      <c r="G122" s="1028">
        <v>1</v>
      </c>
      <c r="H122" s="1029">
        <v>0.86799999999999999</v>
      </c>
      <c r="I122" s="1028">
        <v>0.81299999999999994</v>
      </c>
      <c r="J122" s="1028">
        <v>0.77700000000000002</v>
      </c>
      <c r="K122" s="1028">
        <v>0.97799999999999998</v>
      </c>
      <c r="L122" s="1028">
        <v>0.70199999999999996</v>
      </c>
      <c r="M122" s="1028">
        <v>0.7</v>
      </c>
      <c r="N122" s="1028">
        <v>0.8</v>
      </c>
      <c r="O122" s="1028">
        <v>0.8</v>
      </c>
      <c r="P122" s="1028">
        <v>0.9</v>
      </c>
      <c r="Q122" s="1028">
        <v>0.8</v>
      </c>
      <c r="R122" s="1028">
        <v>0.7</v>
      </c>
      <c r="S122" s="1028" t="s">
        <v>1634</v>
      </c>
      <c r="T122" s="1028" t="s">
        <v>1259</v>
      </c>
      <c r="U122" s="819" t="s">
        <v>1631</v>
      </c>
      <c r="V122" s="819"/>
    </row>
    <row r="123" spans="2:22" x14ac:dyDescent="0.3">
      <c r="B123" s="819" t="s">
        <v>1635</v>
      </c>
      <c r="C123" s="197" t="s">
        <v>1636</v>
      </c>
      <c r="D123" s="197" t="s">
        <v>1259</v>
      </c>
      <c r="E123" s="197" t="s">
        <v>1259</v>
      </c>
      <c r="F123" s="1028">
        <v>3.5569999999999999</v>
      </c>
      <c r="G123" s="1028">
        <v>3.194</v>
      </c>
      <c r="H123" s="1029">
        <v>2.8450000000000002</v>
      </c>
      <c r="I123" s="1028">
        <v>2.6869999999999998</v>
      </c>
      <c r="J123" s="1028">
        <v>2.6259999999999999</v>
      </c>
      <c r="K123" s="1028">
        <v>3.3420000000000001</v>
      </c>
      <c r="L123" s="1028">
        <v>2.411</v>
      </c>
      <c r="M123" s="1028">
        <v>2.2999999999999998</v>
      </c>
      <c r="N123" s="1028">
        <v>2.6</v>
      </c>
      <c r="O123" s="1028">
        <v>2.7</v>
      </c>
      <c r="P123" s="1028">
        <v>2.8</v>
      </c>
      <c r="Q123" s="1028">
        <v>2.5</v>
      </c>
      <c r="R123" s="1028">
        <v>2.1</v>
      </c>
      <c r="S123" s="1028" t="s">
        <v>1637</v>
      </c>
      <c r="T123" s="1028" t="s">
        <v>1259</v>
      </c>
      <c r="U123" s="819" t="s">
        <v>1631</v>
      </c>
      <c r="V123" s="819"/>
    </row>
    <row r="124" spans="2:22" x14ac:dyDescent="0.3">
      <c r="B124" s="819" t="s">
        <v>1638</v>
      </c>
      <c r="C124" s="197" t="s">
        <v>1639</v>
      </c>
      <c r="D124" s="197" t="s">
        <v>1346</v>
      </c>
      <c r="E124" s="197" t="s">
        <v>1259</v>
      </c>
      <c r="F124" s="1028">
        <v>1952.6</v>
      </c>
      <c r="G124" s="1028">
        <v>2498.3000000000002</v>
      </c>
      <c r="H124" s="1029">
        <v>2760.2</v>
      </c>
      <c r="I124" s="1028">
        <v>2738.8</v>
      </c>
      <c r="J124" s="1028">
        <v>3182.5</v>
      </c>
      <c r="K124" s="1028">
        <v>3628.3</v>
      </c>
      <c r="L124" s="1028">
        <v>3635.4</v>
      </c>
      <c r="M124" s="1028">
        <v>3800</v>
      </c>
      <c r="N124" s="1028">
        <v>3990</v>
      </c>
      <c r="O124" s="1028">
        <v>4200</v>
      </c>
      <c r="P124" s="1028">
        <v>4430</v>
      </c>
      <c r="Q124" s="1028">
        <v>4640</v>
      </c>
      <c r="R124" s="1028">
        <v>4820</v>
      </c>
      <c r="S124" s="1028" t="s">
        <v>1640</v>
      </c>
      <c r="T124" s="1028" t="s">
        <v>1259</v>
      </c>
      <c r="U124" s="819" t="s">
        <v>1631</v>
      </c>
      <c r="V124" s="819"/>
    </row>
    <row r="125" spans="2:22" x14ac:dyDescent="0.3">
      <c r="B125" s="819" t="s">
        <v>1641</v>
      </c>
      <c r="C125" s="197" t="s">
        <v>1642</v>
      </c>
      <c r="D125" s="197" t="s">
        <v>1259</v>
      </c>
      <c r="E125" s="197" t="s">
        <v>1259</v>
      </c>
      <c r="F125" s="1028">
        <v>9.4510000000000005</v>
      </c>
      <c r="G125" s="1028">
        <v>13.519</v>
      </c>
      <c r="H125" s="1029">
        <v>12.38</v>
      </c>
      <c r="I125" s="1028">
        <v>11.242000000000001</v>
      </c>
      <c r="J125" s="1028">
        <v>12.911</v>
      </c>
      <c r="K125" s="1028">
        <v>13.853</v>
      </c>
      <c r="L125" s="1028">
        <v>12.907</v>
      </c>
      <c r="M125" s="1028">
        <v>14.2</v>
      </c>
      <c r="N125" s="1028">
        <v>15.1</v>
      </c>
      <c r="O125" s="1028">
        <v>15.5</v>
      </c>
      <c r="P125" s="1028">
        <v>15.8</v>
      </c>
      <c r="Q125" s="1028">
        <v>16</v>
      </c>
      <c r="R125" s="1028">
        <v>16.2</v>
      </c>
      <c r="S125" s="1028" t="s">
        <v>1643</v>
      </c>
      <c r="T125" s="1028" t="s">
        <v>1259</v>
      </c>
      <c r="U125" s="819" t="s">
        <v>1631</v>
      </c>
      <c r="V125" s="819"/>
    </row>
    <row r="126" spans="2:22" x14ac:dyDescent="0.3">
      <c r="B126" s="819" t="s">
        <v>1644</v>
      </c>
      <c r="C126" s="197" t="s">
        <v>1645</v>
      </c>
      <c r="D126" s="197" t="s">
        <v>1346</v>
      </c>
      <c r="E126" s="197" t="s">
        <v>1252</v>
      </c>
      <c r="F126" s="1028">
        <v>297.11329999999998</v>
      </c>
      <c r="G126" s="1028">
        <v>308.5068</v>
      </c>
      <c r="H126" s="1029">
        <v>319.29340000000002</v>
      </c>
      <c r="I126" s="1028">
        <v>340.6506</v>
      </c>
      <c r="J126" s="1028">
        <v>342.74130000000002</v>
      </c>
      <c r="K126" s="1028">
        <v>349.34609999999998</v>
      </c>
      <c r="L126" s="1028">
        <v>370.48439999999999</v>
      </c>
      <c r="M126" s="1028">
        <v>370.3877</v>
      </c>
      <c r="N126" s="1028">
        <v>395.45150000000001</v>
      </c>
      <c r="O126" s="1028">
        <v>416.67219999999998</v>
      </c>
      <c r="P126" s="1028">
        <v>442.89240000000001</v>
      </c>
      <c r="Q126" s="1028">
        <v>462.34449999999998</v>
      </c>
      <c r="R126" s="1028">
        <v>482.178</v>
      </c>
      <c r="S126" s="1028" t="s">
        <v>1646</v>
      </c>
      <c r="T126" s="1028" t="s">
        <v>1259</v>
      </c>
      <c r="U126" s="819" t="s">
        <v>1647</v>
      </c>
      <c r="V126" s="819"/>
    </row>
    <row r="127" spans="2:22" x14ac:dyDescent="0.3">
      <c r="B127" s="819" t="s">
        <v>1648</v>
      </c>
      <c r="C127" s="197" t="s">
        <v>1649</v>
      </c>
      <c r="D127" s="197" t="s">
        <v>1259</v>
      </c>
      <c r="E127" s="197" t="s">
        <v>1259</v>
      </c>
      <c r="F127" s="1028">
        <v>54.4</v>
      </c>
      <c r="G127" s="1028">
        <v>68.2</v>
      </c>
      <c r="H127" s="1029">
        <v>56</v>
      </c>
      <c r="I127" s="1028">
        <v>48.3</v>
      </c>
      <c r="J127" s="1028">
        <v>46.5</v>
      </c>
      <c r="K127" s="1028">
        <v>46.4</v>
      </c>
      <c r="L127" s="1028">
        <v>48.5</v>
      </c>
      <c r="M127" s="1028">
        <v>54.1</v>
      </c>
      <c r="N127" s="1028">
        <v>55.8</v>
      </c>
      <c r="O127" s="1028">
        <v>54.8</v>
      </c>
      <c r="P127" s="1028">
        <v>56.3</v>
      </c>
      <c r="Q127" s="1028">
        <v>56.2</v>
      </c>
      <c r="R127" s="1028">
        <v>56</v>
      </c>
      <c r="S127" s="1028" t="s">
        <v>1650</v>
      </c>
      <c r="T127" s="1028" t="s">
        <v>1259</v>
      </c>
      <c r="U127" s="819" t="s">
        <v>1651</v>
      </c>
      <c r="V127" s="819"/>
    </row>
    <row r="128" spans="2:22" x14ac:dyDescent="0.3">
      <c r="B128" s="819" t="s">
        <v>1652</v>
      </c>
      <c r="C128" s="197" t="s">
        <v>1653</v>
      </c>
      <c r="D128" s="197" t="s">
        <v>1259</v>
      </c>
      <c r="E128" s="197" t="s">
        <v>1259</v>
      </c>
      <c r="F128" s="1028">
        <v>29.6</v>
      </c>
      <c r="G128" s="1028">
        <v>34.200000000000003</v>
      </c>
      <c r="H128" s="1029">
        <v>29.2</v>
      </c>
      <c r="I128" s="1028">
        <v>28.3</v>
      </c>
      <c r="J128" s="1028">
        <v>28</v>
      </c>
      <c r="K128" s="1028">
        <v>26.8</v>
      </c>
      <c r="L128" s="1028">
        <v>26.3</v>
      </c>
      <c r="M128" s="1028">
        <v>27.5</v>
      </c>
      <c r="N128" s="1028">
        <v>29.6</v>
      </c>
      <c r="O128" s="1028">
        <v>30.4</v>
      </c>
      <c r="P128" s="1028">
        <v>31.1</v>
      </c>
      <c r="Q128" s="1028">
        <v>31.3</v>
      </c>
      <c r="R128" s="1028">
        <v>31.6</v>
      </c>
      <c r="S128" s="1028" t="s">
        <v>1654</v>
      </c>
      <c r="T128" s="1028" t="s">
        <v>1259</v>
      </c>
      <c r="U128" s="819" t="s">
        <v>1651</v>
      </c>
      <c r="V128" s="819"/>
    </row>
    <row r="129" spans="2:22" x14ac:dyDescent="0.3">
      <c r="B129" s="819" t="s">
        <v>1655</v>
      </c>
      <c r="C129" s="197" t="s">
        <v>1656</v>
      </c>
      <c r="D129" s="197" t="s">
        <v>1259</v>
      </c>
      <c r="E129" s="197" t="s">
        <v>1259</v>
      </c>
      <c r="F129" s="1028">
        <v>4.7</v>
      </c>
      <c r="G129" s="1028">
        <v>4</v>
      </c>
      <c r="H129" s="1029">
        <v>2.7</v>
      </c>
      <c r="I129" s="1028">
        <v>3.6</v>
      </c>
      <c r="J129" s="1028">
        <v>3.4</v>
      </c>
      <c r="K129" s="1028">
        <v>3.4</v>
      </c>
      <c r="L129" s="1028">
        <v>3.5</v>
      </c>
      <c r="M129" s="1028">
        <v>4</v>
      </c>
      <c r="N129" s="1028">
        <v>4.2</v>
      </c>
      <c r="O129" s="1028">
        <v>4.5999999999999996</v>
      </c>
      <c r="P129" s="1028">
        <v>5.2</v>
      </c>
      <c r="Q129" s="1028">
        <v>5.5</v>
      </c>
      <c r="R129" s="1028">
        <v>5.8</v>
      </c>
      <c r="S129" s="1028" t="s">
        <v>1657</v>
      </c>
      <c r="T129" s="1028" t="s">
        <v>1259</v>
      </c>
      <c r="U129" s="819" t="s">
        <v>1658</v>
      </c>
      <c r="V129" s="819"/>
    </row>
    <row r="130" spans="2:22" x14ac:dyDescent="0.3">
      <c r="B130" s="819" t="s">
        <v>1659</v>
      </c>
      <c r="C130" s="197" t="s">
        <v>1660</v>
      </c>
      <c r="D130" s="197" t="s">
        <v>1259</v>
      </c>
      <c r="E130" s="197" t="s">
        <v>1259</v>
      </c>
      <c r="F130" s="1028">
        <v>2.7349999999999999</v>
      </c>
      <c r="G130" s="1028">
        <v>-13.87</v>
      </c>
      <c r="H130" s="1029">
        <v>7.6260000000000003</v>
      </c>
      <c r="I130" s="1028">
        <v>4.5620000000000003</v>
      </c>
      <c r="J130" s="1028">
        <v>-3.9460000000000002</v>
      </c>
      <c r="K130" s="1028">
        <v>-1.5009999999999999</v>
      </c>
      <c r="L130" s="1028">
        <v>-2.222</v>
      </c>
      <c r="M130" s="1028">
        <v>-14.2</v>
      </c>
      <c r="N130" s="1028">
        <v>-0.3</v>
      </c>
      <c r="O130" s="1028">
        <v>1.2</v>
      </c>
      <c r="P130" s="1028">
        <v>2.2999999999999998</v>
      </c>
      <c r="Q130" s="1028">
        <v>0.9</v>
      </c>
      <c r="R130" s="1028">
        <v>-0.3</v>
      </c>
      <c r="S130" s="1028" t="s">
        <v>1661</v>
      </c>
      <c r="T130" s="1028" t="s">
        <v>1259</v>
      </c>
      <c r="U130" s="819" t="s">
        <v>1662</v>
      </c>
      <c r="V130" s="819"/>
    </row>
    <row r="131" spans="2:22" x14ac:dyDescent="0.3">
      <c r="B131" s="819" t="s">
        <v>1663</v>
      </c>
      <c r="C131" s="197" t="s">
        <v>1664</v>
      </c>
      <c r="D131" s="197" t="s">
        <v>1259</v>
      </c>
      <c r="E131" s="197" t="s">
        <v>1259</v>
      </c>
      <c r="F131" s="1028">
        <v>14.840999999999999</v>
      </c>
      <c r="G131" s="1028">
        <v>-17.27</v>
      </c>
      <c r="H131" s="1029">
        <v>16.318999999999999</v>
      </c>
      <c r="I131" s="1028">
        <v>16.408999999999999</v>
      </c>
      <c r="J131" s="1028">
        <v>-2.323</v>
      </c>
      <c r="K131" s="1028">
        <v>-4.6639999999999997</v>
      </c>
      <c r="L131" s="1028">
        <v>-3.8660000000000001</v>
      </c>
      <c r="M131" s="1028">
        <v>-13.5</v>
      </c>
      <c r="N131" s="1028">
        <v>2.5</v>
      </c>
      <c r="O131" s="1028">
        <v>6</v>
      </c>
      <c r="P131" s="1028">
        <v>4.5</v>
      </c>
      <c r="Q131" s="1028">
        <v>3.4</v>
      </c>
      <c r="R131" s="1028">
        <v>3</v>
      </c>
      <c r="S131" s="1028" t="s">
        <v>1665</v>
      </c>
      <c r="T131" s="1028" t="s">
        <v>1259</v>
      </c>
      <c r="U131" s="819" t="s">
        <v>1662</v>
      </c>
      <c r="V131" s="819"/>
    </row>
    <row r="132" spans="2:22" x14ac:dyDescent="0.3">
      <c r="B132" s="819" t="s">
        <v>1666</v>
      </c>
      <c r="C132" s="197" t="s">
        <v>1667</v>
      </c>
      <c r="D132" s="197" t="s">
        <v>1259</v>
      </c>
      <c r="E132" s="197" t="s">
        <v>1259</v>
      </c>
      <c r="F132" s="1028">
        <v>46.781999999999996</v>
      </c>
      <c r="G132" s="1028">
        <v>48.704999999999998</v>
      </c>
      <c r="H132" s="1029">
        <v>45.064999999999998</v>
      </c>
      <c r="I132" s="1028">
        <v>40.478999999999999</v>
      </c>
      <c r="J132" s="1028">
        <v>39.805999999999997</v>
      </c>
      <c r="K132" s="1028">
        <v>41.127000000000002</v>
      </c>
      <c r="L132" s="1028">
        <v>41.83</v>
      </c>
      <c r="M132" s="1028">
        <v>41.5</v>
      </c>
      <c r="N132" s="1028">
        <v>40.4</v>
      </c>
      <c r="O132" s="1028">
        <v>38.5</v>
      </c>
      <c r="P132" s="1028">
        <v>37.700000000000003</v>
      </c>
      <c r="Q132" s="1028">
        <v>36.799999999999997</v>
      </c>
      <c r="R132" s="1028">
        <v>35.6</v>
      </c>
      <c r="S132" s="1028" t="s">
        <v>1668</v>
      </c>
      <c r="T132" s="1028" t="s">
        <v>1259</v>
      </c>
      <c r="U132" s="819" t="s">
        <v>1662</v>
      </c>
      <c r="V132" s="819"/>
    </row>
    <row r="133" spans="2:22" x14ac:dyDescent="0.3">
      <c r="B133" s="819"/>
      <c r="F133" s="819"/>
      <c r="G133" s="819"/>
      <c r="H133" s="819"/>
      <c r="I133" s="819"/>
      <c r="J133" s="819"/>
      <c r="K133" s="819"/>
      <c r="L133" s="819"/>
      <c r="M133" s="819"/>
      <c r="N133" s="819"/>
      <c r="O133" s="819"/>
      <c r="P133" s="819"/>
      <c r="Q133" s="819"/>
      <c r="R133" s="819"/>
      <c r="S133" s="819"/>
      <c r="T133" s="819"/>
      <c r="U133" s="819"/>
      <c r="V133" s="819"/>
    </row>
    <row r="134" spans="2:22" x14ac:dyDescent="0.3">
      <c r="B134" s="819" t="s">
        <v>1669</v>
      </c>
      <c r="F134" s="819"/>
      <c r="G134" s="819"/>
      <c r="H134" s="819"/>
      <c r="I134" s="819"/>
      <c r="J134" s="819"/>
      <c r="K134" s="819"/>
      <c r="L134" s="819"/>
      <c r="M134" s="819"/>
      <c r="N134" s="819"/>
      <c r="O134" s="819"/>
      <c r="P134" s="819"/>
      <c r="Q134" s="819"/>
      <c r="R134" s="819"/>
      <c r="S134" s="819"/>
      <c r="T134" s="819"/>
      <c r="U134" s="819"/>
      <c r="V134" s="819"/>
    </row>
  </sheetData>
  <phoneticPr fontId="1" type="noConversion"/>
  <pageMargins left="0.59055118110236227" right="0.59055118110236227" top="0.59055118110236227" bottom="0.59055118110236227" header="0.31496062992125984" footer="0.31496062992125984"/>
  <pageSetup paperSize="9" orientation="landscape" r:id="rId1"/>
  <ignoredErrors>
    <ignoredError sqref="F6:R6" numberStoredAsText="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2">
    <tabColor theme="0" tint="-0.499984740745262"/>
  </sheetPr>
  <dimension ref="B2:L291"/>
  <sheetViews>
    <sheetView showGridLines="0" workbookViewId="0">
      <selection activeCell="B12" sqref="B12:K12"/>
    </sheetView>
  </sheetViews>
  <sheetFormatPr defaultRowHeight="16.5" x14ac:dyDescent="0.3"/>
  <cols>
    <col min="1" max="16384" width="9" style="142"/>
  </cols>
  <sheetData>
    <row r="2" spans="2:12" x14ac:dyDescent="0.3">
      <c r="B2" s="386" t="s">
        <v>716</v>
      </c>
      <c r="C2" s="386">
        <v>2006</v>
      </c>
      <c r="D2" s="386">
        <v>2007</v>
      </c>
      <c r="E2" s="386">
        <v>2008</v>
      </c>
      <c r="F2" s="386">
        <v>2009</v>
      </c>
      <c r="G2" s="386">
        <v>2010</v>
      </c>
      <c r="H2" s="386">
        <v>2011</v>
      </c>
      <c r="I2" s="386">
        <v>2012</v>
      </c>
      <c r="J2" s="386">
        <v>2013</v>
      </c>
      <c r="K2" s="386">
        <v>2014</v>
      </c>
      <c r="L2" s="386" t="s">
        <v>717</v>
      </c>
    </row>
    <row r="3" spans="2:12" x14ac:dyDescent="0.3">
      <c r="B3" s="387" t="s">
        <v>718</v>
      </c>
      <c r="C3" s="387">
        <v>0</v>
      </c>
      <c r="D3" s="387">
        <v>20</v>
      </c>
      <c r="E3" s="387">
        <v>20</v>
      </c>
      <c r="F3" s="387">
        <v>20</v>
      </c>
      <c r="G3" s="387">
        <v>20</v>
      </c>
      <c r="H3" s="387">
        <v>20</v>
      </c>
      <c r="I3" s="387">
        <v>20</v>
      </c>
      <c r="J3" s="387">
        <v>20</v>
      </c>
      <c r="K3" s="387">
        <v>20</v>
      </c>
      <c r="L3" s="388" t="s">
        <v>719</v>
      </c>
    </row>
    <row r="4" spans="2:12" ht="94.5" customHeight="1" x14ac:dyDescent="0.3">
      <c r="B4" s="2218" t="s">
        <v>720</v>
      </c>
      <c r="C4" s="2218"/>
      <c r="D4" s="2218"/>
      <c r="E4" s="2218"/>
      <c r="F4" s="2218"/>
      <c r="G4" s="2218"/>
      <c r="H4" s="2218"/>
      <c r="I4" s="2218"/>
      <c r="J4" s="2218"/>
      <c r="K4" s="2218"/>
    </row>
    <row r="5" spans="2:12" x14ac:dyDescent="0.3">
      <c r="B5" s="387" t="s">
        <v>721</v>
      </c>
      <c r="C5" s="387">
        <v>20</v>
      </c>
      <c r="D5" s="387">
        <v>20</v>
      </c>
      <c r="E5" s="387">
        <v>10</v>
      </c>
      <c r="F5" s="387">
        <v>10</v>
      </c>
      <c r="G5" s="387">
        <v>10</v>
      </c>
      <c r="H5" s="387">
        <v>10</v>
      </c>
      <c r="I5" s="387">
        <v>10</v>
      </c>
      <c r="J5" s="387">
        <v>10</v>
      </c>
      <c r="K5" s="387">
        <v>15</v>
      </c>
      <c r="L5" s="388" t="s">
        <v>719</v>
      </c>
    </row>
    <row r="6" spans="2:12" ht="73.5" customHeight="1" x14ac:dyDescent="0.3">
      <c r="B6" s="2218" t="s">
        <v>722</v>
      </c>
      <c r="C6" s="2218"/>
      <c r="D6" s="2218"/>
      <c r="E6" s="2218"/>
      <c r="F6" s="2218"/>
      <c r="G6" s="2218"/>
      <c r="H6" s="2218"/>
      <c r="I6" s="2218"/>
      <c r="J6" s="2218"/>
      <c r="K6" s="2218"/>
    </row>
    <row r="7" spans="2:12" x14ac:dyDescent="0.3">
      <c r="B7" s="387" t="s">
        <v>723</v>
      </c>
      <c r="C7" s="387"/>
      <c r="D7" s="387"/>
      <c r="E7" s="387"/>
      <c r="F7" s="387"/>
      <c r="G7" s="387"/>
      <c r="H7" s="387"/>
      <c r="I7" s="387"/>
      <c r="J7" s="387">
        <v>25</v>
      </c>
      <c r="K7" s="387">
        <v>19</v>
      </c>
      <c r="L7" s="388" t="s">
        <v>719</v>
      </c>
    </row>
    <row r="8" spans="2:12" x14ac:dyDescent="0.3">
      <c r="B8" s="2218" t="s">
        <v>724</v>
      </c>
      <c r="C8" s="2218"/>
      <c r="D8" s="2218"/>
      <c r="E8" s="2218"/>
      <c r="F8" s="2218"/>
      <c r="G8" s="2218"/>
      <c r="H8" s="2218"/>
      <c r="I8" s="2218"/>
      <c r="J8" s="2218"/>
      <c r="K8" s="2218"/>
    </row>
    <row r="9" spans="2:12" x14ac:dyDescent="0.3">
      <c r="B9" s="387" t="s">
        <v>725</v>
      </c>
      <c r="C9" s="387">
        <v>35</v>
      </c>
      <c r="D9" s="387">
        <v>35</v>
      </c>
      <c r="E9" s="387">
        <v>35</v>
      </c>
      <c r="F9" s="387">
        <v>35</v>
      </c>
      <c r="G9" s="387">
        <v>35</v>
      </c>
      <c r="H9" s="387">
        <v>35</v>
      </c>
      <c r="I9" s="387">
        <v>35</v>
      </c>
      <c r="J9" s="387">
        <v>35</v>
      </c>
      <c r="K9" s="387">
        <v>35</v>
      </c>
      <c r="L9" s="388" t="s">
        <v>719</v>
      </c>
    </row>
    <row r="10" spans="2:12" ht="21" customHeight="1" x14ac:dyDescent="0.3">
      <c r="B10" s="2218" t="s">
        <v>726</v>
      </c>
      <c r="C10" s="2218"/>
      <c r="D10" s="2218"/>
      <c r="E10" s="2218"/>
      <c r="F10" s="2218"/>
      <c r="G10" s="2218"/>
      <c r="H10" s="2218"/>
      <c r="I10" s="2218"/>
      <c r="J10" s="2218"/>
      <c r="K10" s="2218"/>
    </row>
    <row r="11" spans="2:12" x14ac:dyDescent="0.3">
      <c r="B11" s="387" t="s">
        <v>727</v>
      </c>
      <c r="C11" s="387">
        <v>35</v>
      </c>
      <c r="D11" s="387">
        <v>35</v>
      </c>
      <c r="E11" s="387">
        <v>35</v>
      </c>
      <c r="F11" s="387">
        <v>35</v>
      </c>
      <c r="G11" s="387">
        <v>35</v>
      </c>
      <c r="H11" s="387">
        <v>35</v>
      </c>
      <c r="I11" s="387">
        <v>35</v>
      </c>
      <c r="J11" s="387">
        <v>35</v>
      </c>
      <c r="K11" s="387">
        <v>35</v>
      </c>
      <c r="L11" s="388" t="s">
        <v>719</v>
      </c>
    </row>
    <row r="12" spans="2:12" ht="73.5" customHeight="1" x14ac:dyDescent="0.3">
      <c r="B12" s="2218" t="s">
        <v>728</v>
      </c>
      <c r="C12" s="2218"/>
      <c r="D12" s="2218"/>
      <c r="E12" s="2218"/>
      <c r="F12" s="2218"/>
      <c r="G12" s="2218"/>
      <c r="H12" s="2218"/>
      <c r="I12" s="2218"/>
      <c r="J12" s="2218"/>
      <c r="K12" s="2218"/>
    </row>
    <row r="13" spans="2:12" x14ac:dyDescent="0.3">
      <c r="B13" s="387" t="s">
        <v>729</v>
      </c>
      <c r="C13" s="387">
        <v>20</v>
      </c>
      <c r="D13" s="387">
        <v>20</v>
      </c>
      <c r="E13" s="387">
        <v>20</v>
      </c>
      <c r="F13" s="387">
        <v>20</v>
      </c>
      <c r="G13" s="387">
        <v>20</v>
      </c>
      <c r="H13" s="387">
        <v>20</v>
      </c>
      <c r="I13" s="387">
        <v>20</v>
      </c>
      <c r="J13" s="387">
        <v>20</v>
      </c>
      <c r="K13" s="387">
        <v>20</v>
      </c>
      <c r="L13" s="388" t="s">
        <v>719</v>
      </c>
    </row>
    <row r="14" spans="2:12" x14ac:dyDescent="0.3">
      <c r="B14" s="2218" t="s">
        <v>730</v>
      </c>
      <c r="C14" s="2218"/>
      <c r="D14" s="2218"/>
      <c r="E14" s="2218"/>
      <c r="F14" s="2218"/>
      <c r="G14" s="2218"/>
      <c r="H14" s="2218"/>
      <c r="I14" s="2218"/>
      <c r="J14" s="2218"/>
      <c r="K14" s="2218"/>
    </row>
    <row r="15" spans="2:12" x14ac:dyDescent="0.3">
      <c r="B15" s="387" t="s">
        <v>731</v>
      </c>
      <c r="C15" s="387">
        <v>35</v>
      </c>
      <c r="D15" s="387">
        <v>28</v>
      </c>
      <c r="E15" s="387">
        <v>28</v>
      </c>
      <c r="F15" s="387">
        <v>28</v>
      </c>
      <c r="G15" s="387">
        <v>28</v>
      </c>
      <c r="H15" s="387">
        <v>28</v>
      </c>
      <c r="I15" s="387">
        <v>28</v>
      </c>
      <c r="J15" s="387">
        <v>28</v>
      </c>
      <c r="K15" s="387">
        <v>28</v>
      </c>
      <c r="L15" s="388" t="s">
        <v>719</v>
      </c>
    </row>
    <row r="16" spans="2:12" x14ac:dyDescent="0.3">
      <c r="B16" s="2218" t="s">
        <v>732</v>
      </c>
      <c r="C16" s="2218"/>
      <c r="D16" s="2218"/>
      <c r="E16" s="2218"/>
      <c r="F16" s="2218"/>
      <c r="G16" s="2218"/>
      <c r="H16" s="2218"/>
      <c r="I16" s="2218"/>
      <c r="J16" s="2218"/>
      <c r="K16" s="2218"/>
    </row>
    <row r="17" spans="2:12" x14ac:dyDescent="0.3">
      <c r="B17" s="387" t="s">
        <v>733</v>
      </c>
      <c r="C17" s="387">
        <v>30</v>
      </c>
      <c r="D17" s="387">
        <v>30</v>
      </c>
      <c r="E17" s="387">
        <v>30</v>
      </c>
      <c r="F17" s="387">
        <v>30</v>
      </c>
      <c r="G17" s="387">
        <v>30</v>
      </c>
      <c r="H17" s="387">
        <v>30</v>
      </c>
      <c r="I17" s="387">
        <v>30</v>
      </c>
      <c r="J17" s="387">
        <v>30</v>
      </c>
      <c r="K17" s="389">
        <v>30</v>
      </c>
      <c r="L17" s="388" t="s">
        <v>719</v>
      </c>
    </row>
    <row r="18" spans="2:12" ht="94.5" customHeight="1" x14ac:dyDescent="0.3">
      <c r="B18" s="2218" t="s">
        <v>734</v>
      </c>
      <c r="C18" s="2218"/>
      <c r="D18" s="2218"/>
      <c r="E18" s="2218"/>
      <c r="F18" s="2218"/>
      <c r="G18" s="2218"/>
      <c r="H18" s="2218"/>
      <c r="I18" s="2218"/>
      <c r="J18" s="2218"/>
      <c r="K18" s="2218"/>
    </row>
    <row r="19" spans="2:12" x14ac:dyDescent="0.3">
      <c r="B19" s="387" t="s">
        <v>735</v>
      </c>
      <c r="C19" s="387">
        <v>25</v>
      </c>
      <c r="D19" s="387">
        <v>25</v>
      </c>
      <c r="E19" s="387">
        <v>25</v>
      </c>
      <c r="F19" s="387">
        <v>25</v>
      </c>
      <c r="G19" s="387">
        <v>25</v>
      </c>
      <c r="H19" s="387">
        <v>25</v>
      </c>
      <c r="I19" s="387">
        <v>25</v>
      </c>
      <c r="J19" s="387">
        <v>25</v>
      </c>
      <c r="K19" s="387">
        <v>25</v>
      </c>
      <c r="L19" s="388" t="s">
        <v>719</v>
      </c>
    </row>
    <row r="20" spans="2:12" ht="31.5" customHeight="1" x14ac:dyDescent="0.3">
      <c r="B20" s="2218" t="s">
        <v>736</v>
      </c>
      <c r="C20" s="2218"/>
      <c r="D20" s="2218"/>
      <c r="E20" s="2218"/>
      <c r="F20" s="2218"/>
      <c r="G20" s="2218"/>
      <c r="H20" s="2218"/>
      <c r="I20" s="2218"/>
      <c r="J20" s="2218"/>
      <c r="K20" s="2218"/>
    </row>
    <row r="21" spans="2:12" x14ac:dyDescent="0.3">
      <c r="B21" s="387" t="s">
        <v>737</v>
      </c>
      <c r="C21" s="387">
        <v>0</v>
      </c>
      <c r="D21" s="387">
        <v>0</v>
      </c>
      <c r="E21" s="387">
        <v>0</v>
      </c>
      <c r="F21" s="387">
        <v>0</v>
      </c>
      <c r="G21" s="387">
        <v>0</v>
      </c>
      <c r="H21" s="387">
        <v>0</v>
      </c>
      <c r="I21" s="387">
        <v>0</v>
      </c>
      <c r="J21" s="387">
        <v>0</v>
      </c>
      <c r="K21" s="387">
        <v>0</v>
      </c>
      <c r="L21" s="388" t="s">
        <v>719</v>
      </c>
    </row>
    <row r="22" spans="2:12" ht="31.5" customHeight="1" x14ac:dyDescent="0.3">
      <c r="B22" s="2218" t="s">
        <v>738</v>
      </c>
      <c r="C22" s="2218"/>
      <c r="D22" s="2218"/>
      <c r="E22" s="2218"/>
      <c r="F22" s="2218"/>
      <c r="G22" s="2218"/>
      <c r="H22" s="2218"/>
      <c r="I22" s="2218"/>
      <c r="J22" s="2218"/>
      <c r="K22" s="2218"/>
    </row>
    <row r="23" spans="2:12" x14ac:dyDescent="0.3">
      <c r="B23" s="387" t="s">
        <v>739</v>
      </c>
      <c r="C23" s="387">
        <v>0</v>
      </c>
      <c r="D23" s="387">
        <v>0</v>
      </c>
      <c r="E23" s="387">
        <v>0</v>
      </c>
      <c r="F23" s="387">
        <v>0</v>
      </c>
      <c r="G23" s="387">
        <v>0</v>
      </c>
      <c r="H23" s="387">
        <v>0</v>
      </c>
      <c r="I23" s="387">
        <v>0</v>
      </c>
      <c r="J23" s="387">
        <v>0</v>
      </c>
      <c r="K23" s="387">
        <v>0</v>
      </c>
      <c r="L23" s="388" t="s">
        <v>719</v>
      </c>
    </row>
    <row r="24" spans="2:12" ht="42" customHeight="1" x14ac:dyDescent="0.3">
      <c r="B24" s="2218" t="s">
        <v>740</v>
      </c>
      <c r="C24" s="2218"/>
      <c r="D24" s="2218"/>
      <c r="E24" s="2218"/>
      <c r="F24" s="2218"/>
      <c r="G24" s="2218"/>
      <c r="H24" s="2218"/>
      <c r="I24" s="2218"/>
      <c r="J24" s="2218"/>
      <c r="K24" s="2218"/>
    </row>
    <row r="25" spans="2:12" x14ac:dyDescent="0.3">
      <c r="B25" s="387" t="s">
        <v>741</v>
      </c>
      <c r="C25" s="387">
        <v>30</v>
      </c>
      <c r="D25" s="387">
        <v>30</v>
      </c>
      <c r="E25" s="387">
        <v>30</v>
      </c>
      <c r="F25" s="387">
        <v>27.5</v>
      </c>
      <c r="G25" s="387">
        <v>27.5</v>
      </c>
      <c r="H25" s="387">
        <v>27.5</v>
      </c>
      <c r="I25" s="387">
        <v>27.5</v>
      </c>
      <c r="J25" s="387">
        <v>27.5</v>
      </c>
      <c r="K25" s="387">
        <v>27.5</v>
      </c>
      <c r="L25" s="388" t="s">
        <v>719</v>
      </c>
    </row>
    <row r="26" spans="2:12" ht="157.5" customHeight="1" x14ac:dyDescent="0.3">
      <c r="B26" s="2218" t="s">
        <v>742</v>
      </c>
      <c r="C26" s="2218"/>
      <c r="D26" s="2218"/>
      <c r="E26" s="2218"/>
      <c r="F26" s="2218"/>
      <c r="G26" s="2218"/>
      <c r="H26" s="2218"/>
      <c r="I26" s="2218"/>
      <c r="J26" s="2218"/>
      <c r="K26" s="2218"/>
    </row>
    <row r="27" spans="2:12" x14ac:dyDescent="0.3">
      <c r="B27" s="387" t="s">
        <v>743</v>
      </c>
      <c r="C27" s="387">
        <v>25</v>
      </c>
      <c r="D27" s="387">
        <v>25</v>
      </c>
      <c r="E27" s="387">
        <v>25</v>
      </c>
      <c r="F27" s="387">
        <v>25</v>
      </c>
      <c r="G27" s="387">
        <v>25</v>
      </c>
      <c r="H27" s="387">
        <v>25</v>
      </c>
      <c r="I27" s="387">
        <v>25</v>
      </c>
      <c r="J27" s="387">
        <v>25</v>
      </c>
      <c r="K27" s="387">
        <v>25</v>
      </c>
      <c r="L27" s="388" t="s">
        <v>719</v>
      </c>
    </row>
    <row r="28" spans="2:12" ht="52.5" customHeight="1" x14ac:dyDescent="0.3">
      <c r="B28" s="2218" t="s">
        <v>744</v>
      </c>
      <c r="C28" s="2218"/>
      <c r="D28" s="2218"/>
      <c r="E28" s="2218"/>
      <c r="F28" s="2218"/>
      <c r="G28" s="2218"/>
      <c r="H28" s="2218"/>
      <c r="I28" s="2218"/>
      <c r="J28" s="2218"/>
      <c r="K28" s="2218"/>
    </row>
    <row r="29" spans="2:12" x14ac:dyDescent="0.3">
      <c r="B29" s="387" t="s">
        <v>745</v>
      </c>
      <c r="C29" s="387">
        <v>24</v>
      </c>
      <c r="D29" s="387">
        <v>24</v>
      </c>
      <c r="E29" s="387">
        <v>24</v>
      </c>
      <c r="F29" s="387">
        <v>24</v>
      </c>
      <c r="G29" s="387">
        <v>24</v>
      </c>
      <c r="H29" s="387">
        <v>24</v>
      </c>
      <c r="I29" s="387">
        <v>18</v>
      </c>
      <c r="J29" s="387">
        <v>18</v>
      </c>
      <c r="K29" s="387">
        <v>18</v>
      </c>
      <c r="L29" s="388" t="s">
        <v>719</v>
      </c>
    </row>
    <row r="30" spans="2:12" ht="52.5" customHeight="1" x14ac:dyDescent="0.3">
      <c r="B30" s="2218" t="s">
        <v>746</v>
      </c>
      <c r="C30" s="2218"/>
      <c r="D30" s="2218"/>
      <c r="E30" s="2218"/>
      <c r="F30" s="2218"/>
      <c r="G30" s="2218"/>
      <c r="H30" s="2218"/>
      <c r="I30" s="2218"/>
      <c r="J30" s="2218"/>
      <c r="K30" s="2218"/>
    </row>
    <row r="31" spans="2:12" x14ac:dyDescent="0.3">
      <c r="B31" s="387" t="s">
        <v>747</v>
      </c>
      <c r="C31" s="387">
        <v>33.99</v>
      </c>
      <c r="D31" s="387">
        <v>33.99</v>
      </c>
      <c r="E31" s="387">
        <v>33.99</v>
      </c>
      <c r="F31" s="387">
        <v>33.99</v>
      </c>
      <c r="G31" s="387">
        <v>33.99</v>
      </c>
      <c r="H31" s="387">
        <v>33.99</v>
      </c>
      <c r="I31" s="387">
        <v>33.99</v>
      </c>
      <c r="J31" s="387">
        <v>33.99</v>
      </c>
      <c r="K31" s="387">
        <v>33.99</v>
      </c>
      <c r="L31" s="388" t="s">
        <v>719</v>
      </c>
    </row>
    <row r="32" spans="2:12" ht="63" customHeight="1" x14ac:dyDescent="0.3">
      <c r="B32" s="2218" t="s">
        <v>748</v>
      </c>
      <c r="C32" s="2218"/>
      <c r="D32" s="2218"/>
      <c r="E32" s="2218"/>
      <c r="F32" s="2218"/>
      <c r="G32" s="2218"/>
      <c r="H32" s="2218"/>
      <c r="I32" s="2218"/>
      <c r="J32" s="2218"/>
      <c r="K32" s="2218"/>
    </row>
    <row r="33" spans="2:12" x14ac:dyDescent="0.3">
      <c r="B33" s="387" t="s">
        <v>749</v>
      </c>
      <c r="C33" s="387">
        <v>0</v>
      </c>
      <c r="D33" s="387">
        <v>0</v>
      </c>
      <c r="E33" s="387">
        <v>0</v>
      </c>
      <c r="F33" s="387">
        <v>0</v>
      </c>
      <c r="G33" s="387">
        <v>0</v>
      </c>
      <c r="H33" s="387">
        <v>0</v>
      </c>
      <c r="I33" s="387">
        <v>0</v>
      </c>
      <c r="J33" s="387">
        <v>0</v>
      </c>
      <c r="K33" s="387">
        <v>0</v>
      </c>
      <c r="L33" s="388" t="s">
        <v>719</v>
      </c>
    </row>
    <row r="34" spans="2:12" x14ac:dyDescent="0.3">
      <c r="B34" s="2218" t="s">
        <v>750</v>
      </c>
      <c r="C34" s="2218"/>
      <c r="D34" s="2218"/>
      <c r="E34" s="2218"/>
      <c r="F34" s="2218"/>
      <c r="G34" s="2218"/>
      <c r="H34" s="2218"/>
      <c r="I34" s="2218"/>
      <c r="J34" s="2218"/>
      <c r="K34" s="2218"/>
    </row>
    <row r="35" spans="2:12" x14ac:dyDescent="0.3">
      <c r="B35" s="387" t="s">
        <v>751</v>
      </c>
      <c r="C35" s="387"/>
      <c r="D35" s="387"/>
      <c r="E35" s="387"/>
      <c r="F35" s="387"/>
      <c r="G35" s="387">
        <v>25</v>
      </c>
      <c r="H35" s="387">
        <v>25</v>
      </c>
      <c r="I35" s="387">
        <v>25</v>
      </c>
      <c r="J35" s="387">
        <v>25</v>
      </c>
      <c r="K35" s="387">
        <v>25</v>
      </c>
      <c r="L35" s="388" t="s">
        <v>719</v>
      </c>
    </row>
    <row r="36" spans="2:12" ht="52.5" customHeight="1" x14ac:dyDescent="0.3">
      <c r="B36" s="2218" t="s">
        <v>752</v>
      </c>
      <c r="C36" s="2218"/>
      <c r="D36" s="2218"/>
      <c r="E36" s="2218"/>
      <c r="F36" s="2218"/>
      <c r="G36" s="2218"/>
      <c r="H36" s="2218"/>
      <c r="I36" s="2218"/>
      <c r="J36" s="2218"/>
      <c r="K36" s="2218"/>
    </row>
    <row r="37" spans="2:12" ht="42" x14ac:dyDescent="0.3">
      <c r="B37" s="387" t="s">
        <v>753</v>
      </c>
      <c r="C37" s="387"/>
      <c r="D37" s="387"/>
      <c r="E37" s="387"/>
      <c r="F37" s="387"/>
      <c r="G37" s="387"/>
      <c r="H37" s="387"/>
      <c r="I37" s="387">
        <v>0</v>
      </c>
      <c r="J37" s="387">
        <v>0</v>
      </c>
      <c r="K37" s="387">
        <v>0</v>
      </c>
      <c r="L37" s="388" t="s">
        <v>719</v>
      </c>
    </row>
    <row r="38" spans="2:12" ht="94.5" customHeight="1" x14ac:dyDescent="0.3">
      <c r="B38" s="2218" t="s">
        <v>754</v>
      </c>
      <c r="C38" s="2218"/>
      <c r="D38" s="2218"/>
      <c r="E38" s="2218"/>
      <c r="F38" s="2218"/>
      <c r="G38" s="2218"/>
      <c r="H38" s="2218"/>
      <c r="I38" s="2218"/>
      <c r="J38" s="2218"/>
      <c r="K38" s="2218"/>
    </row>
    <row r="39" spans="2:12" ht="31.5" x14ac:dyDescent="0.3">
      <c r="B39" s="387" t="s">
        <v>755</v>
      </c>
      <c r="C39" s="387">
        <v>10</v>
      </c>
      <c r="D39" s="387">
        <v>10</v>
      </c>
      <c r="E39" s="387">
        <v>10</v>
      </c>
      <c r="F39" s="387">
        <v>10</v>
      </c>
      <c r="G39" s="387">
        <v>10</v>
      </c>
      <c r="H39" s="387">
        <v>10</v>
      </c>
      <c r="I39" s="387">
        <v>10</v>
      </c>
      <c r="J39" s="387">
        <v>10</v>
      </c>
      <c r="K39" s="387">
        <v>10</v>
      </c>
      <c r="L39" s="388" t="s">
        <v>719</v>
      </c>
    </row>
    <row r="40" spans="2:12" ht="63" customHeight="1" x14ac:dyDescent="0.3">
      <c r="B40" s="2218" t="s">
        <v>756</v>
      </c>
      <c r="C40" s="2218"/>
      <c r="D40" s="2218"/>
      <c r="E40" s="2218"/>
      <c r="F40" s="2218"/>
      <c r="G40" s="2218"/>
      <c r="H40" s="2218"/>
      <c r="I40" s="2218"/>
      <c r="J40" s="2218"/>
      <c r="K40" s="2218"/>
    </row>
    <row r="41" spans="2:12" x14ac:dyDescent="0.3">
      <c r="B41" s="387" t="s">
        <v>757</v>
      </c>
      <c r="C41" s="387">
        <v>25</v>
      </c>
      <c r="D41" s="387">
        <v>25</v>
      </c>
      <c r="E41" s="387">
        <v>25</v>
      </c>
      <c r="F41" s="387">
        <v>25</v>
      </c>
      <c r="G41" s="387">
        <v>25</v>
      </c>
      <c r="H41" s="387">
        <v>22</v>
      </c>
      <c r="I41" s="387">
        <v>22</v>
      </c>
      <c r="J41" s="387">
        <v>22</v>
      </c>
      <c r="K41" s="387">
        <v>22</v>
      </c>
      <c r="L41" s="388" t="s">
        <v>719</v>
      </c>
    </row>
    <row r="42" spans="2:12" ht="21" customHeight="1" x14ac:dyDescent="0.3">
      <c r="B42" s="2218" t="s">
        <v>758</v>
      </c>
      <c r="C42" s="2218"/>
      <c r="D42" s="2218"/>
      <c r="E42" s="2218"/>
      <c r="F42" s="2218"/>
      <c r="G42" s="2218"/>
      <c r="H42" s="2218"/>
      <c r="I42" s="2218"/>
      <c r="J42" s="2218"/>
      <c r="K42" s="2218"/>
    </row>
    <row r="43" spans="2:12" x14ac:dyDescent="0.3">
      <c r="B43" s="387" t="s">
        <v>759</v>
      </c>
      <c r="C43" s="387">
        <v>34</v>
      </c>
      <c r="D43" s="387">
        <v>34</v>
      </c>
      <c r="E43" s="387">
        <v>34</v>
      </c>
      <c r="F43" s="387">
        <v>34</v>
      </c>
      <c r="G43" s="387">
        <v>34</v>
      </c>
      <c r="H43" s="387">
        <v>34</v>
      </c>
      <c r="I43" s="387">
        <v>34</v>
      </c>
      <c r="J43" s="387">
        <v>34</v>
      </c>
      <c r="K43" s="387">
        <v>25</v>
      </c>
      <c r="L43" s="388" t="s">
        <v>719</v>
      </c>
    </row>
    <row r="44" spans="2:12" ht="157.5" customHeight="1" x14ac:dyDescent="0.3">
      <c r="B44" s="2218" t="s">
        <v>760</v>
      </c>
      <c r="C44" s="2218"/>
      <c r="D44" s="2218"/>
      <c r="E44" s="2218"/>
      <c r="F44" s="2218"/>
      <c r="G44" s="2218"/>
      <c r="H44" s="2218"/>
      <c r="I44" s="2218"/>
      <c r="J44" s="2218"/>
      <c r="K44" s="2218"/>
    </row>
    <row r="45" spans="2:12" x14ac:dyDescent="0.3">
      <c r="B45" s="387" t="s">
        <v>761</v>
      </c>
      <c r="C45" s="387">
        <v>15</v>
      </c>
      <c r="D45" s="387">
        <v>10</v>
      </c>
      <c r="E45" s="387">
        <v>10</v>
      </c>
      <c r="F45" s="387">
        <v>10</v>
      </c>
      <c r="G45" s="387">
        <v>10</v>
      </c>
      <c r="H45" s="387">
        <v>10</v>
      </c>
      <c r="I45" s="387">
        <v>10</v>
      </c>
      <c r="J45" s="387">
        <v>10</v>
      </c>
      <c r="K45" s="387">
        <v>10</v>
      </c>
      <c r="L45" s="388" t="s">
        <v>719</v>
      </c>
    </row>
    <row r="46" spans="2:12" x14ac:dyDescent="0.3">
      <c r="B46" s="2218" t="s">
        <v>762</v>
      </c>
      <c r="C46" s="2218"/>
      <c r="D46" s="2218"/>
      <c r="E46" s="2218"/>
      <c r="F46" s="2218"/>
      <c r="G46" s="2218"/>
      <c r="H46" s="2218"/>
      <c r="I46" s="2218"/>
      <c r="J46" s="2218"/>
      <c r="K46" s="2218"/>
    </row>
    <row r="47" spans="2:12" x14ac:dyDescent="0.3">
      <c r="B47" s="387" t="s">
        <v>763</v>
      </c>
      <c r="C47" s="387"/>
      <c r="D47" s="387"/>
      <c r="E47" s="387"/>
      <c r="F47" s="387"/>
      <c r="G47" s="387">
        <v>20</v>
      </c>
      <c r="H47" s="387">
        <v>20</v>
      </c>
      <c r="I47" s="387">
        <v>20</v>
      </c>
      <c r="J47" s="387">
        <v>20</v>
      </c>
      <c r="K47" s="387">
        <v>20</v>
      </c>
      <c r="L47" s="388" t="s">
        <v>719</v>
      </c>
    </row>
    <row r="48" spans="2:12" ht="31.5" customHeight="1" x14ac:dyDescent="0.3">
      <c r="B48" s="2218" t="s">
        <v>764</v>
      </c>
      <c r="C48" s="2218"/>
      <c r="D48" s="2218"/>
      <c r="E48" s="2218"/>
      <c r="F48" s="2218"/>
      <c r="G48" s="2218"/>
      <c r="H48" s="2218"/>
      <c r="I48" s="2218"/>
      <c r="J48" s="2218"/>
      <c r="K48" s="2218"/>
    </row>
    <row r="49" spans="2:12" x14ac:dyDescent="0.3">
      <c r="B49" s="387" t="s">
        <v>765</v>
      </c>
      <c r="C49" s="387">
        <v>36.1</v>
      </c>
      <c r="D49" s="387">
        <v>36.1</v>
      </c>
      <c r="E49" s="387">
        <v>33.5</v>
      </c>
      <c r="F49" s="387">
        <v>33</v>
      </c>
      <c r="G49" s="387">
        <v>31</v>
      </c>
      <c r="H49" s="387">
        <v>28</v>
      </c>
      <c r="I49" s="387">
        <v>26</v>
      </c>
      <c r="J49" s="387">
        <v>26</v>
      </c>
      <c r="K49" s="387">
        <v>26.5</v>
      </c>
      <c r="L49" s="388" t="s">
        <v>719</v>
      </c>
    </row>
    <row r="50" spans="2:12" ht="63" customHeight="1" x14ac:dyDescent="0.3">
      <c r="B50" s="2218" t="s">
        <v>766</v>
      </c>
      <c r="C50" s="2218"/>
      <c r="D50" s="2218"/>
      <c r="E50" s="2218"/>
      <c r="F50" s="2218"/>
      <c r="G50" s="2218"/>
      <c r="H50" s="2218"/>
      <c r="I50" s="2218"/>
      <c r="J50" s="2218"/>
      <c r="K50" s="2218"/>
    </row>
    <row r="51" spans="2:12" ht="21" x14ac:dyDescent="0.3">
      <c r="B51" s="387" t="s">
        <v>767</v>
      </c>
      <c r="C51" s="387">
        <v>0</v>
      </c>
      <c r="D51" s="387">
        <v>0</v>
      </c>
      <c r="E51" s="387">
        <v>0</v>
      </c>
      <c r="F51" s="387">
        <v>0</v>
      </c>
      <c r="G51" s="387">
        <v>0</v>
      </c>
      <c r="H51" s="387">
        <v>0</v>
      </c>
      <c r="I51" s="387">
        <v>0</v>
      </c>
      <c r="J51" s="387">
        <v>0</v>
      </c>
      <c r="K51" s="387">
        <v>0</v>
      </c>
      <c r="L51" s="388" t="s">
        <v>719</v>
      </c>
    </row>
    <row r="52" spans="2:12" x14ac:dyDescent="0.3">
      <c r="B52" s="2218" t="s">
        <v>768</v>
      </c>
      <c r="C52" s="2218"/>
      <c r="D52" s="2218"/>
      <c r="E52" s="2218"/>
      <c r="F52" s="2218"/>
      <c r="G52" s="2218"/>
      <c r="H52" s="2218"/>
      <c r="I52" s="2218"/>
      <c r="J52" s="2218"/>
      <c r="K52" s="2218"/>
    </row>
    <row r="53" spans="2:12" x14ac:dyDescent="0.3">
      <c r="B53" s="387" t="s">
        <v>769</v>
      </c>
      <c r="C53" s="387">
        <v>17</v>
      </c>
      <c r="D53" s="387">
        <v>17</v>
      </c>
      <c r="E53" s="387">
        <v>17</v>
      </c>
      <c r="F53" s="387">
        <v>17</v>
      </c>
      <c r="G53" s="387">
        <v>17</v>
      </c>
      <c r="H53" s="387">
        <v>20</v>
      </c>
      <c r="I53" s="387">
        <v>18.5</v>
      </c>
      <c r="J53" s="387">
        <v>20</v>
      </c>
      <c r="K53" s="387">
        <v>20</v>
      </c>
      <c r="L53" s="388" t="s">
        <v>719</v>
      </c>
    </row>
    <row r="54" spans="2:12" ht="94.5" customHeight="1" x14ac:dyDescent="0.3">
      <c r="B54" s="2218" t="s">
        <v>770</v>
      </c>
      <c r="C54" s="2218"/>
      <c r="D54" s="2218"/>
      <c r="E54" s="2218"/>
      <c r="F54" s="2218"/>
      <c r="G54" s="2218"/>
      <c r="H54" s="2218"/>
      <c r="I54" s="2218"/>
      <c r="J54" s="2218"/>
      <c r="K54" s="2218"/>
    </row>
    <row r="55" spans="2:12" x14ac:dyDescent="0.3">
      <c r="B55" s="387" t="s">
        <v>771</v>
      </c>
      <c r="C55" s="387">
        <v>33</v>
      </c>
      <c r="D55" s="387">
        <v>33</v>
      </c>
      <c r="E55" s="387">
        <v>25</v>
      </c>
      <c r="F55" s="387">
        <v>25</v>
      </c>
      <c r="G55" s="387">
        <v>25</v>
      </c>
      <c r="H55" s="387">
        <v>25</v>
      </c>
      <c r="I55" s="387">
        <v>25</v>
      </c>
      <c r="J55" s="387">
        <v>25</v>
      </c>
      <c r="K55" s="389">
        <v>25</v>
      </c>
      <c r="L55" s="388" t="s">
        <v>719</v>
      </c>
    </row>
    <row r="56" spans="2:12" ht="21" customHeight="1" x14ac:dyDescent="0.3">
      <c r="B56" s="2218" t="s">
        <v>772</v>
      </c>
      <c r="C56" s="2218"/>
      <c r="D56" s="2218"/>
      <c r="E56" s="2218"/>
      <c r="F56" s="2218"/>
      <c r="G56" s="2218"/>
      <c r="H56" s="2218"/>
      <c r="I56" s="2218"/>
      <c r="J56" s="2218"/>
      <c r="K56" s="2218"/>
    </row>
    <row r="57" spans="2:12" x14ac:dyDescent="0.3">
      <c r="B57" s="387" t="s">
        <v>773</v>
      </c>
      <c r="C57" s="387">
        <v>35</v>
      </c>
      <c r="D57" s="387">
        <v>34</v>
      </c>
      <c r="E57" s="387">
        <v>33</v>
      </c>
      <c r="F57" s="387">
        <v>33</v>
      </c>
      <c r="G57" s="387">
        <v>33</v>
      </c>
      <c r="H57" s="387">
        <v>33</v>
      </c>
      <c r="I57" s="387">
        <v>33</v>
      </c>
      <c r="J57" s="387">
        <v>25</v>
      </c>
      <c r="K57" s="387">
        <v>25</v>
      </c>
      <c r="L57" s="388" t="s">
        <v>719</v>
      </c>
    </row>
    <row r="58" spans="2:12" ht="84" customHeight="1" x14ac:dyDescent="0.3">
      <c r="B58" s="2218" t="s">
        <v>774</v>
      </c>
      <c r="C58" s="2218"/>
      <c r="D58" s="2218"/>
      <c r="E58" s="2218"/>
      <c r="F58" s="2218"/>
      <c r="G58" s="2218"/>
      <c r="H58" s="2218"/>
      <c r="I58" s="2218"/>
      <c r="J58" s="2218"/>
      <c r="K58" s="2218"/>
    </row>
    <row r="59" spans="2:12" x14ac:dyDescent="0.3">
      <c r="B59" s="387" t="s">
        <v>775</v>
      </c>
      <c r="C59" s="387">
        <v>30</v>
      </c>
      <c r="D59" s="387">
        <v>30</v>
      </c>
      <c r="E59" s="387">
        <v>30</v>
      </c>
      <c r="F59" s="387">
        <v>30</v>
      </c>
      <c r="G59" s="387">
        <v>30</v>
      </c>
      <c r="H59" s="387">
        <v>30</v>
      </c>
      <c r="I59" s="387">
        <v>30</v>
      </c>
      <c r="J59" s="387">
        <v>30</v>
      </c>
      <c r="K59" s="387">
        <v>30</v>
      </c>
      <c r="L59" s="388" t="s">
        <v>719</v>
      </c>
    </row>
    <row r="60" spans="2:12" ht="31.5" customHeight="1" x14ac:dyDescent="0.3">
      <c r="B60" s="2218" t="s">
        <v>776</v>
      </c>
      <c r="C60" s="2218"/>
      <c r="D60" s="2218"/>
      <c r="E60" s="2218"/>
      <c r="F60" s="2218"/>
      <c r="G60" s="2218"/>
      <c r="H60" s="2218"/>
      <c r="I60" s="2218"/>
      <c r="J60" s="2218"/>
      <c r="K60" s="2218"/>
    </row>
    <row r="61" spans="2:12" x14ac:dyDescent="0.3">
      <c r="B61" s="387" t="s">
        <v>777</v>
      </c>
      <c r="C61" s="387">
        <v>20</v>
      </c>
      <c r="D61" s="387">
        <v>20</v>
      </c>
      <c r="E61" s="387">
        <v>20</v>
      </c>
      <c r="F61" s="387">
        <v>20</v>
      </c>
      <c r="G61" s="387">
        <v>20</v>
      </c>
      <c r="H61" s="387">
        <v>20</v>
      </c>
      <c r="I61" s="387">
        <v>20</v>
      </c>
      <c r="J61" s="387">
        <v>20</v>
      </c>
      <c r="K61" s="387">
        <v>20</v>
      </c>
      <c r="L61" s="388" t="s">
        <v>719</v>
      </c>
    </row>
    <row r="62" spans="2:12" ht="73.5" customHeight="1" x14ac:dyDescent="0.3">
      <c r="B62" s="2218" t="s">
        <v>778</v>
      </c>
      <c r="C62" s="2218"/>
      <c r="D62" s="2218"/>
      <c r="E62" s="2218"/>
      <c r="F62" s="2218"/>
      <c r="G62" s="2218"/>
      <c r="H62" s="2218"/>
      <c r="I62" s="2218"/>
      <c r="J62" s="2218"/>
      <c r="K62" s="2218"/>
    </row>
    <row r="63" spans="2:12" x14ac:dyDescent="0.3">
      <c r="B63" s="387" t="s">
        <v>779</v>
      </c>
      <c r="C63" s="387"/>
      <c r="D63" s="387"/>
      <c r="E63" s="387"/>
      <c r="F63" s="387"/>
      <c r="G63" s="387"/>
      <c r="H63" s="387">
        <v>34.5</v>
      </c>
      <c r="I63" s="387">
        <v>27.5</v>
      </c>
      <c r="J63" s="387">
        <v>27.5</v>
      </c>
      <c r="K63" s="387">
        <v>27.5</v>
      </c>
      <c r="L63" s="388" t="s">
        <v>719</v>
      </c>
    </row>
    <row r="64" spans="2:12" x14ac:dyDescent="0.3">
      <c r="B64" s="2218" t="s">
        <v>780</v>
      </c>
      <c r="C64" s="2218"/>
      <c r="D64" s="2218"/>
      <c r="E64" s="2218"/>
      <c r="F64" s="2218"/>
      <c r="G64" s="2218"/>
      <c r="H64" s="2218"/>
      <c r="I64" s="2218"/>
      <c r="J64" s="2218"/>
      <c r="K64" s="2218"/>
    </row>
    <row r="65" spans="2:12" x14ac:dyDescent="0.3">
      <c r="B65" s="387" t="s">
        <v>781</v>
      </c>
      <c r="C65" s="387">
        <v>10</v>
      </c>
      <c r="D65" s="387">
        <v>10</v>
      </c>
      <c r="E65" s="387">
        <v>10</v>
      </c>
      <c r="F65" s="387">
        <v>10</v>
      </c>
      <c r="G65" s="387">
        <v>10</v>
      </c>
      <c r="H65" s="387">
        <v>10</v>
      </c>
      <c r="I65" s="387">
        <v>10</v>
      </c>
      <c r="J65" s="387">
        <v>12.5</v>
      </c>
      <c r="K65" s="387">
        <v>12.5</v>
      </c>
      <c r="L65" s="388" t="s">
        <v>719</v>
      </c>
    </row>
    <row r="66" spans="2:12" ht="42" customHeight="1" x14ac:dyDescent="0.3">
      <c r="B66" s="2218" t="s">
        <v>782</v>
      </c>
      <c r="C66" s="2218"/>
      <c r="D66" s="2218"/>
      <c r="E66" s="2218"/>
      <c r="F66" s="2218"/>
      <c r="G66" s="2218"/>
      <c r="H66" s="2218"/>
      <c r="I66" s="2218"/>
      <c r="J66" s="2218"/>
      <c r="K66" s="2218"/>
    </row>
    <row r="67" spans="2:12" ht="21" x14ac:dyDescent="0.3">
      <c r="B67" s="387" t="s">
        <v>783</v>
      </c>
      <c r="C67" s="387">
        <v>24</v>
      </c>
      <c r="D67" s="387">
        <v>24</v>
      </c>
      <c r="E67" s="387">
        <v>21</v>
      </c>
      <c r="F67" s="387">
        <v>20</v>
      </c>
      <c r="G67" s="387">
        <v>19</v>
      </c>
      <c r="H67" s="387">
        <v>19</v>
      </c>
      <c r="I67" s="387">
        <v>19</v>
      </c>
      <c r="J67" s="387">
        <v>19</v>
      </c>
      <c r="K67" s="387">
        <v>19</v>
      </c>
      <c r="L67" s="388" t="s">
        <v>719</v>
      </c>
    </row>
    <row r="68" spans="2:12" ht="157.5" customHeight="1" x14ac:dyDescent="0.3">
      <c r="B68" s="2218" t="s">
        <v>784</v>
      </c>
      <c r="C68" s="2218"/>
      <c r="D68" s="2218"/>
      <c r="E68" s="2218"/>
      <c r="F68" s="2218"/>
      <c r="G68" s="2218"/>
      <c r="H68" s="2218"/>
      <c r="I68" s="2218"/>
      <c r="J68" s="2218"/>
      <c r="K68" s="2218"/>
    </row>
    <row r="69" spans="2:12" x14ac:dyDescent="0.3">
      <c r="B69" s="387" t="s">
        <v>785</v>
      </c>
      <c r="C69" s="387">
        <v>28</v>
      </c>
      <c r="D69" s="387">
        <v>25</v>
      </c>
      <c r="E69" s="387">
        <v>25</v>
      </c>
      <c r="F69" s="387">
        <v>25</v>
      </c>
      <c r="G69" s="387">
        <v>25</v>
      </c>
      <c r="H69" s="387">
        <v>25</v>
      </c>
      <c r="I69" s="387">
        <v>25</v>
      </c>
      <c r="J69" s="387">
        <v>25</v>
      </c>
      <c r="K69" s="387">
        <v>24.5</v>
      </c>
      <c r="L69" s="388" t="s">
        <v>719</v>
      </c>
    </row>
    <row r="70" spans="2:12" ht="42" customHeight="1" x14ac:dyDescent="0.3">
      <c r="B70" s="2218" t="s">
        <v>786</v>
      </c>
      <c r="C70" s="2218"/>
      <c r="D70" s="2218"/>
      <c r="E70" s="2218"/>
      <c r="F70" s="2218"/>
      <c r="G70" s="2218"/>
      <c r="H70" s="2218"/>
      <c r="I70" s="2218"/>
      <c r="J70" s="2218"/>
      <c r="K70" s="2218"/>
    </row>
    <row r="71" spans="2:12" ht="21" x14ac:dyDescent="0.3">
      <c r="B71" s="387" t="s">
        <v>787</v>
      </c>
      <c r="C71" s="387">
        <v>30</v>
      </c>
      <c r="D71" s="387">
        <v>25</v>
      </c>
      <c r="E71" s="387">
        <v>25</v>
      </c>
      <c r="F71" s="387">
        <v>25</v>
      </c>
      <c r="G71" s="387">
        <v>25</v>
      </c>
      <c r="H71" s="387">
        <v>29</v>
      </c>
      <c r="I71" s="387">
        <v>29</v>
      </c>
      <c r="J71" s="387">
        <v>29</v>
      </c>
      <c r="K71" s="387">
        <v>28</v>
      </c>
      <c r="L71" s="388" t="s">
        <v>719</v>
      </c>
    </row>
    <row r="72" spans="2:12" ht="21" customHeight="1" x14ac:dyDescent="0.3">
      <c r="B72" s="2218" t="s">
        <v>788</v>
      </c>
      <c r="C72" s="2218"/>
      <c r="D72" s="2218"/>
      <c r="E72" s="2218"/>
      <c r="F72" s="2218"/>
      <c r="G72" s="2218"/>
      <c r="H72" s="2218"/>
      <c r="I72" s="2218"/>
      <c r="J72" s="2218"/>
      <c r="K72" s="2218"/>
    </row>
    <row r="73" spans="2:12" x14ac:dyDescent="0.3">
      <c r="B73" s="387" t="s">
        <v>789</v>
      </c>
      <c r="C73" s="387">
        <v>25</v>
      </c>
      <c r="D73" s="387">
        <v>25</v>
      </c>
      <c r="E73" s="387">
        <v>25</v>
      </c>
      <c r="F73" s="387">
        <v>25</v>
      </c>
      <c r="G73" s="387">
        <v>25</v>
      </c>
      <c r="H73" s="387">
        <v>24</v>
      </c>
      <c r="I73" s="387">
        <v>23</v>
      </c>
      <c r="J73" s="387">
        <v>22</v>
      </c>
      <c r="K73" s="387">
        <v>22</v>
      </c>
      <c r="L73" s="388" t="s">
        <v>719</v>
      </c>
    </row>
    <row r="74" spans="2:12" ht="73.5" customHeight="1" x14ac:dyDescent="0.3">
      <c r="B74" s="2218" t="s">
        <v>790</v>
      </c>
      <c r="C74" s="2218"/>
      <c r="D74" s="2218"/>
      <c r="E74" s="2218"/>
      <c r="F74" s="2218"/>
      <c r="G74" s="2218"/>
      <c r="H74" s="2218"/>
      <c r="I74" s="2218"/>
      <c r="J74" s="2218"/>
      <c r="K74" s="2218"/>
    </row>
    <row r="75" spans="2:12" x14ac:dyDescent="0.3">
      <c r="B75" s="387" t="s">
        <v>791</v>
      </c>
      <c r="C75" s="387">
        <v>20</v>
      </c>
      <c r="D75" s="387">
        <v>20</v>
      </c>
      <c r="E75" s="387">
        <v>20</v>
      </c>
      <c r="F75" s="387">
        <v>20</v>
      </c>
      <c r="G75" s="387">
        <v>20</v>
      </c>
      <c r="H75" s="387">
        <v>20</v>
      </c>
      <c r="I75" s="387">
        <v>25</v>
      </c>
      <c r="J75" s="387">
        <v>25</v>
      </c>
      <c r="K75" s="387">
        <v>25</v>
      </c>
      <c r="L75" s="388" t="s">
        <v>719</v>
      </c>
    </row>
    <row r="76" spans="2:12" x14ac:dyDescent="0.3">
      <c r="B76" s="2218" t="s">
        <v>792</v>
      </c>
      <c r="C76" s="2218"/>
      <c r="D76" s="2218"/>
      <c r="E76" s="2218"/>
      <c r="F76" s="2218"/>
      <c r="G76" s="2218"/>
      <c r="H76" s="2218"/>
      <c r="I76" s="2218"/>
      <c r="J76" s="2218"/>
      <c r="K76" s="2218"/>
    </row>
    <row r="77" spans="2:12" x14ac:dyDescent="0.3">
      <c r="B77" s="387" t="s">
        <v>793</v>
      </c>
      <c r="C77" s="387"/>
      <c r="D77" s="387"/>
      <c r="E77" s="387"/>
      <c r="F77" s="387"/>
      <c r="G77" s="387"/>
      <c r="H77" s="387"/>
      <c r="I77" s="387">
        <v>30</v>
      </c>
      <c r="J77" s="387">
        <v>30</v>
      </c>
      <c r="K77" s="387">
        <v>30</v>
      </c>
      <c r="L77" s="388" t="s">
        <v>719</v>
      </c>
    </row>
    <row r="78" spans="2:12" ht="147" customHeight="1" x14ac:dyDescent="0.3">
      <c r="B78" s="2218" t="s">
        <v>794</v>
      </c>
      <c r="C78" s="2218"/>
      <c r="D78" s="2218"/>
      <c r="E78" s="2218"/>
      <c r="F78" s="2218"/>
      <c r="G78" s="2218"/>
      <c r="H78" s="2218"/>
      <c r="I78" s="2218"/>
      <c r="J78" s="2218"/>
      <c r="K78" s="2218"/>
    </row>
    <row r="79" spans="2:12" x14ac:dyDescent="0.3">
      <c r="B79" s="387" t="s">
        <v>795</v>
      </c>
      <c r="C79" s="387">
        <v>23</v>
      </c>
      <c r="D79" s="387">
        <v>22</v>
      </c>
      <c r="E79" s="387">
        <v>21</v>
      </c>
      <c r="F79" s="387">
        <v>21</v>
      </c>
      <c r="G79" s="387">
        <v>21</v>
      </c>
      <c r="H79" s="387">
        <v>21</v>
      </c>
      <c r="I79" s="387">
        <v>21</v>
      </c>
      <c r="J79" s="387">
        <v>21</v>
      </c>
      <c r="K79" s="387">
        <v>21</v>
      </c>
      <c r="L79" s="388" t="s">
        <v>719</v>
      </c>
    </row>
    <row r="80" spans="2:12" ht="42" customHeight="1" x14ac:dyDescent="0.3">
      <c r="B80" s="2218" t="s">
        <v>796</v>
      </c>
      <c r="C80" s="2218"/>
      <c r="D80" s="2218"/>
      <c r="E80" s="2218"/>
      <c r="F80" s="2218"/>
      <c r="G80" s="2218"/>
      <c r="H80" s="2218"/>
      <c r="I80" s="2218"/>
      <c r="J80" s="2218"/>
      <c r="K80" s="2218"/>
    </row>
    <row r="81" spans="2:12" x14ac:dyDescent="0.3">
      <c r="B81" s="387" t="s">
        <v>797</v>
      </c>
      <c r="C81" s="387">
        <v>31</v>
      </c>
      <c r="D81" s="387">
        <v>31</v>
      </c>
      <c r="E81" s="387">
        <v>31</v>
      </c>
      <c r="F81" s="387">
        <v>29</v>
      </c>
      <c r="G81" s="387">
        <v>28</v>
      </c>
      <c r="H81" s="387">
        <v>28</v>
      </c>
      <c r="I81" s="387">
        <v>28</v>
      </c>
      <c r="J81" s="387">
        <v>20</v>
      </c>
      <c r="K81" s="387">
        <v>20</v>
      </c>
      <c r="L81" s="388" t="s">
        <v>719</v>
      </c>
    </row>
    <row r="82" spans="2:12" ht="52.5" customHeight="1" x14ac:dyDescent="0.3">
      <c r="B82" s="2218" t="s">
        <v>798</v>
      </c>
      <c r="C82" s="2218"/>
      <c r="D82" s="2218"/>
      <c r="E82" s="2218"/>
      <c r="F82" s="2218"/>
      <c r="G82" s="2218"/>
      <c r="H82" s="2218"/>
      <c r="I82" s="2218"/>
      <c r="J82" s="2218"/>
      <c r="K82" s="2218"/>
    </row>
    <row r="83" spans="2:12" x14ac:dyDescent="0.3">
      <c r="B83" s="387" t="s">
        <v>799</v>
      </c>
      <c r="C83" s="387">
        <v>26</v>
      </c>
      <c r="D83" s="387">
        <v>26</v>
      </c>
      <c r="E83" s="387">
        <v>26</v>
      </c>
      <c r="F83" s="387">
        <v>26</v>
      </c>
      <c r="G83" s="387">
        <v>26</v>
      </c>
      <c r="H83" s="387">
        <v>26</v>
      </c>
      <c r="I83" s="387">
        <v>24.5</v>
      </c>
      <c r="J83" s="387">
        <v>24.5</v>
      </c>
      <c r="K83" s="387">
        <v>20</v>
      </c>
      <c r="L83" s="388" t="s">
        <v>719</v>
      </c>
    </row>
    <row r="84" spans="2:12" x14ac:dyDescent="0.3">
      <c r="B84" s="2218" t="s">
        <v>800</v>
      </c>
      <c r="C84" s="2218"/>
      <c r="D84" s="2218"/>
      <c r="E84" s="2218"/>
      <c r="F84" s="2218"/>
      <c r="G84" s="2218"/>
      <c r="H84" s="2218"/>
      <c r="I84" s="2218"/>
      <c r="J84" s="2218"/>
      <c r="K84" s="2218"/>
    </row>
    <row r="85" spans="2:12" x14ac:dyDescent="0.3">
      <c r="B85" s="387" t="s">
        <v>801</v>
      </c>
      <c r="C85" s="387">
        <v>33.33</v>
      </c>
      <c r="D85" s="387">
        <v>33.33</v>
      </c>
      <c r="E85" s="387">
        <v>33.33</v>
      </c>
      <c r="F85" s="387">
        <v>33.33</v>
      </c>
      <c r="G85" s="387">
        <v>33.33</v>
      </c>
      <c r="H85" s="387">
        <v>33.33</v>
      </c>
      <c r="I85" s="387">
        <v>33.33</v>
      </c>
      <c r="J85" s="387">
        <v>33.33</v>
      </c>
      <c r="K85" s="387">
        <v>33.33</v>
      </c>
      <c r="L85" s="388" t="s">
        <v>719</v>
      </c>
    </row>
    <row r="86" spans="2:12" ht="115.5" customHeight="1" x14ac:dyDescent="0.3">
      <c r="B86" s="2218" t="s">
        <v>802</v>
      </c>
      <c r="C86" s="2218"/>
      <c r="D86" s="2218"/>
      <c r="E86" s="2218"/>
      <c r="F86" s="2218"/>
      <c r="G86" s="2218"/>
      <c r="H86" s="2218"/>
      <c r="I86" s="2218"/>
      <c r="J86" s="2218"/>
      <c r="K86" s="2218"/>
    </row>
    <row r="87" spans="2:12" x14ac:dyDescent="0.3">
      <c r="B87" s="387" t="s">
        <v>803</v>
      </c>
      <c r="C87" s="387"/>
      <c r="D87" s="387"/>
      <c r="E87" s="387"/>
      <c r="F87" s="387"/>
      <c r="G87" s="387"/>
      <c r="H87" s="387"/>
      <c r="I87" s="387"/>
      <c r="J87" s="387">
        <v>15</v>
      </c>
      <c r="K87" s="387">
        <v>15</v>
      </c>
      <c r="L87" s="388" t="s">
        <v>719</v>
      </c>
    </row>
    <row r="88" spans="2:12" ht="31.5" customHeight="1" x14ac:dyDescent="0.3">
      <c r="B88" s="2218" t="s">
        <v>804</v>
      </c>
      <c r="C88" s="2218"/>
      <c r="D88" s="2218"/>
      <c r="E88" s="2218"/>
      <c r="F88" s="2218"/>
      <c r="G88" s="2218"/>
      <c r="H88" s="2218"/>
      <c r="I88" s="2218"/>
      <c r="J88" s="2218"/>
      <c r="K88" s="2218"/>
    </row>
    <row r="89" spans="2:12" x14ac:dyDescent="0.3">
      <c r="B89" s="387" t="s">
        <v>805</v>
      </c>
      <c r="C89" s="387">
        <v>38.340000000000003</v>
      </c>
      <c r="D89" s="387">
        <v>38.36</v>
      </c>
      <c r="E89" s="387">
        <v>29.51</v>
      </c>
      <c r="F89" s="387">
        <v>29.44</v>
      </c>
      <c r="G89" s="387">
        <v>29.41</v>
      </c>
      <c r="H89" s="387">
        <v>29.37</v>
      </c>
      <c r="I89" s="387">
        <v>29.48</v>
      </c>
      <c r="J89" s="387">
        <v>29.55</v>
      </c>
      <c r="K89" s="387">
        <v>29.58</v>
      </c>
      <c r="L89" s="388" t="s">
        <v>719</v>
      </c>
    </row>
    <row r="90" spans="2:12" ht="42" customHeight="1" x14ac:dyDescent="0.3">
      <c r="B90" s="2218" t="s">
        <v>806</v>
      </c>
      <c r="C90" s="2218"/>
      <c r="D90" s="2218"/>
      <c r="E90" s="2218"/>
      <c r="F90" s="2218"/>
      <c r="G90" s="2218"/>
      <c r="H90" s="2218"/>
      <c r="I90" s="2218"/>
      <c r="J90" s="2218"/>
      <c r="K90" s="2218"/>
    </row>
    <row r="91" spans="2:12" x14ac:dyDescent="0.3">
      <c r="B91" s="387" t="s">
        <v>807</v>
      </c>
      <c r="C91" s="387"/>
      <c r="D91" s="387"/>
      <c r="E91" s="387"/>
      <c r="F91" s="387"/>
      <c r="G91" s="387"/>
      <c r="H91" s="387"/>
      <c r="I91" s="387"/>
      <c r="J91" s="387">
        <v>25</v>
      </c>
      <c r="K91" s="387">
        <v>25</v>
      </c>
      <c r="L91" s="388" t="s">
        <v>719</v>
      </c>
    </row>
    <row r="92" spans="2:12" ht="52.5" customHeight="1" x14ac:dyDescent="0.3">
      <c r="B92" s="2218" t="s">
        <v>808</v>
      </c>
      <c r="C92" s="2218"/>
      <c r="D92" s="2218"/>
      <c r="E92" s="2218"/>
      <c r="F92" s="2218"/>
      <c r="G92" s="2218"/>
      <c r="H92" s="2218"/>
      <c r="I92" s="2218"/>
      <c r="J92" s="2218"/>
      <c r="K92" s="2218"/>
    </row>
    <row r="93" spans="2:12" x14ac:dyDescent="0.3">
      <c r="B93" s="387" t="s">
        <v>809</v>
      </c>
      <c r="C93" s="387">
        <v>35</v>
      </c>
      <c r="D93" s="387">
        <v>35</v>
      </c>
      <c r="E93" s="387">
        <v>33</v>
      </c>
      <c r="F93" s="387">
        <v>27</v>
      </c>
      <c r="G93" s="387">
        <v>22</v>
      </c>
      <c r="H93" s="387">
        <v>10</v>
      </c>
      <c r="I93" s="387">
        <v>10</v>
      </c>
      <c r="J93" s="387">
        <v>10</v>
      </c>
      <c r="K93" s="387">
        <v>10</v>
      </c>
      <c r="L93" s="388" t="s">
        <v>719</v>
      </c>
    </row>
    <row r="94" spans="2:12" ht="52.5" customHeight="1" x14ac:dyDescent="0.3">
      <c r="B94" s="2218" t="s">
        <v>810</v>
      </c>
      <c r="C94" s="2218"/>
      <c r="D94" s="2218"/>
      <c r="E94" s="2218"/>
      <c r="F94" s="2218"/>
      <c r="G94" s="2218"/>
      <c r="H94" s="2218"/>
      <c r="I94" s="2218"/>
      <c r="J94" s="2218"/>
      <c r="K94" s="2218"/>
    </row>
    <row r="95" spans="2:12" x14ac:dyDescent="0.3">
      <c r="B95" s="387" t="s">
        <v>811</v>
      </c>
      <c r="C95" s="387">
        <v>29</v>
      </c>
      <c r="D95" s="387">
        <v>25</v>
      </c>
      <c r="E95" s="387">
        <v>25</v>
      </c>
      <c r="F95" s="387">
        <v>25</v>
      </c>
      <c r="G95" s="387">
        <v>24</v>
      </c>
      <c r="H95" s="387">
        <v>20</v>
      </c>
      <c r="I95" s="387">
        <v>20</v>
      </c>
      <c r="J95" s="387">
        <v>26</v>
      </c>
      <c r="K95" s="387">
        <v>26</v>
      </c>
      <c r="L95" s="388" t="s">
        <v>719</v>
      </c>
    </row>
    <row r="96" spans="2:12" ht="63" customHeight="1" x14ac:dyDescent="0.3">
      <c r="B96" s="2218" t="s">
        <v>812</v>
      </c>
      <c r="C96" s="2218"/>
      <c r="D96" s="2218"/>
      <c r="E96" s="2218"/>
      <c r="F96" s="2218"/>
      <c r="G96" s="2218"/>
      <c r="H96" s="2218"/>
      <c r="I96" s="2218"/>
      <c r="J96" s="2218"/>
      <c r="K96" s="2218"/>
    </row>
    <row r="97" spans="2:12" x14ac:dyDescent="0.3">
      <c r="B97" s="387" t="s">
        <v>813</v>
      </c>
      <c r="C97" s="387">
        <v>31</v>
      </c>
      <c r="D97" s="387">
        <v>31</v>
      </c>
      <c r="E97" s="387">
        <v>31</v>
      </c>
      <c r="F97" s="387">
        <v>31</v>
      </c>
      <c r="G97" s="387">
        <v>31</v>
      </c>
      <c r="H97" s="387">
        <v>31</v>
      </c>
      <c r="I97" s="387">
        <v>31</v>
      </c>
      <c r="J97" s="387">
        <v>31</v>
      </c>
      <c r="K97" s="387">
        <v>28</v>
      </c>
      <c r="L97" s="388" t="s">
        <v>719</v>
      </c>
    </row>
    <row r="98" spans="2:12" ht="52.5" customHeight="1" x14ac:dyDescent="0.3">
      <c r="B98" s="2218" t="s">
        <v>814</v>
      </c>
      <c r="C98" s="2218"/>
      <c r="D98" s="2218"/>
      <c r="E98" s="2218"/>
      <c r="F98" s="2218"/>
      <c r="G98" s="2218"/>
      <c r="H98" s="2218"/>
      <c r="I98" s="2218"/>
      <c r="J98" s="2218"/>
      <c r="K98" s="2218"/>
    </row>
    <row r="99" spans="2:12" x14ac:dyDescent="0.3">
      <c r="B99" s="387" t="s">
        <v>815</v>
      </c>
      <c r="C99" s="387">
        <v>0</v>
      </c>
      <c r="D99" s="387">
        <v>0</v>
      </c>
      <c r="E99" s="387">
        <v>0</v>
      </c>
      <c r="F99" s="387">
        <v>0</v>
      </c>
      <c r="G99" s="387">
        <v>0</v>
      </c>
      <c r="H99" s="387">
        <v>0</v>
      </c>
      <c r="I99" s="387">
        <v>0</v>
      </c>
      <c r="J99" s="387">
        <v>0</v>
      </c>
      <c r="K99" s="387">
        <v>0</v>
      </c>
      <c r="L99" s="388" t="s">
        <v>719</v>
      </c>
    </row>
    <row r="100" spans="2:12" ht="52.5" customHeight="1" x14ac:dyDescent="0.3">
      <c r="B100" s="2218" t="s">
        <v>816</v>
      </c>
      <c r="C100" s="2218"/>
      <c r="D100" s="2218"/>
      <c r="E100" s="2218"/>
      <c r="F100" s="2218"/>
      <c r="G100" s="2218"/>
      <c r="H100" s="2218"/>
      <c r="I100" s="2218"/>
      <c r="J100" s="2218"/>
      <c r="K100" s="2218"/>
    </row>
    <row r="101" spans="2:12" x14ac:dyDescent="0.3">
      <c r="B101" s="387" t="s">
        <v>817</v>
      </c>
      <c r="C101" s="387">
        <v>30</v>
      </c>
      <c r="D101" s="387">
        <v>30</v>
      </c>
      <c r="E101" s="387">
        <v>30</v>
      </c>
      <c r="F101" s="387">
        <v>30</v>
      </c>
      <c r="G101" s="387">
        <v>25</v>
      </c>
      <c r="H101" s="387">
        <v>35</v>
      </c>
      <c r="I101" s="387">
        <v>35</v>
      </c>
      <c r="J101" s="387">
        <v>35</v>
      </c>
      <c r="K101" s="387">
        <v>30</v>
      </c>
      <c r="L101" s="388" t="s">
        <v>719</v>
      </c>
    </row>
    <row r="102" spans="2:12" ht="42" customHeight="1" x14ac:dyDescent="0.3">
      <c r="B102" s="2218" t="s">
        <v>818</v>
      </c>
      <c r="C102" s="2218"/>
      <c r="D102" s="2218"/>
      <c r="E102" s="2218"/>
      <c r="F102" s="2218"/>
      <c r="G102" s="2218"/>
      <c r="H102" s="2218"/>
      <c r="I102" s="2218"/>
      <c r="J102" s="2218"/>
      <c r="K102" s="2218"/>
    </row>
    <row r="103" spans="2:12" ht="21" x14ac:dyDescent="0.3">
      <c r="B103" s="387" t="s">
        <v>819</v>
      </c>
      <c r="C103" s="387">
        <v>17.5</v>
      </c>
      <c r="D103" s="387">
        <v>17.5</v>
      </c>
      <c r="E103" s="387">
        <v>16.5</v>
      </c>
      <c r="F103" s="387">
        <v>16.5</v>
      </c>
      <c r="G103" s="387">
        <v>16.5</v>
      </c>
      <c r="H103" s="387">
        <v>16.5</v>
      </c>
      <c r="I103" s="387">
        <v>16.5</v>
      </c>
      <c r="J103" s="387">
        <v>16.5</v>
      </c>
      <c r="K103" s="387">
        <v>16.5</v>
      </c>
      <c r="L103" s="388" t="s">
        <v>719</v>
      </c>
    </row>
    <row r="104" spans="2:12" ht="63" customHeight="1" x14ac:dyDescent="0.3">
      <c r="B104" s="2218" t="s">
        <v>820</v>
      </c>
      <c r="C104" s="2218"/>
      <c r="D104" s="2218"/>
      <c r="E104" s="2218"/>
      <c r="F104" s="2218"/>
      <c r="G104" s="2218"/>
      <c r="H104" s="2218"/>
      <c r="I104" s="2218"/>
      <c r="J104" s="2218"/>
      <c r="K104" s="2218"/>
    </row>
    <row r="105" spans="2:12" x14ac:dyDescent="0.3">
      <c r="B105" s="387" t="s">
        <v>821</v>
      </c>
      <c r="C105" s="387">
        <v>16</v>
      </c>
      <c r="D105" s="387">
        <v>16</v>
      </c>
      <c r="E105" s="387">
        <v>16</v>
      </c>
      <c r="F105" s="387">
        <v>16</v>
      </c>
      <c r="G105" s="387">
        <v>19</v>
      </c>
      <c r="H105" s="387">
        <v>19</v>
      </c>
      <c r="I105" s="387">
        <v>19</v>
      </c>
      <c r="J105" s="387">
        <v>19</v>
      </c>
      <c r="K105" s="387">
        <v>19</v>
      </c>
      <c r="L105" s="388" t="s">
        <v>719</v>
      </c>
    </row>
    <row r="106" spans="2:12" ht="73.5" customHeight="1" x14ac:dyDescent="0.3">
      <c r="B106" s="2218" t="s">
        <v>822</v>
      </c>
      <c r="C106" s="2218"/>
      <c r="D106" s="2218"/>
      <c r="E106" s="2218"/>
      <c r="F106" s="2218"/>
      <c r="G106" s="2218"/>
      <c r="H106" s="2218"/>
      <c r="I106" s="2218"/>
      <c r="J106" s="2218"/>
      <c r="K106" s="2218"/>
    </row>
    <row r="107" spans="2:12" x14ac:dyDescent="0.3">
      <c r="B107" s="387" t="s">
        <v>823</v>
      </c>
      <c r="C107" s="387">
        <v>18</v>
      </c>
      <c r="D107" s="387">
        <v>18</v>
      </c>
      <c r="E107" s="387">
        <v>15</v>
      </c>
      <c r="F107" s="387">
        <v>15</v>
      </c>
      <c r="G107" s="387">
        <v>18</v>
      </c>
      <c r="H107" s="387">
        <v>20</v>
      </c>
      <c r="I107" s="387">
        <v>20</v>
      </c>
      <c r="J107" s="387">
        <v>20</v>
      </c>
      <c r="K107" s="387">
        <v>20</v>
      </c>
      <c r="L107" s="388" t="s">
        <v>719</v>
      </c>
    </row>
    <row r="108" spans="2:12" ht="52.5" customHeight="1" x14ac:dyDescent="0.3">
      <c r="B108" s="2218" t="s">
        <v>824</v>
      </c>
      <c r="C108" s="2218"/>
      <c r="D108" s="2218"/>
      <c r="E108" s="2218"/>
      <c r="F108" s="2218"/>
      <c r="G108" s="2218"/>
      <c r="H108" s="2218"/>
      <c r="I108" s="2218"/>
      <c r="J108" s="2218"/>
      <c r="K108" s="2218"/>
    </row>
    <row r="109" spans="2:12" x14ac:dyDescent="0.3">
      <c r="B109" s="387" t="s">
        <v>825</v>
      </c>
      <c r="C109" s="387">
        <v>33.659999999999997</v>
      </c>
      <c r="D109" s="387">
        <v>33.99</v>
      </c>
      <c r="E109" s="387">
        <v>33.99</v>
      </c>
      <c r="F109" s="387">
        <v>33.99</v>
      </c>
      <c r="G109" s="387">
        <v>33.99</v>
      </c>
      <c r="H109" s="387">
        <v>32.44</v>
      </c>
      <c r="I109" s="387">
        <v>32.450000000000003</v>
      </c>
      <c r="J109" s="387">
        <v>33.99</v>
      </c>
      <c r="K109" s="387">
        <v>33.99</v>
      </c>
      <c r="L109" s="388" t="s">
        <v>719</v>
      </c>
    </row>
    <row r="110" spans="2:12" ht="199.5" customHeight="1" x14ac:dyDescent="0.3">
      <c r="B110" s="2218" t="s">
        <v>826</v>
      </c>
      <c r="C110" s="2218"/>
      <c r="D110" s="2218"/>
      <c r="E110" s="2218"/>
      <c r="F110" s="2218"/>
      <c r="G110" s="2218"/>
      <c r="H110" s="2218"/>
      <c r="I110" s="2218"/>
      <c r="J110" s="2218"/>
      <c r="K110" s="2218"/>
    </row>
    <row r="111" spans="2:12" x14ac:dyDescent="0.3">
      <c r="B111" s="387" t="s">
        <v>827</v>
      </c>
      <c r="C111" s="387">
        <v>30</v>
      </c>
      <c r="D111" s="387">
        <v>30</v>
      </c>
      <c r="E111" s="387">
        <v>30</v>
      </c>
      <c r="F111" s="387">
        <v>28</v>
      </c>
      <c r="G111" s="387">
        <v>25</v>
      </c>
      <c r="H111" s="387">
        <v>25</v>
      </c>
      <c r="I111" s="387">
        <v>25</v>
      </c>
      <c r="J111" s="387">
        <v>25</v>
      </c>
      <c r="K111" s="387">
        <v>25</v>
      </c>
      <c r="L111" s="388" t="s">
        <v>719</v>
      </c>
    </row>
    <row r="112" spans="2:12" ht="42" customHeight="1" x14ac:dyDescent="0.3">
      <c r="B112" s="2218" t="s">
        <v>828</v>
      </c>
      <c r="C112" s="2218"/>
      <c r="D112" s="2218"/>
      <c r="E112" s="2218"/>
      <c r="F112" s="2218"/>
      <c r="G112" s="2218"/>
      <c r="H112" s="2218"/>
      <c r="I112" s="2218"/>
      <c r="J112" s="2218"/>
      <c r="K112" s="2218"/>
    </row>
    <row r="113" spans="2:12" x14ac:dyDescent="0.3">
      <c r="B113" s="387" t="s">
        <v>829</v>
      </c>
      <c r="C113" s="387"/>
      <c r="D113" s="387"/>
      <c r="E113" s="387"/>
      <c r="F113" s="387"/>
      <c r="G113" s="387"/>
      <c r="H113" s="387"/>
      <c r="I113" s="387"/>
      <c r="J113" s="387">
        <v>15</v>
      </c>
      <c r="K113" s="387">
        <v>15</v>
      </c>
      <c r="L113" s="388" t="s">
        <v>719</v>
      </c>
    </row>
    <row r="114" spans="2:12" ht="21" customHeight="1" x14ac:dyDescent="0.3">
      <c r="B114" s="2218" t="s">
        <v>830</v>
      </c>
      <c r="C114" s="2218"/>
      <c r="D114" s="2218"/>
      <c r="E114" s="2218"/>
      <c r="F114" s="2218"/>
      <c r="G114" s="2218"/>
      <c r="H114" s="2218"/>
      <c r="I114" s="2218"/>
      <c r="J114" s="2218"/>
      <c r="K114" s="2218"/>
    </row>
    <row r="115" spans="2:12" x14ac:dyDescent="0.3">
      <c r="B115" s="387" t="s">
        <v>831</v>
      </c>
      <c r="C115" s="387">
        <v>12.5</v>
      </c>
      <c r="D115" s="387">
        <v>12.5</v>
      </c>
      <c r="E115" s="387">
        <v>12.5</v>
      </c>
      <c r="F115" s="387">
        <v>12.5</v>
      </c>
      <c r="G115" s="387">
        <v>12.5</v>
      </c>
      <c r="H115" s="387">
        <v>12.5</v>
      </c>
      <c r="I115" s="387">
        <v>12.5</v>
      </c>
      <c r="J115" s="387">
        <v>12.5</v>
      </c>
      <c r="K115" s="387">
        <v>12.5</v>
      </c>
      <c r="L115" s="388" t="s">
        <v>719</v>
      </c>
    </row>
    <row r="116" spans="2:12" ht="42" customHeight="1" x14ac:dyDescent="0.3">
      <c r="B116" s="2218" t="s">
        <v>832</v>
      </c>
      <c r="C116" s="2218"/>
      <c r="D116" s="2218"/>
      <c r="E116" s="2218"/>
      <c r="F116" s="2218"/>
      <c r="G116" s="2218"/>
      <c r="H116" s="2218"/>
      <c r="I116" s="2218"/>
      <c r="J116" s="2218"/>
      <c r="K116" s="2218"/>
    </row>
    <row r="117" spans="2:12" x14ac:dyDescent="0.3">
      <c r="B117" s="387" t="s">
        <v>833</v>
      </c>
      <c r="C117" s="387">
        <v>0</v>
      </c>
      <c r="D117" s="387">
        <v>0</v>
      </c>
      <c r="E117" s="387">
        <v>0</v>
      </c>
      <c r="F117" s="387">
        <v>0</v>
      </c>
      <c r="G117" s="387">
        <v>0</v>
      </c>
      <c r="H117" s="387">
        <v>0</v>
      </c>
      <c r="I117" s="387">
        <v>0</v>
      </c>
      <c r="J117" s="387">
        <v>0</v>
      </c>
      <c r="K117" s="387">
        <v>0</v>
      </c>
      <c r="L117" s="388" t="s">
        <v>719</v>
      </c>
    </row>
    <row r="118" spans="2:12" ht="31.5" customHeight="1" x14ac:dyDescent="0.3">
      <c r="B118" s="2218" t="s">
        <v>834</v>
      </c>
      <c r="C118" s="2218"/>
      <c r="D118" s="2218"/>
      <c r="E118" s="2218"/>
      <c r="F118" s="2218"/>
      <c r="G118" s="2218"/>
      <c r="H118" s="2218"/>
      <c r="I118" s="2218"/>
      <c r="J118" s="2218"/>
      <c r="K118" s="2218"/>
    </row>
    <row r="119" spans="2:12" x14ac:dyDescent="0.3">
      <c r="B119" s="387" t="s">
        <v>835</v>
      </c>
      <c r="C119" s="387">
        <v>31</v>
      </c>
      <c r="D119" s="387">
        <v>29</v>
      </c>
      <c r="E119" s="387">
        <v>27</v>
      </c>
      <c r="F119" s="387">
        <v>26</v>
      </c>
      <c r="G119" s="387">
        <v>25</v>
      </c>
      <c r="H119" s="387">
        <v>24</v>
      </c>
      <c r="I119" s="387">
        <v>25</v>
      </c>
      <c r="J119" s="387">
        <v>25</v>
      </c>
      <c r="K119" s="387">
        <v>26.5</v>
      </c>
      <c r="L119" s="388" t="s">
        <v>719</v>
      </c>
    </row>
    <row r="120" spans="2:12" ht="52.5" customHeight="1" x14ac:dyDescent="0.3">
      <c r="B120" s="2218" t="s">
        <v>836</v>
      </c>
      <c r="C120" s="2218"/>
      <c r="D120" s="2218"/>
      <c r="E120" s="2218"/>
      <c r="F120" s="2218"/>
      <c r="G120" s="2218"/>
      <c r="H120" s="2218"/>
      <c r="I120" s="2218"/>
      <c r="J120" s="2218"/>
      <c r="K120" s="2218"/>
    </row>
    <row r="121" spans="2:12" x14ac:dyDescent="0.3">
      <c r="B121" s="387" t="s">
        <v>837</v>
      </c>
      <c r="C121" s="387">
        <v>37.25</v>
      </c>
      <c r="D121" s="387">
        <v>37.25</v>
      </c>
      <c r="E121" s="387">
        <v>31.4</v>
      </c>
      <c r="F121" s="387">
        <v>31.4</v>
      </c>
      <c r="G121" s="387">
        <v>31.4</v>
      </c>
      <c r="H121" s="387">
        <v>31.4</v>
      </c>
      <c r="I121" s="387">
        <v>31.4</v>
      </c>
      <c r="J121" s="387">
        <v>31.4</v>
      </c>
      <c r="K121" s="387">
        <v>31.4</v>
      </c>
      <c r="L121" s="388" t="s">
        <v>719</v>
      </c>
    </row>
    <row r="122" spans="2:12" ht="52.5" customHeight="1" x14ac:dyDescent="0.3">
      <c r="B122" s="2218" t="s">
        <v>838</v>
      </c>
      <c r="C122" s="2218"/>
      <c r="D122" s="2218"/>
      <c r="E122" s="2218"/>
      <c r="F122" s="2218"/>
      <c r="G122" s="2218"/>
      <c r="H122" s="2218"/>
      <c r="I122" s="2218"/>
      <c r="J122" s="2218"/>
      <c r="K122" s="2218"/>
    </row>
    <row r="123" spans="2:12" x14ac:dyDescent="0.3">
      <c r="B123" s="387" t="s">
        <v>839</v>
      </c>
      <c r="C123" s="387">
        <v>33.33</v>
      </c>
      <c r="D123" s="387">
        <v>33.33</v>
      </c>
      <c r="E123" s="387">
        <v>33.33</v>
      </c>
      <c r="F123" s="387">
        <v>33.33</v>
      </c>
      <c r="G123" s="387">
        <v>33.33</v>
      </c>
      <c r="H123" s="387">
        <v>33.33</v>
      </c>
      <c r="I123" s="387">
        <v>33.33</v>
      </c>
      <c r="J123" s="387">
        <v>25</v>
      </c>
      <c r="K123" s="387">
        <v>25</v>
      </c>
      <c r="L123" s="388" t="s">
        <v>719</v>
      </c>
    </row>
    <row r="124" spans="2:12" ht="126" customHeight="1" x14ac:dyDescent="0.3">
      <c r="B124" s="2218" t="s">
        <v>840</v>
      </c>
      <c r="C124" s="2218"/>
      <c r="D124" s="2218"/>
      <c r="E124" s="2218"/>
      <c r="F124" s="2218"/>
      <c r="G124" s="2218"/>
      <c r="H124" s="2218"/>
      <c r="I124" s="2218"/>
      <c r="J124" s="2218"/>
      <c r="K124" s="2218"/>
    </row>
    <row r="125" spans="2:12" x14ac:dyDescent="0.3">
      <c r="B125" s="387" t="s">
        <v>841</v>
      </c>
      <c r="C125" s="387">
        <v>40.69</v>
      </c>
      <c r="D125" s="387">
        <v>40.69</v>
      </c>
      <c r="E125" s="387">
        <v>40.69</v>
      </c>
      <c r="F125" s="387">
        <v>40.69</v>
      </c>
      <c r="G125" s="387">
        <v>40.69</v>
      </c>
      <c r="H125" s="387">
        <v>40.69</v>
      </c>
      <c r="I125" s="387">
        <v>38.01</v>
      </c>
      <c r="J125" s="387">
        <v>38.01</v>
      </c>
      <c r="K125" s="389">
        <v>35.64</v>
      </c>
      <c r="L125" s="388" t="s">
        <v>719</v>
      </c>
    </row>
    <row r="126" spans="2:12" ht="63" customHeight="1" x14ac:dyDescent="0.3">
      <c r="B126" s="2218" t="s">
        <v>842</v>
      </c>
      <c r="C126" s="2218"/>
      <c r="D126" s="2218"/>
      <c r="E126" s="2218"/>
      <c r="F126" s="2218"/>
      <c r="G126" s="2218"/>
      <c r="H126" s="2218"/>
      <c r="I126" s="2218"/>
      <c r="J126" s="2218"/>
      <c r="K126" s="2218"/>
    </row>
    <row r="127" spans="2:12" x14ac:dyDescent="0.3">
      <c r="B127" s="387" t="s">
        <v>843</v>
      </c>
      <c r="C127" s="387">
        <v>0</v>
      </c>
      <c r="D127" s="387">
        <v>0</v>
      </c>
      <c r="E127" s="387">
        <v>0</v>
      </c>
      <c r="F127" s="387">
        <v>0</v>
      </c>
      <c r="G127" s="387">
        <v>0</v>
      </c>
      <c r="H127" s="387">
        <v>0</v>
      </c>
      <c r="I127" s="387">
        <v>0</v>
      </c>
      <c r="J127" s="387">
        <v>0</v>
      </c>
      <c r="K127" s="387">
        <v>0</v>
      </c>
      <c r="L127" s="388" t="s">
        <v>719</v>
      </c>
    </row>
    <row r="128" spans="2:12" ht="31.5" customHeight="1" x14ac:dyDescent="0.3">
      <c r="B128" s="2218" t="s">
        <v>844</v>
      </c>
      <c r="C128" s="2218"/>
      <c r="D128" s="2218"/>
      <c r="E128" s="2218"/>
      <c r="F128" s="2218"/>
      <c r="G128" s="2218"/>
      <c r="H128" s="2218"/>
      <c r="I128" s="2218"/>
      <c r="J128" s="2218"/>
      <c r="K128" s="2218"/>
    </row>
    <row r="129" spans="2:12" x14ac:dyDescent="0.3">
      <c r="B129" s="387" t="s">
        <v>845</v>
      </c>
      <c r="C129" s="387">
        <v>25</v>
      </c>
      <c r="D129" s="387">
        <v>25</v>
      </c>
      <c r="E129" s="387">
        <v>25</v>
      </c>
      <c r="F129" s="387">
        <v>25</v>
      </c>
      <c r="G129" s="387">
        <v>14</v>
      </c>
      <c r="H129" s="387">
        <v>14</v>
      </c>
      <c r="I129" s="387">
        <v>14</v>
      </c>
      <c r="J129" s="387">
        <v>14</v>
      </c>
      <c r="K129" s="387">
        <v>14</v>
      </c>
      <c r="L129" s="388" t="s">
        <v>719</v>
      </c>
    </row>
    <row r="130" spans="2:12" ht="42" customHeight="1" x14ac:dyDescent="0.3">
      <c r="B130" s="2218" t="s">
        <v>846</v>
      </c>
      <c r="C130" s="2218"/>
      <c r="D130" s="2218"/>
      <c r="E130" s="2218"/>
      <c r="F130" s="2218"/>
      <c r="G130" s="2218"/>
      <c r="H130" s="2218"/>
      <c r="I130" s="2218"/>
      <c r="J130" s="2218"/>
      <c r="K130" s="2218"/>
    </row>
    <row r="131" spans="2:12" x14ac:dyDescent="0.3">
      <c r="B131" s="387" t="s">
        <v>847</v>
      </c>
      <c r="C131" s="387">
        <v>30</v>
      </c>
      <c r="D131" s="387">
        <v>30</v>
      </c>
      <c r="E131" s="387">
        <v>30</v>
      </c>
      <c r="F131" s="387">
        <v>20</v>
      </c>
      <c r="G131" s="387">
        <v>20</v>
      </c>
      <c r="H131" s="387">
        <v>20</v>
      </c>
      <c r="I131" s="387">
        <v>20</v>
      </c>
      <c r="J131" s="387">
        <v>20</v>
      </c>
      <c r="K131" s="387">
        <v>20</v>
      </c>
      <c r="L131" s="388" t="s">
        <v>719</v>
      </c>
    </row>
    <row r="132" spans="2:12" ht="31.5" customHeight="1" x14ac:dyDescent="0.3">
      <c r="B132" s="2218" t="s">
        <v>848</v>
      </c>
      <c r="C132" s="2218"/>
      <c r="D132" s="2218"/>
      <c r="E132" s="2218"/>
      <c r="F132" s="2218"/>
      <c r="G132" s="2218"/>
      <c r="H132" s="2218"/>
      <c r="I132" s="2218"/>
      <c r="J132" s="2218"/>
      <c r="K132" s="2218"/>
    </row>
    <row r="133" spans="2:12" x14ac:dyDescent="0.3">
      <c r="B133" s="387" t="s">
        <v>849</v>
      </c>
      <c r="C133" s="387"/>
      <c r="D133" s="387"/>
      <c r="E133" s="387"/>
      <c r="F133" s="387"/>
      <c r="G133" s="387"/>
      <c r="H133" s="387"/>
      <c r="I133" s="387">
        <v>30</v>
      </c>
      <c r="J133" s="387">
        <v>30</v>
      </c>
      <c r="K133" s="387">
        <v>30</v>
      </c>
      <c r="L133" s="388" t="s">
        <v>719</v>
      </c>
    </row>
    <row r="134" spans="2:12" ht="73.5" customHeight="1" x14ac:dyDescent="0.3">
      <c r="B134" s="2218" t="s">
        <v>850</v>
      </c>
      <c r="C134" s="2218"/>
      <c r="D134" s="2218"/>
      <c r="E134" s="2218"/>
      <c r="F134" s="2218"/>
      <c r="G134" s="2218"/>
      <c r="H134" s="2218"/>
      <c r="I134" s="2218"/>
      <c r="J134" s="2218"/>
      <c r="K134" s="2218"/>
    </row>
    <row r="135" spans="2:12" ht="21" x14ac:dyDescent="0.3">
      <c r="B135" s="387" t="s">
        <v>851</v>
      </c>
      <c r="C135" s="387">
        <v>27.5</v>
      </c>
      <c r="D135" s="387">
        <v>27.5</v>
      </c>
      <c r="E135" s="387">
        <v>27.5</v>
      </c>
      <c r="F135" s="387">
        <v>24.2</v>
      </c>
      <c r="G135" s="387">
        <v>24.2</v>
      </c>
      <c r="H135" s="387">
        <v>22</v>
      </c>
      <c r="I135" s="387">
        <v>24.2</v>
      </c>
      <c r="J135" s="387">
        <v>24.2</v>
      </c>
      <c r="K135" s="389">
        <v>24.2</v>
      </c>
      <c r="L135" s="388" t="s">
        <v>719</v>
      </c>
    </row>
    <row r="136" spans="2:12" ht="31.5" customHeight="1" x14ac:dyDescent="0.3">
      <c r="B136" s="2218" t="s">
        <v>852</v>
      </c>
      <c r="C136" s="2218"/>
      <c r="D136" s="2218"/>
      <c r="E136" s="2218"/>
      <c r="F136" s="2218"/>
      <c r="G136" s="2218"/>
      <c r="H136" s="2218"/>
      <c r="I136" s="2218"/>
      <c r="J136" s="2218"/>
      <c r="K136" s="2218"/>
    </row>
    <row r="137" spans="2:12" x14ac:dyDescent="0.3">
      <c r="B137" s="387" t="s">
        <v>853</v>
      </c>
      <c r="C137" s="387">
        <v>55</v>
      </c>
      <c r="D137" s="387">
        <v>55</v>
      </c>
      <c r="E137" s="387">
        <v>55</v>
      </c>
      <c r="F137" s="387">
        <v>15</v>
      </c>
      <c r="G137" s="387">
        <v>15</v>
      </c>
      <c r="H137" s="387">
        <v>15</v>
      </c>
      <c r="I137" s="387">
        <v>15</v>
      </c>
      <c r="J137" s="387">
        <v>15</v>
      </c>
      <c r="K137" s="387">
        <v>15</v>
      </c>
      <c r="L137" s="388" t="s">
        <v>719</v>
      </c>
    </row>
    <row r="138" spans="2:12" ht="21" customHeight="1" x14ac:dyDescent="0.3">
      <c r="B138" s="2218" t="s">
        <v>854</v>
      </c>
      <c r="C138" s="2218"/>
      <c r="D138" s="2218"/>
      <c r="E138" s="2218"/>
      <c r="F138" s="2218"/>
      <c r="G138" s="2218"/>
      <c r="H138" s="2218"/>
      <c r="I138" s="2218"/>
      <c r="J138" s="2218"/>
      <c r="K138" s="2218"/>
    </row>
    <row r="139" spans="2:12" x14ac:dyDescent="0.3">
      <c r="B139" s="387" t="s">
        <v>855</v>
      </c>
      <c r="C139" s="387">
        <v>15</v>
      </c>
      <c r="D139" s="387">
        <v>15</v>
      </c>
      <c r="E139" s="387">
        <v>15</v>
      </c>
      <c r="F139" s="387">
        <v>15</v>
      </c>
      <c r="G139" s="387">
        <v>15</v>
      </c>
      <c r="H139" s="387">
        <v>15</v>
      </c>
      <c r="I139" s="387">
        <v>15</v>
      </c>
      <c r="J139" s="387">
        <v>15</v>
      </c>
      <c r="K139" s="387">
        <v>15</v>
      </c>
      <c r="L139" s="388" t="s">
        <v>719</v>
      </c>
    </row>
    <row r="140" spans="2:12" ht="42" customHeight="1" x14ac:dyDescent="0.3">
      <c r="B140" s="2218" t="s">
        <v>856</v>
      </c>
      <c r="C140" s="2218"/>
      <c r="D140" s="2218"/>
      <c r="E140" s="2218"/>
      <c r="F140" s="2218"/>
      <c r="G140" s="2218"/>
      <c r="H140" s="2218"/>
      <c r="I140" s="2218"/>
      <c r="J140" s="2218"/>
      <c r="K140" s="2218"/>
    </row>
    <row r="141" spans="2:12" x14ac:dyDescent="0.3">
      <c r="B141" s="387" t="s">
        <v>857</v>
      </c>
      <c r="C141" s="387"/>
      <c r="D141" s="387"/>
      <c r="E141" s="387"/>
      <c r="F141" s="387"/>
      <c r="G141" s="387"/>
      <c r="H141" s="387"/>
      <c r="I141" s="387"/>
      <c r="J141" s="387">
        <v>15</v>
      </c>
      <c r="K141" s="387">
        <v>15</v>
      </c>
      <c r="L141" s="387"/>
    </row>
    <row r="142" spans="2:12" x14ac:dyDescent="0.3">
      <c r="B142" s="2218"/>
      <c r="C142" s="2218"/>
      <c r="D142" s="2218"/>
      <c r="E142" s="2218"/>
      <c r="F142" s="2218"/>
      <c r="G142" s="2218"/>
      <c r="H142" s="2218"/>
      <c r="I142" s="2218"/>
      <c r="J142" s="2218"/>
      <c r="K142" s="2218"/>
    </row>
    <row r="143" spans="2:12" x14ac:dyDescent="0.3">
      <c r="B143" s="387" t="s">
        <v>858</v>
      </c>
      <c r="C143" s="387"/>
      <c r="D143" s="387">
        <v>40</v>
      </c>
      <c r="E143" s="387">
        <v>40</v>
      </c>
      <c r="F143" s="387">
        <v>40</v>
      </c>
      <c r="G143" s="387">
        <v>40</v>
      </c>
      <c r="H143" s="387">
        <v>20</v>
      </c>
      <c r="I143" s="387">
        <v>20</v>
      </c>
      <c r="J143" s="387">
        <v>20</v>
      </c>
      <c r="K143" s="387">
        <v>20</v>
      </c>
      <c r="L143" s="388" t="s">
        <v>719</v>
      </c>
    </row>
    <row r="144" spans="2:12" x14ac:dyDescent="0.3">
      <c r="B144" s="2218" t="s">
        <v>859</v>
      </c>
      <c r="C144" s="2218"/>
      <c r="D144" s="2218"/>
      <c r="E144" s="2218"/>
      <c r="F144" s="2218"/>
      <c r="G144" s="2218"/>
      <c r="H144" s="2218"/>
      <c r="I144" s="2218"/>
      <c r="J144" s="2218"/>
      <c r="K144" s="2218"/>
    </row>
    <row r="145" spans="2:12" ht="21" x14ac:dyDescent="0.3">
      <c r="B145" s="387" t="s">
        <v>860</v>
      </c>
      <c r="C145" s="387"/>
      <c r="D145" s="387"/>
      <c r="E145" s="387"/>
      <c r="F145" s="387"/>
      <c r="G145" s="387"/>
      <c r="H145" s="387">
        <v>12.5</v>
      </c>
      <c r="I145" s="387">
        <v>12.5</v>
      </c>
      <c r="J145" s="387">
        <v>12.5</v>
      </c>
      <c r="K145" s="387">
        <v>12.5</v>
      </c>
      <c r="L145" s="388" t="s">
        <v>719</v>
      </c>
    </row>
    <row r="146" spans="2:12" x14ac:dyDescent="0.3">
      <c r="B146" s="2218" t="s">
        <v>861</v>
      </c>
      <c r="C146" s="2218"/>
      <c r="D146" s="2218"/>
      <c r="E146" s="2218"/>
      <c r="F146" s="2218"/>
      <c r="G146" s="2218"/>
      <c r="H146" s="2218"/>
      <c r="I146" s="2218"/>
      <c r="J146" s="2218"/>
      <c r="K146" s="2218"/>
    </row>
    <row r="147" spans="2:12" x14ac:dyDescent="0.3">
      <c r="B147" s="387" t="s">
        <v>862</v>
      </c>
      <c r="C147" s="387">
        <v>15</v>
      </c>
      <c r="D147" s="387">
        <v>15</v>
      </c>
      <c r="E147" s="387">
        <v>15</v>
      </c>
      <c r="F147" s="387">
        <v>20</v>
      </c>
      <c r="G147" s="387">
        <v>15</v>
      </c>
      <c r="H147" s="387">
        <v>15</v>
      </c>
      <c r="I147" s="387">
        <v>15</v>
      </c>
      <c r="J147" s="387">
        <v>15</v>
      </c>
      <c r="K147" s="387">
        <v>15</v>
      </c>
      <c r="L147" s="388" t="s">
        <v>719</v>
      </c>
    </row>
    <row r="148" spans="2:12" ht="73.5" customHeight="1" x14ac:dyDescent="0.3">
      <c r="B148" s="2218" t="s">
        <v>863</v>
      </c>
      <c r="C148" s="2218"/>
      <c r="D148" s="2218"/>
      <c r="E148" s="2218"/>
      <c r="F148" s="2218"/>
      <c r="G148" s="2218"/>
      <c r="H148" s="2218"/>
      <c r="I148" s="2218"/>
      <c r="J148" s="2218"/>
      <c r="K148" s="2218"/>
    </row>
    <row r="149" spans="2:12" ht="21" x14ac:dyDescent="0.3">
      <c r="B149" s="387" t="s">
        <v>864</v>
      </c>
      <c r="C149" s="387">
        <v>29.63</v>
      </c>
      <c r="D149" s="387">
        <v>29.63</v>
      </c>
      <c r="E149" s="387">
        <v>29.63</v>
      </c>
      <c r="F149" s="387">
        <v>28.59</v>
      </c>
      <c r="G149" s="387">
        <v>28.59</v>
      </c>
      <c r="H149" s="387">
        <v>28.8</v>
      </c>
      <c r="I149" s="387">
        <v>28.8</v>
      </c>
      <c r="J149" s="387">
        <v>29.22</v>
      </c>
      <c r="K149" s="387">
        <v>29.22</v>
      </c>
      <c r="L149" s="388" t="s">
        <v>719</v>
      </c>
    </row>
    <row r="150" spans="2:12" ht="31.5" customHeight="1" x14ac:dyDescent="0.3">
      <c r="B150" s="2218" t="s">
        <v>865</v>
      </c>
      <c r="C150" s="2218"/>
      <c r="D150" s="2218"/>
      <c r="E150" s="2218"/>
      <c r="F150" s="2218"/>
      <c r="G150" s="2218"/>
      <c r="H150" s="2218"/>
      <c r="I150" s="2218"/>
      <c r="J150" s="2218"/>
      <c r="K150" s="2218"/>
    </row>
    <row r="151" spans="2:12" x14ac:dyDescent="0.3">
      <c r="B151" s="387" t="s">
        <v>866</v>
      </c>
      <c r="C151" s="387">
        <v>12</v>
      </c>
      <c r="D151" s="387">
        <v>12</v>
      </c>
      <c r="E151" s="387">
        <v>12</v>
      </c>
      <c r="F151" s="387">
        <v>12</v>
      </c>
      <c r="G151" s="387">
        <v>12</v>
      </c>
      <c r="H151" s="387">
        <v>12</v>
      </c>
      <c r="I151" s="387">
        <v>12</v>
      </c>
      <c r="J151" s="387">
        <v>12</v>
      </c>
      <c r="K151" s="387">
        <v>12</v>
      </c>
      <c r="L151" s="388" t="s">
        <v>719</v>
      </c>
    </row>
    <row r="152" spans="2:12" ht="21" customHeight="1" x14ac:dyDescent="0.3">
      <c r="B152" s="2218" t="s">
        <v>867</v>
      </c>
      <c r="C152" s="2218"/>
      <c r="D152" s="2218"/>
      <c r="E152" s="2218"/>
      <c r="F152" s="2218"/>
      <c r="G152" s="2218"/>
      <c r="H152" s="2218"/>
      <c r="I152" s="2218"/>
      <c r="J152" s="2218"/>
      <c r="K152" s="2218"/>
    </row>
    <row r="153" spans="2:12" ht="21" x14ac:dyDescent="0.3">
      <c r="B153" s="387" t="s">
        <v>868</v>
      </c>
      <c r="C153" s="387">
        <v>15</v>
      </c>
      <c r="D153" s="387">
        <v>12</v>
      </c>
      <c r="E153" s="387">
        <v>10</v>
      </c>
      <c r="F153" s="387">
        <v>10</v>
      </c>
      <c r="G153" s="387">
        <v>10</v>
      </c>
      <c r="H153" s="387">
        <v>10</v>
      </c>
      <c r="I153" s="387">
        <v>10</v>
      </c>
      <c r="J153" s="387">
        <v>10</v>
      </c>
      <c r="K153" s="387">
        <v>10</v>
      </c>
      <c r="L153" s="388" t="s">
        <v>719</v>
      </c>
    </row>
    <row r="154" spans="2:12" ht="63" customHeight="1" x14ac:dyDescent="0.3">
      <c r="B154" s="2218" t="s">
        <v>869</v>
      </c>
      <c r="C154" s="2218"/>
      <c r="D154" s="2218"/>
      <c r="E154" s="2218"/>
      <c r="F154" s="2218"/>
      <c r="G154" s="2218"/>
      <c r="H154" s="2218"/>
      <c r="I154" s="2218"/>
      <c r="J154" s="2218"/>
      <c r="K154" s="2218"/>
    </row>
    <row r="155" spans="2:12" x14ac:dyDescent="0.3">
      <c r="B155" s="387" t="s">
        <v>870</v>
      </c>
      <c r="C155" s="387"/>
      <c r="D155" s="387"/>
      <c r="E155" s="387"/>
      <c r="F155" s="387"/>
      <c r="G155" s="387"/>
      <c r="H155" s="387"/>
      <c r="I155" s="387">
        <v>30</v>
      </c>
      <c r="J155" s="387">
        <v>30</v>
      </c>
      <c r="K155" s="387">
        <v>30</v>
      </c>
      <c r="L155" s="388" t="s">
        <v>719</v>
      </c>
    </row>
    <row r="156" spans="2:12" ht="21" customHeight="1" x14ac:dyDescent="0.3">
      <c r="B156" s="2218" t="s">
        <v>871</v>
      </c>
      <c r="C156" s="2218"/>
      <c r="D156" s="2218"/>
      <c r="E156" s="2218"/>
      <c r="F156" s="2218"/>
      <c r="G156" s="2218"/>
      <c r="H156" s="2218"/>
      <c r="I156" s="2218"/>
      <c r="J156" s="2218"/>
      <c r="K156" s="2218"/>
    </row>
    <row r="157" spans="2:12" x14ac:dyDescent="0.3">
      <c r="B157" s="387" t="s">
        <v>872</v>
      </c>
      <c r="C157" s="387">
        <v>28</v>
      </c>
      <c r="D157" s="387">
        <v>27</v>
      </c>
      <c r="E157" s="387">
        <v>26</v>
      </c>
      <c r="F157" s="387">
        <v>25</v>
      </c>
      <c r="G157" s="387">
        <v>25</v>
      </c>
      <c r="H157" s="387">
        <v>25</v>
      </c>
      <c r="I157" s="387">
        <v>25</v>
      </c>
      <c r="J157" s="387">
        <v>25</v>
      </c>
      <c r="K157" s="387">
        <v>25</v>
      </c>
      <c r="L157" s="388" t="s">
        <v>719</v>
      </c>
    </row>
    <row r="158" spans="2:12" ht="94.5" customHeight="1" x14ac:dyDescent="0.3">
      <c r="B158" s="2218" t="s">
        <v>873</v>
      </c>
      <c r="C158" s="2218"/>
      <c r="D158" s="2218"/>
      <c r="E158" s="2218"/>
      <c r="F158" s="2218"/>
      <c r="G158" s="2218"/>
      <c r="H158" s="2218"/>
      <c r="I158" s="2218"/>
      <c r="J158" s="2218"/>
      <c r="K158" s="2218"/>
    </row>
    <row r="159" spans="2:12" x14ac:dyDescent="0.3">
      <c r="B159" s="387" t="s">
        <v>874</v>
      </c>
      <c r="C159" s="387">
        <v>35</v>
      </c>
      <c r="D159" s="387">
        <v>35</v>
      </c>
      <c r="E159" s="387">
        <v>35</v>
      </c>
      <c r="F159" s="387">
        <v>35</v>
      </c>
      <c r="G159" s="387">
        <v>35</v>
      </c>
      <c r="H159" s="387">
        <v>35</v>
      </c>
      <c r="I159" s="387">
        <v>35</v>
      </c>
      <c r="J159" s="387">
        <v>35</v>
      </c>
      <c r="K159" s="387">
        <v>35</v>
      </c>
      <c r="L159" s="388" t="s">
        <v>719</v>
      </c>
    </row>
    <row r="160" spans="2:12" ht="94.5" customHeight="1" x14ac:dyDescent="0.3">
      <c r="B160" s="2218" t="s">
        <v>875</v>
      </c>
      <c r="C160" s="2218"/>
      <c r="D160" s="2218"/>
      <c r="E160" s="2218"/>
      <c r="F160" s="2218"/>
      <c r="G160" s="2218"/>
      <c r="H160" s="2218"/>
      <c r="I160" s="2218"/>
      <c r="J160" s="2218"/>
      <c r="K160" s="2218"/>
    </row>
    <row r="161" spans="2:12" x14ac:dyDescent="0.3">
      <c r="B161" s="387" t="s">
        <v>876</v>
      </c>
      <c r="C161" s="387">
        <v>25</v>
      </c>
      <c r="D161" s="387">
        <v>22.5</v>
      </c>
      <c r="E161" s="387">
        <v>15</v>
      </c>
      <c r="F161" s="387">
        <v>15</v>
      </c>
      <c r="G161" s="387">
        <v>15</v>
      </c>
      <c r="H161" s="387">
        <v>15</v>
      </c>
      <c r="I161" s="387">
        <v>15</v>
      </c>
      <c r="J161" s="387">
        <v>15</v>
      </c>
      <c r="K161" s="387">
        <v>15</v>
      </c>
      <c r="L161" s="388" t="s">
        <v>719</v>
      </c>
    </row>
    <row r="162" spans="2:12" x14ac:dyDescent="0.3">
      <c r="B162" s="2218" t="s">
        <v>877</v>
      </c>
      <c r="C162" s="2218"/>
      <c r="D162" s="2218"/>
      <c r="E162" s="2218"/>
      <c r="F162" s="2218"/>
      <c r="G162" s="2218"/>
      <c r="H162" s="2218"/>
      <c r="I162" s="2218"/>
      <c r="J162" s="2218"/>
      <c r="K162" s="2218"/>
    </row>
    <row r="163" spans="2:12" x14ac:dyDescent="0.3">
      <c r="B163" s="387" t="s">
        <v>878</v>
      </c>
      <c r="C163" s="387">
        <v>29</v>
      </c>
      <c r="D163" s="387">
        <v>28</v>
      </c>
      <c r="E163" s="387">
        <v>28</v>
      </c>
      <c r="F163" s="387">
        <v>28</v>
      </c>
      <c r="G163" s="387">
        <v>30</v>
      </c>
      <c r="H163" s="387">
        <v>30</v>
      </c>
      <c r="I163" s="387">
        <v>30</v>
      </c>
      <c r="J163" s="387">
        <v>30</v>
      </c>
      <c r="K163" s="387">
        <v>30</v>
      </c>
      <c r="L163" s="388" t="s">
        <v>719</v>
      </c>
    </row>
    <row r="164" spans="2:12" ht="21" customHeight="1" x14ac:dyDescent="0.3">
      <c r="B164" s="2218" t="s">
        <v>879</v>
      </c>
      <c r="C164" s="2218"/>
      <c r="D164" s="2218"/>
      <c r="E164" s="2218"/>
      <c r="F164" s="2218"/>
      <c r="G164" s="2218"/>
      <c r="H164" s="2218"/>
      <c r="I164" s="2218"/>
      <c r="J164" s="2218"/>
      <c r="K164" s="2218"/>
    </row>
    <row r="165" spans="2:12" x14ac:dyDescent="0.3">
      <c r="B165" s="387" t="s">
        <v>880</v>
      </c>
      <c r="C165" s="387">
        <v>9</v>
      </c>
      <c r="D165" s="387">
        <v>9</v>
      </c>
      <c r="E165" s="387">
        <v>9</v>
      </c>
      <c r="F165" s="387">
        <v>9</v>
      </c>
      <c r="G165" s="387">
        <v>9</v>
      </c>
      <c r="H165" s="387">
        <v>9</v>
      </c>
      <c r="I165" s="387">
        <v>9</v>
      </c>
      <c r="J165" s="387">
        <v>9</v>
      </c>
      <c r="K165" s="387">
        <v>9</v>
      </c>
      <c r="L165" s="388" t="s">
        <v>719</v>
      </c>
    </row>
    <row r="166" spans="2:12" ht="52.5" customHeight="1" x14ac:dyDescent="0.3">
      <c r="B166" s="2218" t="s">
        <v>881</v>
      </c>
      <c r="C166" s="2218"/>
      <c r="D166" s="2218"/>
      <c r="E166" s="2218"/>
      <c r="F166" s="2218"/>
      <c r="G166" s="2218"/>
      <c r="H166" s="2218"/>
      <c r="I166" s="2218"/>
      <c r="J166" s="2218"/>
      <c r="K166" s="2218"/>
    </row>
    <row r="167" spans="2:12" x14ac:dyDescent="0.3">
      <c r="B167" s="387" t="s">
        <v>882</v>
      </c>
      <c r="C167" s="387"/>
      <c r="D167" s="387"/>
      <c r="E167" s="387"/>
      <c r="F167" s="387"/>
      <c r="G167" s="387"/>
      <c r="H167" s="387"/>
      <c r="I167" s="387"/>
      <c r="J167" s="387">
        <v>30</v>
      </c>
      <c r="K167" s="387">
        <v>30</v>
      </c>
      <c r="L167" s="388" t="s">
        <v>719</v>
      </c>
    </row>
    <row r="168" spans="2:12" ht="136.5" customHeight="1" x14ac:dyDescent="0.3">
      <c r="B168" s="2218" t="s">
        <v>883</v>
      </c>
      <c r="C168" s="2218"/>
      <c r="D168" s="2218"/>
      <c r="E168" s="2218"/>
      <c r="F168" s="2218"/>
      <c r="G168" s="2218"/>
      <c r="H168" s="2218"/>
      <c r="I168" s="2218"/>
      <c r="J168" s="2218"/>
      <c r="K168" s="2218"/>
    </row>
    <row r="169" spans="2:12" ht="21" x14ac:dyDescent="0.3">
      <c r="B169" s="387" t="s">
        <v>884</v>
      </c>
      <c r="C169" s="387">
        <v>32</v>
      </c>
      <c r="D169" s="387">
        <v>32</v>
      </c>
      <c r="E169" s="387">
        <v>32</v>
      </c>
      <c r="F169" s="387">
        <v>32</v>
      </c>
      <c r="G169" s="387">
        <v>32</v>
      </c>
      <c r="H169" s="387">
        <v>32</v>
      </c>
      <c r="I169" s="387">
        <v>32</v>
      </c>
      <c r="J169" s="387">
        <v>32</v>
      </c>
      <c r="K169" s="387">
        <v>32</v>
      </c>
      <c r="L169" s="388" t="s">
        <v>719</v>
      </c>
    </row>
    <row r="170" spans="2:12" ht="21" customHeight="1" x14ac:dyDescent="0.3">
      <c r="B170" s="2218" t="s">
        <v>885</v>
      </c>
      <c r="C170" s="2218"/>
      <c r="D170" s="2218"/>
      <c r="E170" s="2218"/>
      <c r="F170" s="2218"/>
      <c r="G170" s="2218"/>
      <c r="H170" s="2218"/>
      <c r="I170" s="2218"/>
      <c r="J170" s="2218"/>
      <c r="K170" s="2218"/>
    </row>
    <row r="171" spans="2:12" x14ac:dyDescent="0.3">
      <c r="B171" s="387" t="s">
        <v>886</v>
      </c>
      <c r="C171" s="387"/>
      <c r="D171" s="387"/>
      <c r="E171" s="387"/>
      <c r="F171" s="387"/>
      <c r="G171" s="387"/>
      <c r="H171" s="387">
        <v>34</v>
      </c>
      <c r="I171" s="387">
        <v>34</v>
      </c>
      <c r="J171" s="387">
        <v>33</v>
      </c>
      <c r="K171" s="387">
        <v>33</v>
      </c>
      <c r="L171" s="388" t="s">
        <v>719</v>
      </c>
    </row>
    <row r="172" spans="2:12" ht="31.5" customHeight="1" x14ac:dyDescent="0.3">
      <c r="B172" s="2218" t="s">
        <v>887</v>
      </c>
      <c r="C172" s="2218"/>
      <c r="D172" s="2218"/>
      <c r="E172" s="2218"/>
      <c r="F172" s="2218"/>
      <c r="G172" s="2218"/>
      <c r="H172" s="2218"/>
      <c r="I172" s="2218"/>
      <c r="J172" s="2218"/>
      <c r="K172" s="2218"/>
    </row>
    <row r="173" spans="2:12" ht="21" x14ac:dyDescent="0.3">
      <c r="B173" s="387" t="s">
        <v>888</v>
      </c>
      <c r="C173" s="387">
        <v>29.6</v>
      </c>
      <c r="D173" s="387">
        <v>25.5</v>
      </c>
      <c r="E173" s="387">
        <v>25.5</v>
      </c>
      <c r="F173" s="387">
        <v>25.5</v>
      </c>
      <c r="G173" s="387">
        <v>25.5</v>
      </c>
      <c r="H173" s="387">
        <v>25</v>
      </c>
      <c r="I173" s="387">
        <v>25</v>
      </c>
      <c r="J173" s="387">
        <v>25</v>
      </c>
      <c r="K173" s="387">
        <v>25</v>
      </c>
      <c r="L173" s="388" t="s">
        <v>719</v>
      </c>
    </row>
    <row r="174" spans="2:12" ht="21" customHeight="1" x14ac:dyDescent="0.3">
      <c r="B174" s="2218" t="s">
        <v>889</v>
      </c>
      <c r="C174" s="2218"/>
      <c r="D174" s="2218"/>
      <c r="E174" s="2218"/>
      <c r="F174" s="2218"/>
      <c r="G174" s="2218"/>
      <c r="H174" s="2218"/>
      <c r="I174" s="2218"/>
      <c r="J174" s="2218"/>
      <c r="K174" s="2218"/>
    </row>
    <row r="175" spans="2:12" ht="21" x14ac:dyDescent="0.3">
      <c r="B175" s="387" t="s">
        <v>890</v>
      </c>
      <c r="C175" s="387">
        <v>33</v>
      </c>
      <c r="D175" s="387">
        <v>33</v>
      </c>
      <c r="E175" s="387">
        <v>30</v>
      </c>
      <c r="F175" s="387">
        <v>30</v>
      </c>
      <c r="G175" s="387">
        <v>30</v>
      </c>
      <c r="H175" s="387">
        <v>28</v>
      </c>
      <c r="I175" s="387">
        <v>28</v>
      </c>
      <c r="J175" s="387">
        <v>28</v>
      </c>
      <c r="K175" s="387">
        <v>28</v>
      </c>
      <c r="L175" s="388" t="s">
        <v>719</v>
      </c>
    </row>
    <row r="176" spans="2:12" ht="52.5" customHeight="1" x14ac:dyDescent="0.3">
      <c r="B176" s="2218" t="s">
        <v>891</v>
      </c>
      <c r="C176" s="2218"/>
      <c r="D176" s="2218"/>
      <c r="E176" s="2218"/>
      <c r="F176" s="2218"/>
      <c r="G176" s="2218"/>
      <c r="H176" s="2218"/>
      <c r="I176" s="2218"/>
      <c r="J176" s="2218"/>
      <c r="K176" s="2218"/>
    </row>
    <row r="177" spans="2:12" x14ac:dyDescent="0.3">
      <c r="B177" s="387" t="s">
        <v>892</v>
      </c>
      <c r="C177" s="387">
        <v>30</v>
      </c>
      <c r="D177" s="387">
        <v>30</v>
      </c>
      <c r="E177" s="387">
        <v>30</v>
      </c>
      <c r="F177" s="387">
        <v>30</v>
      </c>
      <c r="G177" s="387">
        <v>30</v>
      </c>
      <c r="H177" s="387">
        <v>30</v>
      </c>
      <c r="I177" s="387">
        <v>30</v>
      </c>
      <c r="J177" s="387">
        <v>30</v>
      </c>
      <c r="K177" s="387">
        <v>30</v>
      </c>
      <c r="L177" s="388" t="s">
        <v>719</v>
      </c>
    </row>
    <row r="178" spans="2:12" ht="31.5" customHeight="1" x14ac:dyDescent="0.3">
      <c r="B178" s="2218" t="s">
        <v>893</v>
      </c>
      <c r="C178" s="2218"/>
      <c r="D178" s="2218"/>
      <c r="E178" s="2218"/>
      <c r="F178" s="2218"/>
      <c r="G178" s="2218"/>
      <c r="H178" s="2218"/>
      <c r="I178" s="2218"/>
      <c r="J178" s="2218"/>
      <c r="K178" s="2218"/>
    </row>
    <row r="179" spans="2:12" x14ac:dyDescent="0.3">
      <c r="B179" s="387" t="s">
        <v>894</v>
      </c>
      <c r="C179" s="387">
        <v>28</v>
      </c>
      <c r="D179" s="387">
        <v>28</v>
      </c>
      <c r="E179" s="387">
        <v>28</v>
      </c>
      <c r="F179" s="387">
        <v>28</v>
      </c>
      <c r="G179" s="387">
        <v>28</v>
      </c>
      <c r="H179" s="387">
        <v>28</v>
      </c>
      <c r="I179" s="387">
        <v>28</v>
      </c>
      <c r="J179" s="387">
        <v>28</v>
      </c>
      <c r="K179" s="387">
        <v>27</v>
      </c>
      <c r="L179" s="388" t="s">
        <v>719</v>
      </c>
    </row>
    <row r="180" spans="2:12" x14ac:dyDescent="0.3">
      <c r="B180" s="2218" t="s">
        <v>895</v>
      </c>
      <c r="C180" s="2218"/>
      <c r="D180" s="2218"/>
      <c r="E180" s="2218"/>
      <c r="F180" s="2218"/>
      <c r="G180" s="2218"/>
      <c r="H180" s="2218"/>
      <c r="I180" s="2218"/>
      <c r="J180" s="2218"/>
      <c r="K180" s="2218"/>
    </row>
    <row r="181" spans="2:12" x14ac:dyDescent="0.3">
      <c r="B181" s="387" t="s">
        <v>896</v>
      </c>
      <c r="C181" s="387">
        <v>12</v>
      </c>
      <c r="D181" s="387">
        <v>12</v>
      </c>
      <c r="E181" s="387">
        <v>12</v>
      </c>
      <c r="F181" s="387">
        <v>12</v>
      </c>
      <c r="G181" s="387">
        <v>12</v>
      </c>
      <c r="H181" s="387">
        <v>12</v>
      </c>
      <c r="I181" s="387">
        <v>12</v>
      </c>
      <c r="J181" s="387">
        <v>12</v>
      </c>
      <c r="K181" s="387">
        <v>12</v>
      </c>
      <c r="L181" s="388" t="s">
        <v>719</v>
      </c>
    </row>
    <row r="182" spans="2:12" ht="42" customHeight="1" x14ac:dyDescent="0.3">
      <c r="B182" s="2218" t="s">
        <v>897</v>
      </c>
      <c r="C182" s="2218"/>
      <c r="D182" s="2218"/>
      <c r="E182" s="2218"/>
      <c r="F182" s="2218"/>
      <c r="G182" s="2218"/>
      <c r="H182" s="2218"/>
      <c r="I182" s="2218"/>
      <c r="J182" s="2218"/>
      <c r="K182" s="2218"/>
    </row>
    <row r="183" spans="2:12" x14ac:dyDescent="0.3">
      <c r="B183" s="387" t="s">
        <v>898</v>
      </c>
      <c r="C183" s="387">
        <v>35</v>
      </c>
      <c r="D183" s="387">
        <v>35</v>
      </c>
      <c r="E183" s="387">
        <v>35</v>
      </c>
      <c r="F183" s="387">
        <v>35</v>
      </c>
      <c r="G183" s="387">
        <v>35</v>
      </c>
      <c r="H183" s="387">
        <v>35</v>
      </c>
      <c r="I183" s="387">
        <v>35</v>
      </c>
      <c r="J183" s="387">
        <v>35</v>
      </c>
      <c r="K183" s="387">
        <v>34</v>
      </c>
      <c r="L183" s="388" t="s">
        <v>719</v>
      </c>
    </row>
    <row r="184" spans="2:12" ht="31.5" customHeight="1" x14ac:dyDescent="0.3">
      <c r="B184" s="2218" t="s">
        <v>899</v>
      </c>
      <c r="C184" s="2218"/>
      <c r="D184" s="2218"/>
      <c r="E184" s="2218"/>
      <c r="F184" s="2218"/>
      <c r="G184" s="2218"/>
      <c r="H184" s="2218"/>
      <c r="I184" s="2218"/>
      <c r="J184" s="2218"/>
      <c r="K184" s="2218"/>
    </row>
    <row r="185" spans="2:12" x14ac:dyDescent="0.3">
      <c r="B185" s="387" t="s">
        <v>900</v>
      </c>
      <c r="C185" s="387">
        <v>30</v>
      </c>
      <c r="D185" s="387">
        <v>30</v>
      </c>
      <c r="E185" s="387">
        <v>30</v>
      </c>
      <c r="F185" s="387">
        <v>30</v>
      </c>
      <c r="G185" s="387">
        <v>27.5</v>
      </c>
      <c r="H185" s="387">
        <v>25</v>
      </c>
      <c r="I185" s="387">
        <v>25</v>
      </c>
      <c r="J185" s="387">
        <v>25</v>
      </c>
      <c r="K185" s="387">
        <v>25</v>
      </c>
      <c r="L185" s="388" t="s">
        <v>719</v>
      </c>
    </row>
    <row r="186" spans="2:12" ht="21" customHeight="1" x14ac:dyDescent="0.3">
      <c r="B186" s="2218" t="s">
        <v>901</v>
      </c>
      <c r="C186" s="2218"/>
      <c r="D186" s="2218"/>
      <c r="E186" s="2218"/>
      <c r="F186" s="2218"/>
      <c r="G186" s="2218"/>
      <c r="H186" s="2218"/>
      <c r="I186" s="2218"/>
      <c r="J186" s="2218"/>
      <c r="K186" s="2218"/>
    </row>
    <row r="187" spans="2:12" ht="21" x14ac:dyDescent="0.3">
      <c r="B187" s="387" t="s">
        <v>902</v>
      </c>
      <c r="C187" s="387">
        <v>30</v>
      </c>
      <c r="D187" s="387">
        <v>30</v>
      </c>
      <c r="E187" s="387">
        <v>30</v>
      </c>
      <c r="F187" s="387">
        <v>30</v>
      </c>
      <c r="G187" s="387">
        <v>30</v>
      </c>
      <c r="H187" s="387">
        <v>30</v>
      </c>
      <c r="I187" s="387">
        <v>30</v>
      </c>
      <c r="J187" s="387">
        <v>30</v>
      </c>
      <c r="K187" s="387">
        <v>30</v>
      </c>
      <c r="L187" s="388" t="s">
        <v>719</v>
      </c>
    </row>
    <row r="188" spans="2:12" ht="84" customHeight="1" x14ac:dyDescent="0.3">
      <c r="B188" s="2218" t="s">
        <v>903</v>
      </c>
      <c r="C188" s="2218"/>
      <c r="D188" s="2218"/>
      <c r="E188" s="2218"/>
      <c r="F188" s="2218"/>
      <c r="G188" s="2218"/>
      <c r="H188" s="2218"/>
      <c r="I188" s="2218"/>
      <c r="J188" s="2218"/>
      <c r="K188" s="2218"/>
    </row>
    <row r="189" spans="2:12" x14ac:dyDescent="0.3">
      <c r="B189" s="387" t="s">
        <v>904</v>
      </c>
      <c r="C189" s="387">
        <v>10</v>
      </c>
      <c r="D189" s="387">
        <v>10</v>
      </c>
      <c r="E189" s="387">
        <v>10</v>
      </c>
      <c r="F189" s="387">
        <v>10</v>
      </c>
      <c r="G189" s="387">
        <v>10</v>
      </c>
      <c r="H189" s="387">
        <v>10</v>
      </c>
      <c r="I189" s="387">
        <v>10</v>
      </c>
      <c r="J189" s="387">
        <v>10</v>
      </c>
      <c r="K189" s="387">
        <v>10</v>
      </c>
      <c r="L189" s="388" t="s">
        <v>719</v>
      </c>
    </row>
    <row r="190" spans="2:12" ht="94.5" customHeight="1" x14ac:dyDescent="0.3">
      <c r="B190" s="2218" t="s">
        <v>905</v>
      </c>
      <c r="C190" s="2218"/>
      <c r="D190" s="2218"/>
      <c r="E190" s="2218"/>
      <c r="F190" s="2218"/>
      <c r="G190" s="2218"/>
      <c r="H190" s="2218"/>
      <c r="I190" s="2218"/>
      <c r="J190" s="2218"/>
      <c r="K190" s="2218"/>
    </row>
    <row r="191" spans="2:12" x14ac:dyDescent="0.3">
      <c r="B191" s="387" t="s">
        <v>906</v>
      </c>
      <c r="C191" s="387">
        <v>30</v>
      </c>
      <c r="D191" s="387">
        <v>30</v>
      </c>
      <c r="E191" s="387">
        <v>30</v>
      </c>
      <c r="F191" s="387">
        <v>30</v>
      </c>
      <c r="G191" s="387">
        <v>30</v>
      </c>
      <c r="H191" s="387">
        <v>30</v>
      </c>
      <c r="I191" s="387">
        <v>30</v>
      </c>
      <c r="J191" s="387">
        <v>30</v>
      </c>
      <c r="K191" s="387">
        <v>30</v>
      </c>
      <c r="L191" s="388" t="s">
        <v>719</v>
      </c>
    </row>
    <row r="192" spans="2:12" ht="21" customHeight="1" x14ac:dyDescent="0.3">
      <c r="B192" s="2218" t="s">
        <v>907</v>
      </c>
      <c r="C192" s="2218"/>
      <c r="D192" s="2218"/>
      <c r="E192" s="2218"/>
      <c r="F192" s="2218"/>
      <c r="G192" s="2218"/>
      <c r="H192" s="2218"/>
      <c r="I192" s="2218"/>
      <c r="J192" s="2218"/>
      <c r="K192" s="2218"/>
    </row>
    <row r="193" spans="2:12" x14ac:dyDescent="0.3">
      <c r="B193" s="387" t="s">
        <v>908</v>
      </c>
      <c r="C193" s="387">
        <v>35</v>
      </c>
      <c r="D193" s="387">
        <v>35</v>
      </c>
      <c r="E193" s="387">
        <v>35</v>
      </c>
      <c r="F193" s="387">
        <v>30</v>
      </c>
      <c r="G193" s="387">
        <v>30</v>
      </c>
      <c r="H193" s="387">
        <v>30</v>
      </c>
      <c r="I193" s="387">
        <v>30</v>
      </c>
      <c r="J193" s="387">
        <v>30</v>
      </c>
      <c r="K193" s="387">
        <v>30</v>
      </c>
      <c r="L193" s="388" t="s">
        <v>719</v>
      </c>
    </row>
    <row r="194" spans="2:12" ht="63" customHeight="1" x14ac:dyDescent="0.3">
      <c r="B194" s="2218" t="s">
        <v>909</v>
      </c>
      <c r="C194" s="2218"/>
      <c r="D194" s="2218"/>
      <c r="E194" s="2218"/>
      <c r="F194" s="2218"/>
      <c r="G194" s="2218"/>
      <c r="H194" s="2218"/>
      <c r="I194" s="2218"/>
      <c r="J194" s="2218"/>
      <c r="K194" s="2218"/>
    </row>
    <row r="195" spans="2:12" x14ac:dyDescent="0.3">
      <c r="B195" s="387" t="s">
        <v>910</v>
      </c>
      <c r="C195" s="387">
        <v>19</v>
      </c>
      <c r="D195" s="387">
        <v>19</v>
      </c>
      <c r="E195" s="387">
        <v>19</v>
      </c>
      <c r="F195" s="387">
        <v>19</v>
      </c>
      <c r="G195" s="387">
        <v>19</v>
      </c>
      <c r="H195" s="387">
        <v>19</v>
      </c>
      <c r="I195" s="387">
        <v>19</v>
      </c>
      <c r="J195" s="387">
        <v>19</v>
      </c>
      <c r="K195" s="387">
        <v>19</v>
      </c>
      <c r="L195" s="388" t="s">
        <v>719</v>
      </c>
    </row>
    <row r="196" spans="2:12" x14ac:dyDescent="0.3">
      <c r="B196" s="2218" t="s">
        <v>911</v>
      </c>
      <c r="C196" s="2218"/>
      <c r="D196" s="2218"/>
      <c r="E196" s="2218"/>
      <c r="F196" s="2218"/>
      <c r="G196" s="2218"/>
      <c r="H196" s="2218"/>
      <c r="I196" s="2218"/>
      <c r="J196" s="2218"/>
      <c r="K196" s="2218"/>
    </row>
    <row r="197" spans="2:12" x14ac:dyDescent="0.3">
      <c r="B197" s="387" t="s">
        <v>912</v>
      </c>
      <c r="C197" s="387">
        <v>27.5</v>
      </c>
      <c r="D197" s="387">
        <v>25</v>
      </c>
      <c r="E197" s="387">
        <v>25</v>
      </c>
      <c r="F197" s="387">
        <v>25</v>
      </c>
      <c r="G197" s="387">
        <v>25</v>
      </c>
      <c r="H197" s="387">
        <v>25</v>
      </c>
      <c r="I197" s="387">
        <v>25</v>
      </c>
      <c r="J197" s="387">
        <v>25</v>
      </c>
      <c r="K197" s="387">
        <v>23</v>
      </c>
      <c r="L197" s="388" t="s">
        <v>719</v>
      </c>
    </row>
    <row r="198" spans="2:12" ht="84" customHeight="1" x14ac:dyDescent="0.3">
      <c r="B198" s="2218" t="s">
        <v>913</v>
      </c>
      <c r="C198" s="2218"/>
      <c r="D198" s="2218"/>
      <c r="E198" s="2218"/>
      <c r="F198" s="2218"/>
      <c r="G198" s="2218"/>
      <c r="H198" s="2218"/>
      <c r="I198" s="2218"/>
      <c r="J198" s="2218"/>
      <c r="K198" s="2218"/>
    </row>
    <row r="199" spans="2:12" x14ac:dyDescent="0.3">
      <c r="B199" s="387" t="s">
        <v>914</v>
      </c>
      <c r="C199" s="387">
        <v>35</v>
      </c>
      <c r="D199" s="387">
        <v>35</v>
      </c>
      <c r="E199" s="387">
        <v>35</v>
      </c>
      <c r="F199" s="387">
        <v>35</v>
      </c>
      <c r="G199" s="387">
        <v>10</v>
      </c>
      <c r="H199" s="387">
        <v>10</v>
      </c>
      <c r="I199" s="387">
        <v>10</v>
      </c>
      <c r="J199" s="387">
        <v>10</v>
      </c>
      <c r="K199" s="387">
        <v>10</v>
      </c>
      <c r="L199" s="388" t="s">
        <v>719</v>
      </c>
    </row>
    <row r="200" spans="2:12" ht="21" customHeight="1" x14ac:dyDescent="0.3">
      <c r="B200" s="2218" t="s">
        <v>915</v>
      </c>
      <c r="C200" s="2218"/>
      <c r="D200" s="2218"/>
      <c r="E200" s="2218"/>
      <c r="F200" s="2218"/>
      <c r="G200" s="2218"/>
      <c r="H200" s="2218"/>
      <c r="I200" s="2218"/>
      <c r="J200" s="2218"/>
      <c r="K200" s="2218"/>
    </row>
    <row r="201" spans="2:12" x14ac:dyDescent="0.3">
      <c r="B201" s="387" t="s">
        <v>916</v>
      </c>
      <c r="C201" s="387">
        <v>16</v>
      </c>
      <c r="D201" s="387">
        <v>16</v>
      </c>
      <c r="E201" s="387">
        <v>16</v>
      </c>
      <c r="F201" s="387">
        <v>16</v>
      </c>
      <c r="G201" s="387">
        <v>16</v>
      </c>
      <c r="H201" s="387">
        <v>16</v>
      </c>
      <c r="I201" s="387">
        <v>16</v>
      </c>
      <c r="J201" s="387">
        <v>16</v>
      </c>
      <c r="K201" s="387">
        <v>16</v>
      </c>
      <c r="L201" s="388" t="s">
        <v>719</v>
      </c>
    </row>
    <row r="202" spans="2:12" ht="73.5" customHeight="1" x14ac:dyDescent="0.3">
      <c r="B202" s="2218" t="s">
        <v>917</v>
      </c>
      <c r="C202" s="2218"/>
      <c r="D202" s="2218"/>
      <c r="E202" s="2218"/>
      <c r="F202" s="2218"/>
      <c r="G202" s="2218"/>
      <c r="H202" s="2218"/>
      <c r="I202" s="2218"/>
      <c r="J202" s="2218"/>
      <c r="K202" s="2218"/>
    </row>
    <row r="203" spans="2:12" x14ac:dyDescent="0.3">
      <c r="B203" s="387" t="s">
        <v>918</v>
      </c>
      <c r="C203" s="387">
        <v>24</v>
      </c>
      <c r="D203" s="387">
        <v>24</v>
      </c>
      <c r="E203" s="387">
        <v>24</v>
      </c>
      <c r="F203" s="387">
        <v>20</v>
      </c>
      <c r="G203" s="387">
        <v>20</v>
      </c>
      <c r="H203" s="387">
        <v>20</v>
      </c>
      <c r="I203" s="387">
        <v>20</v>
      </c>
      <c r="J203" s="387">
        <v>20</v>
      </c>
      <c r="K203" s="387">
        <v>20</v>
      </c>
      <c r="L203" s="388" t="s">
        <v>719</v>
      </c>
    </row>
    <row r="204" spans="2:12" ht="31.5" customHeight="1" x14ac:dyDescent="0.3">
      <c r="B204" s="2218" t="s">
        <v>919</v>
      </c>
      <c r="C204" s="2218"/>
      <c r="D204" s="2218"/>
      <c r="E204" s="2218"/>
      <c r="F204" s="2218"/>
      <c r="G204" s="2218"/>
      <c r="H204" s="2218"/>
      <c r="I204" s="2218"/>
      <c r="J204" s="2218"/>
      <c r="K204" s="2218"/>
    </row>
    <row r="205" spans="2:12" x14ac:dyDescent="0.3">
      <c r="B205" s="387" t="s">
        <v>920</v>
      </c>
      <c r="C205" s="387">
        <v>29</v>
      </c>
      <c r="D205" s="387">
        <v>27</v>
      </c>
      <c r="E205" s="387">
        <v>27</v>
      </c>
      <c r="F205" s="387">
        <v>27</v>
      </c>
      <c r="G205" s="387">
        <v>27</v>
      </c>
      <c r="H205" s="387">
        <v>27</v>
      </c>
      <c r="I205" s="387">
        <v>27</v>
      </c>
      <c r="J205" s="387">
        <v>27</v>
      </c>
      <c r="K205" s="387">
        <v>27</v>
      </c>
      <c r="L205" s="388" t="s">
        <v>719</v>
      </c>
    </row>
    <row r="206" spans="2:12" x14ac:dyDescent="0.3">
      <c r="B206" s="2218" t="s">
        <v>921</v>
      </c>
      <c r="C206" s="2218"/>
      <c r="D206" s="2218"/>
      <c r="E206" s="2218"/>
      <c r="F206" s="2218"/>
      <c r="G206" s="2218"/>
      <c r="H206" s="2218"/>
      <c r="I206" s="2218"/>
      <c r="J206" s="2218"/>
      <c r="K206" s="2218"/>
    </row>
    <row r="207" spans="2:12" ht="21" x14ac:dyDescent="0.3">
      <c r="B207" s="387" t="s">
        <v>922</v>
      </c>
      <c r="C207" s="387">
        <v>20</v>
      </c>
      <c r="D207" s="387">
        <v>20</v>
      </c>
      <c r="E207" s="387">
        <v>20</v>
      </c>
      <c r="F207" s="387">
        <v>20</v>
      </c>
      <c r="G207" s="387">
        <v>20</v>
      </c>
      <c r="H207" s="387">
        <v>20</v>
      </c>
      <c r="I207" s="387">
        <v>20</v>
      </c>
      <c r="J207" s="387">
        <v>20</v>
      </c>
      <c r="K207" s="387">
        <v>20</v>
      </c>
      <c r="L207" s="388" t="s">
        <v>719</v>
      </c>
    </row>
    <row r="208" spans="2:12" ht="42" customHeight="1" x14ac:dyDescent="0.3">
      <c r="B208" s="2218" t="s">
        <v>923</v>
      </c>
      <c r="C208" s="2218"/>
      <c r="D208" s="2218"/>
      <c r="E208" s="2218"/>
      <c r="F208" s="2218"/>
      <c r="G208" s="2218"/>
      <c r="H208" s="2218"/>
      <c r="I208" s="2218"/>
      <c r="J208" s="2218"/>
      <c r="K208" s="2218"/>
    </row>
    <row r="209" spans="2:12" x14ac:dyDescent="0.3">
      <c r="B209" s="387" t="s">
        <v>924</v>
      </c>
      <c r="C209" s="387">
        <v>10</v>
      </c>
      <c r="D209" s="387">
        <v>10</v>
      </c>
      <c r="E209" s="387">
        <v>10</v>
      </c>
      <c r="F209" s="387">
        <v>10</v>
      </c>
      <c r="G209" s="387">
        <v>10</v>
      </c>
      <c r="H209" s="387">
        <v>10</v>
      </c>
      <c r="I209" s="387">
        <v>10</v>
      </c>
      <c r="J209" s="387">
        <v>15</v>
      </c>
      <c r="K209" s="387">
        <v>15</v>
      </c>
      <c r="L209" s="388" t="s">
        <v>719</v>
      </c>
    </row>
    <row r="210" spans="2:12" ht="31.5" customHeight="1" x14ac:dyDescent="0.3">
      <c r="B210" s="2218" t="s">
        <v>925</v>
      </c>
      <c r="C210" s="2218"/>
      <c r="D210" s="2218"/>
      <c r="E210" s="2218"/>
      <c r="F210" s="2218"/>
      <c r="G210" s="2218"/>
      <c r="H210" s="2218"/>
      <c r="I210" s="2218"/>
      <c r="J210" s="2218"/>
      <c r="K210" s="2218"/>
    </row>
    <row r="211" spans="2:12" ht="21" x14ac:dyDescent="0.3">
      <c r="B211" s="387" t="s">
        <v>926</v>
      </c>
      <c r="C211" s="387"/>
      <c r="D211" s="387"/>
      <c r="E211" s="387"/>
      <c r="F211" s="387"/>
      <c r="G211" s="387"/>
      <c r="H211" s="387"/>
      <c r="I211" s="387"/>
      <c r="J211" s="387"/>
      <c r="K211" s="387">
        <v>30</v>
      </c>
      <c r="L211" s="388" t="s">
        <v>719</v>
      </c>
    </row>
    <row r="212" spans="2:12" x14ac:dyDescent="0.3">
      <c r="B212" s="2218" t="s">
        <v>927</v>
      </c>
      <c r="C212" s="2218"/>
      <c r="D212" s="2218"/>
      <c r="E212" s="2218"/>
      <c r="F212" s="2218"/>
      <c r="G212" s="2218"/>
      <c r="H212" s="2218"/>
      <c r="I212" s="2218"/>
      <c r="J212" s="2218"/>
      <c r="K212" s="2218"/>
    </row>
    <row r="213" spans="2:12" x14ac:dyDescent="0.3">
      <c r="B213" s="387" t="s">
        <v>928</v>
      </c>
      <c r="C213" s="387">
        <v>20</v>
      </c>
      <c r="D213" s="387">
        <v>20</v>
      </c>
      <c r="E213" s="387">
        <v>18</v>
      </c>
      <c r="F213" s="387">
        <v>18</v>
      </c>
      <c r="G213" s="387">
        <v>17</v>
      </c>
      <c r="H213" s="387">
        <v>17</v>
      </c>
      <c r="I213" s="387">
        <v>17</v>
      </c>
      <c r="J213" s="387">
        <v>17</v>
      </c>
      <c r="K213" s="389">
        <v>17</v>
      </c>
      <c r="L213" s="388" t="s">
        <v>719</v>
      </c>
    </row>
    <row r="214" spans="2:12" ht="52.5" customHeight="1" x14ac:dyDescent="0.3">
      <c r="B214" s="2218" t="s">
        <v>929</v>
      </c>
      <c r="C214" s="2218"/>
      <c r="D214" s="2218"/>
      <c r="E214" s="2218"/>
      <c r="F214" s="2218"/>
      <c r="G214" s="2218"/>
      <c r="H214" s="2218"/>
      <c r="I214" s="2218"/>
      <c r="J214" s="2218"/>
      <c r="K214" s="2218"/>
    </row>
    <row r="215" spans="2:12" ht="42" x14ac:dyDescent="0.3">
      <c r="B215" s="387" t="s">
        <v>930</v>
      </c>
      <c r="C215" s="387"/>
      <c r="D215" s="387"/>
      <c r="E215" s="387"/>
      <c r="F215" s="387"/>
      <c r="G215" s="387"/>
      <c r="H215" s="387">
        <v>34.5</v>
      </c>
      <c r="I215" s="387">
        <v>34.5</v>
      </c>
      <c r="J215" s="387">
        <v>34.5</v>
      </c>
      <c r="K215" s="387">
        <v>34.5</v>
      </c>
      <c r="L215" s="388" t="s">
        <v>719</v>
      </c>
    </row>
    <row r="216" spans="2:12" x14ac:dyDescent="0.3">
      <c r="B216" s="2218" t="s">
        <v>931</v>
      </c>
      <c r="C216" s="2218"/>
      <c r="D216" s="2218"/>
      <c r="E216" s="2218"/>
      <c r="F216" s="2218"/>
      <c r="G216" s="2218"/>
      <c r="H216" s="2218"/>
      <c r="I216" s="2218"/>
      <c r="J216" s="2218"/>
      <c r="K216" s="2218"/>
    </row>
    <row r="217" spans="2:12" x14ac:dyDescent="0.3">
      <c r="B217" s="387" t="s">
        <v>932</v>
      </c>
      <c r="C217" s="387">
        <v>19</v>
      </c>
      <c r="D217" s="387">
        <v>19</v>
      </c>
      <c r="E217" s="387">
        <v>19</v>
      </c>
      <c r="F217" s="387">
        <v>19</v>
      </c>
      <c r="G217" s="387">
        <v>19</v>
      </c>
      <c r="H217" s="387">
        <v>19</v>
      </c>
      <c r="I217" s="387">
        <v>19</v>
      </c>
      <c r="J217" s="387">
        <v>23</v>
      </c>
      <c r="K217" s="387">
        <v>22</v>
      </c>
      <c r="L217" s="388" t="s">
        <v>719</v>
      </c>
    </row>
    <row r="218" spans="2:12" ht="31.5" customHeight="1" x14ac:dyDescent="0.3">
      <c r="B218" s="2218" t="s">
        <v>933</v>
      </c>
      <c r="C218" s="2218"/>
      <c r="D218" s="2218"/>
      <c r="E218" s="2218"/>
      <c r="F218" s="2218"/>
      <c r="G218" s="2218"/>
      <c r="H218" s="2218"/>
      <c r="I218" s="2218"/>
      <c r="J218" s="2218"/>
      <c r="K218" s="2218"/>
    </row>
    <row r="219" spans="2:12" x14ac:dyDescent="0.3">
      <c r="B219" s="387" t="s">
        <v>934</v>
      </c>
      <c r="C219" s="387">
        <v>25</v>
      </c>
      <c r="D219" s="387">
        <v>23</v>
      </c>
      <c r="E219" s="387">
        <v>22</v>
      </c>
      <c r="F219" s="387">
        <v>21</v>
      </c>
      <c r="G219" s="387">
        <v>20</v>
      </c>
      <c r="H219" s="387">
        <v>20</v>
      </c>
      <c r="I219" s="387">
        <v>18</v>
      </c>
      <c r="J219" s="387">
        <v>17</v>
      </c>
      <c r="K219" s="387">
        <v>17</v>
      </c>
      <c r="L219" s="388" t="s">
        <v>719</v>
      </c>
    </row>
    <row r="220" spans="2:12" ht="31.5" customHeight="1" x14ac:dyDescent="0.3">
      <c r="B220" s="2218" t="s">
        <v>935</v>
      </c>
      <c r="C220" s="2218"/>
      <c r="D220" s="2218"/>
      <c r="E220" s="2218"/>
      <c r="F220" s="2218"/>
      <c r="G220" s="2218"/>
      <c r="H220" s="2218"/>
      <c r="I220" s="2218"/>
      <c r="J220" s="2218"/>
      <c r="K220" s="2218"/>
    </row>
    <row r="221" spans="2:12" ht="21" x14ac:dyDescent="0.3">
      <c r="B221" s="387" t="s">
        <v>936</v>
      </c>
      <c r="C221" s="387">
        <v>36.89</v>
      </c>
      <c r="D221" s="387">
        <v>36.89</v>
      </c>
      <c r="E221" s="387">
        <v>34.549999999999997</v>
      </c>
      <c r="F221" s="387">
        <v>34.549999999999997</v>
      </c>
      <c r="G221" s="387">
        <v>34.549999999999997</v>
      </c>
      <c r="H221" s="387">
        <v>34.549999999999997</v>
      </c>
      <c r="I221" s="387">
        <v>34.549999999999997</v>
      </c>
      <c r="J221" s="387">
        <v>28</v>
      </c>
      <c r="K221" s="387">
        <v>28</v>
      </c>
      <c r="L221" s="388" t="s">
        <v>719</v>
      </c>
    </row>
    <row r="222" spans="2:12" ht="31.5" customHeight="1" x14ac:dyDescent="0.3">
      <c r="B222" s="2218" t="s">
        <v>937</v>
      </c>
      <c r="C222" s="2218"/>
      <c r="D222" s="2218"/>
      <c r="E222" s="2218"/>
      <c r="F222" s="2218"/>
      <c r="G222" s="2218"/>
      <c r="H222" s="2218"/>
      <c r="I222" s="2218"/>
      <c r="J222" s="2218"/>
      <c r="K222" s="2218"/>
    </row>
    <row r="223" spans="2:12" x14ac:dyDescent="0.3">
      <c r="B223" s="387" t="s">
        <v>938</v>
      </c>
      <c r="C223" s="387">
        <v>35</v>
      </c>
      <c r="D223" s="387">
        <v>32.5</v>
      </c>
      <c r="E223" s="387">
        <v>30</v>
      </c>
      <c r="F223" s="387">
        <v>30</v>
      </c>
      <c r="G223" s="387">
        <v>30</v>
      </c>
      <c r="H223" s="387">
        <v>30</v>
      </c>
      <c r="I223" s="387">
        <v>30</v>
      </c>
      <c r="J223" s="387">
        <v>30</v>
      </c>
      <c r="K223" s="387">
        <v>30</v>
      </c>
      <c r="L223" s="388" t="s">
        <v>719</v>
      </c>
    </row>
    <row r="224" spans="2:12" ht="147" customHeight="1" x14ac:dyDescent="0.3">
      <c r="B224" s="2218" t="s">
        <v>939</v>
      </c>
      <c r="C224" s="2218"/>
      <c r="D224" s="2218"/>
      <c r="E224" s="2218"/>
      <c r="F224" s="2218"/>
      <c r="G224" s="2218"/>
      <c r="H224" s="2218"/>
      <c r="I224" s="2218"/>
      <c r="J224" s="2218"/>
      <c r="K224" s="2218"/>
    </row>
    <row r="225" spans="2:12" x14ac:dyDescent="0.3">
      <c r="B225" s="387" t="s">
        <v>940</v>
      </c>
      <c r="C225" s="387">
        <v>32.5</v>
      </c>
      <c r="D225" s="387">
        <v>35</v>
      </c>
      <c r="E225" s="387">
        <v>35</v>
      </c>
      <c r="F225" s="387">
        <v>35</v>
      </c>
      <c r="G225" s="387">
        <v>35</v>
      </c>
      <c r="H225" s="387">
        <v>28</v>
      </c>
      <c r="I225" s="387">
        <v>28</v>
      </c>
      <c r="J225" s="387">
        <v>28</v>
      </c>
      <c r="K225" s="387">
        <v>28</v>
      </c>
      <c r="L225" s="388" t="s">
        <v>719</v>
      </c>
    </row>
    <row r="226" spans="2:12" ht="63" customHeight="1" x14ac:dyDescent="0.3">
      <c r="B226" s="2218" t="s">
        <v>941</v>
      </c>
      <c r="C226" s="2218"/>
      <c r="D226" s="2218"/>
      <c r="E226" s="2218"/>
      <c r="F226" s="2218"/>
      <c r="G226" s="2218"/>
      <c r="H226" s="2218"/>
      <c r="I226" s="2218"/>
      <c r="J226" s="2218"/>
      <c r="K226" s="2218"/>
    </row>
    <row r="227" spans="2:12" x14ac:dyDescent="0.3">
      <c r="B227" s="387" t="s">
        <v>942</v>
      </c>
      <c r="C227" s="387">
        <v>35</v>
      </c>
      <c r="D227" s="387">
        <v>30</v>
      </c>
      <c r="E227" s="387">
        <v>15</v>
      </c>
      <c r="F227" s="387">
        <v>15</v>
      </c>
      <c r="G227" s="387">
        <v>15</v>
      </c>
      <c r="H227" s="387">
        <v>35</v>
      </c>
      <c r="I227" s="387">
        <v>35</v>
      </c>
      <c r="J227" s="387">
        <v>35</v>
      </c>
      <c r="K227" s="387">
        <v>35</v>
      </c>
      <c r="L227" s="388" t="s">
        <v>719</v>
      </c>
    </row>
    <row r="228" spans="2:12" ht="52.5" customHeight="1" x14ac:dyDescent="0.3">
      <c r="B228" s="2218" t="s">
        <v>943</v>
      </c>
      <c r="C228" s="2218"/>
      <c r="D228" s="2218"/>
      <c r="E228" s="2218"/>
      <c r="F228" s="2218"/>
      <c r="G228" s="2218"/>
      <c r="H228" s="2218"/>
      <c r="I228" s="2218"/>
      <c r="J228" s="2218"/>
      <c r="K228" s="2218"/>
    </row>
    <row r="229" spans="2:12" x14ac:dyDescent="0.3">
      <c r="B229" s="387" t="s">
        <v>944</v>
      </c>
      <c r="C229" s="387"/>
      <c r="D229" s="387"/>
      <c r="E229" s="387"/>
      <c r="F229" s="387"/>
      <c r="G229" s="387"/>
      <c r="H229" s="387"/>
      <c r="I229" s="387"/>
      <c r="J229" s="387">
        <v>36</v>
      </c>
      <c r="K229" s="387">
        <v>34.5</v>
      </c>
      <c r="L229" s="387"/>
    </row>
    <row r="230" spans="2:12" x14ac:dyDescent="0.3">
      <c r="B230" s="2218"/>
      <c r="C230" s="2218"/>
      <c r="D230" s="2218"/>
      <c r="E230" s="2218"/>
      <c r="F230" s="2218"/>
      <c r="G230" s="2218"/>
      <c r="H230" s="2218"/>
      <c r="I230" s="2218"/>
      <c r="J230" s="2218"/>
      <c r="K230" s="2218"/>
    </row>
    <row r="231" spans="2:12" x14ac:dyDescent="0.3">
      <c r="B231" s="387" t="s">
        <v>945</v>
      </c>
      <c r="C231" s="387">
        <v>28</v>
      </c>
      <c r="D231" s="387">
        <v>28</v>
      </c>
      <c r="E231" s="387">
        <v>28</v>
      </c>
      <c r="F231" s="387">
        <v>26.3</v>
      </c>
      <c r="G231" s="387">
        <v>26.3</v>
      </c>
      <c r="H231" s="387">
        <v>26.3</v>
      </c>
      <c r="I231" s="387">
        <v>26.3</v>
      </c>
      <c r="J231" s="387">
        <v>22</v>
      </c>
      <c r="K231" s="387">
        <v>22</v>
      </c>
      <c r="L231" s="388" t="s">
        <v>719</v>
      </c>
    </row>
    <row r="232" spans="2:12" x14ac:dyDescent="0.3">
      <c r="B232" s="2218" t="s">
        <v>946</v>
      </c>
      <c r="C232" s="2218"/>
      <c r="D232" s="2218"/>
      <c r="E232" s="2218"/>
      <c r="F232" s="2218"/>
      <c r="G232" s="2218"/>
      <c r="H232" s="2218"/>
      <c r="I232" s="2218"/>
      <c r="J232" s="2218"/>
      <c r="K232" s="2218"/>
    </row>
    <row r="233" spans="2:12" x14ac:dyDescent="0.3">
      <c r="B233" s="387" t="s">
        <v>947</v>
      </c>
      <c r="C233" s="387">
        <v>21.3</v>
      </c>
      <c r="D233" s="387">
        <v>20.63</v>
      </c>
      <c r="E233" s="387">
        <v>19.2</v>
      </c>
      <c r="F233" s="387">
        <v>18.96</v>
      </c>
      <c r="G233" s="387">
        <v>18.75</v>
      </c>
      <c r="H233" s="387">
        <v>18.309999999999999</v>
      </c>
      <c r="I233" s="387">
        <v>18.059999999999999</v>
      </c>
      <c r="J233" s="387">
        <v>18.010000000000002</v>
      </c>
      <c r="K233" s="387">
        <v>17.920000000000002</v>
      </c>
      <c r="L233" s="388" t="s">
        <v>719</v>
      </c>
    </row>
    <row r="234" spans="2:12" ht="136.5" customHeight="1" x14ac:dyDescent="0.3">
      <c r="B234" s="2218" t="s">
        <v>948</v>
      </c>
      <c r="C234" s="2218"/>
      <c r="D234" s="2218"/>
      <c r="E234" s="2218"/>
      <c r="F234" s="2218"/>
      <c r="G234" s="2218"/>
      <c r="H234" s="2218"/>
      <c r="I234" s="2218"/>
      <c r="J234" s="2218"/>
      <c r="K234" s="2218"/>
    </row>
    <row r="235" spans="2:12" ht="31.5" x14ac:dyDescent="0.3">
      <c r="B235" s="387" t="s">
        <v>949</v>
      </c>
      <c r="C235" s="387">
        <v>35</v>
      </c>
      <c r="D235" s="387">
        <v>28</v>
      </c>
      <c r="E235" s="387">
        <v>28</v>
      </c>
      <c r="F235" s="387">
        <v>28</v>
      </c>
      <c r="G235" s="387">
        <v>28</v>
      </c>
      <c r="H235" s="387">
        <v>28</v>
      </c>
      <c r="I235" s="387">
        <v>28</v>
      </c>
      <c r="J235" s="387">
        <v>22</v>
      </c>
      <c r="K235" s="387">
        <v>22</v>
      </c>
      <c r="L235" s="388" t="s">
        <v>719</v>
      </c>
    </row>
    <row r="236" spans="2:12" ht="73.5" customHeight="1" x14ac:dyDescent="0.3">
      <c r="B236" s="2218" t="s">
        <v>950</v>
      </c>
      <c r="C236" s="2218"/>
      <c r="D236" s="2218"/>
      <c r="E236" s="2218"/>
      <c r="F236" s="2218"/>
      <c r="G236" s="2218"/>
      <c r="H236" s="2218"/>
      <c r="I236" s="2218"/>
      <c r="J236" s="2218"/>
      <c r="K236" s="2218"/>
    </row>
    <row r="237" spans="2:12" x14ac:dyDescent="0.3">
      <c r="B237" s="387" t="s">
        <v>951</v>
      </c>
      <c r="C237" s="387">
        <v>25</v>
      </c>
      <c r="D237" s="387">
        <v>25</v>
      </c>
      <c r="E237" s="387">
        <v>25</v>
      </c>
      <c r="F237" s="387">
        <v>25</v>
      </c>
      <c r="G237" s="387">
        <v>17</v>
      </c>
      <c r="H237" s="387">
        <v>17</v>
      </c>
      <c r="I237" s="387">
        <v>17</v>
      </c>
      <c r="J237" s="387">
        <v>17</v>
      </c>
      <c r="K237" s="387">
        <v>17</v>
      </c>
      <c r="L237" s="388" t="s">
        <v>719</v>
      </c>
    </row>
    <row r="238" spans="2:12" ht="31.5" customHeight="1" x14ac:dyDescent="0.3">
      <c r="B238" s="2218" t="s">
        <v>952</v>
      </c>
      <c r="C238" s="2218"/>
      <c r="D238" s="2218"/>
      <c r="E238" s="2218"/>
      <c r="F238" s="2218"/>
      <c r="G238" s="2218"/>
      <c r="H238" s="2218"/>
      <c r="I238" s="2218"/>
      <c r="J238" s="2218"/>
      <c r="K238" s="2218"/>
    </row>
    <row r="239" spans="2:12" x14ac:dyDescent="0.3">
      <c r="B239" s="387" t="s">
        <v>953</v>
      </c>
      <c r="C239" s="387"/>
      <c r="D239" s="387"/>
      <c r="E239" s="387"/>
      <c r="F239" s="387">
        <v>30</v>
      </c>
      <c r="G239" s="387">
        <v>30</v>
      </c>
      <c r="H239" s="387">
        <v>30</v>
      </c>
      <c r="I239" s="387">
        <v>30</v>
      </c>
      <c r="J239" s="387">
        <v>30</v>
      </c>
      <c r="K239" s="387">
        <v>30</v>
      </c>
      <c r="L239" s="388" t="s">
        <v>719</v>
      </c>
    </row>
    <row r="240" spans="2:12" ht="21" customHeight="1" x14ac:dyDescent="0.3">
      <c r="B240" s="2218" t="s">
        <v>954</v>
      </c>
      <c r="C240" s="2218"/>
      <c r="D240" s="2218"/>
      <c r="E240" s="2218"/>
      <c r="F240" s="2218"/>
      <c r="G240" s="2218"/>
      <c r="H240" s="2218"/>
      <c r="I240" s="2218"/>
      <c r="J240" s="2218"/>
      <c r="K240" s="2218"/>
    </row>
    <row r="241" spans="2:12" x14ac:dyDescent="0.3">
      <c r="B241" s="387" t="s">
        <v>955</v>
      </c>
      <c r="C241" s="387">
        <v>30</v>
      </c>
      <c r="D241" s="387">
        <v>30</v>
      </c>
      <c r="E241" s="387">
        <v>30</v>
      </c>
      <c r="F241" s="387">
        <v>30</v>
      </c>
      <c r="G241" s="387">
        <v>30</v>
      </c>
      <c r="H241" s="387">
        <v>30</v>
      </c>
      <c r="I241" s="387">
        <v>23</v>
      </c>
      <c r="J241" s="387">
        <v>20</v>
      </c>
      <c r="K241" s="387">
        <v>20</v>
      </c>
      <c r="L241" s="388" t="s">
        <v>719</v>
      </c>
    </row>
    <row r="242" spans="2:12" ht="115.5" customHeight="1" x14ac:dyDescent="0.3">
      <c r="B242" s="2218" t="s">
        <v>956</v>
      </c>
      <c r="C242" s="2218"/>
      <c r="D242" s="2218"/>
      <c r="E242" s="2218"/>
      <c r="F242" s="2218"/>
      <c r="G242" s="2218"/>
      <c r="H242" s="2218"/>
      <c r="I242" s="2218"/>
      <c r="J242" s="2218"/>
      <c r="K242" s="2218"/>
    </row>
    <row r="243" spans="2:12" ht="21" x14ac:dyDescent="0.3">
      <c r="B243" s="387" t="s">
        <v>957</v>
      </c>
      <c r="C243" s="387"/>
      <c r="D243" s="387"/>
      <c r="E243" s="387"/>
      <c r="F243" s="387"/>
      <c r="G243" s="387"/>
      <c r="H243" s="387"/>
      <c r="I243" s="387">
        <v>25</v>
      </c>
      <c r="J243" s="387">
        <v>25</v>
      </c>
      <c r="K243" s="387">
        <v>25</v>
      </c>
      <c r="L243" s="388" t="s">
        <v>719</v>
      </c>
    </row>
    <row r="244" spans="2:12" ht="42" customHeight="1" x14ac:dyDescent="0.3">
      <c r="B244" s="2218" t="s">
        <v>958</v>
      </c>
      <c r="C244" s="2218"/>
      <c r="D244" s="2218"/>
      <c r="E244" s="2218"/>
      <c r="F244" s="2218"/>
      <c r="G244" s="2218"/>
      <c r="H244" s="2218"/>
      <c r="I244" s="2218"/>
      <c r="J244" s="2218"/>
      <c r="K244" s="2218"/>
    </row>
    <row r="245" spans="2:12" x14ac:dyDescent="0.3">
      <c r="B245" s="387" t="s">
        <v>959</v>
      </c>
      <c r="C245" s="387">
        <v>35</v>
      </c>
      <c r="D245" s="387">
        <v>30</v>
      </c>
      <c r="E245" s="387">
        <v>30</v>
      </c>
      <c r="F245" s="387">
        <v>30</v>
      </c>
      <c r="G245" s="387">
        <v>30</v>
      </c>
      <c r="H245" s="387">
        <v>30</v>
      </c>
      <c r="I245" s="387">
        <v>30</v>
      </c>
      <c r="J245" s="387">
        <v>30</v>
      </c>
      <c r="K245" s="387">
        <v>25</v>
      </c>
      <c r="L245" s="388" t="s">
        <v>719</v>
      </c>
    </row>
    <row r="246" spans="2:12" ht="84" customHeight="1" x14ac:dyDescent="0.3">
      <c r="B246" s="2218" t="s">
        <v>960</v>
      </c>
      <c r="C246" s="2218"/>
      <c r="D246" s="2218"/>
      <c r="E246" s="2218"/>
      <c r="F246" s="2218"/>
      <c r="G246" s="2218"/>
      <c r="H246" s="2218"/>
      <c r="I246" s="2218"/>
      <c r="J246" s="2218"/>
      <c r="K246" s="2218"/>
    </row>
    <row r="247" spans="2:12" x14ac:dyDescent="0.3">
      <c r="B247" s="387" t="s">
        <v>961</v>
      </c>
      <c r="C247" s="387">
        <v>20</v>
      </c>
      <c r="D247" s="387">
        <v>20</v>
      </c>
      <c r="E247" s="387">
        <v>20</v>
      </c>
      <c r="F247" s="387">
        <v>20</v>
      </c>
      <c r="G247" s="387">
        <v>20</v>
      </c>
      <c r="H247" s="387">
        <v>20</v>
      </c>
      <c r="I247" s="387">
        <v>20</v>
      </c>
      <c r="J247" s="387">
        <v>20</v>
      </c>
      <c r="K247" s="387">
        <v>20</v>
      </c>
      <c r="L247" s="388" t="s">
        <v>719</v>
      </c>
    </row>
    <row r="248" spans="2:12" ht="21" customHeight="1" x14ac:dyDescent="0.3">
      <c r="B248" s="2218" t="s">
        <v>962</v>
      </c>
      <c r="C248" s="2218"/>
      <c r="D248" s="2218"/>
      <c r="E248" s="2218"/>
      <c r="F248" s="2218"/>
      <c r="G248" s="2218"/>
      <c r="H248" s="2218"/>
      <c r="I248" s="2218"/>
      <c r="J248" s="2218"/>
      <c r="K248" s="2218"/>
    </row>
    <row r="249" spans="2:12" x14ac:dyDescent="0.3">
      <c r="B249" s="387" t="s">
        <v>963</v>
      </c>
      <c r="C249" s="387">
        <v>30</v>
      </c>
      <c r="D249" s="387">
        <v>30</v>
      </c>
      <c r="E249" s="387">
        <v>30</v>
      </c>
      <c r="F249" s="387">
        <v>30</v>
      </c>
      <c r="G249" s="387">
        <v>30</v>
      </c>
      <c r="H249" s="387">
        <v>30</v>
      </c>
      <c r="I249" s="387">
        <v>30</v>
      </c>
      <c r="J249" s="387">
        <v>30</v>
      </c>
      <c r="K249" s="387">
        <v>30</v>
      </c>
      <c r="L249" s="388" t="s">
        <v>719</v>
      </c>
    </row>
    <row r="250" spans="2:12" x14ac:dyDescent="0.3">
      <c r="B250" s="2218" t="s">
        <v>964</v>
      </c>
      <c r="C250" s="2218"/>
      <c r="D250" s="2218"/>
      <c r="E250" s="2218"/>
      <c r="F250" s="2218"/>
      <c r="G250" s="2218"/>
      <c r="H250" s="2218"/>
      <c r="I250" s="2218"/>
      <c r="J250" s="2218"/>
      <c r="K250" s="2218"/>
    </row>
    <row r="251" spans="2:12" x14ac:dyDescent="0.3">
      <c r="B251" s="387" t="s">
        <v>965</v>
      </c>
      <c r="C251" s="387">
        <v>25</v>
      </c>
      <c r="D251" s="387">
        <v>25</v>
      </c>
      <c r="E251" s="387">
        <v>25</v>
      </c>
      <c r="F251" s="387">
        <v>25</v>
      </c>
      <c r="G251" s="387">
        <v>25</v>
      </c>
      <c r="H251" s="387">
        <v>25</v>
      </c>
      <c r="I251" s="387">
        <v>21</v>
      </c>
      <c r="J251" s="387">
        <v>19</v>
      </c>
      <c r="K251" s="387">
        <v>18</v>
      </c>
      <c r="L251" s="388" t="s">
        <v>719</v>
      </c>
    </row>
    <row r="252" spans="2:12" ht="84" customHeight="1" x14ac:dyDescent="0.3">
      <c r="B252" s="2218" t="s">
        <v>966</v>
      </c>
      <c r="C252" s="2218"/>
      <c r="D252" s="2218"/>
      <c r="E252" s="2218"/>
      <c r="F252" s="2218"/>
      <c r="G252" s="2218"/>
      <c r="H252" s="2218"/>
      <c r="I252" s="2218"/>
      <c r="J252" s="2218"/>
      <c r="K252" s="2218"/>
    </row>
    <row r="253" spans="2:12" ht="21" x14ac:dyDescent="0.3">
      <c r="B253" s="387" t="s">
        <v>967</v>
      </c>
      <c r="C253" s="387">
        <v>55</v>
      </c>
      <c r="D253" s="387">
        <v>55</v>
      </c>
      <c r="E253" s="387">
        <v>55</v>
      </c>
      <c r="F253" s="387">
        <v>55</v>
      </c>
      <c r="G253" s="387">
        <v>55</v>
      </c>
      <c r="H253" s="387">
        <v>55</v>
      </c>
      <c r="I253" s="387">
        <v>55</v>
      </c>
      <c r="J253" s="387">
        <v>55</v>
      </c>
      <c r="K253" s="387">
        <v>55</v>
      </c>
      <c r="L253" s="388" t="s">
        <v>719</v>
      </c>
    </row>
    <row r="254" spans="2:12" ht="126" customHeight="1" x14ac:dyDescent="0.3">
      <c r="B254" s="2218" t="s">
        <v>968</v>
      </c>
      <c r="C254" s="2218"/>
      <c r="D254" s="2218"/>
      <c r="E254" s="2218"/>
      <c r="F254" s="2218"/>
      <c r="G254" s="2218"/>
      <c r="H254" s="2218"/>
      <c r="I254" s="2218"/>
      <c r="J254" s="2218"/>
      <c r="K254" s="2218"/>
    </row>
    <row r="255" spans="2:12" ht="21" x14ac:dyDescent="0.3">
      <c r="B255" s="387" t="s">
        <v>969</v>
      </c>
      <c r="C255" s="387">
        <v>30</v>
      </c>
      <c r="D255" s="387">
        <v>30</v>
      </c>
      <c r="E255" s="387">
        <v>30</v>
      </c>
      <c r="F255" s="387">
        <v>28</v>
      </c>
      <c r="G255" s="387">
        <v>28</v>
      </c>
      <c r="H255" s="387">
        <v>26</v>
      </c>
      <c r="I255" s="387">
        <v>24</v>
      </c>
      <c r="J255" s="387">
        <v>23</v>
      </c>
      <c r="K255" s="389">
        <v>21</v>
      </c>
      <c r="L255" s="388" t="s">
        <v>719</v>
      </c>
    </row>
    <row r="256" spans="2:12" ht="84" customHeight="1" x14ac:dyDescent="0.3">
      <c r="B256" s="2218" t="s">
        <v>970</v>
      </c>
      <c r="C256" s="2218"/>
      <c r="D256" s="2218"/>
      <c r="E256" s="2218"/>
      <c r="F256" s="2218"/>
      <c r="G256" s="2218"/>
      <c r="H256" s="2218"/>
      <c r="I256" s="2218"/>
      <c r="J256" s="2218"/>
      <c r="K256" s="2218"/>
    </row>
    <row r="257" spans="2:12" ht="21" x14ac:dyDescent="0.3">
      <c r="B257" s="387" t="s">
        <v>971</v>
      </c>
      <c r="C257" s="387">
        <v>40</v>
      </c>
      <c r="D257" s="387">
        <v>40</v>
      </c>
      <c r="E257" s="387">
        <v>40</v>
      </c>
      <c r="F257" s="387">
        <v>40</v>
      </c>
      <c r="G257" s="387">
        <v>40</v>
      </c>
      <c r="H257" s="387">
        <v>40</v>
      </c>
      <c r="I257" s="387">
        <v>40</v>
      </c>
      <c r="J257" s="387">
        <v>40</v>
      </c>
      <c r="K257" s="389">
        <v>40</v>
      </c>
      <c r="L257" s="388" t="s">
        <v>719</v>
      </c>
    </row>
    <row r="258" spans="2:12" ht="73.5" customHeight="1" x14ac:dyDescent="0.3">
      <c r="B258" s="2218" t="s">
        <v>972</v>
      </c>
      <c r="C258" s="2218"/>
      <c r="D258" s="2218"/>
      <c r="E258" s="2218"/>
      <c r="F258" s="2218"/>
      <c r="G258" s="2218"/>
      <c r="H258" s="2218"/>
      <c r="I258" s="2218"/>
      <c r="J258" s="2218"/>
      <c r="K258" s="2218"/>
    </row>
    <row r="259" spans="2:12" x14ac:dyDescent="0.3">
      <c r="B259" s="387" t="s">
        <v>973</v>
      </c>
      <c r="C259" s="387">
        <v>30</v>
      </c>
      <c r="D259" s="387">
        <v>30</v>
      </c>
      <c r="E259" s="387">
        <v>25</v>
      </c>
      <c r="F259" s="387">
        <v>25</v>
      </c>
      <c r="G259" s="387">
        <v>25</v>
      </c>
      <c r="H259" s="387">
        <v>25</v>
      </c>
      <c r="I259" s="387">
        <v>25</v>
      </c>
      <c r="J259" s="387">
        <v>25</v>
      </c>
      <c r="K259" s="387">
        <v>25</v>
      </c>
      <c r="L259" s="388" t="s">
        <v>719</v>
      </c>
    </row>
    <row r="260" spans="2:12" x14ac:dyDescent="0.3">
      <c r="B260" s="2218" t="s">
        <v>974</v>
      </c>
      <c r="C260" s="2218"/>
      <c r="D260" s="2218"/>
      <c r="E260" s="2218"/>
      <c r="F260" s="2218"/>
      <c r="G260" s="2218"/>
      <c r="H260" s="2218"/>
      <c r="I260" s="2218"/>
      <c r="J260" s="2218"/>
      <c r="K260" s="2218"/>
    </row>
    <row r="261" spans="2:12" x14ac:dyDescent="0.3">
      <c r="B261" s="387" t="s">
        <v>975</v>
      </c>
      <c r="C261" s="387">
        <v>0</v>
      </c>
      <c r="D261" s="387">
        <v>0</v>
      </c>
      <c r="E261" s="387">
        <v>0</v>
      </c>
      <c r="F261" s="387">
        <v>0</v>
      </c>
      <c r="G261" s="387">
        <v>0</v>
      </c>
      <c r="H261" s="387">
        <v>0</v>
      </c>
      <c r="I261" s="387">
        <v>0</v>
      </c>
      <c r="J261" s="387">
        <v>0</v>
      </c>
      <c r="K261" s="387">
        <v>0</v>
      </c>
      <c r="L261" s="388" t="s">
        <v>719</v>
      </c>
    </row>
    <row r="262" spans="2:12" ht="21" customHeight="1" x14ac:dyDescent="0.3">
      <c r="B262" s="2218" t="s">
        <v>976</v>
      </c>
      <c r="C262" s="2218"/>
      <c r="D262" s="2218"/>
      <c r="E262" s="2218"/>
      <c r="F262" s="2218"/>
      <c r="G262" s="2218"/>
      <c r="H262" s="2218"/>
      <c r="I262" s="2218"/>
      <c r="J262" s="2218"/>
      <c r="K262" s="2218"/>
    </row>
    <row r="263" spans="2:12" x14ac:dyDescent="0.3">
      <c r="B263" s="387" t="s">
        <v>977</v>
      </c>
      <c r="C263" s="387">
        <v>34</v>
      </c>
      <c r="D263" s="387">
        <v>34</v>
      </c>
      <c r="E263" s="387">
        <v>34</v>
      </c>
      <c r="F263" s="387">
        <v>34</v>
      </c>
      <c r="G263" s="387">
        <v>34</v>
      </c>
      <c r="H263" s="387">
        <v>34</v>
      </c>
      <c r="I263" s="387">
        <v>34</v>
      </c>
      <c r="J263" s="387">
        <v>34</v>
      </c>
      <c r="K263" s="387">
        <v>34</v>
      </c>
      <c r="L263" s="388" t="s">
        <v>719</v>
      </c>
    </row>
    <row r="264" spans="2:12" ht="52.5" customHeight="1" x14ac:dyDescent="0.3">
      <c r="B264" s="2218" t="s">
        <v>978</v>
      </c>
      <c r="C264" s="2218"/>
      <c r="D264" s="2218"/>
      <c r="E264" s="2218"/>
      <c r="F264" s="2218"/>
      <c r="G264" s="2218"/>
      <c r="H264" s="2218"/>
      <c r="I264" s="2218"/>
      <c r="J264" s="2218"/>
      <c r="K264" s="2218"/>
    </row>
    <row r="265" spans="2:12" x14ac:dyDescent="0.3">
      <c r="B265" s="387" t="s">
        <v>979</v>
      </c>
      <c r="C265" s="387">
        <v>28</v>
      </c>
      <c r="D265" s="387">
        <v>28</v>
      </c>
      <c r="E265" s="387">
        <v>28</v>
      </c>
      <c r="F265" s="387">
        <v>25</v>
      </c>
      <c r="G265" s="387">
        <v>25</v>
      </c>
      <c r="H265" s="387">
        <v>25</v>
      </c>
      <c r="I265" s="387">
        <v>25</v>
      </c>
      <c r="J265" s="387">
        <v>25</v>
      </c>
      <c r="K265" s="387">
        <v>22</v>
      </c>
      <c r="L265" s="388" t="s">
        <v>719</v>
      </c>
    </row>
    <row r="266" spans="2:12" ht="31.5" customHeight="1" x14ac:dyDescent="0.3">
      <c r="B266" s="2218" t="s">
        <v>980</v>
      </c>
      <c r="C266" s="2218"/>
      <c r="D266" s="2218"/>
      <c r="E266" s="2218"/>
      <c r="F266" s="2218"/>
      <c r="G266" s="2218"/>
      <c r="H266" s="2218"/>
      <c r="I266" s="2218"/>
      <c r="J266" s="2218"/>
      <c r="K266" s="2218"/>
    </row>
    <row r="267" spans="2:12" x14ac:dyDescent="0.3">
      <c r="B267" s="387" t="s">
        <v>981</v>
      </c>
      <c r="C267" s="387">
        <v>35</v>
      </c>
      <c r="D267" s="387">
        <v>35</v>
      </c>
      <c r="E267" s="387">
        <v>35</v>
      </c>
      <c r="F267" s="387">
        <v>35</v>
      </c>
      <c r="G267" s="387">
        <v>35</v>
      </c>
      <c r="H267" s="387">
        <v>20</v>
      </c>
      <c r="I267" s="387">
        <v>20</v>
      </c>
      <c r="J267" s="387">
        <v>20</v>
      </c>
      <c r="K267" s="387">
        <v>20</v>
      </c>
      <c r="L267" s="388" t="s">
        <v>719</v>
      </c>
    </row>
    <row r="268" spans="2:12" ht="42" customHeight="1" x14ac:dyDescent="0.3">
      <c r="B268" s="2218" t="s">
        <v>982</v>
      </c>
      <c r="C268" s="2218"/>
      <c r="D268" s="2218"/>
      <c r="E268" s="2218"/>
      <c r="F268" s="2218"/>
      <c r="G268" s="2218"/>
      <c r="H268" s="2218"/>
      <c r="I268" s="2218"/>
      <c r="J268" s="2218"/>
      <c r="K268" s="2218"/>
    </row>
    <row r="269" spans="2:12" x14ac:dyDescent="0.3">
      <c r="B269" s="387" t="s">
        <v>983</v>
      </c>
      <c r="C269" s="387">
        <v>35</v>
      </c>
      <c r="D269" s="387">
        <v>35</v>
      </c>
      <c r="E269" s="387">
        <v>35</v>
      </c>
      <c r="F269" s="387">
        <v>35</v>
      </c>
      <c r="G269" s="387">
        <v>35</v>
      </c>
      <c r="H269" s="387">
        <v>35</v>
      </c>
      <c r="I269" s="387">
        <v>35</v>
      </c>
      <c r="J269" s="387">
        <v>35</v>
      </c>
      <c r="K269" s="387">
        <v>35</v>
      </c>
      <c r="L269" s="388" t="s">
        <v>719</v>
      </c>
    </row>
    <row r="270" spans="2:12" ht="52.5" customHeight="1" x14ac:dyDescent="0.3">
      <c r="B270" s="2218" t="s">
        <v>984</v>
      </c>
      <c r="C270" s="2218"/>
      <c r="D270" s="2218"/>
      <c r="E270" s="2218"/>
      <c r="F270" s="2218"/>
      <c r="G270" s="2218"/>
      <c r="H270" s="2218"/>
      <c r="I270" s="2218"/>
      <c r="J270" s="2218"/>
      <c r="K270" s="2218"/>
    </row>
    <row r="271" spans="2:12" x14ac:dyDescent="0.3">
      <c r="B271" s="387" t="s">
        <v>985</v>
      </c>
      <c r="C271" s="387">
        <v>30.9</v>
      </c>
      <c r="D271" s="387">
        <v>30.9</v>
      </c>
      <c r="E271" s="387">
        <v>30.9</v>
      </c>
      <c r="F271" s="387">
        <v>30.9</v>
      </c>
      <c r="G271" s="387">
        <v>25.75</v>
      </c>
      <c r="H271" s="387">
        <v>25.75</v>
      </c>
      <c r="I271" s="387">
        <v>25.75</v>
      </c>
      <c r="J271" s="387">
        <v>25.75</v>
      </c>
      <c r="K271" s="387">
        <v>25.75</v>
      </c>
      <c r="L271" s="388" t="s">
        <v>719</v>
      </c>
    </row>
    <row r="272" spans="2:12" x14ac:dyDescent="0.3">
      <c r="B272" s="2218" t="s">
        <v>986</v>
      </c>
      <c r="C272" s="2218"/>
      <c r="D272" s="2218"/>
      <c r="E272" s="2218"/>
      <c r="F272" s="2218"/>
      <c r="G272" s="2218"/>
      <c r="H272" s="2218"/>
      <c r="I272" s="2218"/>
      <c r="J272" s="2218"/>
      <c r="K272" s="2218"/>
    </row>
    <row r="273" spans="2:12" ht="21" x14ac:dyDescent="0.3">
      <c r="B273" s="387" t="s">
        <v>987</v>
      </c>
      <c r="C273" s="387">
        <v>30.82</v>
      </c>
      <c r="D273" s="387">
        <v>30.56</v>
      </c>
      <c r="E273" s="387">
        <v>28.65</v>
      </c>
      <c r="F273" s="387">
        <v>28.75</v>
      </c>
      <c r="G273" s="387">
        <v>28.38</v>
      </c>
      <c r="H273" s="387">
        <v>28.55</v>
      </c>
      <c r="I273" s="387">
        <v>29.02</v>
      </c>
      <c r="J273" s="387">
        <v>28.29</v>
      </c>
      <c r="K273" s="387">
        <v>27.85</v>
      </c>
      <c r="L273" s="387"/>
    </row>
    <row r="274" spans="2:12" x14ac:dyDescent="0.3">
      <c r="B274" s="2218"/>
      <c r="C274" s="2218"/>
      <c r="D274" s="2218"/>
      <c r="E274" s="2218"/>
      <c r="F274" s="2218"/>
      <c r="G274" s="2218"/>
      <c r="H274" s="2218"/>
      <c r="I274" s="2218"/>
      <c r="J274" s="2218"/>
      <c r="K274" s="2218"/>
    </row>
    <row r="275" spans="2:12" ht="21" x14ac:dyDescent="0.3">
      <c r="B275" s="387" t="s">
        <v>988</v>
      </c>
      <c r="C275" s="387">
        <v>29.97</v>
      </c>
      <c r="D275" s="387">
        <v>29.27</v>
      </c>
      <c r="E275" s="387">
        <v>28.84</v>
      </c>
      <c r="F275" s="387">
        <v>28.82</v>
      </c>
      <c r="G275" s="387">
        <v>28.28</v>
      </c>
      <c r="H275" s="387">
        <v>29.28</v>
      </c>
      <c r="I275" s="387">
        <v>28.67</v>
      </c>
      <c r="J275" s="387">
        <v>28.35</v>
      </c>
      <c r="K275" s="387">
        <v>27.62</v>
      </c>
      <c r="L275" s="387"/>
    </row>
    <row r="276" spans="2:12" x14ac:dyDescent="0.3">
      <c r="B276" s="2218"/>
      <c r="C276" s="2218"/>
      <c r="D276" s="2218"/>
      <c r="E276" s="2218"/>
      <c r="F276" s="2218"/>
      <c r="G276" s="2218"/>
      <c r="H276" s="2218"/>
      <c r="I276" s="2218"/>
      <c r="J276" s="2218"/>
      <c r="K276" s="2218"/>
    </row>
    <row r="277" spans="2:12" ht="21" x14ac:dyDescent="0.3">
      <c r="B277" s="387" t="s">
        <v>989</v>
      </c>
      <c r="C277" s="387">
        <v>28.99</v>
      </c>
      <c r="D277" s="387">
        <v>28.46</v>
      </c>
      <c r="E277" s="387">
        <v>27.99</v>
      </c>
      <c r="F277" s="387">
        <v>25.73</v>
      </c>
      <c r="G277" s="387">
        <v>23.96</v>
      </c>
      <c r="H277" s="387">
        <v>23.1</v>
      </c>
      <c r="I277" s="387">
        <v>22.89</v>
      </c>
      <c r="J277" s="387">
        <v>22.05</v>
      </c>
      <c r="K277" s="387">
        <v>21.91</v>
      </c>
      <c r="L277" s="387"/>
    </row>
    <row r="278" spans="2:12" x14ac:dyDescent="0.3">
      <c r="B278" s="2218"/>
      <c r="C278" s="2218"/>
      <c r="D278" s="2218"/>
      <c r="E278" s="2218"/>
      <c r="F278" s="2218"/>
      <c r="G278" s="2218"/>
      <c r="H278" s="2218"/>
      <c r="I278" s="2218"/>
      <c r="J278" s="2218"/>
      <c r="K278" s="2218"/>
    </row>
    <row r="279" spans="2:12" ht="21" x14ac:dyDescent="0.3">
      <c r="B279" s="387" t="s">
        <v>990</v>
      </c>
      <c r="C279" s="387">
        <v>23.7</v>
      </c>
      <c r="D279" s="387">
        <v>22.99</v>
      </c>
      <c r="E279" s="387">
        <v>21.95</v>
      </c>
      <c r="F279" s="387">
        <v>21.64</v>
      </c>
      <c r="G279" s="387">
        <v>21.46</v>
      </c>
      <c r="H279" s="387">
        <v>20.81</v>
      </c>
      <c r="I279" s="387">
        <v>20.420000000000002</v>
      </c>
      <c r="J279" s="387">
        <v>20.6</v>
      </c>
      <c r="K279" s="387">
        <v>19.68</v>
      </c>
      <c r="L279" s="387"/>
    </row>
    <row r="280" spans="2:12" x14ac:dyDescent="0.3">
      <c r="B280" s="2218"/>
      <c r="C280" s="2218"/>
      <c r="D280" s="2218"/>
      <c r="E280" s="2218"/>
      <c r="F280" s="2218"/>
      <c r="G280" s="2218"/>
      <c r="H280" s="2218"/>
      <c r="I280" s="2218"/>
      <c r="J280" s="2218"/>
      <c r="K280" s="2218"/>
    </row>
    <row r="281" spans="2:12" ht="21" x14ac:dyDescent="0.3">
      <c r="B281" s="387" t="s">
        <v>991</v>
      </c>
      <c r="C281" s="387">
        <v>30.6</v>
      </c>
      <c r="D281" s="387">
        <v>30.2</v>
      </c>
      <c r="E281" s="387">
        <v>29.6</v>
      </c>
      <c r="F281" s="387">
        <v>29.2</v>
      </c>
      <c r="G281" s="387">
        <v>29</v>
      </c>
      <c r="H281" s="387">
        <v>28.6</v>
      </c>
      <c r="I281" s="387">
        <v>28.6</v>
      </c>
      <c r="J281" s="387">
        <v>27</v>
      </c>
      <c r="K281" s="387">
        <v>27</v>
      </c>
      <c r="L281" s="387"/>
    </row>
    <row r="282" spans="2:12" x14ac:dyDescent="0.3">
      <c r="B282" s="2218"/>
      <c r="C282" s="2218"/>
      <c r="D282" s="2218"/>
      <c r="E282" s="2218"/>
      <c r="F282" s="2218"/>
      <c r="G282" s="2218"/>
      <c r="H282" s="2218"/>
      <c r="I282" s="2218"/>
      <c r="J282" s="2218"/>
      <c r="K282" s="2218"/>
    </row>
    <row r="283" spans="2:12" ht="31.5" x14ac:dyDescent="0.3">
      <c r="B283" s="387" t="s">
        <v>992</v>
      </c>
      <c r="C283" s="387">
        <v>38.049999999999997</v>
      </c>
      <c r="D283" s="387">
        <v>38.049999999999997</v>
      </c>
      <c r="E283" s="387">
        <v>36.75</v>
      </c>
      <c r="F283" s="387">
        <v>36.5</v>
      </c>
      <c r="G283" s="387">
        <v>35.5</v>
      </c>
      <c r="H283" s="387">
        <v>34</v>
      </c>
      <c r="I283" s="387">
        <v>33</v>
      </c>
      <c r="J283" s="387">
        <v>33</v>
      </c>
      <c r="K283" s="387">
        <v>33.25</v>
      </c>
      <c r="L283" s="387"/>
    </row>
    <row r="284" spans="2:12" x14ac:dyDescent="0.3">
      <c r="B284" s="2218"/>
      <c r="C284" s="2218"/>
      <c r="D284" s="2218"/>
      <c r="E284" s="2218"/>
      <c r="F284" s="2218"/>
      <c r="G284" s="2218"/>
      <c r="H284" s="2218"/>
      <c r="I284" s="2218"/>
      <c r="J284" s="2218"/>
      <c r="K284" s="2218"/>
    </row>
    <row r="285" spans="2:12" ht="31.5" x14ac:dyDescent="0.3">
      <c r="B285" s="387" t="s">
        <v>993</v>
      </c>
      <c r="C285" s="387">
        <v>29.07</v>
      </c>
      <c r="D285" s="387">
        <v>28.3</v>
      </c>
      <c r="E285" s="387">
        <v>27.96</v>
      </c>
      <c r="F285" s="387">
        <v>27.96</v>
      </c>
      <c r="G285" s="387">
        <v>27.52</v>
      </c>
      <c r="H285" s="387">
        <v>28.83</v>
      </c>
      <c r="I285" s="387">
        <v>28.3</v>
      </c>
      <c r="J285" s="387">
        <v>27.96</v>
      </c>
      <c r="K285" s="387">
        <v>27.15</v>
      </c>
      <c r="L285" s="387"/>
    </row>
    <row r="286" spans="2:12" x14ac:dyDescent="0.3">
      <c r="B286" s="2218"/>
      <c r="C286" s="2218"/>
      <c r="D286" s="2218"/>
      <c r="E286" s="2218"/>
      <c r="F286" s="2218"/>
      <c r="G286" s="2218"/>
      <c r="H286" s="2218"/>
      <c r="I286" s="2218"/>
      <c r="J286" s="2218"/>
      <c r="K286" s="2218"/>
    </row>
    <row r="287" spans="2:12" x14ac:dyDescent="0.3">
      <c r="B287" s="387" t="s">
        <v>994</v>
      </c>
      <c r="C287" s="387">
        <v>24.83</v>
      </c>
      <c r="D287" s="387">
        <v>23.97</v>
      </c>
      <c r="E287" s="387">
        <v>23.17</v>
      </c>
      <c r="F287" s="387">
        <v>23.11</v>
      </c>
      <c r="G287" s="387">
        <v>22.93</v>
      </c>
      <c r="H287" s="387">
        <v>22.7</v>
      </c>
      <c r="I287" s="387">
        <v>22.51</v>
      </c>
      <c r="J287" s="387">
        <v>22.75</v>
      </c>
      <c r="K287" s="387">
        <v>21.34</v>
      </c>
      <c r="L287" s="387"/>
    </row>
    <row r="288" spans="2:12" x14ac:dyDescent="0.3">
      <c r="B288" s="2218"/>
      <c r="C288" s="2218"/>
      <c r="D288" s="2218"/>
      <c r="E288" s="2218"/>
      <c r="F288" s="2218"/>
      <c r="G288" s="2218"/>
      <c r="H288" s="2218"/>
      <c r="I288" s="2218"/>
      <c r="J288" s="2218"/>
      <c r="K288" s="2218"/>
    </row>
    <row r="289" spans="2:12" ht="21" x14ac:dyDescent="0.3">
      <c r="B289" s="387" t="s">
        <v>995</v>
      </c>
      <c r="C289" s="387">
        <v>27.67</v>
      </c>
      <c r="D289" s="387">
        <v>27</v>
      </c>
      <c r="E289" s="387">
        <v>25.99</v>
      </c>
      <c r="F289" s="387">
        <v>25.64</v>
      </c>
      <c r="G289" s="387">
        <v>25.7</v>
      </c>
      <c r="H289" s="387">
        <v>25.4</v>
      </c>
      <c r="I289" s="387">
        <v>25.15</v>
      </c>
      <c r="J289" s="387">
        <v>25.32</v>
      </c>
      <c r="K289" s="387">
        <v>24.11</v>
      </c>
      <c r="L289" s="387"/>
    </row>
    <row r="290" spans="2:12" x14ac:dyDescent="0.3">
      <c r="B290" s="2218"/>
      <c r="C290" s="2218"/>
      <c r="D290" s="2218"/>
      <c r="E290" s="2218"/>
      <c r="F290" s="2218"/>
      <c r="G290" s="2218"/>
      <c r="H290" s="2218"/>
      <c r="I290" s="2218"/>
      <c r="J290" s="2218"/>
      <c r="K290" s="2218"/>
    </row>
    <row r="291" spans="2:12" ht="21" x14ac:dyDescent="0.3">
      <c r="B291" s="387" t="s">
        <v>996</v>
      </c>
      <c r="C291" s="387">
        <v>27.5</v>
      </c>
      <c r="D291" s="387">
        <v>26.95</v>
      </c>
      <c r="E291" s="387">
        <v>26.1</v>
      </c>
      <c r="F291" s="387">
        <v>25.38</v>
      </c>
      <c r="G291" s="387">
        <v>24.69</v>
      </c>
      <c r="H291" s="387">
        <v>24.5</v>
      </c>
      <c r="I291" s="387">
        <v>24.4</v>
      </c>
      <c r="J291" s="387">
        <v>23.71</v>
      </c>
      <c r="K291" s="387">
        <v>23.57</v>
      </c>
      <c r="L291" s="387"/>
    </row>
  </sheetData>
  <mergeCells count="144">
    <mergeCell ref="B280:K280"/>
    <mergeCell ref="B282:K282"/>
    <mergeCell ref="B284:K284"/>
    <mergeCell ref="B286:K286"/>
    <mergeCell ref="B288:K288"/>
    <mergeCell ref="B290:K290"/>
    <mergeCell ref="B268:K268"/>
    <mergeCell ref="B270:K270"/>
    <mergeCell ref="B272:K272"/>
    <mergeCell ref="B274:K274"/>
    <mergeCell ref="B276:K276"/>
    <mergeCell ref="B278:K278"/>
    <mergeCell ref="B256:K256"/>
    <mergeCell ref="B258:K258"/>
    <mergeCell ref="B260:K260"/>
    <mergeCell ref="B262:K262"/>
    <mergeCell ref="B264:K264"/>
    <mergeCell ref="B266:K266"/>
    <mergeCell ref="B244:K244"/>
    <mergeCell ref="B246:K246"/>
    <mergeCell ref="B248:K248"/>
    <mergeCell ref="B250:K250"/>
    <mergeCell ref="B252:K252"/>
    <mergeCell ref="B254:K254"/>
    <mergeCell ref="B232:K232"/>
    <mergeCell ref="B234:K234"/>
    <mergeCell ref="B236:K236"/>
    <mergeCell ref="B238:K238"/>
    <mergeCell ref="B240:K240"/>
    <mergeCell ref="B242:K242"/>
    <mergeCell ref="B220:K220"/>
    <mergeCell ref="B222:K222"/>
    <mergeCell ref="B224:K224"/>
    <mergeCell ref="B226:K226"/>
    <mergeCell ref="B228:K228"/>
    <mergeCell ref="B230:K230"/>
    <mergeCell ref="B208:K208"/>
    <mergeCell ref="B210:K210"/>
    <mergeCell ref="B212:K212"/>
    <mergeCell ref="B214:K214"/>
    <mergeCell ref="B216:K216"/>
    <mergeCell ref="B218:K218"/>
    <mergeCell ref="B196:K196"/>
    <mergeCell ref="B198:K198"/>
    <mergeCell ref="B200:K200"/>
    <mergeCell ref="B202:K202"/>
    <mergeCell ref="B204:K204"/>
    <mergeCell ref="B206:K206"/>
    <mergeCell ref="B184:K184"/>
    <mergeCell ref="B186:K186"/>
    <mergeCell ref="B188:K188"/>
    <mergeCell ref="B190:K190"/>
    <mergeCell ref="B192:K192"/>
    <mergeCell ref="B194:K194"/>
    <mergeCell ref="B172:K172"/>
    <mergeCell ref="B174:K174"/>
    <mergeCell ref="B176:K176"/>
    <mergeCell ref="B178:K178"/>
    <mergeCell ref="B180:K180"/>
    <mergeCell ref="B182:K182"/>
    <mergeCell ref="B160:K160"/>
    <mergeCell ref="B162:K162"/>
    <mergeCell ref="B164:K164"/>
    <mergeCell ref="B166:K166"/>
    <mergeCell ref="B168:K168"/>
    <mergeCell ref="B170:K170"/>
    <mergeCell ref="B148:K148"/>
    <mergeCell ref="B150:K150"/>
    <mergeCell ref="B152:K152"/>
    <mergeCell ref="B154:K154"/>
    <mergeCell ref="B156:K156"/>
    <mergeCell ref="B158:K158"/>
    <mergeCell ref="B136:K136"/>
    <mergeCell ref="B138:K138"/>
    <mergeCell ref="B140:K140"/>
    <mergeCell ref="B142:K142"/>
    <mergeCell ref="B144:K144"/>
    <mergeCell ref="B146:K146"/>
    <mergeCell ref="B124:K124"/>
    <mergeCell ref="B126:K126"/>
    <mergeCell ref="B128:K128"/>
    <mergeCell ref="B130:K130"/>
    <mergeCell ref="B132:K132"/>
    <mergeCell ref="B134:K134"/>
    <mergeCell ref="B112:K112"/>
    <mergeCell ref="B114:K114"/>
    <mergeCell ref="B116:K116"/>
    <mergeCell ref="B118:K118"/>
    <mergeCell ref="B120:K120"/>
    <mergeCell ref="B122:K122"/>
    <mergeCell ref="B100:K100"/>
    <mergeCell ref="B102:K102"/>
    <mergeCell ref="B104:K104"/>
    <mergeCell ref="B106:K106"/>
    <mergeCell ref="B108:K108"/>
    <mergeCell ref="B110:K110"/>
    <mergeCell ref="B88:K88"/>
    <mergeCell ref="B90:K90"/>
    <mergeCell ref="B92:K92"/>
    <mergeCell ref="B94:K94"/>
    <mergeCell ref="B96:K96"/>
    <mergeCell ref="B98:K98"/>
    <mergeCell ref="B76:K76"/>
    <mergeCell ref="B78:K78"/>
    <mergeCell ref="B80:K80"/>
    <mergeCell ref="B82:K82"/>
    <mergeCell ref="B84:K84"/>
    <mergeCell ref="B86:K86"/>
    <mergeCell ref="B64:K64"/>
    <mergeCell ref="B66:K66"/>
    <mergeCell ref="B68:K68"/>
    <mergeCell ref="B70:K70"/>
    <mergeCell ref="B72:K72"/>
    <mergeCell ref="B74:K74"/>
    <mergeCell ref="B52:K52"/>
    <mergeCell ref="B54:K54"/>
    <mergeCell ref="B56:K56"/>
    <mergeCell ref="B58:K58"/>
    <mergeCell ref="B60:K60"/>
    <mergeCell ref="B62:K62"/>
    <mergeCell ref="B40:K40"/>
    <mergeCell ref="B42:K42"/>
    <mergeCell ref="B44:K44"/>
    <mergeCell ref="B46:K46"/>
    <mergeCell ref="B48:K48"/>
    <mergeCell ref="B50:K50"/>
    <mergeCell ref="B28:K28"/>
    <mergeCell ref="B30:K30"/>
    <mergeCell ref="B32:K32"/>
    <mergeCell ref="B34:K34"/>
    <mergeCell ref="B36:K36"/>
    <mergeCell ref="B38:K38"/>
    <mergeCell ref="B16:K16"/>
    <mergeCell ref="B18:K18"/>
    <mergeCell ref="B20:K20"/>
    <mergeCell ref="B22:K22"/>
    <mergeCell ref="B24:K24"/>
    <mergeCell ref="B26:K26"/>
    <mergeCell ref="B4:K4"/>
    <mergeCell ref="B6:K6"/>
    <mergeCell ref="B8:K8"/>
    <mergeCell ref="B10:K10"/>
    <mergeCell ref="B12:K12"/>
    <mergeCell ref="B14:K14"/>
  </mergeCells>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B2B2B2"/>
  </sheetPr>
  <dimension ref="A1:E2"/>
  <sheetViews>
    <sheetView workbookViewId="0"/>
  </sheetViews>
  <sheetFormatPr defaultRowHeight="16.5" x14ac:dyDescent="0.3"/>
  <sheetData>
    <row r="1" spans="1:5" x14ac:dyDescent="0.3">
      <c r="A1" s="208" t="s">
        <v>138</v>
      </c>
      <c r="B1" s="208" t="s">
        <v>139</v>
      </c>
      <c r="C1" s="208" t="s">
        <v>140</v>
      </c>
      <c r="D1" s="208" t="s">
        <v>141</v>
      </c>
      <c r="E1" s="208" t="s">
        <v>142</v>
      </c>
    </row>
    <row r="2" spans="1:5" x14ac:dyDescent="0.3">
      <c r="A2">
        <v>2</v>
      </c>
      <c r="B2">
        <v>4</v>
      </c>
      <c r="C2">
        <v>7</v>
      </c>
      <c r="D2">
        <v>26</v>
      </c>
      <c r="E2" s="142" t="s">
        <v>143</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FB8F4AC52B259641BE62E3A32AC663D5" ma:contentTypeVersion="0" ma:contentTypeDescription="새 문서를 만듭니다." ma:contentTypeScope="" ma:versionID="2b20d8835c4c23da34b40c39c69aa2d7">
  <xsd:schema xmlns:xsd="http://www.w3.org/2001/XMLSchema" xmlns:xs="http://www.w3.org/2001/XMLSchema" xmlns:p="http://schemas.microsoft.com/office/2006/metadata/properties" targetNamespace="http://schemas.microsoft.com/office/2006/metadata/properties" ma:root="true" ma:fieldsID="dd8f6c9257034a6ffde9c3b3e5e5b89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726325-F53A-4C87-A6DD-DF87DEF2ED1C}">
  <ds:schemaRefs>
    <ds:schemaRef ds:uri="http://schemas.openxmlformats.org/package/2006/metadata/core-properties"/>
    <ds:schemaRef ds:uri="http://schemas.microsoft.com/office/2006/documentManagement/types"/>
    <ds:schemaRef ds:uri="http://purl.org/dc/terms/"/>
    <ds:schemaRef ds:uri="http://schemas.microsoft.com/office/2006/metadata/properties"/>
    <ds:schemaRef ds:uri="http://purl.org/dc/elements/1.1/"/>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F1BFB214-D3F1-4072-8174-F624E68B26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9361C7A6-F16E-43AA-A5BD-DD27289A29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49</vt:i4>
      </vt:variant>
      <vt:variant>
        <vt:lpstr>이름이 지정된 범위</vt:lpstr>
      </vt:variant>
      <vt:variant>
        <vt:i4>5</vt:i4>
      </vt:variant>
    </vt:vector>
  </HeadingPairs>
  <TitlesOfParts>
    <vt:vector size="54" baseType="lpstr">
      <vt:lpstr>Title</vt:lpstr>
      <vt:lpstr>Des</vt:lpstr>
      <vt:lpstr>Terms</vt:lpstr>
      <vt:lpstr>가정</vt:lpstr>
      <vt:lpstr>인터뷰</vt:lpstr>
      <vt:lpstr>DCF(KPMG)&gt;&gt;</vt:lpstr>
      <vt:lpstr>Result</vt:lpstr>
      <vt:lpstr>WACC</vt:lpstr>
      <vt:lpstr>WACC(보고서)</vt:lpstr>
      <vt:lpstr>GTM</vt:lpstr>
      <vt:lpstr>GPCM </vt:lpstr>
      <vt:lpstr>DCF</vt:lpstr>
      <vt:lpstr>Pro forma</vt:lpstr>
      <vt:lpstr>매출액</vt:lpstr>
      <vt:lpstr>매출원가</vt:lpstr>
      <vt:lpstr>SG&amp;A</vt:lpstr>
      <vt:lpstr>노무비</vt:lpstr>
      <vt:lpstr>CapEx&amp;Dep</vt:lpstr>
      <vt:lpstr>WC</vt:lpstr>
      <vt:lpstr>NOA&amp;IBD</vt:lpstr>
      <vt:lpstr>PBC&gt;&gt;</vt:lpstr>
      <vt:lpstr>기존(정액)</vt:lpstr>
      <vt:lpstr>그룹사EE</vt:lpstr>
      <vt:lpstr>국내정유회사EE</vt:lpstr>
      <vt:lpstr>태양광산업전망자료</vt:lpstr>
      <vt:lpstr>그룹사투자</vt:lpstr>
      <vt:lpstr>사업계획</vt:lpstr>
      <vt:lpstr>원가구분</vt:lpstr>
      <vt:lpstr>FS&gt;&gt;</vt:lpstr>
      <vt:lpstr>BS</vt:lpstr>
      <vt:lpstr>IS</vt:lpstr>
      <vt:lpstr>CF</vt:lpstr>
      <vt:lpstr>DART</vt:lpstr>
      <vt:lpstr>원가명세서</vt:lpstr>
      <vt:lpstr>CAPEX_주석사항</vt:lpstr>
      <vt:lpstr>IM용 보고서</vt:lpstr>
      <vt:lpstr>유사회사&gt;&gt;</vt:lpstr>
      <vt:lpstr>유사_재무비율</vt:lpstr>
      <vt:lpstr>유사기업IS</vt:lpstr>
      <vt:lpstr>유사기업BS</vt:lpstr>
      <vt:lpstr>Analysis</vt:lpstr>
      <vt:lpstr>유사회사_Des</vt:lpstr>
      <vt:lpstr>유사거래_Des</vt:lpstr>
      <vt:lpstr>Data&gt;&gt;</vt:lpstr>
      <vt:lpstr>Raw&gt;&gt;</vt:lpstr>
      <vt:lpstr>CRP</vt:lpstr>
      <vt:lpstr>Bond</vt:lpstr>
      <vt:lpstr>Macro</vt:lpstr>
      <vt:lpstr>Tax rate</vt:lpstr>
      <vt:lpstr>g</vt:lpstr>
      <vt:lpstr>mm</vt:lpstr>
      <vt:lpstr>ppf</vt:lpstr>
      <vt:lpstr>unit</vt:lpstr>
      <vt:lpstr>wacc</vt:lpstr>
    </vt:vector>
  </TitlesOfParts>
  <Company>KPMG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Nam Hong [KR]</dc:creator>
  <cp:lastModifiedBy>Kim, Nam Hong </cp:lastModifiedBy>
  <cp:lastPrinted>2016-01-27T08:43:49Z</cp:lastPrinted>
  <dcterms:created xsi:type="dcterms:W3CDTF">2012-08-14T01:00:28Z</dcterms:created>
  <dcterms:modified xsi:type="dcterms:W3CDTF">2016-02-03T05:45:50Z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0x010100FB8F4AC52B259641BE62E3A32AC663D5</vt:lpwstr>
  </property>
</Properties>
</file>